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LOW John" algorithmName="SHA-512" hashValue="LMCvQfUAp5JBGic2Qw5jYkgRGrOJorxA26z8w9rdTTavv7MxS6yGE2RaH4Y80wYWKlSbqoOydhsO1xSSLC4PBw==" saltValue="zCEcBgg5uvf4ZNeHUift4A==" spinCount="100000"/>
  <workbookPr defaultThemeVersion="164011"/>
  <mc:AlternateContent xmlns:mc="http://schemas.openxmlformats.org/markup-compatibility/2006">
    <mc:Choice Requires="x15">
      <x15ac:absPath xmlns:x15ac="http://schemas.microsoft.com/office/spreadsheetml/2010/11/ac" url="M:\1.H2 Project files\020. Hidden costs paper\042 revised submission to CTEP July 2022\"/>
    </mc:Choice>
  </mc:AlternateContent>
  <bookViews>
    <workbookView xWindow="0" yWindow="0" windowWidth="28800" windowHeight="12300"/>
  </bookViews>
  <sheets>
    <sheet name="Main table (road wear)" sheetId="17" r:id="rId1"/>
    <sheet name="axle distribution sensitivity" sheetId="24" r:id="rId2"/>
    <sheet name="Lading sensitivity (D.distance)" sheetId="27" r:id="rId3"/>
    <sheet name="Different weight categories" sheetId="29" r:id="rId4"/>
    <sheet name="Summary tables" sheetId="4" r:id="rId5"/>
    <sheet name="Charts for report" sheetId="32" r:id="rId6"/>
    <sheet name="8.consumption &amp; emissions calcs" sheetId="3" r:id="rId7"/>
    <sheet name="Mileage &amp; vehicle numbers" sheetId="26" r:id="rId8"/>
    <sheet name="Emissions and vehicles" sheetId="6" r:id="rId9"/>
    <sheet name="Vehicle numbers" sheetId="9" r:id="rId10"/>
    <sheet name="Annual distance covered (GB)" sheetId="10" r:id="rId11"/>
    <sheet name="Extraction of HGV annual dist" sheetId="11" r:id="rId12"/>
    <sheet name="Vehicle weight data" sheetId="12" r:id="rId13"/>
    <sheet name="main table summary for appendix" sheetId="33" r:id="rId14"/>
  </sheets>
  <externalReferences>
    <externalReference r:id="rId15"/>
    <externalReference r:id="rId16"/>
  </externalReference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9</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8" hidden="1">'Emissions and vehicles'!$Q$8:$W$159</definedName>
    <definedName name="_xlnm._FilterDatabase" localSheetId="11" hidden="1">'Extraction of HGV annual dist'!$A$10:$M$175</definedName>
    <definedName name="AnnCostComp">'[1]22.Operating costs'!$H$20:$H$51</definedName>
    <definedName name="AnnCostDistHn">'[1]22.Operating costs'!$J$20:$J$51</definedName>
    <definedName name="AnnCostGrdE">'[1]22.Operating costs'!$G$20:$G$51</definedName>
    <definedName name="AnnCostHc">'[1]22.Operating costs'!$K$20:$K$51</definedName>
    <definedName name="AnnCostSuppHn">'[1]22.Operating costs'!$I$20:$I$51</definedName>
    <definedName name="AnnTotE">'[1]22.Operating costs'!$M$20:$M$51</definedName>
    <definedName name="AnnTotH">'[1]22.Operating costs'!$L$20:$L$51</definedName>
    <definedName name="AvAnnConsD">'[1]20.Hydrocarbons'!$J$9</definedName>
    <definedName name="AvAnnConsP">'[1]20.Hydrocarbons'!$J$8</definedName>
    <definedName name="ConsHCSco">'[1]20.Hydrocarbons'!$F$40</definedName>
    <definedName name="ConsHCUK">'[1]20.Hydrocarbons'!$F$39</definedName>
    <definedName name="CostPipes">'[1]20.Hydrocarbons'!$F$43</definedName>
    <definedName name="CostPump">'[1]20.Hydrocarbons'!$F$42</definedName>
    <definedName name="CostStnRfrb">'[1]20.Hydrocarbons'!$F$47</definedName>
    <definedName name="CostTank">'[1]20.Hydrocarbons'!$F$45</definedName>
    <definedName name="Days_in_a_year">'[1]13.Control panel'!$P$28</definedName>
    <definedName name="DemE">'[1]22.Operating costs'!$C$20:$C$51</definedName>
    <definedName name="DemHc">'[1]22.Operating costs'!$E$20:$E$51</definedName>
    <definedName name="DemHn">'[1]22.Operating costs'!$D$20:$D$51</definedName>
    <definedName name="EffDE">'[1]20.Hydrocarbons'!$M$9</definedName>
    <definedName name="EffDH">'[1]20.Hydrocarbons'!$K$9</definedName>
    <definedName name="EffElect">'[1]22.Operating costs'!$F$11</definedName>
    <definedName name="EffPE">'[1]20.Hydrocarbons'!$M$8</definedName>
    <definedName name="EffPH">'[1]20.Hydrocarbons'!$K$8</definedName>
    <definedName name="EnComp">'[1]22.Operating costs'!$H$11</definedName>
    <definedName name="EnDD">'[1]20.Hydrocarbons'!$H$9</definedName>
    <definedName name="EnDP">'[1]20.Hydrocarbons'!$H$8</definedName>
    <definedName name="EnH">'[1]22.Operating costs'!$F$13</definedName>
    <definedName name="EnHc">'[1]22.Operating costs'!$F$20:$F$51</definedName>
    <definedName name="EqivAnnSupDELg">'[1]20.Hydrocarbons'!$P$19</definedName>
    <definedName name="EqivAnnSupDEMd">'[1]20.Hydrocarbons'!$P$18</definedName>
    <definedName name="EqivAnnSupDESm">'[1]20.Hydrocarbons'!$P$17</definedName>
    <definedName name="EqivAnnSupDHLg">'[1]20.Hydrocarbons'!$J$19</definedName>
    <definedName name="EqivAnnSupDHMd">'[1]20.Hydrocarbons'!$J$18</definedName>
    <definedName name="EqivAnnSupDHSm">'[1]20.Hydrocarbons'!$J$17</definedName>
    <definedName name="EqivAnnSupPELg">'[1]20.Hydrocarbons'!$N$19</definedName>
    <definedName name="EqivAnnSupPEMd">'[1]20.Hydrocarbons'!$N$18</definedName>
    <definedName name="EqivAnnSupPESm">'[1]20.Hydrocarbons'!$N$17</definedName>
    <definedName name="EqivAnnSupPHLg">'[1]20.Hydrocarbons'!$H$19</definedName>
    <definedName name="EqivAnnSupPHMd">'[1]20.Hydrocarbons'!$H$18</definedName>
    <definedName name="EqivAnnSupPHSm">'[1]20.Hydrocarbons'!$H$17</definedName>
    <definedName name="EqivED">'[1]20.Hydrocarbons'!$N$9</definedName>
    <definedName name="EqivEP">'[1]20.Hydrocarbons'!$N$8</definedName>
    <definedName name="EqivHD">'[1]20.Hydrocarbons'!$L$9</definedName>
    <definedName name="EqivHP">'[1]20.Hydrocarbons'!$L$8</definedName>
    <definedName name="kg_in_kT_kWh_in_GWh">'[1]13.Control panel'!$Q$28</definedName>
    <definedName name="LifePuPi">'[1]20.Hydrocarbons'!$F$44</definedName>
    <definedName name="LifeStnRfrb">'[1]20.Hydrocarbons'!$F$48</definedName>
    <definedName name="LifeTank">'[1]20.Hydrocarbons'!$F$46</definedName>
    <definedName name="NrPumpSite">'[1]20.Hydrocarbons'!$F$50</definedName>
    <definedName name="NrStnSco">'[1]20.Hydrocarbons'!$F$41</definedName>
    <definedName name="NrStnUK">'[1]20.Hydrocarbons'!$F$38</definedName>
    <definedName name="NrTankStn">'[1]20.Hydrocarbons'!$F$49</definedName>
    <definedName name="pcEc">'[1]22.Operating costs'!$K$11</definedName>
    <definedName name="rhoD">'[1]20.Hydrocarbons'!$D$7</definedName>
    <definedName name="rhoP">'[1]20.Hydrocarbons'!$D$6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pEnD">'[1]20.Hydrocarbons'!$D$9</definedName>
    <definedName name="SpEnH">'[1]20.Hydrocarbons'!$D$10</definedName>
    <definedName name="SpEnP">'[1]20.Hydrocarbons'!$D$8</definedName>
    <definedName name="UnitCostAnnAll">'[1]20.Hydrocarbons'!$F$56</definedName>
    <definedName name="UnitCostAnnApp">'[1]20.Hydrocarbons'!$F$59</definedName>
    <definedName name="UnitCostAnnPuPi">'[1]20.Hydrocarbons'!$F$52</definedName>
    <definedName name="UnitCostAnnStnRfrb">'[1]20.Hydrocarbons'!$F$54</definedName>
    <definedName name="UnitCostAnnTank">'[1]20.Hydrocarbons'!$F$53</definedName>
    <definedName name="UnitCostComp">'[1]22.Operating costs'!$H$13</definedName>
    <definedName name="UnitCostDistH">'[1]22.Operating costs'!$J$13</definedName>
    <definedName name="UnitCostGrdE">'[1]22.Operating costs'!$G$13</definedName>
    <definedName name="UnitCostSuppH">'[1]22.Operating costs'!$I$13</definedName>
    <definedName name="UnitCostTransE">'[1]22.Operating costs'!$K$13</definedName>
    <definedName name="VolHCLg">'[1]20.Hydrocarbons'!$B$19</definedName>
    <definedName name="VolHCMd">'[1]20.Hydrocarbons'!$B$18</definedName>
    <definedName name="VolHCSm">'[1]20.Hydrocarbons'!$B$17</definedName>
    <definedName name="VolSupDLg">'[1]20.Hydrocarbons'!$D$19</definedName>
    <definedName name="VolSupDMd">'[1]20.Hydrocarbons'!$D$18</definedName>
    <definedName name="VolSupDSm">'[1]20.Hydrocarbons'!$D$17</definedName>
    <definedName name="VolSupPLg">'[1]20.Hydrocarbons'!$C$19</definedName>
    <definedName name="VolSupPMd">'[1]20.Hydrocarbons'!$C$18</definedName>
    <definedName name="VolSupPSm">'[1]20.Hydrocarbons'!$C$17</definedName>
  </definedNames>
  <calcPr calcId="162913" calcMode="autoNoTable"/>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K26" i="33" l="1"/>
  <c r="AC26" i="33"/>
  <c r="V26" i="33"/>
  <c r="O26" i="33"/>
  <c r="AK32" i="33"/>
  <c r="AC32" i="33"/>
  <c r="V32" i="33"/>
  <c r="V10" i="33"/>
  <c r="V11" i="33"/>
  <c r="V12" i="33"/>
  <c r="V14" i="33"/>
  <c r="V15" i="33"/>
  <c r="V16" i="33"/>
  <c r="V17" i="33"/>
  <c r="V18" i="33"/>
  <c r="V19" i="33"/>
  <c r="V20" i="33"/>
  <c r="V21" i="33"/>
  <c r="V22" i="33"/>
  <c r="V23" i="33"/>
  <c r="V24" i="33"/>
  <c r="V25" i="33"/>
  <c r="V27" i="33"/>
  <c r="V28" i="33"/>
  <c r="V29" i="33"/>
  <c r="B1" i="33"/>
  <c r="C1" i="33"/>
  <c r="D1" i="33"/>
  <c r="E1" i="33"/>
  <c r="F1" i="33"/>
  <c r="G1" i="33"/>
  <c r="H1" i="33"/>
  <c r="I1" i="33"/>
  <c r="J1" i="33"/>
  <c r="K1" i="33"/>
  <c r="L1" i="33"/>
  <c r="M1" i="33"/>
  <c r="O1" i="33"/>
  <c r="P1" i="33"/>
  <c r="Q1" i="33"/>
  <c r="R1" i="33"/>
  <c r="S1" i="33"/>
  <c r="T1" i="33"/>
  <c r="V1" i="33"/>
  <c r="W1" i="33"/>
  <c r="X1" i="33"/>
  <c r="Y1" i="33"/>
  <c r="Z1" i="33"/>
  <c r="AA1" i="33"/>
  <c r="AC1" i="33"/>
  <c r="AD1" i="33"/>
  <c r="AE1" i="33"/>
  <c r="AF1" i="33"/>
  <c r="AG1" i="33"/>
  <c r="AH1" i="33"/>
  <c r="AI1" i="33"/>
  <c r="AK1" i="33"/>
  <c r="AL1" i="33"/>
  <c r="B2" i="33"/>
  <c r="C2" i="33"/>
  <c r="D2" i="33"/>
  <c r="E2" i="33"/>
  <c r="F2" i="33"/>
  <c r="G2" i="33"/>
  <c r="H2" i="33"/>
  <c r="I2" i="33"/>
  <c r="J2" i="33"/>
  <c r="K2" i="33"/>
  <c r="L2" i="33"/>
  <c r="M2" i="33"/>
  <c r="O2" i="33"/>
  <c r="P2" i="33"/>
  <c r="Q2" i="33"/>
  <c r="R2" i="33"/>
  <c r="S2" i="33"/>
  <c r="T2" i="33"/>
  <c r="V2" i="33"/>
  <c r="W2" i="33"/>
  <c r="X2" i="33"/>
  <c r="Y2" i="33"/>
  <c r="Z2" i="33"/>
  <c r="AA2" i="33"/>
  <c r="AC2" i="33"/>
  <c r="AD2" i="33"/>
  <c r="AE2" i="33"/>
  <c r="AF2" i="33"/>
  <c r="AG2" i="33"/>
  <c r="AH2" i="33"/>
  <c r="AI2" i="33"/>
  <c r="AK2" i="33"/>
  <c r="AL2" i="33"/>
  <c r="B3" i="33"/>
  <c r="C3" i="33"/>
  <c r="D3" i="33"/>
  <c r="E3" i="33"/>
  <c r="F3" i="33"/>
  <c r="G3" i="33"/>
  <c r="H3" i="33"/>
  <c r="I3" i="33"/>
  <c r="J3" i="33"/>
  <c r="K3" i="33"/>
  <c r="L3" i="33"/>
  <c r="M3" i="33"/>
  <c r="O3" i="33"/>
  <c r="P3" i="33"/>
  <c r="Q3" i="33"/>
  <c r="R3" i="33"/>
  <c r="T3" i="33"/>
  <c r="V3" i="33"/>
  <c r="W3" i="33"/>
  <c r="X3" i="33"/>
  <c r="Y3" i="33"/>
  <c r="Z3" i="33"/>
  <c r="AA3" i="33"/>
  <c r="AC3" i="33"/>
  <c r="AD3" i="33"/>
  <c r="AE3" i="33"/>
  <c r="AF3" i="33"/>
  <c r="AG3" i="33"/>
  <c r="AH3" i="33"/>
  <c r="AI3" i="33"/>
  <c r="AK3" i="33"/>
  <c r="AL3" i="33"/>
  <c r="B4" i="33"/>
  <c r="C4" i="33"/>
  <c r="D4" i="33"/>
  <c r="E4" i="33"/>
  <c r="F4" i="33"/>
  <c r="G4" i="33"/>
  <c r="H4" i="33"/>
  <c r="I4" i="33"/>
  <c r="J4" i="33"/>
  <c r="K4" i="33"/>
  <c r="L4" i="33"/>
  <c r="M4" i="33"/>
  <c r="O4" i="33"/>
  <c r="P4" i="33"/>
  <c r="Q4" i="33"/>
  <c r="R4" i="33"/>
  <c r="S4" i="33"/>
  <c r="T4" i="33"/>
  <c r="V4" i="33"/>
  <c r="W4" i="33"/>
  <c r="X4" i="33"/>
  <c r="Y4" i="33"/>
  <c r="Z4" i="33"/>
  <c r="AA4" i="33"/>
  <c r="AC4" i="33"/>
  <c r="AD4" i="33"/>
  <c r="AE4" i="33"/>
  <c r="AF4" i="33"/>
  <c r="AG4" i="33"/>
  <c r="AH4" i="33"/>
  <c r="AI4" i="33"/>
  <c r="AK4" i="33"/>
  <c r="AL4" i="33"/>
  <c r="B5" i="33"/>
  <c r="C5" i="33"/>
  <c r="D5" i="33"/>
  <c r="E5" i="33"/>
  <c r="F5" i="33"/>
  <c r="G5" i="33"/>
  <c r="H5" i="33"/>
  <c r="I5" i="33"/>
  <c r="J5" i="33"/>
  <c r="K5" i="33"/>
  <c r="L5" i="33"/>
  <c r="M5" i="33"/>
  <c r="O5" i="33"/>
  <c r="P5" i="33"/>
  <c r="Q5" i="33"/>
  <c r="R5" i="33"/>
  <c r="S5" i="33"/>
  <c r="T5" i="33"/>
  <c r="V5" i="33"/>
  <c r="W5" i="33"/>
  <c r="X5" i="33"/>
  <c r="Y5" i="33"/>
  <c r="Z5" i="33"/>
  <c r="AA5" i="33"/>
  <c r="AC5" i="33"/>
  <c r="AD5" i="33"/>
  <c r="AE5" i="33"/>
  <c r="AF5" i="33"/>
  <c r="AG5" i="33"/>
  <c r="AH5" i="33"/>
  <c r="AI5" i="33"/>
  <c r="AK5" i="33"/>
  <c r="AL5" i="33"/>
  <c r="B6" i="33"/>
  <c r="C6" i="33"/>
  <c r="D6" i="33"/>
  <c r="E6" i="33"/>
  <c r="F6" i="33"/>
  <c r="G6" i="33"/>
  <c r="H6" i="33"/>
  <c r="I6" i="33"/>
  <c r="J6" i="33"/>
  <c r="K6" i="33"/>
  <c r="L6" i="33"/>
  <c r="M6" i="33"/>
  <c r="O6" i="33"/>
  <c r="N6" i="33"/>
  <c r="P6" i="33"/>
  <c r="Q6" i="33"/>
  <c r="R6" i="33"/>
  <c r="S6" i="33"/>
  <c r="T6" i="33"/>
  <c r="V6" i="33"/>
  <c r="U6" i="33"/>
  <c r="W6" i="33"/>
  <c r="X6" i="33"/>
  <c r="Y6" i="33"/>
  <c r="Z6" i="33"/>
  <c r="AA6" i="33"/>
  <c r="AC6" i="33"/>
  <c r="AB6" i="33"/>
  <c r="AD6" i="33"/>
  <c r="AH6" i="33"/>
  <c r="AI6" i="33"/>
  <c r="AK6" i="33"/>
  <c r="AJ6" i="33"/>
  <c r="B7" i="33"/>
  <c r="C7" i="33"/>
  <c r="D7" i="33"/>
  <c r="E7" i="33"/>
  <c r="F7" i="33"/>
  <c r="G7" i="33"/>
  <c r="H7" i="33"/>
  <c r="I7" i="33"/>
  <c r="J7" i="33"/>
  <c r="K7" i="33"/>
  <c r="L7" i="33"/>
  <c r="M7" i="33"/>
  <c r="O7" i="33"/>
  <c r="N7" i="33"/>
  <c r="P7" i="33"/>
  <c r="Q7" i="33"/>
  <c r="R7" i="33"/>
  <c r="S7" i="33"/>
  <c r="T7" i="33"/>
  <c r="V7" i="33"/>
  <c r="U7" i="33"/>
  <c r="W7" i="33"/>
  <c r="X7" i="33"/>
  <c r="Y7" i="33"/>
  <c r="Z7" i="33"/>
  <c r="AA7" i="33"/>
  <c r="AC7" i="33"/>
  <c r="AB7" i="33"/>
  <c r="AD7" i="33"/>
  <c r="AE7" i="33"/>
  <c r="AF7" i="33"/>
  <c r="AG7" i="33"/>
  <c r="AH7" i="33"/>
  <c r="AI7" i="33"/>
  <c r="AK7" i="33"/>
  <c r="AJ7" i="33"/>
  <c r="B8" i="33"/>
  <c r="C8" i="33"/>
  <c r="D8" i="33"/>
  <c r="E8" i="33"/>
  <c r="F8" i="33"/>
  <c r="G8" i="33"/>
  <c r="H8" i="33"/>
  <c r="I8" i="33"/>
  <c r="J8" i="33"/>
  <c r="K8" i="33"/>
  <c r="L8" i="33"/>
  <c r="M8" i="33"/>
  <c r="O8" i="33"/>
  <c r="N8" i="33"/>
  <c r="P8" i="33"/>
  <c r="Q8" i="33"/>
  <c r="R8" i="33"/>
  <c r="S8" i="33"/>
  <c r="T8" i="33"/>
  <c r="V8" i="33"/>
  <c r="U8" i="33"/>
  <c r="W8" i="33"/>
  <c r="X8" i="33"/>
  <c r="Y8" i="33"/>
  <c r="Z8" i="33"/>
  <c r="AA8" i="33"/>
  <c r="AC8" i="33"/>
  <c r="AB8" i="33"/>
  <c r="AD8" i="33"/>
  <c r="AE8" i="33"/>
  <c r="AF8" i="33"/>
  <c r="AG8" i="33"/>
  <c r="AH8" i="33"/>
  <c r="AI8" i="33"/>
  <c r="AK8" i="33"/>
  <c r="AJ8" i="33"/>
  <c r="B9" i="33"/>
  <c r="C9" i="33"/>
  <c r="D9" i="33"/>
  <c r="E9" i="33"/>
  <c r="F9" i="33"/>
  <c r="G9" i="33"/>
  <c r="H9" i="33"/>
  <c r="I9" i="33"/>
  <c r="J9" i="33"/>
  <c r="K9" i="33"/>
  <c r="L9" i="33"/>
  <c r="M9" i="33"/>
  <c r="O9" i="33"/>
  <c r="N9" i="33"/>
  <c r="P9" i="33"/>
  <c r="Q9" i="33"/>
  <c r="R9" i="33"/>
  <c r="S9" i="33"/>
  <c r="T9" i="33"/>
  <c r="V9" i="33"/>
  <c r="U9" i="33"/>
  <c r="W9" i="33"/>
  <c r="X9" i="33"/>
  <c r="Y9" i="33"/>
  <c r="Z9" i="33"/>
  <c r="AA9" i="33"/>
  <c r="AC9" i="33"/>
  <c r="AB9" i="33"/>
  <c r="AD9" i="33"/>
  <c r="AE9" i="33"/>
  <c r="AF9" i="33"/>
  <c r="AG9" i="33"/>
  <c r="AH9" i="33"/>
  <c r="AI9" i="33"/>
  <c r="AK9" i="33"/>
  <c r="AJ9" i="33"/>
  <c r="B10" i="33"/>
  <c r="C10" i="33"/>
  <c r="D10" i="33"/>
  <c r="E10" i="33"/>
  <c r="F10" i="33"/>
  <c r="G10" i="33"/>
  <c r="H10" i="33"/>
  <c r="I10" i="33"/>
  <c r="J10" i="33"/>
  <c r="K10" i="33"/>
  <c r="L10" i="33"/>
  <c r="M10" i="33"/>
  <c r="O10" i="33"/>
  <c r="N10" i="33"/>
  <c r="P10" i="33"/>
  <c r="Q10" i="33"/>
  <c r="R10" i="33"/>
  <c r="S10" i="33"/>
  <c r="T10" i="33"/>
  <c r="U10" i="33"/>
  <c r="W10" i="33"/>
  <c r="X10" i="33"/>
  <c r="Y10" i="33"/>
  <c r="Z10" i="33"/>
  <c r="AA10" i="33"/>
  <c r="AC10" i="33"/>
  <c r="AB10" i="33"/>
  <c r="AD10" i="33"/>
  <c r="AE10" i="33"/>
  <c r="AF10" i="33"/>
  <c r="AG10" i="33"/>
  <c r="AH10" i="33"/>
  <c r="AI10" i="33"/>
  <c r="AK10" i="33"/>
  <c r="AJ10" i="33"/>
  <c r="B11" i="33"/>
  <c r="C11" i="33"/>
  <c r="D11" i="33"/>
  <c r="E11" i="33"/>
  <c r="F11" i="33"/>
  <c r="G11" i="33"/>
  <c r="H11" i="33"/>
  <c r="I11" i="33"/>
  <c r="J11" i="33"/>
  <c r="K11" i="33"/>
  <c r="L11" i="33"/>
  <c r="M11" i="33"/>
  <c r="O11" i="33"/>
  <c r="N11" i="33"/>
  <c r="P11" i="33"/>
  <c r="Q11" i="33"/>
  <c r="R11" i="33"/>
  <c r="S11" i="33"/>
  <c r="T11" i="33"/>
  <c r="U11" i="33"/>
  <c r="W11" i="33"/>
  <c r="X11" i="33"/>
  <c r="Y11" i="33"/>
  <c r="Z11" i="33"/>
  <c r="AA11" i="33"/>
  <c r="AC11" i="33"/>
  <c r="AB11" i="33"/>
  <c r="AD11" i="33"/>
  <c r="AE11" i="33"/>
  <c r="AF11" i="33"/>
  <c r="AG11" i="33"/>
  <c r="AH11" i="33"/>
  <c r="AI11" i="33"/>
  <c r="AK11" i="33"/>
  <c r="AJ11" i="33"/>
  <c r="B12" i="33"/>
  <c r="C12" i="33"/>
  <c r="D12" i="33"/>
  <c r="E12" i="33"/>
  <c r="F12" i="33"/>
  <c r="G12" i="33"/>
  <c r="H12" i="33"/>
  <c r="I12" i="33"/>
  <c r="J12" i="33"/>
  <c r="K12" i="33"/>
  <c r="L12" i="33"/>
  <c r="M12" i="33"/>
  <c r="O12" i="33"/>
  <c r="N12" i="33"/>
  <c r="P12" i="33"/>
  <c r="Q12" i="33"/>
  <c r="R12" i="33"/>
  <c r="S12" i="33"/>
  <c r="T12" i="33"/>
  <c r="U12" i="33"/>
  <c r="W12" i="33"/>
  <c r="X12" i="33"/>
  <c r="Y12" i="33"/>
  <c r="Z12" i="33"/>
  <c r="AA12" i="33"/>
  <c r="AC12" i="33"/>
  <c r="AB12" i="33"/>
  <c r="AD12" i="33"/>
  <c r="AE12" i="33"/>
  <c r="AF12" i="33"/>
  <c r="AG12" i="33"/>
  <c r="AH12" i="33"/>
  <c r="AI12" i="33"/>
  <c r="AK12" i="33"/>
  <c r="AJ12" i="33"/>
  <c r="B13" i="33"/>
  <c r="C13" i="33"/>
  <c r="D13" i="33"/>
  <c r="E13" i="33"/>
  <c r="F13" i="33"/>
  <c r="G13" i="33"/>
  <c r="H13" i="33"/>
  <c r="I13" i="33"/>
  <c r="J13" i="33"/>
  <c r="K13" i="33"/>
  <c r="L13" i="33"/>
  <c r="P13" i="33"/>
  <c r="Q13" i="33"/>
  <c r="R13" i="33"/>
  <c r="S13" i="33"/>
  <c r="W13" i="33"/>
  <c r="X13" i="33"/>
  <c r="Y13" i="33"/>
  <c r="Z13" i="33"/>
  <c r="AD13" i="33"/>
  <c r="AE13" i="33"/>
  <c r="AF13" i="33"/>
  <c r="AG13" i="33"/>
  <c r="AH13" i="33"/>
  <c r="B14" i="33"/>
  <c r="C14" i="33"/>
  <c r="D14" i="33"/>
  <c r="E14" i="33"/>
  <c r="F14" i="33"/>
  <c r="G14" i="33"/>
  <c r="H14" i="33"/>
  <c r="I14" i="33"/>
  <c r="J14" i="33"/>
  <c r="K14" i="33"/>
  <c r="L14" i="33"/>
  <c r="M14" i="33"/>
  <c r="O14" i="33"/>
  <c r="N14" i="33"/>
  <c r="P14" i="33"/>
  <c r="Q14" i="33"/>
  <c r="R14" i="33"/>
  <c r="S14" i="33"/>
  <c r="T14" i="33"/>
  <c r="U14" i="33"/>
  <c r="W14" i="33"/>
  <c r="X14" i="33"/>
  <c r="Y14" i="33"/>
  <c r="Z14" i="33"/>
  <c r="AA14" i="33"/>
  <c r="AC14" i="33"/>
  <c r="AB14" i="33"/>
  <c r="AD14" i="33"/>
  <c r="AE14" i="33"/>
  <c r="AF14" i="33"/>
  <c r="AG14" i="33"/>
  <c r="AH14" i="33"/>
  <c r="AI14" i="33"/>
  <c r="AK14" i="33"/>
  <c r="AJ14" i="33"/>
  <c r="B15" i="33"/>
  <c r="C15" i="33"/>
  <c r="D15" i="33"/>
  <c r="E15" i="33"/>
  <c r="F15" i="33"/>
  <c r="G15" i="33"/>
  <c r="H15" i="33"/>
  <c r="I15" i="33"/>
  <c r="J15" i="33"/>
  <c r="K15" i="33"/>
  <c r="L15" i="33"/>
  <c r="M15" i="33"/>
  <c r="O15" i="33"/>
  <c r="N15" i="33"/>
  <c r="P15" i="33"/>
  <c r="Q15" i="33"/>
  <c r="R15" i="33"/>
  <c r="S15" i="33"/>
  <c r="T15" i="33"/>
  <c r="U15" i="33"/>
  <c r="W15" i="33"/>
  <c r="X15" i="33"/>
  <c r="Y15" i="33"/>
  <c r="Z15" i="33"/>
  <c r="AA15" i="33"/>
  <c r="AC15" i="33"/>
  <c r="AB15" i="33"/>
  <c r="AD15" i="33"/>
  <c r="AE15" i="33"/>
  <c r="AF15" i="33"/>
  <c r="AG15" i="33"/>
  <c r="AH15" i="33"/>
  <c r="AI15" i="33"/>
  <c r="AK15" i="33"/>
  <c r="AJ15" i="33"/>
  <c r="B16" i="33"/>
  <c r="C16" i="33"/>
  <c r="D16" i="33"/>
  <c r="E16" i="33"/>
  <c r="F16" i="33"/>
  <c r="G16" i="33"/>
  <c r="H16" i="33"/>
  <c r="I16" i="33"/>
  <c r="J16" i="33"/>
  <c r="K16" i="33"/>
  <c r="L16" i="33"/>
  <c r="M16" i="33"/>
  <c r="O16" i="33"/>
  <c r="N16" i="33"/>
  <c r="P16" i="33"/>
  <c r="Q16" i="33"/>
  <c r="R16" i="33"/>
  <c r="S16" i="33"/>
  <c r="T16" i="33"/>
  <c r="U16" i="33"/>
  <c r="W16" i="33"/>
  <c r="X16" i="33"/>
  <c r="Y16" i="33"/>
  <c r="Z16" i="33"/>
  <c r="AA16" i="33"/>
  <c r="AC16" i="33"/>
  <c r="AB16" i="33"/>
  <c r="AD16" i="33"/>
  <c r="AE16" i="33"/>
  <c r="AF16" i="33"/>
  <c r="AG16" i="33"/>
  <c r="AH16" i="33"/>
  <c r="AI16" i="33"/>
  <c r="AK16" i="33"/>
  <c r="AJ16" i="33"/>
  <c r="B17" i="33"/>
  <c r="C17" i="33"/>
  <c r="D17" i="33"/>
  <c r="E17" i="33"/>
  <c r="F17" i="33"/>
  <c r="G17" i="33"/>
  <c r="H17" i="33"/>
  <c r="I17" i="33"/>
  <c r="J17" i="33"/>
  <c r="K17" i="33"/>
  <c r="L17" i="33"/>
  <c r="M17" i="33"/>
  <c r="O17" i="33"/>
  <c r="N17" i="33"/>
  <c r="P17" i="33"/>
  <c r="Q17" i="33"/>
  <c r="R17" i="33"/>
  <c r="S17" i="33"/>
  <c r="T17" i="33"/>
  <c r="U17" i="33"/>
  <c r="W17" i="33"/>
  <c r="X17" i="33"/>
  <c r="Y17" i="33"/>
  <c r="Z17" i="33"/>
  <c r="AA17" i="33"/>
  <c r="AC17" i="33"/>
  <c r="AB17" i="33"/>
  <c r="AD17" i="33"/>
  <c r="AE17" i="33"/>
  <c r="AF17" i="33"/>
  <c r="AG17" i="33"/>
  <c r="AH17" i="33"/>
  <c r="AI17" i="33"/>
  <c r="AK17" i="33"/>
  <c r="AJ17" i="33"/>
  <c r="B18" i="33"/>
  <c r="C18" i="33"/>
  <c r="D18" i="33"/>
  <c r="E18" i="33"/>
  <c r="F18" i="33"/>
  <c r="G18" i="33"/>
  <c r="H18" i="33"/>
  <c r="I18" i="33"/>
  <c r="J18" i="33"/>
  <c r="K18" i="33"/>
  <c r="L18" i="33"/>
  <c r="M18" i="33"/>
  <c r="O18" i="33"/>
  <c r="N18" i="33"/>
  <c r="P18" i="33"/>
  <c r="Q18" i="33"/>
  <c r="R18" i="33"/>
  <c r="S18" i="33"/>
  <c r="T18" i="33"/>
  <c r="U18" i="33"/>
  <c r="W18" i="33"/>
  <c r="X18" i="33"/>
  <c r="Y18" i="33"/>
  <c r="Z18" i="33"/>
  <c r="AA18" i="33"/>
  <c r="AC18" i="33"/>
  <c r="AB18" i="33"/>
  <c r="AD18" i="33"/>
  <c r="AE18" i="33"/>
  <c r="AF18" i="33"/>
  <c r="AG18" i="33"/>
  <c r="AH18" i="33"/>
  <c r="AI18" i="33"/>
  <c r="AK18" i="33"/>
  <c r="AJ18" i="33"/>
  <c r="B19" i="33"/>
  <c r="C19" i="33"/>
  <c r="D19" i="33"/>
  <c r="E19" i="33"/>
  <c r="F19" i="33"/>
  <c r="G19" i="33"/>
  <c r="H19" i="33"/>
  <c r="I19" i="33"/>
  <c r="J19" i="33"/>
  <c r="K19" i="33"/>
  <c r="L19" i="33"/>
  <c r="M19" i="33"/>
  <c r="O19" i="33"/>
  <c r="N19" i="33"/>
  <c r="P19" i="33"/>
  <c r="Q19" i="33"/>
  <c r="R19" i="33"/>
  <c r="S19" i="33"/>
  <c r="T19" i="33"/>
  <c r="U19" i="33"/>
  <c r="W19" i="33"/>
  <c r="X19" i="33"/>
  <c r="Y19" i="33"/>
  <c r="Z19" i="33"/>
  <c r="AA19" i="33"/>
  <c r="AC19" i="33"/>
  <c r="AB19" i="33"/>
  <c r="AD19" i="33"/>
  <c r="AE19" i="33"/>
  <c r="AF19" i="33"/>
  <c r="AG19" i="33"/>
  <c r="AH19" i="33"/>
  <c r="AI19" i="33"/>
  <c r="AK19" i="33"/>
  <c r="AJ19" i="33"/>
  <c r="B20" i="33"/>
  <c r="C20" i="33"/>
  <c r="D20" i="33"/>
  <c r="E20" i="33"/>
  <c r="F20" i="33"/>
  <c r="G20" i="33"/>
  <c r="H20" i="33"/>
  <c r="I20" i="33"/>
  <c r="J20" i="33"/>
  <c r="K20" i="33"/>
  <c r="L20" i="33"/>
  <c r="M20" i="33"/>
  <c r="O20" i="33"/>
  <c r="N20" i="33"/>
  <c r="P20" i="33"/>
  <c r="Q20" i="33"/>
  <c r="R20" i="33"/>
  <c r="S20" i="33"/>
  <c r="T20" i="33"/>
  <c r="U20" i="33"/>
  <c r="W20" i="33"/>
  <c r="X20" i="33"/>
  <c r="Y20" i="33"/>
  <c r="Z20" i="33"/>
  <c r="AA20" i="33"/>
  <c r="AC20" i="33"/>
  <c r="AB20" i="33"/>
  <c r="AD20" i="33"/>
  <c r="AE20" i="33"/>
  <c r="AF20" i="33"/>
  <c r="AG20" i="33"/>
  <c r="AH20" i="33"/>
  <c r="AI20" i="33"/>
  <c r="AK20" i="33"/>
  <c r="AJ20" i="33"/>
  <c r="B21" i="33"/>
  <c r="C21" i="33"/>
  <c r="D21" i="33"/>
  <c r="E21" i="33"/>
  <c r="F21" i="33"/>
  <c r="G21" i="33"/>
  <c r="H21" i="33"/>
  <c r="I21" i="33"/>
  <c r="J21" i="33"/>
  <c r="K21" i="33"/>
  <c r="L21" i="33"/>
  <c r="M21" i="33"/>
  <c r="O21" i="33"/>
  <c r="N21" i="33"/>
  <c r="P21" i="33"/>
  <c r="Q21" i="33"/>
  <c r="R21" i="33"/>
  <c r="S21" i="33"/>
  <c r="T21" i="33"/>
  <c r="U21" i="33"/>
  <c r="W21" i="33"/>
  <c r="X21" i="33"/>
  <c r="Y21" i="33"/>
  <c r="Z21" i="33"/>
  <c r="AA21" i="33"/>
  <c r="AC21" i="33"/>
  <c r="AB21" i="33"/>
  <c r="AD21" i="33"/>
  <c r="AE21" i="33"/>
  <c r="AF21" i="33"/>
  <c r="AG21" i="33"/>
  <c r="AH21" i="33"/>
  <c r="AI21" i="33"/>
  <c r="AK21" i="33"/>
  <c r="AJ21" i="33"/>
  <c r="B22" i="33"/>
  <c r="C22" i="33"/>
  <c r="D22" i="33"/>
  <c r="E22" i="33"/>
  <c r="F22" i="33"/>
  <c r="G22" i="33"/>
  <c r="H22" i="33"/>
  <c r="I22" i="33"/>
  <c r="J22" i="33"/>
  <c r="K22" i="33"/>
  <c r="L22" i="33"/>
  <c r="M22" i="33"/>
  <c r="O22" i="33"/>
  <c r="N22" i="33"/>
  <c r="P22" i="33"/>
  <c r="Q22" i="33"/>
  <c r="R22" i="33"/>
  <c r="S22" i="33"/>
  <c r="T22" i="33"/>
  <c r="U22" i="33"/>
  <c r="W22" i="33"/>
  <c r="X22" i="33"/>
  <c r="Y22" i="33"/>
  <c r="Z22" i="33"/>
  <c r="AA22" i="33"/>
  <c r="AC22" i="33"/>
  <c r="AB22" i="33"/>
  <c r="AD22" i="33"/>
  <c r="AE22" i="33"/>
  <c r="AF22" i="33"/>
  <c r="AG22" i="33"/>
  <c r="AH22" i="33"/>
  <c r="AI22" i="33"/>
  <c r="AK22" i="33"/>
  <c r="AJ22" i="33"/>
  <c r="B23" i="33"/>
  <c r="C23" i="33"/>
  <c r="D23" i="33"/>
  <c r="E23" i="33"/>
  <c r="F23" i="33"/>
  <c r="G23" i="33"/>
  <c r="H23" i="33"/>
  <c r="I23" i="33"/>
  <c r="J23" i="33"/>
  <c r="K23" i="33"/>
  <c r="L23" i="33"/>
  <c r="M23" i="33"/>
  <c r="O23" i="33"/>
  <c r="N23" i="33"/>
  <c r="P23" i="33"/>
  <c r="Q23" i="33"/>
  <c r="R23" i="33"/>
  <c r="S23" i="33"/>
  <c r="T23" i="33"/>
  <c r="U23" i="33"/>
  <c r="W23" i="33"/>
  <c r="X23" i="33"/>
  <c r="Y23" i="33"/>
  <c r="Z23" i="33"/>
  <c r="AA23" i="33"/>
  <c r="AC23" i="33"/>
  <c r="AB23" i="33"/>
  <c r="AD23" i="33"/>
  <c r="AE23" i="33"/>
  <c r="AF23" i="33"/>
  <c r="AG23" i="33"/>
  <c r="AH23" i="33"/>
  <c r="AI23" i="33"/>
  <c r="AK23" i="33"/>
  <c r="AJ23" i="33"/>
  <c r="B24" i="33"/>
  <c r="C24" i="33"/>
  <c r="D24" i="33"/>
  <c r="E24" i="33"/>
  <c r="F24" i="33"/>
  <c r="G24" i="33"/>
  <c r="H24" i="33"/>
  <c r="I24" i="33"/>
  <c r="J24" i="33"/>
  <c r="K24" i="33"/>
  <c r="L24" i="33"/>
  <c r="M24" i="33"/>
  <c r="O24" i="33"/>
  <c r="N24" i="33"/>
  <c r="P24" i="33"/>
  <c r="Q24" i="33"/>
  <c r="R24" i="33"/>
  <c r="S24" i="33"/>
  <c r="T24" i="33"/>
  <c r="U24" i="33"/>
  <c r="W24" i="33"/>
  <c r="X24" i="33"/>
  <c r="Y24" i="33"/>
  <c r="Z24" i="33"/>
  <c r="AA24" i="33"/>
  <c r="AC24" i="33"/>
  <c r="AB24" i="33"/>
  <c r="AD24" i="33"/>
  <c r="AE24" i="33"/>
  <c r="AF24" i="33"/>
  <c r="AG24" i="33"/>
  <c r="AH24" i="33"/>
  <c r="AI24" i="33"/>
  <c r="AK24" i="33"/>
  <c r="AJ24" i="33"/>
  <c r="B25" i="33"/>
  <c r="C25" i="33"/>
  <c r="D25" i="33"/>
  <c r="E25" i="33"/>
  <c r="F25" i="33"/>
  <c r="G25" i="33"/>
  <c r="H25" i="33"/>
  <c r="I25" i="33"/>
  <c r="J25" i="33"/>
  <c r="K25" i="33"/>
  <c r="L25" i="33"/>
  <c r="M25" i="33"/>
  <c r="O25" i="33"/>
  <c r="N25" i="33"/>
  <c r="P25" i="33"/>
  <c r="Q25" i="33"/>
  <c r="R25" i="33"/>
  <c r="S25" i="33"/>
  <c r="T25" i="33"/>
  <c r="U25" i="33"/>
  <c r="W25" i="33"/>
  <c r="X25" i="33"/>
  <c r="Y25" i="33"/>
  <c r="Z25" i="33"/>
  <c r="AA25" i="33"/>
  <c r="AC25" i="33"/>
  <c r="AB25" i="33"/>
  <c r="AD25" i="33"/>
  <c r="AE25" i="33"/>
  <c r="AF25" i="33"/>
  <c r="AG25" i="33"/>
  <c r="AH25" i="33"/>
  <c r="AI25" i="33"/>
  <c r="AK25" i="33"/>
  <c r="AJ25" i="33"/>
  <c r="B26" i="33"/>
  <c r="C26" i="33"/>
  <c r="D26" i="33"/>
  <c r="E26" i="33"/>
  <c r="F26" i="33"/>
  <c r="G26" i="33"/>
  <c r="H26" i="33"/>
  <c r="I26" i="33"/>
  <c r="J26" i="33"/>
  <c r="K26" i="33"/>
  <c r="L26" i="33"/>
  <c r="M26" i="33"/>
  <c r="N26" i="33"/>
  <c r="P26" i="33"/>
  <c r="Q26" i="33"/>
  <c r="R26" i="33"/>
  <c r="S26" i="33"/>
  <c r="T26" i="33"/>
  <c r="U26" i="33"/>
  <c r="W26" i="33"/>
  <c r="X26" i="33"/>
  <c r="Y26" i="33"/>
  <c r="Z26" i="33"/>
  <c r="AA26" i="33"/>
  <c r="AB26" i="33"/>
  <c r="AD26" i="33"/>
  <c r="AE26" i="33"/>
  <c r="AF26" i="33"/>
  <c r="AG26" i="33"/>
  <c r="AH26" i="33"/>
  <c r="AI26" i="33"/>
  <c r="AJ26" i="33"/>
  <c r="B27" i="33"/>
  <c r="C27" i="33"/>
  <c r="D27" i="33"/>
  <c r="E27" i="33"/>
  <c r="F27" i="33"/>
  <c r="G27" i="33"/>
  <c r="H27" i="33"/>
  <c r="O27" i="33"/>
  <c r="AC27" i="33"/>
  <c r="AK27" i="33"/>
  <c r="B28" i="33"/>
  <c r="C28" i="33"/>
  <c r="D28" i="33"/>
  <c r="E28" i="33"/>
  <c r="F28" i="33"/>
  <c r="G28" i="33"/>
  <c r="H28" i="33"/>
  <c r="O28" i="33"/>
  <c r="AC28" i="33"/>
  <c r="AK28" i="33"/>
  <c r="B29" i="33"/>
  <c r="C29" i="33"/>
  <c r="D29" i="33"/>
  <c r="E29" i="33"/>
  <c r="F29" i="33"/>
  <c r="G29" i="33"/>
  <c r="H29" i="33"/>
  <c r="O29" i="33"/>
  <c r="AC29" i="33"/>
  <c r="AK29" i="33"/>
  <c r="B30" i="33"/>
  <c r="C30" i="33"/>
  <c r="D30" i="33"/>
  <c r="E30" i="33"/>
  <c r="F30" i="33"/>
  <c r="G30" i="33"/>
  <c r="H30" i="33"/>
  <c r="I30" i="33"/>
  <c r="J30" i="33"/>
  <c r="K30" i="33"/>
  <c r="L30" i="33"/>
  <c r="M30" i="33"/>
  <c r="O30" i="33"/>
  <c r="N30" i="33"/>
  <c r="P30" i="33"/>
  <c r="Q30" i="33"/>
  <c r="R30" i="33"/>
  <c r="S30" i="33"/>
  <c r="T30" i="33"/>
  <c r="V30" i="33"/>
  <c r="U30" i="33"/>
  <c r="W30" i="33"/>
  <c r="X30" i="33"/>
  <c r="Y30" i="33"/>
  <c r="Z30" i="33"/>
  <c r="AA30" i="33"/>
  <c r="AC30" i="33"/>
  <c r="AB30" i="33"/>
  <c r="AD30" i="33"/>
  <c r="AE30" i="33"/>
  <c r="AF30" i="33"/>
  <c r="AG30" i="33"/>
  <c r="AH30" i="33"/>
  <c r="AI30" i="33"/>
  <c r="AK30" i="33"/>
  <c r="AJ30" i="33"/>
  <c r="B31" i="33"/>
  <c r="C31" i="33"/>
  <c r="D31" i="33"/>
  <c r="E31" i="33"/>
  <c r="F31" i="33"/>
  <c r="G31" i="33"/>
  <c r="H31" i="33"/>
  <c r="O31" i="33"/>
  <c r="V31" i="33"/>
  <c r="AC31" i="33"/>
  <c r="AJ31" i="33"/>
  <c r="AK31" i="33"/>
  <c r="A2"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1" i="33"/>
  <c r="AO12" i="24" l="1"/>
  <c r="AO13" i="24"/>
  <c r="AO14" i="24"/>
  <c r="AO15" i="24"/>
  <c r="AO16" i="24"/>
  <c r="AO17" i="24"/>
  <c r="AO18" i="24"/>
  <c r="AO19" i="24"/>
  <c r="AO22" i="24"/>
  <c r="AO23" i="24"/>
  <c r="AO24" i="24"/>
  <c r="AO25" i="24"/>
  <c r="AO26" i="24"/>
  <c r="AO29" i="24"/>
  <c r="AO30" i="24"/>
  <c r="L22" i="29"/>
  <c r="L23" i="29"/>
  <c r="L24" i="29"/>
  <c r="L21" i="29"/>
  <c r="L18" i="29"/>
  <c r="L16" i="29"/>
  <c r="L15" i="29"/>
  <c r="L24" i="27"/>
  <c r="L23" i="27"/>
  <c r="L22" i="27"/>
  <c r="L21" i="27"/>
  <c r="L20" i="27"/>
  <c r="L19" i="27"/>
  <c r="L18" i="27"/>
  <c r="L17" i="27"/>
  <c r="L16" i="27"/>
  <c r="L15" i="27"/>
  <c r="L24" i="24"/>
  <c r="L23" i="24"/>
  <c r="L22" i="24"/>
  <c r="L21" i="24"/>
  <c r="L20" i="24"/>
  <c r="L19" i="24"/>
  <c r="L18" i="24"/>
  <c r="L17" i="24"/>
  <c r="L16" i="24"/>
  <c r="L15" i="24"/>
  <c r="L23" i="17"/>
  <c r="L22" i="17"/>
  <c r="L21" i="17"/>
  <c r="L20" i="17"/>
  <c r="L19" i="17"/>
  <c r="L18" i="17"/>
  <c r="L17" i="17"/>
  <c r="L16" i="17"/>
  <c r="L15" i="17"/>
  <c r="L14" i="17"/>
  <c r="V19" i="26"/>
  <c r="V18" i="26"/>
  <c r="V15" i="26"/>
  <c r="V14" i="26"/>
  <c r="V13" i="26"/>
  <c r="V12" i="26"/>
  <c r="V11" i="26"/>
  <c r="V10" i="26"/>
  <c r="U14" i="26"/>
  <c r="I29" i="24"/>
  <c r="J29" i="24"/>
  <c r="K29" i="24"/>
  <c r="L29" i="24"/>
  <c r="P29" i="24"/>
  <c r="Q29" i="24"/>
  <c r="R29" i="24"/>
  <c r="S29" i="24"/>
  <c r="T29" i="24"/>
  <c r="V29" i="24"/>
  <c r="W29" i="24"/>
  <c r="AA29" i="24"/>
  <c r="AB29" i="24"/>
  <c r="AC29" i="24"/>
  <c r="AD29" i="24"/>
  <c r="AE29" i="24"/>
  <c r="AG29" i="24"/>
  <c r="AH29" i="24"/>
  <c r="I30" i="24"/>
  <c r="J30" i="24"/>
  <c r="K30" i="24"/>
  <c r="L30" i="24"/>
  <c r="P30" i="24"/>
  <c r="Q30" i="24"/>
  <c r="R30" i="24"/>
  <c r="S30" i="24"/>
  <c r="T30" i="24"/>
  <c r="V30" i="24"/>
  <c r="W30" i="24"/>
  <c r="AA30" i="24"/>
  <c r="AB30" i="24"/>
  <c r="AC30" i="24"/>
  <c r="AD30" i="24"/>
  <c r="AE30" i="24"/>
  <c r="AG30" i="24"/>
  <c r="AH30" i="24"/>
  <c r="AK29" i="17"/>
  <c r="AJ29" i="17"/>
  <c r="AI29" i="17"/>
  <c r="AH29" i="17"/>
  <c r="AG29" i="17"/>
  <c r="AE29" i="17"/>
  <c r="AK28" i="17"/>
  <c r="AJ28" i="17"/>
  <c r="AI28" i="17"/>
  <c r="AH28" i="17"/>
  <c r="AG28" i="17"/>
  <c r="AE28" i="17"/>
  <c r="AC29" i="17"/>
  <c r="AF30" i="27" s="1"/>
  <c r="AB29" i="17"/>
  <c r="AA29" i="17"/>
  <c r="Z29" i="17"/>
  <c r="Y29" i="17"/>
  <c r="W29" i="17"/>
  <c r="AC28" i="17"/>
  <c r="AB28" i="17"/>
  <c r="AA28" i="17"/>
  <c r="Z28" i="17"/>
  <c r="Y28" i="17"/>
  <c r="W28" i="17"/>
  <c r="V29" i="17"/>
  <c r="U29" i="17"/>
  <c r="T29" i="17"/>
  <c r="S29" i="17"/>
  <c r="R29" i="17"/>
  <c r="P29" i="17"/>
  <c r="V28" i="17"/>
  <c r="U28" i="17"/>
  <c r="T28" i="17"/>
  <c r="S28" i="17"/>
  <c r="R28" i="17"/>
  <c r="P28" i="17"/>
  <c r="O29" i="17"/>
  <c r="O28" i="17"/>
  <c r="M29" i="17"/>
  <c r="M28" i="17"/>
  <c r="L29" i="17"/>
  <c r="L28" i="17"/>
  <c r="I28" i="17"/>
  <c r="I29" i="17"/>
  <c r="H9" i="4"/>
  <c r="G9" i="4"/>
  <c r="F9" i="4"/>
  <c r="E9" i="4"/>
  <c r="D9" i="4"/>
  <c r="E27" i="17"/>
  <c r="BA30" i="24"/>
  <c r="BA26" i="24"/>
  <c r="BA25" i="24"/>
  <c r="BA24" i="24"/>
  <c r="BA23" i="24"/>
  <c r="BA22" i="24"/>
  <c r="BA17" i="24"/>
  <c r="BA16" i="24"/>
  <c r="BA15" i="24"/>
  <c r="BA14" i="24"/>
  <c r="BA13" i="24"/>
  <c r="BA12" i="24"/>
  <c r="BA11" i="24"/>
  <c r="AO11" i="24"/>
  <c r="AD27" i="24"/>
  <c r="AD26" i="24"/>
  <c r="AD25" i="24"/>
  <c r="AD24" i="24"/>
  <c r="AD23" i="24"/>
  <c r="AD22" i="24"/>
  <c r="AD17" i="24"/>
  <c r="AD16" i="24"/>
  <c r="AD15" i="24"/>
  <c r="AD14" i="24"/>
  <c r="AD13" i="24"/>
  <c r="AD12" i="24"/>
  <c r="AD11" i="24"/>
  <c r="G21" i="24"/>
  <c r="S26" i="24"/>
  <c r="S25" i="24"/>
  <c r="S24" i="24"/>
  <c r="S23" i="24"/>
  <c r="S22" i="24"/>
  <c r="S19" i="24"/>
  <c r="S17" i="24"/>
  <c r="S16" i="24"/>
  <c r="S15" i="24"/>
  <c r="S14" i="24"/>
  <c r="S13" i="24"/>
  <c r="S12" i="24"/>
  <c r="S11" i="24"/>
  <c r="G21" i="27"/>
  <c r="AO30" i="27"/>
  <c r="AO29" i="27"/>
  <c r="AO26" i="27"/>
  <c r="AO25" i="27"/>
  <c r="AO24" i="27"/>
  <c r="AO23" i="27"/>
  <c r="AO22" i="27"/>
  <c r="AO17" i="27"/>
  <c r="AO16" i="27"/>
  <c r="AO15" i="27"/>
  <c r="AO14" i="27"/>
  <c r="AO13" i="27"/>
  <c r="AO12" i="27"/>
  <c r="AO11" i="27"/>
  <c r="AF29" i="27"/>
  <c r="AF26" i="27"/>
  <c r="AF25" i="27"/>
  <c r="AF24" i="27"/>
  <c r="AF23" i="27"/>
  <c r="AF22" i="27"/>
  <c r="AF19" i="27"/>
  <c r="AF17" i="27"/>
  <c r="AF16" i="27"/>
  <c r="AF15" i="27"/>
  <c r="AF14" i="27"/>
  <c r="AF13" i="27"/>
  <c r="AF12" i="27"/>
  <c r="AF11" i="27"/>
  <c r="X29" i="27"/>
  <c r="X27" i="27"/>
  <c r="X26" i="27"/>
  <c r="X25" i="27"/>
  <c r="X24" i="27"/>
  <c r="X23" i="27"/>
  <c r="X22" i="27"/>
  <c r="X17" i="27"/>
  <c r="X16" i="27"/>
  <c r="X15" i="27"/>
  <c r="X14" i="27"/>
  <c r="X13" i="27"/>
  <c r="X12" i="27"/>
  <c r="X11" i="27"/>
  <c r="P30" i="27"/>
  <c r="P29" i="27"/>
  <c r="P26" i="27"/>
  <c r="P25" i="27"/>
  <c r="P24" i="27"/>
  <c r="P23" i="27"/>
  <c r="P22" i="27"/>
  <c r="P19" i="27"/>
  <c r="P17" i="27"/>
  <c r="P16" i="27"/>
  <c r="P15" i="27"/>
  <c r="P14" i="27"/>
  <c r="P13" i="27"/>
  <c r="P12" i="27"/>
  <c r="P11" i="27"/>
  <c r="L28" i="24" l="1"/>
  <c r="L27" i="17"/>
  <c r="BA29" i="24"/>
  <c r="X30" i="27"/>
  <c r="G20" i="17" l="1"/>
  <c r="I20" i="17" s="1"/>
  <c r="G18" i="17"/>
  <c r="L28" i="27"/>
  <c r="B49" i="27"/>
  <c r="B50" i="27" s="1"/>
  <c r="B51" i="27" s="1"/>
  <c r="B52" i="27" s="1"/>
  <c r="B53" i="27" s="1"/>
  <c r="B54" i="27" s="1"/>
  <c r="B55" i="27" s="1"/>
  <c r="B56" i="27" s="1"/>
  <c r="B57" i="27" s="1"/>
  <c r="B58" i="27" s="1"/>
  <c r="B59" i="27" s="1"/>
  <c r="B60" i="27" s="1"/>
  <c r="B61" i="27" s="1"/>
  <c r="B62" i="27" s="1"/>
  <c r="B63" i="27" s="1"/>
  <c r="B64" i="27" s="1"/>
  <c r="B65" i="27" s="1"/>
  <c r="L30" i="27"/>
  <c r="J30" i="27"/>
  <c r="L29" i="27"/>
  <c r="J29" i="27"/>
  <c r="E28" i="27"/>
  <c r="AK26" i="27"/>
  <c r="AI26" i="27"/>
  <c r="Z26" i="27"/>
  <c r="R26" i="27"/>
  <c r="AK25" i="27"/>
  <c r="AK30" i="27" s="1"/>
  <c r="AI25" i="27"/>
  <c r="AI30" i="27" s="1"/>
  <c r="Z25" i="27"/>
  <c r="R25" i="27"/>
  <c r="AK24" i="27"/>
  <c r="AI24" i="27"/>
  <c r="Z24" i="27"/>
  <c r="R24" i="27"/>
  <c r="G24" i="27"/>
  <c r="AK23" i="27"/>
  <c r="AI23" i="27"/>
  <c r="Z23" i="27"/>
  <c r="R23" i="27"/>
  <c r="G23" i="27"/>
  <c r="AK22" i="27"/>
  <c r="AI22" i="27"/>
  <c r="Z22" i="27"/>
  <c r="R22" i="27"/>
  <c r="G22" i="27"/>
  <c r="AK21" i="27"/>
  <c r="AI21" i="27"/>
  <c r="Z21" i="27"/>
  <c r="R21" i="27"/>
  <c r="AK20" i="27"/>
  <c r="AI20" i="27"/>
  <c r="Z20" i="27"/>
  <c r="R20" i="27"/>
  <c r="G20" i="27"/>
  <c r="AK19" i="27"/>
  <c r="AI19" i="27"/>
  <c r="Z19" i="27"/>
  <c r="R19" i="27"/>
  <c r="G19" i="27"/>
  <c r="AK18" i="27"/>
  <c r="AI18" i="27"/>
  <c r="Z18" i="27"/>
  <c r="R18" i="27"/>
  <c r="G18" i="27"/>
  <c r="AK17" i="27"/>
  <c r="AI17" i="27"/>
  <c r="Z17" i="27"/>
  <c r="R17" i="27"/>
  <c r="G17" i="27"/>
  <c r="AK16" i="27"/>
  <c r="AI16" i="27"/>
  <c r="Z16" i="27"/>
  <c r="R16" i="27"/>
  <c r="G16" i="27"/>
  <c r="AK15" i="27"/>
  <c r="AI15" i="27"/>
  <c r="Z15" i="27"/>
  <c r="R15" i="27"/>
  <c r="AK14" i="27"/>
  <c r="AI14" i="27"/>
  <c r="AE14" i="27"/>
  <c r="AA14" i="27"/>
  <c r="AC14" i="27" s="1"/>
  <c r="Z14" i="27"/>
  <c r="Y14" i="27"/>
  <c r="AB14" i="27" s="1"/>
  <c r="T14" i="27"/>
  <c r="R14" i="27"/>
  <c r="Q14" i="27"/>
  <c r="AH14" i="27" s="1"/>
  <c r="AJ14" i="27" s="1"/>
  <c r="AL14" i="27" s="1"/>
  <c r="M14" i="27"/>
  <c r="K14" i="27"/>
  <c r="AK13" i="27"/>
  <c r="AI13" i="27"/>
  <c r="Z13" i="27"/>
  <c r="R13" i="27"/>
  <c r="AK12" i="27"/>
  <c r="AK29" i="27" s="1"/>
  <c r="AI12" i="27"/>
  <c r="AI29" i="27" s="1"/>
  <c r="Z12" i="27"/>
  <c r="R12" i="27"/>
  <c r="AK11" i="27"/>
  <c r="AI11" i="27"/>
  <c r="Z11" i="27"/>
  <c r="R11" i="27"/>
  <c r="D3" i="27"/>
  <c r="I11" i="27" s="1"/>
  <c r="E28" i="24"/>
  <c r="AR26" i="24"/>
  <c r="AF26" i="24"/>
  <c r="AG26" i="24" s="1"/>
  <c r="AE26" i="24"/>
  <c r="AQ26" i="24" s="1"/>
  <c r="T26" i="24"/>
  <c r="N26" i="24"/>
  <c r="P26" i="24" s="1"/>
  <c r="K26" i="24"/>
  <c r="AR25" i="24"/>
  <c r="AF25" i="24"/>
  <c r="AE25" i="24"/>
  <c r="AJ25" i="24" s="1"/>
  <c r="W25" i="24"/>
  <c r="AT25" i="24" s="1"/>
  <c r="T25" i="24"/>
  <c r="Y25" i="24" s="1"/>
  <c r="AA25" i="24" s="1"/>
  <c r="N25" i="24"/>
  <c r="P25" i="24" s="1"/>
  <c r="K25" i="24"/>
  <c r="AR24" i="24"/>
  <c r="AF24" i="24"/>
  <c r="I24" i="24"/>
  <c r="G24" i="24"/>
  <c r="AR23" i="24"/>
  <c r="AF23" i="24"/>
  <c r="G23" i="24"/>
  <c r="I23" i="24" s="1"/>
  <c r="AE23" i="24" s="1"/>
  <c r="AR22" i="24"/>
  <c r="AF22" i="24"/>
  <c r="T22" i="24"/>
  <c r="N22" i="24"/>
  <c r="G22" i="24"/>
  <c r="I22" i="24" s="1"/>
  <c r="AR21" i="24"/>
  <c r="AF21" i="24"/>
  <c r="I21" i="24"/>
  <c r="AE21" i="24" s="1"/>
  <c r="AJ21" i="24" s="1"/>
  <c r="AI21" i="24" s="1"/>
  <c r="AK21" i="24" s="1"/>
  <c r="AR20" i="24"/>
  <c r="AF20" i="24"/>
  <c r="G20" i="24"/>
  <c r="I20" i="24" s="1"/>
  <c r="T20" i="24" s="1"/>
  <c r="V20" i="24" s="1"/>
  <c r="AR19" i="24"/>
  <c r="AF19" i="24"/>
  <c r="G19" i="24"/>
  <c r="I19" i="24" s="1"/>
  <c r="N19" i="24" s="1"/>
  <c r="P19" i="24" s="1"/>
  <c r="AR18" i="24"/>
  <c r="AF18" i="24"/>
  <c r="G18" i="24"/>
  <c r="I18" i="24" s="1"/>
  <c r="AR17" i="24"/>
  <c r="AF17" i="24"/>
  <c r="G17" i="24"/>
  <c r="I17" i="24" s="1"/>
  <c r="AR16" i="24"/>
  <c r="AF16" i="24"/>
  <c r="G16" i="24"/>
  <c r="I16" i="24" s="1"/>
  <c r="AR15" i="24"/>
  <c r="AF15" i="24"/>
  <c r="N15" i="24"/>
  <c r="M15" i="24" s="1"/>
  <c r="O15" i="24" s="1"/>
  <c r="I15" i="24"/>
  <c r="AR14" i="24"/>
  <c r="AQ14" i="24"/>
  <c r="AS14" i="24" s="1"/>
  <c r="AF14" i="24"/>
  <c r="AE14" i="24"/>
  <c r="AJ14" i="24" s="1"/>
  <c r="T14" i="24"/>
  <c r="W14" i="24" s="1"/>
  <c r="AT14" i="24" s="1"/>
  <c r="N14" i="24"/>
  <c r="M14" i="24" s="1"/>
  <c r="O14" i="24" s="1"/>
  <c r="K14" i="24"/>
  <c r="AR13" i="24"/>
  <c r="AF13" i="24"/>
  <c r="I13" i="24"/>
  <c r="AE13" i="24" s="1"/>
  <c r="AR12" i="24"/>
  <c r="AR29" i="24" s="1"/>
  <c r="AF12" i="24"/>
  <c r="I12" i="24"/>
  <c r="AR11" i="24"/>
  <c r="AQ11" i="24"/>
  <c r="AS11" i="24" s="1"/>
  <c r="AH11" i="24"/>
  <c r="AT11" i="24" s="1"/>
  <c r="AF11" i="24"/>
  <c r="AG11" i="24" s="1"/>
  <c r="AE11" i="24"/>
  <c r="T11" i="24"/>
  <c r="V11" i="24" s="1"/>
  <c r="N11" i="24"/>
  <c r="P11" i="24" s="1"/>
  <c r="K11" i="24"/>
  <c r="AH25" i="17"/>
  <c r="AF25" i="17"/>
  <c r="AH24" i="17"/>
  <c r="AF24" i="17"/>
  <c r="AE24" i="17"/>
  <c r="AG24" i="17" s="1"/>
  <c r="AI24" i="17" s="1"/>
  <c r="AH23" i="17"/>
  <c r="AF23" i="17"/>
  <c r="AH22" i="17"/>
  <c r="AF22" i="17"/>
  <c r="AH21" i="17"/>
  <c r="AF21" i="17"/>
  <c r="AH20" i="17"/>
  <c r="AF20" i="17"/>
  <c r="AH19" i="17"/>
  <c r="AF19" i="17"/>
  <c r="AH18" i="17"/>
  <c r="AF18" i="17"/>
  <c r="AH17" i="17"/>
  <c r="AF17" i="17"/>
  <c r="AH16" i="17"/>
  <c r="AF16" i="17"/>
  <c r="AH15" i="17"/>
  <c r="AF15" i="17"/>
  <c r="AH14" i="17"/>
  <c r="AF14" i="17"/>
  <c r="AH13" i="17"/>
  <c r="AF13" i="17"/>
  <c r="AH12" i="17"/>
  <c r="AF12" i="17"/>
  <c r="AH11" i="17"/>
  <c r="AF11" i="17"/>
  <c r="AH10" i="17"/>
  <c r="AF10" i="17"/>
  <c r="X25" i="17"/>
  <c r="W25" i="17"/>
  <c r="Y25" i="17" s="1"/>
  <c r="AA25" i="17" s="1"/>
  <c r="X24" i="17"/>
  <c r="W24" i="17"/>
  <c r="Z24" i="17" s="1"/>
  <c r="X23" i="17"/>
  <c r="X22" i="17"/>
  <c r="X21" i="17"/>
  <c r="X20" i="17"/>
  <c r="X19" i="17"/>
  <c r="X18" i="17"/>
  <c r="X17" i="17"/>
  <c r="X16" i="17"/>
  <c r="X15" i="17"/>
  <c r="X14" i="17"/>
  <c r="X13" i="17"/>
  <c r="W13" i="17"/>
  <c r="Y13" i="17" s="1"/>
  <c r="AA13" i="17" s="1"/>
  <c r="X12" i="17"/>
  <c r="X11" i="17"/>
  <c r="X10" i="17"/>
  <c r="W10" i="17"/>
  <c r="Z10" i="17" s="1"/>
  <c r="Q25" i="17"/>
  <c r="P25" i="17"/>
  <c r="S25" i="17" s="1"/>
  <c r="Q24" i="17"/>
  <c r="P24" i="17"/>
  <c r="S24" i="17" s="1"/>
  <c r="Q23" i="17"/>
  <c r="Q22" i="17"/>
  <c r="Q21" i="17"/>
  <c r="Q20" i="17"/>
  <c r="Q19" i="17"/>
  <c r="Q18" i="17"/>
  <c r="Q17" i="17"/>
  <c r="P17" i="17"/>
  <c r="Q16" i="17"/>
  <c r="Q15" i="17"/>
  <c r="Q14" i="17"/>
  <c r="Q13" i="17"/>
  <c r="P13" i="17"/>
  <c r="AE13" i="17" s="1"/>
  <c r="Q12" i="17"/>
  <c r="Q11" i="17"/>
  <c r="Q10" i="17"/>
  <c r="R10" i="17" s="1"/>
  <c r="T10" i="17" s="1"/>
  <c r="P10" i="17"/>
  <c r="S10" i="17" s="1"/>
  <c r="M25" i="17"/>
  <c r="O25" i="17" s="1"/>
  <c r="M24" i="17"/>
  <c r="O24" i="17" s="1"/>
  <c r="M13" i="17"/>
  <c r="N13" i="17" s="1"/>
  <c r="K25" i="17"/>
  <c r="K24" i="17"/>
  <c r="K14" i="17"/>
  <c r="M14" i="17" s="1"/>
  <c r="K13" i="17"/>
  <c r="K10" i="17"/>
  <c r="M10" i="17" s="1"/>
  <c r="I17" i="17"/>
  <c r="K17" i="17" s="1"/>
  <c r="I16" i="17"/>
  <c r="I14" i="17"/>
  <c r="I11" i="17"/>
  <c r="I12" i="17"/>
  <c r="G23" i="17"/>
  <c r="I23" i="17" s="1"/>
  <c r="G22" i="17"/>
  <c r="I22" i="17" s="1"/>
  <c r="G21" i="17"/>
  <c r="I21" i="17" s="1"/>
  <c r="G19" i="17"/>
  <c r="I19" i="17" s="1"/>
  <c r="I18" i="17"/>
  <c r="G17" i="17"/>
  <c r="G16" i="17"/>
  <c r="G15" i="17"/>
  <c r="I15" i="17" s="1"/>
  <c r="N18" i="24" l="1"/>
  <c r="I28" i="24"/>
  <c r="I27" i="17"/>
  <c r="AH27" i="17"/>
  <c r="AK28" i="27"/>
  <c r="M17" i="17"/>
  <c r="K21" i="24"/>
  <c r="N21" i="24"/>
  <c r="M21" i="24" s="1"/>
  <c r="O21" i="24" s="1"/>
  <c r="W17" i="17"/>
  <c r="Y17" i="17" s="1"/>
  <c r="Y11" i="27"/>
  <c r="AB11" i="27" s="1"/>
  <c r="Q11" i="27"/>
  <c r="S11" i="27" s="1"/>
  <c r="U11" i="27" s="1"/>
  <c r="K11" i="27"/>
  <c r="M11" i="27" s="1"/>
  <c r="O14" i="27"/>
  <c r="N14" i="27"/>
  <c r="AN14" i="27"/>
  <c r="AM14" i="27"/>
  <c r="I26" i="27"/>
  <c r="I24" i="27"/>
  <c r="I17" i="27"/>
  <c r="I25" i="27"/>
  <c r="I22" i="27"/>
  <c r="I19" i="27"/>
  <c r="I16" i="27"/>
  <c r="I23" i="27"/>
  <c r="I21" i="27"/>
  <c r="I20" i="27"/>
  <c r="I18" i="27"/>
  <c r="I13" i="27"/>
  <c r="I12" i="27"/>
  <c r="AD14" i="27"/>
  <c r="I15" i="27"/>
  <c r="S14" i="27"/>
  <c r="U14" i="27" s="1"/>
  <c r="M25" i="24"/>
  <c r="O25" i="24" s="1"/>
  <c r="R25" i="24" s="1"/>
  <c r="Q25" i="24" s="1"/>
  <c r="M26" i="24"/>
  <c r="O26" i="24" s="1"/>
  <c r="R26" i="24" s="1"/>
  <c r="Q26" i="24" s="1"/>
  <c r="P18" i="24"/>
  <c r="M18" i="24"/>
  <c r="O18" i="24" s="1"/>
  <c r="AE18" i="24"/>
  <c r="K18" i="24"/>
  <c r="K20" i="24"/>
  <c r="AJ26" i="24"/>
  <c r="AI26" i="24" s="1"/>
  <c r="AK26" i="24" s="1"/>
  <c r="N12" i="24"/>
  <c r="N20" i="24"/>
  <c r="M20" i="24" s="1"/>
  <c r="O20" i="24" s="1"/>
  <c r="T21" i="24"/>
  <c r="V21" i="24" s="1"/>
  <c r="AE20" i="24"/>
  <c r="AQ20" i="24" s="1"/>
  <c r="AS20" i="24" s="1"/>
  <c r="M11" i="24"/>
  <c r="O11" i="24" s="1"/>
  <c r="R11" i="24" s="1"/>
  <c r="Q11" i="24" s="1"/>
  <c r="N13" i="24"/>
  <c r="AG14" i="24"/>
  <c r="W11" i="24"/>
  <c r="AG21" i="24"/>
  <c r="V25" i="24"/>
  <c r="AQ25" i="24"/>
  <c r="AH26" i="24"/>
  <c r="AT26" i="24" s="1"/>
  <c r="AT30" i="24"/>
  <c r="AH14" i="24"/>
  <c r="AL21" i="24"/>
  <c r="AN21" i="24" s="1"/>
  <c r="W16" i="24"/>
  <c r="AE16" i="24"/>
  <c r="K16" i="24"/>
  <c r="N16" i="24"/>
  <c r="AH16" i="24"/>
  <c r="AT16" i="24" s="1"/>
  <c r="T16" i="24"/>
  <c r="AG23" i="24"/>
  <c r="AQ23" i="24"/>
  <c r="AJ23" i="24"/>
  <c r="AG13" i="24"/>
  <c r="AJ13" i="24"/>
  <c r="AQ13" i="24"/>
  <c r="AL25" i="24"/>
  <c r="AI25" i="24"/>
  <c r="AK25" i="24" s="1"/>
  <c r="AL14" i="24"/>
  <c r="AI14" i="24"/>
  <c r="AK14" i="24" s="1"/>
  <c r="AE17" i="24"/>
  <c r="AH17" i="24" s="1"/>
  <c r="AT17" i="24" s="1"/>
  <c r="W17" i="24"/>
  <c r="K17" i="24"/>
  <c r="T17" i="24"/>
  <c r="N17" i="24"/>
  <c r="AJ11" i="24"/>
  <c r="AV14" i="24"/>
  <c r="Y11" i="24"/>
  <c r="AV11" i="24"/>
  <c r="T13" i="24"/>
  <c r="AH13" i="24"/>
  <c r="AT13" i="24" s="1"/>
  <c r="P14" i="24"/>
  <c r="R14" i="24" s="1"/>
  <c r="Q14" i="24" s="1"/>
  <c r="V14" i="24"/>
  <c r="K15" i="24"/>
  <c r="P15" i="24"/>
  <c r="AE15" i="24"/>
  <c r="M19" i="24"/>
  <c r="O19" i="24" s="1"/>
  <c r="R19" i="24" s="1"/>
  <c r="Q19" i="24" s="1"/>
  <c r="T19" i="24"/>
  <c r="W19" i="24" s="1"/>
  <c r="Y20" i="24"/>
  <c r="V22" i="24"/>
  <c r="Y22" i="24"/>
  <c r="V26" i="24"/>
  <c r="Y26" i="24"/>
  <c r="Y14" i="24"/>
  <c r="AH15" i="24"/>
  <c r="T12" i="24"/>
  <c r="K12" i="24"/>
  <c r="AE12" i="24"/>
  <c r="K13" i="24"/>
  <c r="T18" i="24"/>
  <c r="T28" i="24" s="1"/>
  <c r="W20" i="24"/>
  <c r="AH20" i="24"/>
  <c r="AT20" i="24" s="1"/>
  <c r="AE22" i="24"/>
  <c r="K22" i="24"/>
  <c r="W22" i="24"/>
  <c r="N24" i="24"/>
  <c r="T24" i="24"/>
  <c r="AE24" i="24"/>
  <c r="AH24" i="24" s="1"/>
  <c r="AT24" i="24" s="1"/>
  <c r="K24" i="24"/>
  <c r="X25" i="24"/>
  <c r="Z25" i="24" s="1"/>
  <c r="AC25" i="24" s="1"/>
  <c r="W26" i="24"/>
  <c r="AR30" i="24"/>
  <c r="AV26" i="24"/>
  <c r="AJ18" i="24"/>
  <c r="P22" i="24"/>
  <c r="M22" i="24"/>
  <c r="O22" i="24" s="1"/>
  <c r="AH23" i="24"/>
  <c r="AT23" i="24" s="1"/>
  <c r="T23" i="24"/>
  <c r="N23" i="24"/>
  <c r="T15" i="24"/>
  <c r="K19" i="24"/>
  <c r="AE19" i="24"/>
  <c r="K23" i="24"/>
  <c r="AH25" i="24"/>
  <c r="AG25" i="24"/>
  <c r="AV25" i="24"/>
  <c r="AQ30" i="24"/>
  <c r="AS25" i="24"/>
  <c r="AH21" i="24"/>
  <c r="AT21" i="24" s="1"/>
  <c r="AQ21" i="24"/>
  <c r="AS26" i="24"/>
  <c r="K21" i="17"/>
  <c r="M21" i="17" s="1"/>
  <c r="P21" i="17"/>
  <c r="Z21" i="17"/>
  <c r="S21" i="17"/>
  <c r="U21" i="17" s="1"/>
  <c r="W21" i="17"/>
  <c r="W22" i="17"/>
  <c r="P22" i="17"/>
  <c r="R22" i="17" s="1"/>
  <c r="T22" i="17" s="1"/>
  <c r="K22" i="17"/>
  <c r="M22" i="17" s="1"/>
  <c r="S22" i="17"/>
  <c r="U22" i="17" s="1"/>
  <c r="N10" i="17"/>
  <c r="O10" i="17"/>
  <c r="W18" i="17"/>
  <c r="Y18" i="17" s="1"/>
  <c r="AA18" i="17" s="1"/>
  <c r="P18" i="17"/>
  <c r="R18" i="17" s="1"/>
  <c r="T18" i="17" s="1"/>
  <c r="V18" i="17" s="1"/>
  <c r="K18" i="17"/>
  <c r="M18" i="17" s="1"/>
  <c r="P23" i="17"/>
  <c r="R23" i="17" s="1"/>
  <c r="T23" i="17" s="1"/>
  <c r="W23" i="17"/>
  <c r="AE23" i="17" s="1"/>
  <c r="AG23" i="17" s="1"/>
  <c r="AI23" i="17" s="1"/>
  <c r="AK23" i="17" s="1"/>
  <c r="K23" i="17"/>
  <c r="M23" i="17" s="1"/>
  <c r="O23" i="17" s="1"/>
  <c r="P15" i="17"/>
  <c r="R15" i="17" s="1"/>
  <c r="T15" i="17" s="1"/>
  <c r="S15" i="17"/>
  <c r="U15" i="17" s="1"/>
  <c r="K15" i="17"/>
  <c r="M15" i="17" s="1"/>
  <c r="O15" i="17" s="1"/>
  <c r="W15" i="17"/>
  <c r="AE15" i="17" s="1"/>
  <c r="AG15" i="17" s="1"/>
  <c r="AI15" i="17" s="1"/>
  <c r="AK15" i="17" s="1"/>
  <c r="P19" i="17"/>
  <c r="R19" i="17" s="1"/>
  <c r="T19" i="17" s="1"/>
  <c r="W19" i="17"/>
  <c r="S19" i="17"/>
  <c r="U19" i="17" s="1"/>
  <c r="K19" i="17"/>
  <c r="M19" i="17" s="1"/>
  <c r="O19" i="17" s="1"/>
  <c r="N14" i="17"/>
  <c r="O14" i="17"/>
  <c r="W16" i="17"/>
  <c r="W20" i="17"/>
  <c r="R25" i="17"/>
  <c r="T25" i="17" s="1"/>
  <c r="AG13" i="17"/>
  <c r="AI13" i="17" s="1"/>
  <c r="AJ13" i="17" s="1"/>
  <c r="K12" i="17"/>
  <c r="M12" i="17" s="1"/>
  <c r="O12" i="17" s="1"/>
  <c r="K16" i="17"/>
  <c r="M16" i="17" s="1"/>
  <c r="O16" i="17" s="1"/>
  <c r="K20" i="17"/>
  <c r="M20" i="17" s="1"/>
  <c r="O20" i="17" s="1"/>
  <c r="O13" i="17"/>
  <c r="N25" i="17"/>
  <c r="P12" i="17"/>
  <c r="S12" i="17" s="1"/>
  <c r="S13" i="17"/>
  <c r="S14" i="17"/>
  <c r="P16" i="17"/>
  <c r="S16" i="17" s="1"/>
  <c r="S17" i="17"/>
  <c r="P20" i="17"/>
  <c r="S20" i="17" s="1"/>
  <c r="Z13" i="17"/>
  <c r="Z17" i="17"/>
  <c r="Y19" i="17"/>
  <c r="AA19" i="17" s="1"/>
  <c r="AC19" i="17" s="1"/>
  <c r="Y24" i="17"/>
  <c r="AA24" i="17" s="1"/>
  <c r="Z25" i="17"/>
  <c r="AB25" i="17" s="1"/>
  <c r="AE10" i="17"/>
  <c r="AG10" i="17" s="1"/>
  <c r="AI10" i="17" s="1"/>
  <c r="AK10" i="17" s="1"/>
  <c r="W12" i="17"/>
  <c r="K11" i="17"/>
  <c r="M11" i="17" s="1"/>
  <c r="O11" i="17" s="1"/>
  <c r="S11" i="17"/>
  <c r="R13" i="17"/>
  <c r="T13" i="17" s="1"/>
  <c r="U13" i="17" s="1"/>
  <c r="R17" i="17"/>
  <c r="R21" i="17"/>
  <c r="T21" i="17" s="1"/>
  <c r="W11" i="17"/>
  <c r="AE17" i="17"/>
  <c r="P11" i="17"/>
  <c r="P14" i="17"/>
  <c r="W14" i="17"/>
  <c r="AE25" i="17"/>
  <c r="AG25" i="17" s="1"/>
  <c r="AI25" i="17" s="1"/>
  <c r="AJ10" i="17"/>
  <c r="AK24" i="17"/>
  <c r="AJ24" i="17"/>
  <c r="AK13" i="17"/>
  <c r="AJ15" i="17"/>
  <c r="AC13" i="17"/>
  <c r="AB13" i="17"/>
  <c r="AC25" i="17"/>
  <c r="AB24" i="17"/>
  <c r="AC24" i="17"/>
  <c r="Y10" i="17"/>
  <c r="AA10" i="17" s="1"/>
  <c r="Y14" i="17"/>
  <c r="V19" i="17"/>
  <c r="V15" i="17"/>
  <c r="V22" i="17"/>
  <c r="V23" i="17"/>
  <c r="V10" i="17"/>
  <c r="U10" i="17"/>
  <c r="V13" i="17"/>
  <c r="V21" i="17"/>
  <c r="V25" i="17"/>
  <c r="U25" i="17"/>
  <c r="R12" i="17"/>
  <c r="T12" i="17" s="1"/>
  <c r="R16" i="17"/>
  <c r="T16" i="17" s="1"/>
  <c r="R24" i="17"/>
  <c r="T24" i="17" s="1"/>
  <c r="N12" i="17"/>
  <c r="N16" i="17"/>
  <c r="N20" i="17"/>
  <c r="N24" i="17"/>
  <c r="N11" i="17"/>
  <c r="N19" i="17"/>
  <c r="N23" i="17"/>
  <c r="AV20" i="24" l="1"/>
  <c r="AX20" i="24" s="1"/>
  <c r="K28" i="24"/>
  <c r="AE28" i="24"/>
  <c r="AO20" i="24"/>
  <c r="AF20" i="27"/>
  <c r="S20" i="24"/>
  <c r="P20" i="27"/>
  <c r="K27" i="17"/>
  <c r="AE19" i="17"/>
  <c r="AG19" i="17" s="1"/>
  <c r="AI19" i="17" s="1"/>
  <c r="W27" i="17"/>
  <c r="X20" i="27"/>
  <c r="AD20" i="24"/>
  <c r="S21" i="24"/>
  <c r="P21" i="27"/>
  <c r="AD19" i="24"/>
  <c r="X19" i="27"/>
  <c r="AG17" i="17"/>
  <c r="AI17" i="17" s="1"/>
  <c r="M27" i="17"/>
  <c r="P27" i="17"/>
  <c r="N17" i="17"/>
  <c r="O17" i="17"/>
  <c r="T17" i="17"/>
  <c r="AA17" i="17"/>
  <c r="W21" i="24"/>
  <c r="P21" i="24"/>
  <c r="R21" i="24" s="1"/>
  <c r="Q21" i="24" s="1"/>
  <c r="Y21" i="24"/>
  <c r="AA21" i="24" s="1"/>
  <c r="AQ18" i="24"/>
  <c r="W18" i="24"/>
  <c r="AH18" i="24"/>
  <c r="R20" i="17"/>
  <c r="T20" i="17" s="1"/>
  <c r="U20" i="17" s="1"/>
  <c r="I28" i="27"/>
  <c r="I29" i="27"/>
  <c r="Q12" i="27"/>
  <c r="Y12" i="27"/>
  <c r="K12" i="27"/>
  <c r="Q21" i="27"/>
  <c r="S21" i="27" s="1"/>
  <c r="U21" i="27" s="1"/>
  <c r="K21" i="27"/>
  <c r="M21" i="27" s="1"/>
  <c r="Y21" i="27"/>
  <c r="AB21" i="27" s="1"/>
  <c r="Q22" i="27"/>
  <c r="S22" i="27" s="1"/>
  <c r="U22" i="27" s="1"/>
  <c r="Y22" i="27"/>
  <c r="AB22" i="27" s="1"/>
  <c r="K22" i="27"/>
  <c r="M22" i="27" s="1"/>
  <c r="Y26" i="27"/>
  <c r="AB26" i="27" s="1"/>
  <c r="K26" i="27"/>
  <c r="M26" i="27" s="1"/>
  <c r="Q26" i="27"/>
  <c r="S26" i="27" s="1"/>
  <c r="U26" i="27" s="1"/>
  <c r="Q15" i="27"/>
  <c r="K15" i="27"/>
  <c r="Y15" i="27"/>
  <c r="Q18" i="27"/>
  <c r="S18" i="27" s="1"/>
  <c r="U18" i="27" s="1"/>
  <c r="K18" i="27"/>
  <c r="M18" i="27" s="1"/>
  <c r="Y18" i="27"/>
  <c r="AB18" i="27" s="1"/>
  <c r="Y16" i="27"/>
  <c r="Q16" i="27"/>
  <c r="S16" i="27" s="1"/>
  <c r="U16" i="27" s="1"/>
  <c r="K16" i="27"/>
  <c r="M16" i="27" s="1"/>
  <c r="Y17" i="27"/>
  <c r="AB17" i="27" s="1"/>
  <c r="K17" i="27"/>
  <c r="M17" i="27" s="1"/>
  <c r="Q17" i="27"/>
  <c r="S17" i="27" s="1"/>
  <c r="U17" i="27" s="1"/>
  <c r="O11" i="27"/>
  <c r="N11" i="27"/>
  <c r="Y20" i="27"/>
  <c r="K20" i="27"/>
  <c r="M20" i="27" s="1"/>
  <c r="Q20" i="27"/>
  <c r="S20" i="27" s="1"/>
  <c r="U20" i="27" s="1"/>
  <c r="Q19" i="27"/>
  <c r="S19" i="27" s="1"/>
  <c r="U19" i="27" s="1"/>
  <c r="Y19" i="27"/>
  <c r="AB19" i="27" s="1"/>
  <c r="K19" i="27"/>
  <c r="M19" i="27" s="1"/>
  <c r="Y24" i="27"/>
  <c r="K24" i="27"/>
  <c r="M24" i="27" s="1"/>
  <c r="Q24" i="27"/>
  <c r="S24" i="27" s="1"/>
  <c r="U24" i="27" s="1"/>
  <c r="W11" i="27"/>
  <c r="W14" i="27"/>
  <c r="V14" i="27"/>
  <c r="Q13" i="27"/>
  <c r="S13" i="27" s="1"/>
  <c r="U13" i="27" s="1"/>
  <c r="Y13" i="27"/>
  <c r="AB13" i="27" s="1"/>
  <c r="K13" i="27"/>
  <c r="M13" i="27" s="1"/>
  <c r="Y23" i="27"/>
  <c r="K23" i="27"/>
  <c r="M23" i="27" s="1"/>
  <c r="Q23" i="27"/>
  <c r="S23" i="27" s="1"/>
  <c r="U23" i="27" s="1"/>
  <c r="Q25" i="27"/>
  <c r="T25" i="27" s="1"/>
  <c r="Y25" i="27"/>
  <c r="AB25" i="27" s="1"/>
  <c r="K25" i="27"/>
  <c r="I30" i="27"/>
  <c r="T11" i="27"/>
  <c r="V11" i="27" s="1"/>
  <c r="AH11" i="27"/>
  <c r="AJ11" i="27" s="1"/>
  <c r="AL11" i="27" s="1"/>
  <c r="AA11" i="27"/>
  <c r="AC11" i="27" s="1"/>
  <c r="P20" i="24"/>
  <c r="R20" i="24" s="1"/>
  <c r="Q20" i="24" s="1"/>
  <c r="R18" i="24"/>
  <c r="AL26" i="24"/>
  <c r="AN26" i="24" s="1"/>
  <c r="AM26" i="24" s="1"/>
  <c r="P12" i="24"/>
  <c r="M12" i="24"/>
  <c r="O12" i="24" s="1"/>
  <c r="AG20" i="24"/>
  <c r="AG18" i="24"/>
  <c r="AJ20" i="24"/>
  <c r="AL20" i="24" s="1"/>
  <c r="P13" i="24"/>
  <c r="M13" i="24"/>
  <c r="O13" i="24" s="1"/>
  <c r="Y15" i="24"/>
  <c r="V15" i="24"/>
  <c r="AU26" i="24"/>
  <c r="AW26" i="24" s="1"/>
  <c r="AX26" i="24"/>
  <c r="Y24" i="24"/>
  <c r="V24" i="24"/>
  <c r="W12" i="24"/>
  <c r="V12" i="24"/>
  <c r="Y12" i="24"/>
  <c r="AQ12" i="24"/>
  <c r="AS13" i="24"/>
  <c r="AV13" i="24"/>
  <c r="AX25" i="24"/>
  <c r="AU25" i="24"/>
  <c r="AW25" i="24" s="1"/>
  <c r="Y23" i="24"/>
  <c r="V23" i="24"/>
  <c r="M24" i="24"/>
  <c r="O24" i="24" s="1"/>
  <c r="P24" i="24"/>
  <c r="Y18" i="24"/>
  <c r="V18" i="24"/>
  <c r="V28" i="24" s="1"/>
  <c r="AG12" i="24"/>
  <c r="AJ12" i="24"/>
  <c r="AI11" i="24"/>
  <c r="AK11" i="24" s="1"/>
  <c r="AL11" i="24"/>
  <c r="AI13" i="24"/>
  <c r="AK13" i="24" s="1"/>
  <c r="AL13" i="24"/>
  <c r="AV21" i="24"/>
  <c r="AS21" i="24"/>
  <c r="AQ19" i="24"/>
  <c r="AG19" i="24"/>
  <c r="AJ19" i="24"/>
  <c r="X14" i="24"/>
  <c r="Z14" i="24" s="1"/>
  <c r="AA14" i="24"/>
  <c r="AA20" i="24"/>
  <c r="X20" i="24"/>
  <c r="Z20" i="24" s="1"/>
  <c r="AX11" i="24"/>
  <c r="AU11" i="24"/>
  <c r="AW11" i="24" s="1"/>
  <c r="M17" i="24"/>
  <c r="O17" i="24" s="1"/>
  <c r="P17" i="24"/>
  <c r="AU14" i="24"/>
  <c r="AW14" i="24" s="1"/>
  <c r="AX14" i="24"/>
  <c r="AV23" i="24"/>
  <c r="AS23" i="24"/>
  <c r="AM21" i="24"/>
  <c r="AT15" i="24"/>
  <c r="V13" i="24"/>
  <c r="Y13" i="24"/>
  <c r="W13" i="24"/>
  <c r="M16" i="24"/>
  <c r="O16" i="24" s="1"/>
  <c r="P16" i="24"/>
  <c r="AS30" i="24"/>
  <c r="W23" i="24"/>
  <c r="R22" i="24"/>
  <c r="Q22" i="24" s="1"/>
  <c r="AL18" i="24"/>
  <c r="AI18" i="24"/>
  <c r="AK18" i="24" s="1"/>
  <c r="AB25" i="24"/>
  <c r="AQ24" i="24"/>
  <c r="AG24" i="24"/>
  <c r="AJ24" i="24"/>
  <c r="AH19" i="24"/>
  <c r="AT19" i="24" s="1"/>
  <c r="W15" i="24"/>
  <c r="AH12" i="24"/>
  <c r="X26" i="24"/>
  <c r="Z26" i="24" s="1"/>
  <c r="AA26" i="24"/>
  <c r="X22" i="24"/>
  <c r="Z22" i="24" s="1"/>
  <c r="AA22" i="24"/>
  <c r="AQ15" i="24"/>
  <c r="AG15" i="24"/>
  <c r="AJ15" i="24"/>
  <c r="AA11" i="24"/>
  <c r="X11" i="24"/>
  <c r="Z11" i="24" s="1"/>
  <c r="V17" i="24"/>
  <c r="Y17" i="24"/>
  <c r="AQ17" i="24"/>
  <c r="AJ17" i="24"/>
  <c r="AG17" i="24"/>
  <c r="AN14" i="24"/>
  <c r="AM14" i="24" s="1"/>
  <c r="AN25" i="24"/>
  <c r="AL23" i="24"/>
  <c r="AI23" i="24"/>
  <c r="AK23" i="24" s="1"/>
  <c r="V16" i="24"/>
  <c r="Y16" i="24"/>
  <c r="AQ16" i="24"/>
  <c r="AJ16" i="24"/>
  <c r="AG16" i="24"/>
  <c r="M23" i="24"/>
  <c r="O23" i="24" s="1"/>
  <c r="P23" i="24"/>
  <c r="AQ22" i="24"/>
  <c r="AJ22" i="24"/>
  <c r="AH22" i="24"/>
  <c r="AT22" i="24" s="1"/>
  <c r="AG22" i="24"/>
  <c r="Y19" i="24"/>
  <c r="V19" i="24"/>
  <c r="W24" i="24"/>
  <c r="R15" i="24"/>
  <c r="AJ25" i="17"/>
  <c r="AK25" i="17"/>
  <c r="AA14" i="17"/>
  <c r="Z14" i="17"/>
  <c r="AE14" i="17"/>
  <c r="Y11" i="17"/>
  <c r="AE20" i="17"/>
  <c r="AG20" i="17" s="1"/>
  <c r="AI20" i="17" s="1"/>
  <c r="Y20" i="17"/>
  <c r="AA20" i="17" s="1"/>
  <c r="Z15" i="17"/>
  <c r="N18" i="17"/>
  <c r="O18" i="17"/>
  <c r="Z22" i="17"/>
  <c r="AB22" i="17" s="1"/>
  <c r="AE22" i="17"/>
  <c r="AG22" i="17" s="1"/>
  <c r="AI22" i="17" s="1"/>
  <c r="R14" i="17"/>
  <c r="AE16" i="17"/>
  <c r="AG16" i="17" s="1"/>
  <c r="AI16" i="17" s="1"/>
  <c r="Y16" i="17"/>
  <c r="AA16" i="17" s="1"/>
  <c r="Z16" i="17"/>
  <c r="Z20" i="17"/>
  <c r="N15" i="17"/>
  <c r="Y22" i="17"/>
  <c r="AA22" i="17" s="1"/>
  <c r="AC22" i="17" s="1"/>
  <c r="AJ23" i="17"/>
  <c r="R11" i="17"/>
  <c r="T11" i="17" s="1"/>
  <c r="AE11" i="17"/>
  <c r="AG11" i="17" s="1"/>
  <c r="AI11" i="17" s="1"/>
  <c r="AE12" i="17"/>
  <c r="AG12" i="17" s="1"/>
  <c r="AI12" i="17" s="1"/>
  <c r="Y12" i="17"/>
  <c r="AA12" i="17" s="1"/>
  <c r="Y15" i="17"/>
  <c r="AA15" i="17" s="1"/>
  <c r="Z12" i="17"/>
  <c r="Z23" i="17"/>
  <c r="Z18" i="17"/>
  <c r="AB18" i="17" s="1"/>
  <c r="AE18" i="17"/>
  <c r="AG18" i="17" s="1"/>
  <c r="AI18" i="17" s="1"/>
  <c r="N22" i="17"/>
  <c r="O22" i="17"/>
  <c r="Z11" i="17"/>
  <c r="Y23" i="17"/>
  <c r="AA23" i="17" s="1"/>
  <c r="Z19" i="17"/>
  <c r="AB19" i="17" s="1"/>
  <c r="S23" i="17"/>
  <c r="U23" i="17" s="1"/>
  <c r="S18" i="17"/>
  <c r="Y21" i="17"/>
  <c r="AA21" i="17" s="1"/>
  <c r="AE21" i="17"/>
  <c r="AG21" i="17" s="1"/>
  <c r="AI21" i="17" s="1"/>
  <c r="N21" i="17"/>
  <c r="O21" i="17"/>
  <c r="AC18" i="17"/>
  <c r="AC14" i="17"/>
  <c r="AC10" i="17"/>
  <c r="AB10" i="17"/>
  <c r="V20" i="17"/>
  <c r="U12" i="17"/>
  <c r="V12" i="17"/>
  <c r="U24" i="17"/>
  <c r="V24" i="17"/>
  <c r="V16" i="17"/>
  <c r="U16" i="17"/>
  <c r="Q18" i="24" l="1"/>
  <c r="R28" i="24"/>
  <c r="AH28" i="24"/>
  <c r="AU20" i="24"/>
  <c r="AW20" i="24" s="1"/>
  <c r="AZ20" i="24" s="1"/>
  <c r="AY20" i="24" s="1"/>
  <c r="P28" i="24"/>
  <c r="AG28" i="24"/>
  <c r="AI27" i="17"/>
  <c r="AK17" i="17"/>
  <c r="AK27" i="17" s="1"/>
  <c r="AG27" i="17"/>
  <c r="R27" i="17"/>
  <c r="AE27" i="17"/>
  <c r="X21" i="27"/>
  <c r="AD21" i="24"/>
  <c r="AJ19" i="17"/>
  <c r="AK19" i="17"/>
  <c r="Y27" i="17"/>
  <c r="W28" i="24"/>
  <c r="S27" i="17"/>
  <c r="N27" i="17"/>
  <c r="Z27" i="17"/>
  <c r="AB14" i="17"/>
  <c r="AO18" i="27"/>
  <c r="P18" i="27"/>
  <c r="S18" i="24"/>
  <c r="O27" i="17"/>
  <c r="S28" i="24" s="1"/>
  <c r="AJ17" i="17"/>
  <c r="AA27" i="17"/>
  <c r="AC17" i="17"/>
  <c r="AB17" i="17"/>
  <c r="T27" i="17"/>
  <c r="V17" i="17"/>
  <c r="U17" i="17"/>
  <c r="X21" i="24"/>
  <c r="Z21" i="24" s="1"/>
  <c r="AS18" i="24"/>
  <c r="AQ28" i="24"/>
  <c r="AV18" i="24"/>
  <c r="AT18" i="24"/>
  <c r="AT28" i="24" s="1"/>
  <c r="R12" i="24"/>
  <c r="Q12" i="24" s="1"/>
  <c r="T22" i="27"/>
  <c r="V22" i="27" s="1"/>
  <c r="T18" i="27"/>
  <c r="V18" i="27" s="1"/>
  <c r="T26" i="27"/>
  <c r="T24" i="27"/>
  <c r="V24" i="27" s="1"/>
  <c r="T19" i="27"/>
  <c r="V19" i="27" s="1"/>
  <c r="T17" i="27"/>
  <c r="V17" i="27" s="1"/>
  <c r="T30" i="27"/>
  <c r="Y28" i="27"/>
  <c r="T15" i="27"/>
  <c r="Q28" i="27"/>
  <c r="K28" i="27"/>
  <c r="W23" i="27"/>
  <c r="W20" i="27"/>
  <c r="O17" i="27"/>
  <c r="N17" i="27"/>
  <c r="W18" i="27"/>
  <c r="Y29" i="27"/>
  <c r="AA12" i="27"/>
  <c r="N23" i="27"/>
  <c r="O23" i="27"/>
  <c r="W24" i="27"/>
  <c r="AH24" i="27"/>
  <c r="AJ24" i="27" s="1"/>
  <c r="AL24" i="27" s="1"/>
  <c r="AA24" i="27"/>
  <c r="AC24" i="27" s="1"/>
  <c r="N20" i="27"/>
  <c r="O20" i="27"/>
  <c r="AH16" i="27"/>
  <c r="AJ16" i="27" s="1"/>
  <c r="AL16" i="27" s="1"/>
  <c r="AA16" i="27"/>
  <c r="AC16" i="27" s="1"/>
  <c r="O26" i="27"/>
  <c r="N26" i="27"/>
  <c r="AA22" i="27"/>
  <c r="AC22" i="27" s="1"/>
  <c r="AH22" i="27"/>
  <c r="AJ22" i="27" s="1"/>
  <c r="AL22" i="27" s="1"/>
  <c r="T21" i="27"/>
  <c r="V21" i="27" s="1"/>
  <c r="Q29" i="27"/>
  <c r="S12" i="27"/>
  <c r="AH12" i="27"/>
  <c r="AE11" i="27"/>
  <c r="AD11" i="27"/>
  <c r="K30" i="27"/>
  <c r="M25" i="27"/>
  <c r="AB30" i="27"/>
  <c r="AH23" i="27"/>
  <c r="AJ23" i="27" s="1"/>
  <c r="AL23" i="27" s="1"/>
  <c r="AA23" i="27"/>
  <c r="AC23" i="27" s="1"/>
  <c r="T13" i="27"/>
  <c r="AB24" i="27"/>
  <c r="O19" i="27"/>
  <c r="N19" i="27"/>
  <c r="AH20" i="27"/>
  <c r="AJ20" i="27" s="1"/>
  <c r="AL20" i="27" s="1"/>
  <c r="AA20" i="27"/>
  <c r="AC20" i="27" s="1"/>
  <c r="AH17" i="27"/>
  <c r="AJ17" i="27" s="1"/>
  <c r="AL17" i="27" s="1"/>
  <c r="AA17" i="27"/>
  <c r="AC17" i="27" s="1"/>
  <c r="T16" i="27"/>
  <c r="V16" i="27" s="1"/>
  <c r="AH18" i="27"/>
  <c r="AJ18" i="27" s="1"/>
  <c r="AL18" i="27" s="1"/>
  <c r="AA18" i="27"/>
  <c r="AC18" i="27" s="1"/>
  <c r="AH15" i="27"/>
  <c r="AA15" i="27"/>
  <c r="AB15" i="27"/>
  <c r="T12" i="27"/>
  <c r="AB12" i="27"/>
  <c r="AB29" i="27" s="1"/>
  <c r="V13" i="27"/>
  <c r="W13" i="27"/>
  <c r="W16" i="27"/>
  <c r="S15" i="27"/>
  <c r="S28" i="27" s="1"/>
  <c r="O22" i="27"/>
  <c r="N22" i="27"/>
  <c r="O21" i="27"/>
  <c r="N21" i="27"/>
  <c r="AH25" i="27"/>
  <c r="Q30" i="27"/>
  <c r="S25" i="27"/>
  <c r="O13" i="27"/>
  <c r="N13" i="27"/>
  <c r="W19" i="27"/>
  <c r="W21" i="27"/>
  <c r="AM11" i="27"/>
  <c r="AN11" i="27"/>
  <c r="AA25" i="27"/>
  <c r="Y30" i="27"/>
  <c r="T23" i="27"/>
  <c r="V23" i="27" s="1"/>
  <c r="AB23" i="27"/>
  <c r="AA13" i="27"/>
  <c r="AC13" i="27" s="1"/>
  <c r="AH13" i="27"/>
  <c r="AJ13" i="27" s="1"/>
  <c r="AL13" i="27" s="1"/>
  <c r="O24" i="27"/>
  <c r="N24" i="27"/>
  <c r="AA19" i="27"/>
  <c r="AC19" i="27" s="1"/>
  <c r="AH19" i="27"/>
  <c r="AJ19" i="27" s="1"/>
  <c r="AL19" i="27" s="1"/>
  <c r="T20" i="27"/>
  <c r="V20" i="27" s="1"/>
  <c r="AB20" i="27"/>
  <c r="W17" i="27"/>
  <c r="O16" i="27"/>
  <c r="N16" i="27"/>
  <c r="AB16" i="27"/>
  <c r="O18" i="27"/>
  <c r="N18" i="27"/>
  <c r="M15" i="27"/>
  <c r="M28" i="27" s="1"/>
  <c r="W26" i="27"/>
  <c r="V26" i="27"/>
  <c r="AH26" i="27"/>
  <c r="AJ26" i="27" s="1"/>
  <c r="AL26" i="27" s="1"/>
  <c r="AA26" i="27"/>
  <c r="AC26" i="27" s="1"/>
  <c r="W22" i="27"/>
  <c r="AH21" i="27"/>
  <c r="AJ21" i="27" s="1"/>
  <c r="AL21" i="27" s="1"/>
  <c r="AA21" i="27"/>
  <c r="AC21" i="27" s="1"/>
  <c r="K29" i="27"/>
  <c r="M12" i="27"/>
  <c r="AC21" i="24"/>
  <c r="AB21" i="24" s="1"/>
  <c r="BB21" i="24" s="1"/>
  <c r="AC20" i="24"/>
  <c r="AB20" i="24" s="1"/>
  <c r="BD20" i="24" s="1"/>
  <c r="AN23" i="24"/>
  <c r="AM23" i="24" s="1"/>
  <c r="AI20" i="24"/>
  <c r="AK20" i="24" s="1"/>
  <c r="AN20" i="24" s="1"/>
  <c r="AM20" i="24" s="1"/>
  <c r="AL30" i="24"/>
  <c r="R13" i="24"/>
  <c r="Q13" i="24" s="1"/>
  <c r="AN18" i="24"/>
  <c r="AM18" i="24" s="1"/>
  <c r="AZ11" i="24"/>
  <c r="AY11" i="24" s="1"/>
  <c r="AC11" i="24"/>
  <c r="AB11" i="24" s="1"/>
  <c r="BB11" i="24" s="1"/>
  <c r="AZ25" i="24"/>
  <c r="AY25" i="24" s="1"/>
  <c r="X19" i="24"/>
  <c r="Z19" i="24" s="1"/>
  <c r="AA19" i="24"/>
  <c r="AI16" i="24"/>
  <c r="AK16" i="24" s="1"/>
  <c r="AL16" i="24"/>
  <c r="AS17" i="24"/>
  <c r="AV17" i="24"/>
  <c r="AL24" i="24"/>
  <c r="AI24" i="24"/>
  <c r="AK24" i="24" s="1"/>
  <c r="AC14" i="24"/>
  <c r="AB14" i="24" s="1"/>
  <c r="AA23" i="24"/>
  <c r="X23" i="24"/>
  <c r="Z23" i="24" s="1"/>
  <c r="AS16" i="24"/>
  <c r="AV16" i="24"/>
  <c r="X17" i="24"/>
  <c r="Z17" i="24" s="1"/>
  <c r="AA17" i="24"/>
  <c r="AL15" i="24"/>
  <c r="AI15" i="24"/>
  <c r="AK15" i="24" s="1"/>
  <c r="AZ14" i="24"/>
  <c r="AY14" i="24" s="1"/>
  <c r="AQ29" i="24"/>
  <c r="AS12" i="24"/>
  <c r="AS29" i="24" s="1"/>
  <c r="AV12" i="24"/>
  <c r="AZ26" i="24"/>
  <c r="AY26" i="24" s="1"/>
  <c r="AA13" i="24"/>
  <c r="X13" i="24"/>
  <c r="Z13" i="24" s="1"/>
  <c r="AU13" i="24"/>
  <c r="AW13" i="24" s="1"/>
  <c r="AX13" i="24"/>
  <c r="AS22" i="24"/>
  <c r="AV22" i="24"/>
  <c r="AN30" i="24"/>
  <c r="AM25" i="24"/>
  <c r="AM30" i="24" s="1"/>
  <c r="AC26" i="24"/>
  <c r="AN13" i="24"/>
  <c r="AM13" i="24" s="1"/>
  <c r="Q15" i="24"/>
  <c r="R23" i="24"/>
  <c r="Q23" i="24" s="1"/>
  <c r="AA16" i="24"/>
  <c r="X16" i="24"/>
  <c r="Z16" i="24" s="1"/>
  <c r="AC22" i="24"/>
  <c r="AB22" i="24" s="1"/>
  <c r="AS24" i="24"/>
  <c r="AV24" i="24"/>
  <c r="R17" i="24"/>
  <c r="Q17" i="24" s="1"/>
  <c r="AI19" i="24"/>
  <c r="AK19" i="24" s="1"/>
  <c r="AL19" i="24"/>
  <c r="AX21" i="24"/>
  <c r="AU21" i="24"/>
  <c r="AW21" i="24" s="1"/>
  <c r="AN11" i="24"/>
  <c r="AM11" i="24" s="1"/>
  <c r="R24" i="24"/>
  <c r="Q24" i="24" s="1"/>
  <c r="AX30" i="24"/>
  <c r="AA12" i="24"/>
  <c r="X12" i="24"/>
  <c r="Z12" i="24" s="1"/>
  <c r="AV15" i="24"/>
  <c r="AS15" i="24"/>
  <c r="AX23" i="24"/>
  <c r="AU23" i="24"/>
  <c r="AW23" i="24" s="1"/>
  <c r="X24" i="24"/>
  <c r="Z24" i="24" s="1"/>
  <c r="AA24" i="24"/>
  <c r="AA15" i="24"/>
  <c r="X15" i="24"/>
  <c r="Z15" i="24" s="1"/>
  <c r="AI22" i="24"/>
  <c r="AK22" i="24" s="1"/>
  <c r="AL22" i="24"/>
  <c r="AI17" i="24"/>
  <c r="AK17" i="24" s="1"/>
  <c r="AL17" i="24"/>
  <c r="BB25" i="24"/>
  <c r="BD25" i="24"/>
  <c r="R16" i="24"/>
  <c r="Q16" i="24" s="1"/>
  <c r="AV19" i="24"/>
  <c r="AS19" i="24"/>
  <c r="AI12" i="24"/>
  <c r="AK12" i="24" s="1"/>
  <c r="AL12" i="24"/>
  <c r="AL29" i="24" s="1"/>
  <c r="X18" i="24"/>
  <c r="Z18" i="24" s="1"/>
  <c r="AA18" i="24"/>
  <c r="AT12" i="24"/>
  <c r="AT29" i="24" s="1"/>
  <c r="AK21" i="17"/>
  <c r="AJ21" i="17"/>
  <c r="AJ18" i="17"/>
  <c r="AK18" i="17"/>
  <c r="AK12" i="17"/>
  <c r="AJ12" i="17"/>
  <c r="AB16" i="17"/>
  <c r="AC16" i="17"/>
  <c r="AJ22" i="17"/>
  <c r="AK22" i="17"/>
  <c r="AA11" i="17"/>
  <c r="AC21" i="17"/>
  <c r="AB21" i="17"/>
  <c r="AK11" i="17"/>
  <c r="AJ11" i="17"/>
  <c r="AK16" i="17"/>
  <c r="AJ16" i="17"/>
  <c r="AB20" i="17"/>
  <c r="AC20" i="17"/>
  <c r="AC23" i="17"/>
  <c r="AB23" i="17"/>
  <c r="AC15" i="17"/>
  <c r="AB15" i="17"/>
  <c r="V11" i="17"/>
  <c r="U11" i="17"/>
  <c r="AJ20" i="17"/>
  <c r="AK20" i="17"/>
  <c r="AG14" i="17"/>
  <c r="U18" i="17"/>
  <c r="AB12" i="17"/>
  <c r="AC12" i="17"/>
  <c r="T14" i="17"/>
  <c r="BB20" i="24" l="1"/>
  <c r="AA28" i="24"/>
  <c r="AO19" i="27"/>
  <c r="BA19" i="24"/>
  <c r="BA18" i="24"/>
  <c r="AO20" i="27"/>
  <c r="BA20" i="24"/>
  <c r="AO21" i="27"/>
  <c r="BA21" i="24"/>
  <c r="AO21" i="24"/>
  <c r="AF21" i="27"/>
  <c r="Q28" i="24"/>
  <c r="AB27" i="17"/>
  <c r="P28" i="27"/>
  <c r="AF18" i="27"/>
  <c r="AC27" i="17"/>
  <c r="AO28" i="24" s="1"/>
  <c r="AD18" i="24"/>
  <c r="V27" i="17"/>
  <c r="AD28" i="24" s="1"/>
  <c r="X18" i="27"/>
  <c r="BA28" i="24"/>
  <c r="AO28" i="27"/>
  <c r="BD21" i="24"/>
  <c r="AU18" i="24"/>
  <c r="AW18" i="24" s="1"/>
  <c r="AX18" i="24"/>
  <c r="AS28" i="24"/>
  <c r="AH28" i="27"/>
  <c r="T28" i="27"/>
  <c r="T29" i="27"/>
  <c r="AA28" i="27"/>
  <c r="AB28" i="27"/>
  <c r="AM26" i="27"/>
  <c r="AN26" i="27"/>
  <c r="AM17" i="27"/>
  <c r="AN17" i="27"/>
  <c r="AA29" i="27"/>
  <c r="AC12" i="27"/>
  <c r="M29" i="27"/>
  <c r="N12" i="27"/>
  <c r="O12" i="27"/>
  <c r="O29" i="27" s="1"/>
  <c r="AC15" i="27"/>
  <c r="AC28" i="27" s="1"/>
  <c r="AN18" i="27"/>
  <c r="AM18" i="27"/>
  <c r="AD20" i="27"/>
  <c r="AE20" i="27"/>
  <c r="AN21" i="27"/>
  <c r="AM21" i="27"/>
  <c r="AN23" i="27"/>
  <c r="AM23" i="27"/>
  <c r="AM19" i="27"/>
  <c r="AN19" i="27"/>
  <c r="AN13" i="27"/>
  <c r="AM13" i="27"/>
  <c r="AH30" i="27"/>
  <c r="AJ25" i="27"/>
  <c r="AJ15" i="27"/>
  <c r="AJ28" i="27" s="1"/>
  <c r="AN20" i="27"/>
  <c r="AM20" i="27"/>
  <c r="M30" i="27"/>
  <c r="O25" i="27"/>
  <c r="O30" i="27" s="1"/>
  <c r="N25" i="27"/>
  <c r="N30" i="27" s="1"/>
  <c r="AH29" i="27"/>
  <c r="AJ12" i="27"/>
  <c r="AM22" i="27"/>
  <c r="AN22" i="27"/>
  <c r="AE16" i="27"/>
  <c r="AD16" i="27"/>
  <c r="AD24" i="27"/>
  <c r="AE24" i="27"/>
  <c r="U25" i="27"/>
  <c r="S30" i="27"/>
  <c r="U15" i="27"/>
  <c r="U28" i="27" s="1"/>
  <c r="AD18" i="27"/>
  <c r="AE18" i="27"/>
  <c r="AD21" i="27"/>
  <c r="AE21" i="27"/>
  <c r="AE26" i="27"/>
  <c r="AD26" i="27"/>
  <c r="N15" i="27"/>
  <c r="N28" i="27" s="1"/>
  <c r="O15" i="27"/>
  <c r="O28" i="27" s="1"/>
  <c r="AE19" i="27"/>
  <c r="AD19" i="27"/>
  <c r="AE13" i="27"/>
  <c r="AD13" i="27"/>
  <c r="AA30" i="27"/>
  <c r="AC25" i="27"/>
  <c r="AE17" i="27"/>
  <c r="AD17" i="27"/>
  <c r="AD23" i="27"/>
  <c r="AE23" i="27"/>
  <c r="S29" i="27"/>
  <c r="U12" i="27"/>
  <c r="AE22" i="27"/>
  <c r="AD22" i="27"/>
  <c r="AN16" i="27"/>
  <c r="AM16" i="27"/>
  <c r="AM24" i="27"/>
  <c r="AN24" i="27"/>
  <c r="AC15" i="24"/>
  <c r="AB15" i="24" s="1"/>
  <c r="AZ23" i="24"/>
  <c r="AY23" i="24" s="1"/>
  <c r="AC16" i="24"/>
  <c r="AB16" i="24" s="1"/>
  <c r="BD16" i="24" s="1"/>
  <c r="AC13" i="24"/>
  <c r="AB13" i="24" s="1"/>
  <c r="BD13" i="24" s="1"/>
  <c r="AL28" i="24"/>
  <c r="BE25" i="24"/>
  <c r="AC12" i="24"/>
  <c r="AY30" i="24"/>
  <c r="BD11" i="24"/>
  <c r="BE11" i="24" s="1"/>
  <c r="BE21" i="24"/>
  <c r="AC17" i="24"/>
  <c r="AB17" i="24" s="1"/>
  <c r="BB17" i="24" s="1"/>
  <c r="AZ13" i="24"/>
  <c r="AY13" i="24" s="1"/>
  <c r="AN15" i="24"/>
  <c r="AN24" i="24"/>
  <c r="AM24" i="24" s="1"/>
  <c r="AU24" i="24"/>
  <c r="AW24" i="24" s="1"/>
  <c r="AX24" i="24"/>
  <c r="AN17" i="24"/>
  <c r="AM17" i="24" s="1"/>
  <c r="BD14" i="24"/>
  <c r="BB14" i="24"/>
  <c r="AN19" i="24"/>
  <c r="AM19" i="24" s="1"/>
  <c r="BB22" i="24"/>
  <c r="BD22" i="24"/>
  <c r="AB26" i="24"/>
  <c r="BD30" i="24" s="1"/>
  <c r="AU17" i="24"/>
  <c r="AW17" i="24" s="1"/>
  <c r="AX17" i="24"/>
  <c r="AX22" i="24"/>
  <c r="AU22" i="24"/>
  <c r="AW22" i="24" s="1"/>
  <c r="BE20" i="24"/>
  <c r="AU16" i="24"/>
  <c r="AW16" i="24" s="1"/>
  <c r="AX16" i="24"/>
  <c r="AC18" i="24"/>
  <c r="AU19" i="24"/>
  <c r="AW19" i="24" s="1"/>
  <c r="AX19" i="24"/>
  <c r="AN22" i="24"/>
  <c r="AM22" i="24" s="1"/>
  <c r="AC24" i="24"/>
  <c r="AB24" i="24" s="1"/>
  <c r="AU15" i="24"/>
  <c r="AW15" i="24" s="1"/>
  <c r="AX15" i="24"/>
  <c r="AZ21" i="24"/>
  <c r="AY21" i="24" s="1"/>
  <c r="Q32" i="24"/>
  <c r="AX12" i="24"/>
  <c r="AX29" i="24" s="1"/>
  <c r="AU12" i="24"/>
  <c r="AW12" i="24" s="1"/>
  <c r="AZ30" i="24"/>
  <c r="AC23" i="24"/>
  <c r="AB23" i="24" s="1"/>
  <c r="AN16" i="24"/>
  <c r="AM16" i="24" s="1"/>
  <c r="AN12" i="24"/>
  <c r="AC19" i="24"/>
  <c r="AB19" i="24" s="1"/>
  <c r="AI14" i="17"/>
  <c r="AB11" i="17"/>
  <c r="AC11" i="17"/>
  <c r="V14" i="17"/>
  <c r="U14" i="17"/>
  <c r="U27" i="17" s="1"/>
  <c r="AB18" i="24" l="1"/>
  <c r="AB28" i="24" s="1"/>
  <c r="AC28" i="24"/>
  <c r="X28" i="27"/>
  <c r="AF28" i="27"/>
  <c r="AZ18" i="24"/>
  <c r="AY18" i="24" s="1"/>
  <c r="AJ29" i="27"/>
  <c r="AL12" i="27"/>
  <c r="N29" i="27"/>
  <c r="N32" i="27"/>
  <c r="AE25" i="27"/>
  <c r="AE30" i="27" s="1"/>
  <c r="AD25" i="27"/>
  <c r="AD30" i="27" s="1"/>
  <c r="AC30" i="27"/>
  <c r="W15" i="27"/>
  <c r="W28" i="27" s="1"/>
  <c r="V15" i="27"/>
  <c r="V28" i="27" s="1"/>
  <c r="AC29" i="27"/>
  <c r="AE12" i="27"/>
  <c r="AE29" i="27" s="1"/>
  <c r="AD12" i="27"/>
  <c r="V12" i="27"/>
  <c r="U29" i="27"/>
  <c r="W12" i="27"/>
  <c r="W29" i="27" s="1"/>
  <c r="AE15" i="27"/>
  <c r="AE28" i="27" s="1"/>
  <c r="AD15" i="27"/>
  <c r="AD28" i="27" s="1"/>
  <c r="U30" i="27"/>
  <c r="V25" i="27"/>
  <c r="V30" i="27" s="1"/>
  <c r="W25" i="27"/>
  <c r="W30" i="27" s="1"/>
  <c r="AL25" i="27"/>
  <c r="AJ30" i="27"/>
  <c r="AL15" i="27"/>
  <c r="AL28" i="27" s="1"/>
  <c r="AZ22" i="24"/>
  <c r="AY22" i="24" s="1"/>
  <c r="AZ12" i="24"/>
  <c r="AZ29" i="24" s="1"/>
  <c r="BB16" i="24"/>
  <c r="BE16" i="24" s="1"/>
  <c r="AM15" i="24"/>
  <c r="AM28" i="24" s="1"/>
  <c r="AN28" i="24"/>
  <c r="AB12" i="24"/>
  <c r="BB13" i="24"/>
  <c r="BE13" i="24" s="1"/>
  <c r="AX28" i="24"/>
  <c r="BB30" i="24"/>
  <c r="BE30" i="24" s="1"/>
  <c r="AZ15" i="24"/>
  <c r="BD17" i="24"/>
  <c r="BE17" i="24" s="1"/>
  <c r="AB32" i="24"/>
  <c r="BB32" i="24" s="1"/>
  <c r="BD24" i="24"/>
  <c r="BB24" i="24"/>
  <c r="AZ16" i="24"/>
  <c r="AY16" i="24" s="1"/>
  <c r="AZ17" i="24"/>
  <c r="AY17" i="24" s="1"/>
  <c r="BD19" i="24"/>
  <c r="BB19" i="24"/>
  <c r="AZ19" i="24"/>
  <c r="AY19" i="24" s="1"/>
  <c r="BB26" i="24"/>
  <c r="BD26" i="24"/>
  <c r="BE14" i="24"/>
  <c r="AZ24" i="24"/>
  <c r="AY24" i="24" s="1"/>
  <c r="AN29" i="24"/>
  <c r="AM12" i="24"/>
  <c r="BD23" i="24"/>
  <c r="BB23" i="24"/>
  <c r="BD18" i="24"/>
  <c r="BB18" i="24"/>
  <c r="BE22" i="24"/>
  <c r="BD15" i="24"/>
  <c r="BB15" i="24"/>
  <c r="AJ14" i="17"/>
  <c r="AJ27" i="17" s="1"/>
  <c r="AK14" i="17"/>
  <c r="AY12" i="24" l="1"/>
  <c r="AM25" i="27"/>
  <c r="AM30" i="27" s="1"/>
  <c r="AL30" i="27"/>
  <c r="AN25" i="27"/>
  <c r="AN30" i="27" s="1"/>
  <c r="V29" i="27"/>
  <c r="V32" i="27"/>
  <c r="AM12" i="27"/>
  <c r="AL29" i="27"/>
  <c r="AN12" i="27"/>
  <c r="AN29" i="27" s="1"/>
  <c r="AN15" i="27"/>
  <c r="AN28" i="27" s="1"/>
  <c r="AM15" i="27"/>
  <c r="AM28" i="27" s="1"/>
  <c r="AD29" i="27"/>
  <c r="AD32" i="27"/>
  <c r="AE33" i="27" s="1"/>
  <c r="F42" i="27" s="1"/>
  <c r="BD12" i="24"/>
  <c r="BB12" i="24"/>
  <c r="AY15" i="24"/>
  <c r="AY28" i="24" s="1"/>
  <c r="AZ28" i="24"/>
  <c r="BD32" i="24"/>
  <c r="BE32" i="24" s="1"/>
  <c r="AB33" i="24"/>
  <c r="BE26" i="24"/>
  <c r="AM29" i="24"/>
  <c r="AM32" i="24"/>
  <c r="AM33" i="24" s="1"/>
  <c r="AY29" i="24"/>
  <c r="BE23" i="24"/>
  <c r="BE19" i="24"/>
  <c r="BE18" i="24"/>
  <c r="BE24" i="24"/>
  <c r="BE15" i="24"/>
  <c r="BB28" i="24"/>
  <c r="BD28" i="24"/>
  <c r="BD29" i="24"/>
  <c r="BB29" i="24"/>
  <c r="AM29" i="27" l="1"/>
  <c r="AM32" i="27"/>
  <c r="AN33" i="27" s="1"/>
  <c r="G42" i="27" s="1"/>
  <c r="V33" i="27"/>
  <c r="W33" i="27"/>
  <c r="E42" i="27" s="1"/>
  <c r="AY32" i="24"/>
  <c r="AY33" i="24" s="1"/>
  <c r="BE12" i="24"/>
  <c r="BE29" i="24"/>
  <c r="BE28" i="24"/>
  <c r="W25" i="29" l="1"/>
  <c r="Y25" i="29" s="1"/>
  <c r="X25" i="29"/>
  <c r="Z25" i="29"/>
  <c r="W26" i="29"/>
  <c r="Y26" i="29" s="1"/>
  <c r="X26" i="29"/>
  <c r="Z26" i="29"/>
  <c r="N19" i="26"/>
  <c r="N18" i="26"/>
  <c r="AF26" i="29"/>
  <c r="AH26" i="29"/>
  <c r="P26" i="29"/>
  <c r="S26" i="29" s="1"/>
  <c r="Q26" i="29"/>
  <c r="AH24" i="29"/>
  <c r="AF24" i="29"/>
  <c r="AH23" i="29"/>
  <c r="AF23" i="29"/>
  <c r="AH22" i="29"/>
  <c r="AF22" i="29"/>
  <c r="AH21" i="29"/>
  <c r="AF21" i="29"/>
  <c r="AH18" i="29"/>
  <c r="AF18" i="29"/>
  <c r="AH16" i="29"/>
  <c r="AF16" i="29"/>
  <c r="AH15" i="29"/>
  <c r="AF15" i="29"/>
  <c r="AH14" i="29"/>
  <c r="AF14" i="29"/>
  <c r="AE14" i="29"/>
  <c r="AG14" i="29" s="1"/>
  <c r="AH13" i="29"/>
  <c r="AF13" i="29"/>
  <c r="AH12" i="29"/>
  <c r="AF12" i="29"/>
  <c r="AH11" i="29"/>
  <c r="AF11" i="29"/>
  <c r="X24" i="29"/>
  <c r="W24" i="29"/>
  <c r="AE24" i="29" s="1"/>
  <c r="AG24" i="29" s="1"/>
  <c r="X23" i="29"/>
  <c r="X22" i="29"/>
  <c r="X21" i="29"/>
  <c r="X18" i="29"/>
  <c r="X16" i="29"/>
  <c r="X15" i="29"/>
  <c r="Z14" i="29"/>
  <c r="X14" i="29"/>
  <c r="W14" i="29"/>
  <c r="X13" i="29"/>
  <c r="X12" i="29"/>
  <c r="W12" i="29"/>
  <c r="X11" i="29"/>
  <c r="W11" i="29"/>
  <c r="AE11" i="29" s="1"/>
  <c r="AG11" i="29" s="1"/>
  <c r="Q25" i="29"/>
  <c r="P25" i="29"/>
  <c r="S25" i="29" s="1"/>
  <c r="Q24" i="29"/>
  <c r="P24" i="29"/>
  <c r="S24" i="29" s="1"/>
  <c r="S29" i="29" s="1"/>
  <c r="Q23" i="29"/>
  <c r="Q22" i="29"/>
  <c r="Q21" i="29"/>
  <c r="Q18" i="29"/>
  <c r="Q16" i="29"/>
  <c r="Q15" i="29"/>
  <c r="Q14" i="29"/>
  <c r="P14" i="29"/>
  <c r="S14" i="29" s="1"/>
  <c r="Q13" i="29"/>
  <c r="Q12" i="29"/>
  <c r="P12" i="29"/>
  <c r="Q11" i="29"/>
  <c r="P11" i="29"/>
  <c r="S11" i="29" s="1"/>
  <c r="G22" i="29"/>
  <c r="I22" i="29"/>
  <c r="P22" i="29" s="1"/>
  <c r="S22" i="29" s="1"/>
  <c r="I21" i="29"/>
  <c r="G23" i="29"/>
  <c r="G24" i="29"/>
  <c r="I24" i="29" s="1"/>
  <c r="G16" i="29"/>
  <c r="I16" i="29" s="1"/>
  <c r="W16" i="29" s="1"/>
  <c r="AE16" i="29" s="1"/>
  <c r="AG16" i="29" s="1"/>
  <c r="L30" i="29"/>
  <c r="J30" i="29"/>
  <c r="I30" i="29"/>
  <c r="L29" i="29"/>
  <c r="J29" i="29"/>
  <c r="L28" i="29"/>
  <c r="E28" i="29"/>
  <c r="K26" i="29"/>
  <c r="M26" i="29" s="1"/>
  <c r="O26" i="29" s="1"/>
  <c r="AH25" i="29"/>
  <c r="AF25" i="29"/>
  <c r="AE25" i="29"/>
  <c r="K25" i="29"/>
  <c r="M25" i="29" s="1"/>
  <c r="I23" i="29"/>
  <c r="W23" i="29" s="1"/>
  <c r="AE23" i="29" s="1"/>
  <c r="AG23" i="29" s="1"/>
  <c r="I18" i="29"/>
  <c r="P18" i="29" s="1"/>
  <c r="S18" i="29" s="1"/>
  <c r="I15" i="29"/>
  <c r="W15" i="29" s="1"/>
  <c r="AE15" i="29" s="1"/>
  <c r="AG15" i="29" s="1"/>
  <c r="K14" i="29"/>
  <c r="M14" i="29" s="1"/>
  <c r="O14" i="29" s="1"/>
  <c r="I13" i="29"/>
  <c r="W13" i="29" s="1"/>
  <c r="I12" i="29"/>
  <c r="Z12" i="29" s="1"/>
  <c r="K11" i="29"/>
  <c r="M11" i="29" s="1"/>
  <c r="O11" i="29" s="1"/>
  <c r="P16" i="29" l="1"/>
  <c r="S16" i="29" s="1"/>
  <c r="Z16" i="29"/>
  <c r="AE13" i="29"/>
  <c r="AG13" i="29" s="1"/>
  <c r="Z13" i="29"/>
  <c r="Z29" i="29" s="1"/>
  <c r="Y13" i="29"/>
  <c r="P28" i="29"/>
  <c r="Y11" i="29"/>
  <c r="AA11" i="29" s="1"/>
  <c r="Y15" i="29"/>
  <c r="W18" i="29"/>
  <c r="Y18" i="29" s="1"/>
  <c r="W22" i="29"/>
  <c r="Y22" i="29" s="1"/>
  <c r="AA22" i="29" s="1"/>
  <c r="Y23" i="29"/>
  <c r="Z24" i="29"/>
  <c r="AE12" i="29"/>
  <c r="AG12" i="29" s="1"/>
  <c r="R26" i="29"/>
  <c r="W30" i="29"/>
  <c r="P13" i="29"/>
  <c r="S13" i="29" s="1"/>
  <c r="P15" i="29"/>
  <c r="P21" i="29"/>
  <c r="S21" i="29" s="1"/>
  <c r="P23" i="29"/>
  <c r="S23" i="29" s="1"/>
  <c r="Z11" i="29"/>
  <c r="Y14" i="29"/>
  <c r="AA14" i="29" s="1"/>
  <c r="AC14" i="29" s="1"/>
  <c r="Z15" i="29"/>
  <c r="W21" i="29"/>
  <c r="AE21" i="29" s="1"/>
  <c r="AG21" i="29" s="1"/>
  <c r="Z23" i="29"/>
  <c r="AE26" i="29"/>
  <c r="AG26" i="29" s="1"/>
  <c r="AI26" i="29" s="1"/>
  <c r="AJ26" i="29" s="1"/>
  <c r="Y12" i="29"/>
  <c r="Y16" i="29"/>
  <c r="Y24" i="29"/>
  <c r="R11" i="29"/>
  <c r="T11" i="29" s="1"/>
  <c r="U11" i="29" s="1"/>
  <c r="R12" i="29"/>
  <c r="R13" i="29"/>
  <c r="R14" i="29"/>
  <c r="T14" i="29" s="1"/>
  <c r="R15" i="29"/>
  <c r="R16" i="29"/>
  <c r="T16" i="29" s="1"/>
  <c r="R18" i="29"/>
  <c r="T18" i="29" s="1"/>
  <c r="R21" i="29"/>
  <c r="R22" i="29"/>
  <c r="T22" i="29" s="1"/>
  <c r="R23" i="29"/>
  <c r="T23" i="29" s="1"/>
  <c r="V23" i="29" s="1"/>
  <c r="R24" i="29"/>
  <c r="R25" i="29"/>
  <c r="P29" i="29"/>
  <c r="S12" i="29"/>
  <c r="S15" i="29"/>
  <c r="P30" i="29"/>
  <c r="K22" i="29"/>
  <c r="M22" i="29" s="1"/>
  <c r="AI11" i="29"/>
  <c r="AK11" i="29" s="1"/>
  <c r="K12" i="29"/>
  <c r="M12" i="29" s="1"/>
  <c r="N12" i="29" s="1"/>
  <c r="T26" i="29"/>
  <c r="V26" i="29" s="1"/>
  <c r="K15" i="29"/>
  <c r="M15" i="29" s="1"/>
  <c r="O15" i="29" s="1"/>
  <c r="AF29" i="29"/>
  <c r="AI13" i="29"/>
  <c r="AJ13" i="29" s="1"/>
  <c r="AF30" i="29"/>
  <c r="I29" i="29"/>
  <c r="K13" i="29"/>
  <c r="M13" i="29" s="1"/>
  <c r="AH30" i="29"/>
  <c r="AA25" i="29"/>
  <c r="AH29" i="29"/>
  <c r="T13" i="29"/>
  <c r="V13" i="29" s="1"/>
  <c r="K30" i="29"/>
  <c r="AA26" i="29"/>
  <c r="AB26" i="29" s="1"/>
  <c r="S30" i="29"/>
  <c r="K24" i="29"/>
  <c r="M24" i="29" s="1"/>
  <c r="AI14" i="29"/>
  <c r="AJ14" i="29" s="1"/>
  <c r="AH28" i="29"/>
  <c r="N26" i="29"/>
  <c r="K16" i="29"/>
  <c r="M16" i="29" s="1"/>
  <c r="I28" i="29"/>
  <c r="AK14" i="29"/>
  <c r="O12" i="29"/>
  <c r="O13" i="29"/>
  <c r="N13" i="29"/>
  <c r="O25" i="29"/>
  <c r="O30" i="29" s="1"/>
  <c r="M30" i="29"/>
  <c r="R30" i="29"/>
  <c r="T25" i="29"/>
  <c r="AA13" i="29"/>
  <c r="AF28" i="29"/>
  <c r="K23" i="29"/>
  <c r="M23" i="29" s="1"/>
  <c r="N25" i="29"/>
  <c r="T21" i="29"/>
  <c r="K21" i="29"/>
  <c r="M21" i="29" s="1"/>
  <c r="N11" i="29"/>
  <c r="N14" i="29"/>
  <c r="K18" i="29"/>
  <c r="M18" i="29" s="1"/>
  <c r="AG25" i="29"/>
  <c r="Z30" i="29"/>
  <c r="S27" i="29" l="1"/>
  <c r="AB11" i="29"/>
  <c r="AC11" i="29"/>
  <c r="P27" i="29"/>
  <c r="AE30" i="29"/>
  <c r="U26" i="29"/>
  <c r="Y21" i="29"/>
  <c r="AE18" i="29"/>
  <c r="AG18" i="29" s="1"/>
  <c r="AI18" i="29" s="1"/>
  <c r="Z18" i="29"/>
  <c r="Z21" i="29"/>
  <c r="AE22" i="29"/>
  <c r="AG22" i="29" s="1"/>
  <c r="AI22" i="29" s="1"/>
  <c r="AJ22" i="29" s="1"/>
  <c r="Z22" i="29"/>
  <c r="AC26" i="29"/>
  <c r="AK13" i="29"/>
  <c r="V14" i="29"/>
  <c r="U14" i="29"/>
  <c r="R29" i="29"/>
  <c r="T24" i="29"/>
  <c r="V24" i="29" s="1"/>
  <c r="R28" i="29"/>
  <c r="S28" i="29"/>
  <c r="U13" i="29"/>
  <c r="M29" i="29"/>
  <c r="AJ11" i="29"/>
  <c r="N22" i="29"/>
  <c r="O22" i="29"/>
  <c r="AK26" i="29"/>
  <c r="N15" i="29"/>
  <c r="Y30" i="29"/>
  <c r="V11" i="29"/>
  <c r="U22" i="29"/>
  <c r="V22" i="29"/>
  <c r="AK22" i="29"/>
  <c r="K29" i="29"/>
  <c r="AC22" i="29"/>
  <c r="AB22" i="29"/>
  <c r="AB14" i="29"/>
  <c r="N30" i="29"/>
  <c r="AI24" i="29"/>
  <c r="AA24" i="29"/>
  <c r="O24" i="29"/>
  <c r="N24" i="29"/>
  <c r="N29" i="29"/>
  <c r="O21" i="29"/>
  <c r="N21" i="29"/>
  <c r="K28" i="29"/>
  <c r="AA30" i="29"/>
  <c r="AB25" i="29"/>
  <c r="AB30" i="29" s="1"/>
  <c r="AC25" i="29"/>
  <c r="AI23" i="29"/>
  <c r="AA23" i="29"/>
  <c r="V16" i="29"/>
  <c r="U16" i="29"/>
  <c r="W29" i="29"/>
  <c r="AA18" i="29"/>
  <c r="AC13" i="29"/>
  <c r="AB13" i="29"/>
  <c r="O29" i="29"/>
  <c r="W28" i="29"/>
  <c r="AE29" i="29"/>
  <c r="M28" i="29"/>
  <c r="N16" i="29"/>
  <c r="O16" i="29"/>
  <c r="O18" i="29"/>
  <c r="N18" i="29"/>
  <c r="T12" i="29"/>
  <c r="V21" i="29"/>
  <c r="U21" i="29"/>
  <c r="U18" i="29"/>
  <c r="V18" i="29"/>
  <c r="AA21" i="29"/>
  <c r="AI21" i="29"/>
  <c r="AG30" i="29"/>
  <c r="AI25" i="29"/>
  <c r="N23" i="29"/>
  <c r="O23" i="29"/>
  <c r="T30" i="29"/>
  <c r="V25" i="29"/>
  <c r="V30" i="29" s="1"/>
  <c r="U25" i="29"/>
  <c r="U30" i="29" s="1"/>
  <c r="U23" i="29"/>
  <c r="AI16" i="29"/>
  <c r="AA16" i="29"/>
  <c r="R27" i="29" l="1"/>
  <c r="Z28" i="29"/>
  <c r="U24" i="29"/>
  <c r="AC30" i="29"/>
  <c r="AC24" i="29"/>
  <c r="AB24" i="29"/>
  <c r="AK24" i="29"/>
  <c r="AJ24" i="29"/>
  <c r="N32" i="29"/>
  <c r="N28" i="29"/>
  <c r="AK16" i="29"/>
  <c r="AJ16" i="29"/>
  <c r="AI30" i="29"/>
  <c r="AJ25" i="29"/>
  <c r="AJ30" i="29" s="1"/>
  <c r="AK25" i="29"/>
  <c r="AK30" i="29" s="1"/>
  <c r="AJ21" i="29"/>
  <c r="AK21" i="29"/>
  <c r="AG29" i="29"/>
  <c r="AI12" i="29"/>
  <c r="AE28" i="29"/>
  <c r="AB18" i="29"/>
  <c r="AC18" i="29"/>
  <c r="AJ23" i="29"/>
  <c r="AK23" i="29"/>
  <c r="AB21" i="29"/>
  <c r="AC21" i="29"/>
  <c r="T15" i="29"/>
  <c r="AK18" i="29"/>
  <c r="AJ18" i="29"/>
  <c r="AA15" i="29"/>
  <c r="Y28" i="29"/>
  <c r="AB16" i="29"/>
  <c r="AC16" i="29"/>
  <c r="T29" i="29"/>
  <c r="V12" i="29"/>
  <c r="V29" i="29" s="1"/>
  <c r="U12" i="29"/>
  <c r="O28" i="29"/>
  <c r="Y29" i="29"/>
  <c r="AA12" i="29"/>
  <c r="AC23" i="29"/>
  <c r="AB23" i="29"/>
  <c r="AA28" i="29" l="1"/>
  <c r="AB15" i="29"/>
  <c r="AB28" i="29" s="1"/>
  <c r="AC15" i="29"/>
  <c r="AC28" i="29" s="1"/>
  <c r="V15" i="29"/>
  <c r="V28" i="29" s="1"/>
  <c r="T28" i="29"/>
  <c r="U15" i="29"/>
  <c r="U28" i="29" s="1"/>
  <c r="AI29" i="29"/>
  <c r="AK12" i="29"/>
  <c r="AK29" i="29" s="1"/>
  <c r="AJ12" i="29"/>
  <c r="U29" i="29"/>
  <c r="AI15" i="29"/>
  <c r="AG28" i="29"/>
  <c r="AA29" i="29"/>
  <c r="AB12" i="29"/>
  <c r="AC12" i="29"/>
  <c r="AC29" i="29" s="1"/>
  <c r="U32" i="29" l="1"/>
  <c r="U33" i="29" s="1"/>
  <c r="AB29" i="29"/>
  <c r="AB32" i="29"/>
  <c r="AC34" i="29" s="1"/>
  <c r="AJ29" i="29"/>
  <c r="AI28" i="29"/>
  <c r="AK15" i="29"/>
  <c r="AK28" i="29" s="1"/>
  <c r="AJ15" i="29"/>
  <c r="AJ28" i="29" s="1"/>
  <c r="V33" i="29" l="1"/>
  <c r="AJ32" i="29"/>
  <c r="AK34" i="29" l="1"/>
  <c r="N20" i="26" l="1"/>
  <c r="N21" i="26"/>
  <c r="N11" i="26"/>
  <c r="N12" i="26"/>
  <c r="N13" i="26"/>
  <c r="N14" i="26"/>
  <c r="N15" i="26"/>
  <c r="N16" i="26"/>
  <c r="N17" i="26"/>
  <c r="N10" i="26"/>
  <c r="N9" i="26"/>
  <c r="M7" i="26"/>
  <c r="N7" i="26" s="1"/>
  <c r="K22" i="26"/>
  <c r="N6" i="26"/>
  <c r="D28" i="26"/>
  <c r="E40" i="26"/>
  <c r="E39" i="26"/>
  <c r="E38" i="26"/>
  <c r="E37" i="26"/>
  <c r="E36" i="26"/>
  <c r="E35" i="26"/>
  <c r="N8" i="26" l="1"/>
  <c r="N22" i="26" s="1"/>
  <c r="T28" i="26" l="1"/>
  <c r="T6" i="26"/>
  <c r="T9" i="26"/>
  <c r="U9" i="26" s="1"/>
  <c r="V9" i="26" s="1"/>
  <c r="T10" i="26"/>
  <c r="T7" i="26"/>
  <c r="U7" i="26" s="1"/>
  <c r="V8" i="26" s="1"/>
  <c r="S7" i="26"/>
  <c r="T20" i="26"/>
  <c r="U20" i="26" s="1"/>
  <c r="V21" i="26" s="1"/>
  <c r="P9" i="26"/>
  <c r="P7" i="26"/>
  <c r="P6" i="26"/>
  <c r="S20" i="26"/>
  <c r="S10" i="26"/>
  <c r="U19" i="26" s="1"/>
  <c r="R20" i="26"/>
  <c r="R10" i="26"/>
  <c r="R7" i="26"/>
  <c r="N74" i="24"/>
  <c r="N73" i="24"/>
  <c r="N72" i="24"/>
  <c r="N71" i="24"/>
  <c r="N70" i="24"/>
  <c r="M70" i="24"/>
  <c r="L70" i="24"/>
  <c r="Q64" i="24"/>
  <c r="P64" i="24"/>
  <c r="O64" i="24"/>
  <c r="Q63" i="24"/>
  <c r="P63" i="24"/>
  <c r="O63" i="24"/>
  <c r="Q62" i="24"/>
  <c r="P62" i="24"/>
  <c r="O62" i="24"/>
  <c r="Q61" i="24"/>
  <c r="P61" i="24"/>
  <c r="O61" i="24"/>
  <c r="W44" i="24"/>
  <c r="U42" i="24"/>
  <c r="Q41" i="24"/>
  <c r="U41" i="24" s="1"/>
  <c r="W40" i="24"/>
  <c r="U40" i="24"/>
  <c r="W48" i="24" l="1"/>
  <c r="U6" i="26"/>
  <c r="V6" i="26" s="1"/>
  <c r="V7" i="26"/>
  <c r="V20" i="26"/>
  <c r="U16" i="26"/>
  <c r="V16" i="26" s="1"/>
  <c r="U17" i="26"/>
  <c r="V17" i="26" s="1"/>
  <c r="U10" i="26"/>
  <c r="U18" i="26"/>
  <c r="U64" i="24"/>
  <c r="W64" i="24" s="1"/>
  <c r="AB64" i="24" s="1"/>
  <c r="U48" i="24"/>
  <c r="R63" i="24"/>
  <c r="V63" i="24" s="1"/>
  <c r="L73" i="24" s="1"/>
  <c r="U61" i="24"/>
  <c r="W61" i="24" s="1"/>
  <c r="M71" i="24" s="1"/>
  <c r="U63" i="24"/>
  <c r="W63" i="24" s="1"/>
  <c r="M73" i="24" s="1"/>
  <c r="R61" i="24"/>
  <c r="V61" i="24" s="1"/>
  <c r="L71" i="24" s="1"/>
  <c r="R62" i="24"/>
  <c r="V62" i="24" s="1"/>
  <c r="L72" i="24" s="1"/>
  <c r="R64" i="24"/>
  <c r="V64" i="24" s="1"/>
  <c r="L74" i="24" s="1"/>
  <c r="AB63" i="24"/>
  <c r="U62" i="24"/>
  <c r="W62" i="24" s="1"/>
  <c r="M74" i="24" l="1"/>
  <c r="X61" i="24"/>
  <c r="X63" i="24"/>
  <c r="AB61" i="24"/>
  <c r="X62" i="24"/>
  <c r="X64" i="24"/>
  <c r="M72" i="24"/>
  <c r="AB62" i="24"/>
  <c r="N71" i="17"/>
  <c r="N72" i="17"/>
  <c r="N73" i="17"/>
  <c r="N74" i="17"/>
  <c r="N70" i="17"/>
  <c r="F10" i="4"/>
  <c r="D10" i="4"/>
  <c r="AB65" i="24" l="1"/>
  <c r="X65" i="24"/>
  <c r="F12" i="4" l="1"/>
  <c r="D12" i="4"/>
  <c r="M70" i="17"/>
  <c r="H7" i="4"/>
  <c r="G7" i="4"/>
  <c r="F7" i="4"/>
  <c r="E7" i="4"/>
  <c r="D7" i="4"/>
  <c r="F11" i="4"/>
  <c r="D11" i="4"/>
  <c r="L70" i="17"/>
  <c r="O64" i="17"/>
  <c r="Q64" i="17"/>
  <c r="P64" i="17"/>
  <c r="Q63" i="17"/>
  <c r="P63" i="17"/>
  <c r="O63" i="17"/>
  <c r="Q62" i="17"/>
  <c r="P62" i="17"/>
  <c r="O62" i="17"/>
  <c r="Q61" i="17"/>
  <c r="P61" i="17"/>
  <c r="O61" i="17"/>
  <c r="U44" i="17"/>
  <c r="S42" i="17"/>
  <c r="Q41" i="17"/>
  <c r="S41" i="17" s="1"/>
  <c r="U40" i="17"/>
  <c r="S40" i="17"/>
  <c r="J29" i="17"/>
  <c r="H10" i="4"/>
  <c r="J28" i="17"/>
  <c r="D8" i="4"/>
  <c r="K28" i="17" l="1"/>
  <c r="F8" i="4"/>
  <c r="F2" i="4" s="1"/>
  <c r="F13" i="4"/>
  <c r="U48" i="17"/>
  <c r="R62" i="17"/>
  <c r="T62" i="17" s="1"/>
  <c r="V62" i="17" s="1"/>
  <c r="S64" i="17"/>
  <c r="U64" i="17" s="1"/>
  <c r="R61" i="17"/>
  <c r="T61" i="17" s="1"/>
  <c r="S62" i="17"/>
  <c r="U62" i="17" s="1"/>
  <c r="E10" i="4"/>
  <c r="S48" i="17"/>
  <c r="R63" i="17"/>
  <c r="T63" i="17" s="1"/>
  <c r="S63" i="17"/>
  <c r="U63" i="17" s="1"/>
  <c r="S61" i="17"/>
  <c r="U61" i="17" s="1"/>
  <c r="R64" i="17"/>
  <c r="T64" i="17" s="1"/>
  <c r="K29" i="17"/>
  <c r="F18" i="4" l="1"/>
  <c r="F14" i="4"/>
  <c r="W62" i="17"/>
  <c r="M72" i="17"/>
  <c r="D18" i="4"/>
  <c r="W63" i="17"/>
  <c r="M73" i="17"/>
  <c r="W64" i="17"/>
  <c r="M74" i="17"/>
  <c r="W61" i="17"/>
  <c r="M71" i="17"/>
  <c r="E8" i="4"/>
  <c r="G8" i="4"/>
  <c r="H8" i="4"/>
  <c r="G10" i="4"/>
  <c r="L72" i="17"/>
  <c r="V63" i="17"/>
  <c r="L73" i="17"/>
  <c r="V61" i="17"/>
  <c r="L71" i="17"/>
  <c r="V64" i="17"/>
  <c r="L74" i="17"/>
  <c r="E2" i="4" l="1"/>
  <c r="H14" i="4"/>
  <c r="D14" i="4"/>
  <c r="G2" i="4"/>
  <c r="G1" i="4" s="1"/>
  <c r="W65" i="17"/>
  <c r="E14" i="4"/>
  <c r="N28" i="17"/>
  <c r="E18" i="4" s="1"/>
  <c r="N29" i="17"/>
  <c r="H18" i="4" s="1"/>
  <c r="V65" i="17"/>
  <c r="H12" i="4"/>
  <c r="E12" i="4" l="1"/>
  <c r="G12" i="4"/>
  <c r="G14" i="4" l="1"/>
  <c r="F16" i="4"/>
  <c r="D16" i="4"/>
  <c r="D21" i="4"/>
  <c r="D13" i="4"/>
  <c r="G18" i="4"/>
  <c r="D20" i="4"/>
  <c r="N31" i="17"/>
  <c r="F20" i="4"/>
  <c r="G13" i="4"/>
  <c r="G11" i="4"/>
  <c r="E11" i="4"/>
  <c r="H11" i="4"/>
  <c r="E13" i="4"/>
  <c r="H13" i="4"/>
  <c r="H16" i="4" l="1"/>
  <c r="F15" i="4"/>
  <c r="F17" i="4"/>
  <c r="D15" i="4"/>
  <c r="D17" i="4"/>
  <c r="G4" i="4"/>
  <c r="G3" i="4"/>
  <c r="D19" i="4"/>
  <c r="E16" i="4"/>
  <c r="I18" i="4"/>
  <c r="F19" i="4"/>
  <c r="H20" i="4"/>
  <c r="F21" i="4"/>
  <c r="E17" i="4"/>
  <c r="S162" i="6"/>
  <c r="D156" i="9"/>
  <c r="D155" i="9"/>
  <c r="D154" i="9"/>
  <c r="D153" i="9"/>
  <c r="D152" i="9"/>
  <c r="D151" i="9"/>
  <c r="D150" i="9"/>
  <c r="D149" i="9"/>
  <c r="D148" i="9"/>
  <c r="D147" i="9"/>
  <c r="D146" i="9"/>
  <c r="D145" i="9"/>
  <c r="D144" i="9"/>
  <c r="D143" i="9"/>
  <c r="D142" i="9"/>
  <c r="D141" i="9"/>
  <c r="D140" i="9"/>
  <c r="D139" i="9"/>
  <c r="D138" i="9"/>
  <c r="D137" i="9"/>
  <c r="D128" i="9"/>
  <c r="D127" i="9"/>
  <c r="D126" i="9"/>
  <c r="D125" i="9"/>
  <c r="D124" i="9"/>
  <c r="D123" i="9"/>
  <c r="D122" i="9"/>
  <c r="D121" i="9"/>
  <c r="D120" i="9"/>
  <c r="D119" i="9"/>
  <c r="D118" i="9"/>
  <c r="D117" i="9"/>
  <c r="D116" i="9"/>
  <c r="D115" i="9"/>
  <c r="D114" i="9"/>
  <c r="D113" i="9"/>
  <c r="D112" i="9"/>
  <c r="D111" i="9"/>
  <c r="D110" i="9"/>
  <c r="D109" i="9"/>
  <c r="D102" i="9"/>
  <c r="D101" i="9"/>
  <c r="D100" i="9"/>
  <c r="D99" i="9"/>
  <c r="D98" i="9"/>
  <c r="D97" i="9"/>
  <c r="D96" i="9"/>
  <c r="D95" i="9"/>
  <c r="D94" i="9"/>
  <c r="D93" i="9"/>
  <c r="D92" i="9"/>
  <c r="D91" i="9"/>
  <c r="D90" i="9"/>
  <c r="D89" i="9"/>
  <c r="D88" i="9"/>
  <c r="D87" i="9"/>
  <c r="D86" i="9"/>
  <c r="D85" i="9"/>
  <c r="D84" i="9"/>
  <c r="D83" i="9"/>
  <c r="D76" i="9"/>
  <c r="D75" i="9"/>
  <c r="D74" i="9"/>
  <c r="D73" i="9"/>
  <c r="D72" i="9"/>
  <c r="D71" i="9"/>
  <c r="D70" i="9"/>
  <c r="D69" i="9"/>
  <c r="D68" i="9"/>
  <c r="D67" i="9"/>
  <c r="D66" i="9"/>
  <c r="D65" i="9"/>
  <c r="D64" i="9"/>
  <c r="D63" i="9"/>
  <c r="D62" i="9"/>
  <c r="D61" i="9"/>
  <c r="D60" i="9"/>
  <c r="D59" i="9"/>
  <c r="D58" i="9"/>
  <c r="D57" i="9"/>
  <c r="D50" i="9"/>
  <c r="D49" i="9"/>
  <c r="D48" i="9"/>
  <c r="D47" i="9"/>
  <c r="D46" i="9"/>
  <c r="D45" i="9"/>
  <c r="D44" i="9"/>
  <c r="D43" i="9"/>
  <c r="D42" i="9"/>
  <c r="D41" i="9"/>
  <c r="D40" i="9"/>
  <c r="D39" i="9"/>
  <c r="D38" i="9"/>
  <c r="D37" i="9"/>
  <c r="D36" i="9"/>
  <c r="D35" i="9"/>
  <c r="D34" i="9"/>
  <c r="D33" i="9"/>
  <c r="D32" i="9"/>
  <c r="D31" i="9"/>
  <c r="D24" i="9"/>
  <c r="D23" i="9"/>
  <c r="D22" i="9"/>
  <c r="D21" i="9"/>
  <c r="D20" i="9"/>
  <c r="D19" i="9"/>
  <c r="D18" i="9"/>
  <c r="D17" i="9"/>
  <c r="D16" i="9"/>
  <c r="D15" i="9"/>
  <c r="D14" i="9"/>
  <c r="D13" i="9"/>
  <c r="D12" i="9"/>
  <c r="D11" i="9"/>
  <c r="D10" i="9"/>
  <c r="D9" i="9"/>
  <c r="D8" i="9"/>
  <c r="D7" i="9"/>
  <c r="D6" i="9"/>
  <c r="D5" i="9"/>
  <c r="M3241" i="6"/>
  <c r="M3240" i="6"/>
  <c r="M3239" i="6"/>
  <c r="M3238" i="6"/>
  <c r="M3237" i="6"/>
  <c r="M3236" i="6"/>
  <c r="M3235" i="6"/>
  <c r="M3234" i="6"/>
  <c r="M3233" i="6"/>
  <c r="M3232" i="6"/>
  <c r="M3231" i="6"/>
  <c r="M3230" i="6"/>
  <c r="M3229" i="6"/>
  <c r="M3228" i="6"/>
  <c r="M3227" i="6"/>
  <c r="M3226" i="6"/>
  <c r="M3225" i="6"/>
  <c r="M3224" i="6"/>
  <c r="M3223" i="6"/>
  <c r="M3222" i="6"/>
  <c r="M3221" i="6"/>
  <c r="M3220" i="6"/>
  <c r="M3219" i="6"/>
  <c r="M3218" i="6"/>
  <c r="M3217" i="6"/>
  <c r="M3216" i="6"/>
  <c r="M3215" i="6"/>
  <c r="M3214" i="6"/>
  <c r="M3213" i="6"/>
  <c r="M3212" i="6"/>
  <c r="M3211" i="6"/>
  <c r="M3210" i="6"/>
  <c r="M3209" i="6"/>
  <c r="M3208" i="6"/>
  <c r="M3207" i="6"/>
  <c r="M3206" i="6"/>
  <c r="M3205" i="6"/>
  <c r="M3204" i="6"/>
  <c r="M3203" i="6"/>
  <c r="M3202" i="6"/>
  <c r="M3201" i="6"/>
  <c r="M3200" i="6"/>
  <c r="M3199" i="6"/>
  <c r="M3198" i="6"/>
  <c r="M3197" i="6"/>
  <c r="M3196" i="6"/>
  <c r="M3195" i="6"/>
  <c r="M3194" i="6"/>
  <c r="M3193" i="6"/>
  <c r="M3192" i="6"/>
  <c r="M3191" i="6"/>
  <c r="M3190" i="6"/>
  <c r="M3189" i="6"/>
  <c r="M3188" i="6"/>
  <c r="M3187" i="6"/>
  <c r="M3186" i="6"/>
  <c r="M3185" i="6"/>
  <c r="M3184" i="6"/>
  <c r="M3183" i="6"/>
  <c r="M3182" i="6"/>
  <c r="M3181" i="6"/>
  <c r="M3180" i="6"/>
  <c r="M3179" i="6"/>
  <c r="M3178" i="6"/>
  <c r="M3129" i="6"/>
  <c r="M3128" i="6"/>
  <c r="M3127" i="6"/>
  <c r="M3126" i="6"/>
  <c r="M3125" i="6"/>
  <c r="M3124" i="6"/>
  <c r="M3123" i="6"/>
  <c r="M3122" i="6"/>
  <c r="M3121" i="6"/>
  <c r="M3120" i="6"/>
  <c r="M3119" i="6"/>
  <c r="M3118" i="6"/>
  <c r="M3117" i="6"/>
  <c r="M3116" i="6"/>
  <c r="M3115" i="6"/>
  <c r="M3114" i="6"/>
  <c r="M3113" i="6"/>
  <c r="M3112" i="6"/>
  <c r="M3111" i="6"/>
  <c r="M3110" i="6"/>
  <c r="M3109" i="6"/>
  <c r="M3108" i="6"/>
  <c r="M3107" i="6"/>
  <c r="M3106" i="6"/>
  <c r="M3105" i="6"/>
  <c r="M3104" i="6"/>
  <c r="M3103" i="6"/>
  <c r="M3102" i="6"/>
  <c r="M3101" i="6"/>
  <c r="M3100" i="6"/>
  <c r="M3099" i="6"/>
  <c r="M3098" i="6"/>
  <c r="M3097" i="6"/>
  <c r="M3096" i="6"/>
  <c r="M3095" i="6"/>
  <c r="M3094" i="6"/>
  <c r="M3093" i="6"/>
  <c r="M3092" i="6"/>
  <c r="M3091" i="6"/>
  <c r="M3090" i="6"/>
  <c r="M3089" i="6"/>
  <c r="M3088" i="6"/>
  <c r="M3087" i="6"/>
  <c r="M3086" i="6"/>
  <c r="M3085" i="6"/>
  <c r="M3084" i="6"/>
  <c r="M3083" i="6"/>
  <c r="M3082" i="6"/>
  <c r="M3081" i="6"/>
  <c r="M3080" i="6"/>
  <c r="M3079" i="6"/>
  <c r="M3078" i="6"/>
  <c r="M3077" i="6"/>
  <c r="M3076" i="6"/>
  <c r="M3075" i="6"/>
  <c r="M3074" i="6"/>
  <c r="M3073" i="6"/>
  <c r="M3072" i="6"/>
  <c r="M3071" i="6"/>
  <c r="M3070" i="6"/>
  <c r="M3069" i="6"/>
  <c r="M3068" i="6"/>
  <c r="M3067" i="6"/>
  <c r="M3066" i="6"/>
  <c r="M3065" i="6"/>
  <c r="M3064" i="6"/>
  <c r="M3063" i="6"/>
  <c r="M3062" i="6"/>
  <c r="M3061" i="6"/>
  <c r="M3060" i="6"/>
  <c r="M3059" i="6"/>
  <c r="M3058" i="6"/>
  <c r="M3057" i="6"/>
  <c r="M3056" i="6"/>
  <c r="M3055" i="6"/>
  <c r="M3054" i="6"/>
  <c r="M3053" i="6"/>
  <c r="M3052" i="6"/>
  <c r="M3051" i="6"/>
  <c r="M3050" i="6"/>
  <c r="M3049" i="6"/>
  <c r="M3048" i="6"/>
  <c r="M3047" i="6"/>
  <c r="M3046" i="6"/>
  <c r="M3045" i="6"/>
  <c r="M3044" i="6"/>
  <c r="M3043" i="6"/>
  <c r="M3042" i="6"/>
  <c r="M3041" i="6"/>
  <c r="M3040" i="6"/>
  <c r="M3039" i="6"/>
  <c r="M3038" i="6"/>
  <c r="M3037" i="6"/>
  <c r="M3036" i="6"/>
  <c r="M3035" i="6"/>
  <c r="M3034" i="6"/>
  <c r="M3033" i="6"/>
  <c r="M3032" i="6"/>
  <c r="M3031" i="6"/>
  <c r="M3030" i="6"/>
  <c r="M3029" i="6"/>
  <c r="M3028" i="6"/>
  <c r="M3027" i="6"/>
  <c r="M3026" i="6"/>
  <c r="M3025" i="6"/>
  <c r="M3024" i="6"/>
  <c r="M3023" i="6"/>
  <c r="M3022" i="6"/>
  <c r="M3021" i="6"/>
  <c r="M3020" i="6"/>
  <c r="M3019" i="6"/>
  <c r="M3018" i="6"/>
  <c r="M2969" i="6"/>
  <c r="M2968" i="6"/>
  <c r="M2967" i="6"/>
  <c r="M2966" i="6"/>
  <c r="M2965" i="6"/>
  <c r="M2964" i="6"/>
  <c r="M2963" i="6"/>
  <c r="M2962" i="6"/>
  <c r="M2961" i="6"/>
  <c r="M2960" i="6"/>
  <c r="M2959" i="6"/>
  <c r="M2958" i="6"/>
  <c r="M2957" i="6"/>
  <c r="M2956" i="6"/>
  <c r="M2955" i="6"/>
  <c r="M2954" i="6"/>
  <c r="M2953" i="6"/>
  <c r="M2952" i="6"/>
  <c r="M2951" i="6"/>
  <c r="M2950" i="6"/>
  <c r="M2949" i="6"/>
  <c r="M2948" i="6"/>
  <c r="M2947" i="6"/>
  <c r="M2946" i="6"/>
  <c r="M2945" i="6"/>
  <c r="M2944" i="6"/>
  <c r="M2943" i="6"/>
  <c r="M2942" i="6"/>
  <c r="M2941" i="6"/>
  <c r="M2940" i="6"/>
  <c r="M2939" i="6"/>
  <c r="M2938" i="6"/>
  <c r="M2937" i="6"/>
  <c r="M2936" i="6"/>
  <c r="M2935" i="6"/>
  <c r="M2934" i="6"/>
  <c r="M2933" i="6"/>
  <c r="M2932" i="6"/>
  <c r="M2931" i="6"/>
  <c r="M2930" i="6"/>
  <c r="M2929" i="6"/>
  <c r="M2928" i="6"/>
  <c r="M2927" i="6"/>
  <c r="M2926" i="6"/>
  <c r="M2925" i="6"/>
  <c r="M2924" i="6"/>
  <c r="M2923" i="6"/>
  <c r="M2922" i="6"/>
  <c r="M2921" i="6"/>
  <c r="M2920" i="6"/>
  <c r="M2919" i="6"/>
  <c r="M2918" i="6"/>
  <c r="M2917" i="6"/>
  <c r="M2916" i="6"/>
  <c r="M2915" i="6"/>
  <c r="M2914" i="6"/>
  <c r="M2913" i="6"/>
  <c r="M2912" i="6"/>
  <c r="M2911" i="6"/>
  <c r="M2910" i="6"/>
  <c r="M2909" i="6"/>
  <c r="M2908" i="6"/>
  <c r="M2907" i="6"/>
  <c r="M2906" i="6"/>
  <c r="M2905" i="6"/>
  <c r="M2904" i="6"/>
  <c r="M2903" i="6"/>
  <c r="M2902" i="6"/>
  <c r="M2901" i="6"/>
  <c r="M2900" i="6"/>
  <c r="M2899" i="6"/>
  <c r="M2898" i="6"/>
  <c r="M2897" i="6"/>
  <c r="M2896" i="6"/>
  <c r="M2895" i="6"/>
  <c r="M2894" i="6"/>
  <c r="M2893" i="6"/>
  <c r="M2892" i="6"/>
  <c r="M2891" i="6"/>
  <c r="M2890" i="6"/>
  <c r="M2889" i="6"/>
  <c r="M2888" i="6"/>
  <c r="M2887" i="6"/>
  <c r="M2886" i="6"/>
  <c r="M2885" i="6"/>
  <c r="M2884" i="6"/>
  <c r="M2883" i="6"/>
  <c r="M2882" i="6"/>
  <c r="M2881" i="6"/>
  <c r="M2880" i="6"/>
  <c r="M2879" i="6"/>
  <c r="M2878" i="6"/>
  <c r="M2877" i="6"/>
  <c r="M2876" i="6"/>
  <c r="M2875" i="6"/>
  <c r="M2874" i="6"/>
  <c r="M2873" i="6"/>
  <c r="M2872" i="6"/>
  <c r="M2871" i="6"/>
  <c r="M2870" i="6"/>
  <c r="M2869" i="6"/>
  <c r="M2868" i="6"/>
  <c r="M2867" i="6"/>
  <c r="M2866" i="6"/>
  <c r="M2865" i="6"/>
  <c r="M2864" i="6"/>
  <c r="M2863" i="6"/>
  <c r="M2862" i="6"/>
  <c r="M2861" i="6"/>
  <c r="M2860" i="6"/>
  <c r="M2859" i="6"/>
  <c r="M2858" i="6"/>
  <c r="M2809" i="6"/>
  <c r="M2808" i="6"/>
  <c r="M2807" i="6"/>
  <c r="M2806" i="6"/>
  <c r="M2805" i="6"/>
  <c r="M2804" i="6"/>
  <c r="M2803" i="6"/>
  <c r="M2802" i="6"/>
  <c r="M2801" i="6"/>
  <c r="M2800" i="6"/>
  <c r="M2799" i="6"/>
  <c r="M2798" i="6"/>
  <c r="M2797" i="6"/>
  <c r="M2796" i="6"/>
  <c r="M2795" i="6"/>
  <c r="M2794" i="6"/>
  <c r="M2793" i="6"/>
  <c r="M2792" i="6"/>
  <c r="M2791" i="6"/>
  <c r="M2790" i="6"/>
  <c r="M2789" i="6"/>
  <c r="M2788" i="6"/>
  <c r="M2787" i="6"/>
  <c r="M2786" i="6"/>
  <c r="M2785" i="6"/>
  <c r="M2784" i="6"/>
  <c r="M2783" i="6"/>
  <c r="M2782" i="6"/>
  <c r="M2781" i="6"/>
  <c r="M2780" i="6"/>
  <c r="M2779" i="6"/>
  <c r="M2778" i="6"/>
  <c r="M2777" i="6"/>
  <c r="M2776" i="6"/>
  <c r="M2775" i="6"/>
  <c r="M2774" i="6"/>
  <c r="M2773" i="6"/>
  <c r="M2772" i="6"/>
  <c r="M2771" i="6"/>
  <c r="M2770" i="6"/>
  <c r="M2769" i="6"/>
  <c r="M2768" i="6"/>
  <c r="M2767" i="6"/>
  <c r="M2766" i="6"/>
  <c r="M2765" i="6"/>
  <c r="M2764" i="6"/>
  <c r="M2763" i="6"/>
  <c r="M2762" i="6"/>
  <c r="M2761" i="6"/>
  <c r="M2760" i="6"/>
  <c r="M2759" i="6"/>
  <c r="M2758" i="6"/>
  <c r="M2757" i="6"/>
  <c r="M2756" i="6"/>
  <c r="M2755" i="6"/>
  <c r="M2754" i="6"/>
  <c r="M2753" i="6"/>
  <c r="M2752" i="6"/>
  <c r="M2751" i="6"/>
  <c r="M2750" i="6"/>
  <c r="M2749" i="6"/>
  <c r="M2748" i="6"/>
  <c r="M2747" i="6"/>
  <c r="M2746" i="6"/>
  <c r="M2745" i="6"/>
  <c r="M2744" i="6"/>
  <c r="M2743" i="6"/>
  <c r="M2742" i="6"/>
  <c r="M2741" i="6"/>
  <c r="M2740" i="6"/>
  <c r="M2739" i="6"/>
  <c r="M2738" i="6"/>
  <c r="M2737" i="6"/>
  <c r="M2736" i="6"/>
  <c r="M2735" i="6"/>
  <c r="M2734" i="6"/>
  <c r="M2733" i="6"/>
  <c r="M2732" i="6"/>
  <c r="M2731" i="6"/>
  <c r="M2730" i="6"/>
  <c r="M2729" i="6"/>
  <c r="M2728" i="6"/>
  <c r="M2727" i="6"/>
  <c r="M2726" i="6"/>
  <c r="M2725" i="6"/>
  <c r="M2724" i="6"/>
  <c r="M2723" i="6"/>
  <c r="M2722" i="6"/>
  <c r="M2721" i="6"/>
  <c r="M2720" i="6"/>
  <c r="M2719" i="6"/>
  <c r="M2718" i="6"/>
  <c r="M2717" i="6"/>
  <c r="M2716" i="6"/>
  <c r="M2715" i="6"/>
  <c r="M2714" i="6"/>
  <c r="M2713" i="6"/>
  <c r="M2712" i="6"/>
  <c r="M2711" i="6"/>
  <c r="M2710" i="6"/>
  <c r="M2709" i="6"/>
  <c r="M2708" i="6"/>
  <c r="M2707" i="6"/>
  <c r="M2706" i="6"/>
  <c r="M2705" i="6"/>
  <c r="M2704" i="6"/>
  <c r="M2703" i="6"/>
  <c r="M2702" i="6"/>
  <c r="M2701" i="6"/>
  <c r="M2700" i="6"/>
  <c r="M2699" i="6"/>
  <c r="M2698" i="6"/>
  <c r="M2649" i="6"/>
  <c r="M2648" i="6"/>
  <c r="M2647" i="6"/>
  <c r="M2646" i="6"/>
  <c r="M2645" i="6"/>
  <c r="M2644" i="6"/>
  <c r="M2643" i="6"/>
  <c r="M2642" i="6"/>
  <c r="M2641" i="6"/>
  <c r="M2640" i="6"/>
  <c r="M2639" i="6"/>
  <c r="M2638" i="6"/>
  <c r="M2637" i="6"/>
  <c r="M2636" i="6"/>
  <c r="M2635" i="6"/>
  <c r="M2634" i="6"/>
  <c r="M2633" i="6"/>
  <c r="M2632" i="6"/>
  <c r="M2631" i="6"/>
  <c r="M2630" i="6"/>
  <c r="M2629" i="6"/>
  <c r="M2628" i="6"/>
  <c r="M2627" i="6"/>
  <c r="M2626" i="6"/>
  <c r="M2625" i="6"/>
  <c r="M2624" i="6"/>
  <c r="M2623" i="6"/>
  <c r="M2622" i="6"/>
  <c r="M2621" i="6"/>
  <c r="M2620" i="6"/>
  <c r="M2619" i="6"/>
  <c r="M2618" i="6"/>
  <c r="M2617" i="6"/>
  <c r="M2616" i="6"/>
  <c r="M2615" i="6"/>
  <c r="M2614" i="6"/>
  <c r="M2613" i="6"/>
  <c r="M2612" i="6"/>
  <c r="M2611" i="6"/>
  <c r="M2610" i="6"/>
  <c r="M2609" i="6"/>
  <c r="M2608" i="6"/>
  <c r="M2607" i="6"/>
  <c r="M2606" i="6"/>
  <c r="M2605" i="6"/>
  <c r="M2604" i="6"/>
  <c r="M2603" i="6"/>
  <c r="M2602" i="6"/>
  <c r="M2601" i="6"/>
  <c r="M2600" i="6"/>
  <c r="M2599" i="6"/>
  <c r="M2598" i="6"/>
  <c r="M2597" i="6"/>
  <c r="M2596" i="6"/>
  <c r="M2595" i="6"/>
  <c r="M2594" i="6"/>
  <c r="M2593" i="6"/>
  <c r="M2592" i="6"/>
  <c r="M2591" i="6"/>
  <c r="M2590" i="6"/>
  <c r="M2589" i="6"/>
  <c r="M2588" i="6"/>
  <c r="M2587" i="6"/>
  <c r="M2586" i="6"/>
  <c r="M2585" i="6"/>
  <c r="M2584" i="6"/>
  <c r="M2583" i="6"/>
  <c r="M2582" i="6"/>
  <c r="M2581" i="6"/>
  <c r="M2580" i="6"/>
  <c r="M2579" i="6"/>
  <c r="M2578" i="6"/>
  <c r="M2577" i="6"/>
  <c r="M2576" i="6"/>
  <c r="M2575" i="6"/>
  <c r="M2574" i="6"/>
  <c r="M2573" i="6"/>
  <c r="M2572" i="6"/>
  <c r="M2571" i="6"/>
  <c r="M2570" i="6"/>
  <c r="M2569" i="6"/>
  <c r="M2568" i="6"/>
  <c r="M2567" i="6"/>
  <c r="M2566" i="6"/>
  <c r="M2565" i="6"/>
  <c r="M2564" i="6"/>
  <c r="M2563" i="6"/>
  <c r="M2562" i="6"/>
  <c r="M2561" i="6"/>
  <c r="M2560" i="6"/>
  <c r="M2559" i="6"/>
  <c r="M2558" i="6"/>
  <c r="M2557" i="6"/>
  <c r="M2556" i="6"/>
  <c r="M2555" i="6"/>
  <c r="M2554" i="6"/>
  <c r="M2553" i="6"/>
  <c r="M2552" i="6"/>
  <c r="M2551" i="6"/>
  <c r="M2550" i="6"/>
  <c r="M2549" i="6"/>
  <c r="M2548" i="6"/>
  <c r="M2547" i="6"/>
  <c r="M2546" i="6"/>
  <c r="M2545" i="6"/>
  <c r="M2544" i="6"/>
  <c r="M2543" i="6"/>
  <c r="M2542" i="6"/>
  <c r="M2541" i="6"/>
  <c r="M2540" i="6"/>
  <c r="M2539" i="6"/>
  <c r="M2538" i="6"/>
  <c r="M2489" i="6"/>
  <c r="M2488" i="6"/>
  <c r="M2487" i="6"/>
  <c r="M2486" i="6"/>
  <c r="M2485" i="6"/>
  <c r="M2484" i="6"/>
  <c r="M2483" i="6"/>
  <c r="M2482" i="6"/>
  <c r="M2481" i="6"/>
  <c r="M2480" i="6"/>
  <c r="M2479" i="6"/>
  <c r="M2478" i="6"/>
  <c r="M2477" i="6"/>
  <c r="M2476" i="6"/>
  <c r="M2475" i="6"/>
  <c r="M2474" i="6"/>
  <c r="M2473" i="6"/>
  <c r="M2472" i="6"/>
  <c r="M2471" i="6"/>
  <c r="M2470" i="6"/>
  <c r="M2469" i="6"/>
  <c r="M2468" i="6"/>
  <c r="M2467" i="6"/>
  <c r="M2466" i="6"/>
  <c r="M2465" i="6"/>
  <c r="M2464" i="6"/>
  <c r="M2463" i="6"/>
  <c r="M2462" i="6"/>
  <c r="M2461" i="6"/>
  <c r="M2460" i="6"/>
  <c r="M2459" i="6"/>
  <c r="M2458" i="6"/>
  <c r="M2457" i="6"/>
  <c r="M2456" i="6"/>
  <c r="M2455" i="6"/>
  <c r="M2454" i="6"/>
  <c r="M2453" i="6"/>
  <c r="M2452" i="6"/>
  <c r="M2451" i="6"/>
  <c r="M2450" i="6"/>
  <c r="M2449" i="6"/>
  <c r="M2448" i="6"/>
  <c r="M2447" i="6"/>
  <c r="M2446" i="6"/>
  <c r="M2445" i="6"/>
  <c r="M2444" i="6"/>
  <c r="M2443" i="6"/>
  <c r="M2442" i="6"/>
  <c r="M2441" i="6"/>
  <c r="M2440" i="6"/>
  <c r="M2439" i="6"/>
  <c r="M2438" i="6"/>
  <c r="M2437" i="6"/>
  <c r="M2436" i="6"/>
  <c r="M2435" i="6"/>
  <c r="M2434" i="6"/>
  <c r="M2433" i="6"/>
  <c r="M2432" i="6"/>
  <c r="M2431" i="6"/>
  <c r="M2430" i="6"/>
  <c r="M2429" i="6"/>
  <c r="M2428" i="6"/>
  <c r="M2427" i="6"/>
  <c r="M2426" i="6"/>
  <c r="M2425" i="6"/>
  <c r="M2424" i="6"/>
  <c r="M2423" i="6"/>
  <c r="M2422" i="6"/>
  <c r="M2421" i="6"/>
  <c r="M2420" i="6"/>
  <c r="M2419" i="6"/>
  <c r="M2418" i="6"/>
  <c r="M2417" i="6"/>
  <c r="M2416" i="6"/>
  <c r="M2415" i="6"/>
  <c r="M2414" i="6"/>
  <c r="M2413" i="6"/>
  <c r="M2412" i="6"/>
  <c r="M2411" i="6"/>
  <c r="M2410" i="6"/>
  <c r="M2409" i="6"/>
  <c r="M2408" i="6"/>
  <c r="M2407" i="6"/>
  <c r="M2406" i="6"/>
  <c r="M2405" i="6"/>
  <c r="M2404" i="6"/>
  <c r="M2403" i="6"/>
  <c r="M2402" i="6"/>
  <c r="M2401" i="6"/>
  <c r="M2400" i="6"/>
  <c r="M2399" i="6"/>
  <c r="M2398" i="6"/>
  <c r="M2397" i="6"/>
  <c r="M2396" i="6"/>
  <c r="M2395" i="6"/>
  <c r="M2394" i="6"/>
  <c r="M2393" i="6"/>
  <c r="M2392" i="6"/>
  <c r="M2391" i="6"/>
  <c r="M2390" i="6"/>
  <c r="M2389" i="6"/>
  <c r="M2388" i="6"/>
  <c r="M2387" i="6"/>
  <c r="M2386" i="6"/>
  <c r="M2385" i="6"/>
  <c r="M2384" i="6"/>
  <c r="M2383" i="6"/>
  <c r="M2382" i="6"/>
  <c r="M2381" i="6"/>
  <c r="M2380" i="6"/>
  <c r="M2379" i="6"/>
  <c r="M2378" i="6"/>
  <c r="M2329" i="6"/>
  <c r="M2328" i="6"/>
  <c r="M2327" i="6"/>
  <c r="M2326" i="6"/>
  <c r="M2325" i="6"/>
  <c r="M2324" i="6"/>
  <c r="M2323" i="6"/>
  <c r="M2322" i="6"/>
  <c r="M2321" i="6"/>
  <c r="M2320" i="6"/>
  <c r="M2319" i="6"/>
  <c r="M2318" i="6"/>
  <c r="M2317" i="6"/>
  <c r="M2316" i="6"/>
  <c r="M2315" i="6"/>
  <c r="M2314" i="6"/>
  <c r="M2313" i="6"/>
  <c r="M2312" i="6"/>
  <c r="M2311" i="6"/>
  <c r="M2310" i="6"/>
  <c r="M2309" i="6"/>
  <c r="M2308" i="6"/>
  <c r="M2307" i="6"/>
  <c r="M2306" i="6"/>
  <c r="M2305" i="6"/>
  <c r="M2304" i="6"/>
  <c r="M2303" i="6"/>
  <c r="M2302" i="6"/>
  <c r="M2301" i="6"/>
  <c r="M2300" i="6"/>
  <c r="M2299" i="6"/>
  <c r="M2298" i="6"/>
  <c r="M2297" i="6"/>
  <c r="M2296" i="6"/>
  <c r="M2295" i="6"/>
  <c r="M2294" i="6"/>
  <c r="M2293" i="6"/>
  <c r="M2292" i="6"/>
  <c r="M2291" i="6"/>
  <c r="M2290" i="6"/>
  <c r="M2289" i="6"/>
  <c r="M2288" i="6"/>
  <c r="M2287" i="6"/>
  <c r="M2286" i="6"/>
  <c r="M2285" i="6"/>
  <c r="M2284" i="6"/>
  <c r="M2283" i="6"/>
  <c r="M2282" i="6"/>
  <c r="M2281" i="6"/>
  <c r="M2280" i="6"/>
  <c r="M2279" i="6"/>
  <c r="M2278" i="6"/>
  <c r="M2277" i="6"/>
  <c r="M2276" i="6"/>
  <c r="M2275" i="6"/>
  <c r="M2274" i="6"/>
  <c r="M2273" i="6"/>
  <c r="M2272" i="6"/>
  <c r="M2271" i="6"/>
  <c r="M2270" i="6"/>
  <c r="M2269" i="6"/>
  <c r="M2268" i="6"/>
  <c r="M2267" i="6"/>
  <c r="M2266" i="6"/>
  <c r="M2265" i="6"/>
  <c r="M2264" i="6"/>
  <c r="M2263" i="6"/>
  <c r="M2262" i="6"/>
  <c r="M2261" i="6"/>
  <c r="M2260" i="6"/>
  <c r="M2259" i="6"/>
  <c r="M2258" i="6"/>
  <c r="M2257" i="6"/>
  <c r="M2256" i="6"/>
  <c r="M2255" i="6"/>
  <c r="M2254" i="6"/>
  <c r="M2253" i="6"/>
  <c r="M2252" i="6"/>
  <c r="M2251" i="6"/>
  <c r="M2250" i="6"/>
  <c r="M2249" i="6"/>
  <c r="M2248" i="6"/>
  <c r="M2247" i="6"/>
  <c r="M2246" i="6"/>
  <c r="M2245" i="6"/>
  <c r="M2244" i="6"/>
  <c r="M2243" i="6"/>
  <c r="M2242" i="6"/>
  <c r="M2241" i="6"/>
  <c r="M2240" i="6"/>
  <c r="M2239" i="6"/>
  <c r="M2238" i="6"/>
  <c r="M2237" i="6"/>
  <c r="M2236" i="6"/>
  <c r="M2235" i="6"/>
  <c r="M2234" i="6"/>
  <c r="M2233" i="6"/>
  <c r="M2232" i="6"/>
  <c r="M2231" i="6"/>
  <c r="M2230" i="6"/>
  <c r="M2229" i="6"/>
  <c r="M2228" i="6"/>
  <c r="M2227" i="6"/>
  <c r="M2226" i="6"/>
  <c r="M2225" i="6"/>
  <c r="M2224" i="6"/>
  <c r="M2223" i="6"/>
  <c r="M2222" i="6"/>
  <c r="M2221" i="6"/>
  <c r="M2220" i="6"/>
  <c r="M2219" i="6"/>
  <c r="M2218" i="6"/>
  <c r="M2169" i="6"/>
  <c r="M2168" i="6"/>
  <c r="M2167" i="6"/>
  <c r="M2166" i="6"/>
  <c r="M2165" i="6"/>
  <c r="M2164" i="6"/>
  <c r="M2163" i="6"/>
  <c r="M2162" i="6"/>
  <c r="M2161" i="6"/>
  <c r="M2160" i="6"/>
  <c r="M2159" i="6"/>
  <c r="M2158" i="6"/>
  <c r="M2157" i="6"/>
  <c r="M2156" i="6"/>
  <c r="M2155" i="6"/>
  <c r="M2154" i="6"/>
  <c r="M2153" i="6"/>
  <c r="M2152" i="6"/>
  <c r="M2151" i="6"/>
  <c r="M2150" i="6"/>
  <c r="M2149" i="6"/>
  <c r="M2148" i="6"/>
  <c r="M2147" i="6"/>
  <c r="M2146" i="6"/>
  <c r="M2145" i="6"/>
  <c r="M2144" i="6"/>
  <c r="M2143" i="6"/>
  <c r="M2142" i="6"/>
  <c r="M2141" i="6"/>
  <c r="M2140" i="6"/>
  <c r="M2139" i="6"/>
  <c r="M2138" i="6"/>
  <c r="M2137" i="6"/>
  <c r="M2136" i="6"/>
  <c r="M2135" i="6"/>
  <c r="M2134" i="6"/>
  <c r="M2133" i="6"/>
  <c r="M2132" i="6"/>
  <c r="M2131" i="6"/>
  <c r="M2130" i="6"/>
  <c r="M2129" i="6"/>
  <c r="M2128" i="6"/>
  <c r="M2127" i="6"/>
  <c r="M2126" i="6"/>
  <c r="M2125" i="6"/>
  <c r="M2124" i="6"/>
  <c r="M2123" i="6"/>
  <c r="M2122" i="6"/>
  <c r="M2121" i="6"/>
  <c r="M2120" i="6"/>
  <c r="M2119" i="6"/>
  <c r="M2118" i="6"/>
  <c r="M2117" i="6"/>
  <c r="M2116" i="6"/>
  <c r="M2115" i="6"/>
  <c r="M2114" i="6"/>
  <c r="M2113" i="6"/>
  <c r="M2112" i="6"/>
  <c r="M2111" i="6"/>
  <c r="M2110" i="6"/>
  <c r="M2109" i="6"/>
  <c r="M2108" i="6"/>
  <c r="M2107" i="6"/>
  <c r="M2106" i="6"/>
  <c r="M2105" i="6"/>
  <c r="M2104" i="6"/>
  <c r="M2103" i="6"/>
  <c r="M2102" i="6"/>
  <c r="M2101" i="6"/>
  <c r="M2100" i="6"/>
  <c r="M2099" i="6"/>
  <c r="M2098" i="6"/>
  <c r="M2097" i="6"/>
  <c r="M2096" i="6"/>
  <c r="M2095" i="6"/>
  <c r="M2094" i="6"/>
  <c r="M2093" i="6"/>
  <c r="M2092" i="6"/>
  <c r="M2091" i="6"/>
  <c r="M2090" i="6"/>
  <c r="M2089" i="6"/>
  <c r="M2088" i="6"/>
  <c r="M2087" i="6"/>
  <c r="M2086" i="6"/>
  <c r="M2085" i="6"/>
  <c r="M2084" i="6"/>
  <c r="M2083" i="6"/>
  <c r="M2082" i="6"/>
  <c r="M2081" i="6"/>
  <c r="M2080" i="6"/>
  <c r="M2079" i="6"/>
  <c r="M2078" i="6"/>
  <c r="M2077" i="6"/>
  <c r="M2076" i="6"/>
  <c r="M2075" i="6"/>
  <c r="M2074" i="6"/>
  <c r="M2073" i="6"/>
  <c r="M2072" i="6"/>
  <c r="M2071" i="6"/>
  <c r="M2070" i="6"/>
  <c r="M2069" i="6"/>
  <c r="M2068" i="6"/>
  <c r="M2067" i="6"/>
  <c r="M2066" i="6"/>
  <c r="M2065" i="6"/>
  <c r="M2064" i="6"/>
  <c r="M2063" i="6"/>
  <c r="M2062" i="6"/>
  <c r="M2061" i="6"/>
  <c r="M2060" i="6"/>
  <c r="M2059" i="6"/>
  <c r="M2058" i="6"/>
  <c r="M2009" i="6"/>
  <c r="M2008" i="6"/>
  <c r="M2007" i="6"/>
  <c r="M2006" i="6"/>
  <c r="M2005" i="6"/>
  <c r="M2004" i="6"/>
  <c r="M2003" i="6"/>
  <c r="M2002" i="6"/>
  <c r="M2001" i="6"/>
  <c r="M2000" i="6"/>
  <c r="M1999" i="6"/>
  <c r="M1998" i="6"/>
  <c r="M1997" i="6"/>
  <c r="M1996" i="6"/>
  <c r="M1995" i="6"/>
  <c r="M1994" i="6"/>
  <c r="M1993" i="6"/>
  <c r="M1992" i="6"/>
  <c r="M1991" i="6"/>
  <c r="M1990" i="6"/>
  <c r="M1989" i="6"/>
  <c r="M1988" i="6"/>
  <c r="M1987" i="6"/>
  <c r="M1986" i="6"/>
  <c r="M1985" i="6"/>
  <c r="M1984" i="6"/>
  <c r="M1983" i="6"/>
  <c r="M1982" i="6"/>
  <c r="M1981" i="6"/>
  <c r="M1980" i="6"/>
  <c r="M1979" i="6"/>
  <c r="M1978" i="6"/>
  <c r="M1977" i="6"/>
  <c r="M1976" i="6"/>
  <c r="M1975" i="6"/>
  <c r="M1974" i="6"/>
  <c r="M1973" i="6"/>
  <c r="M1972" i="6"/>
  <c r="M1971" i="6"/>
  <c r="M1970" i="6"/>
  <c r="M1969" i="6"/>
  <c r="M1968" i="6"/>
  <c r="M1967" i="6"/>
  <c r="M1966" i="6"/>
  <c r="M1965" i="6"/>
  <c r="M1964" i="6"/>
  <c r="M1963" i="6"/>
  <c r="M1962" i="6"/>
  <c r="M1961" i="6"/>
  <c r="M1960" i="6"/>
  <c r="M1959" i="6"/>
  <c r="M1958" i="6"/>
  <c r="M1957" i="6"/>
  <c r="M1956" i="6"/>
  <c r="M1955" i="6"/>
  <c r="M1954" i="6"/>
  <c r="M1953" i="6"/>
  <c r="M1952" i="6"/>
  <c r="M1951" i="6"/>
  <c r="M1950" i="6"/>
  <c r="M1949" i="6"/>
  <c r="M1948" i="6"/>
  <c r="M1947" i="6"/>
  <c r="M1946" i="6"/>
  <c r="M1945" i="6"/>
  <c r="M1944" i="6"/>
  <c r="M1943" i="6"/>
  <c r="M1942" i="6"/>
  <c r="M1941" i="6"/>
  <c r="M1940" i="6"/>
  <c r="M1939" i="6"/>
  <c r="M1938" i="6"/>
  <c r="M1937" i="6"/>
  <c r="M1936" i="6"/>
  <c r="M1935" i="6"/>
  <c r="M1934" i="6"/>
  <c r="M1933" i="6"/>
  <c r="M1932" i="6"/>
  <c r="M1931" i="6"/>
  <c r="M1930" i="6"/>
  <c r="M1929" i="6"/>
  <c r="M1928" i="6"/>
  <c r="M1927" i="6"/>
  <c r="M1926" i="6"/>
  <c r="M1925" i="6"/>
  <c r="M1924" i="6"/>
  <c r="M1923" i="6"/>
  <c r="M1922" i="6"/>
  <c r="M1921" i="6"/>
  <c r="M1920" i="6"/>
  <c r="M1919" i="6"/>
  <c r="M1918" i="6"/>
  <c r="M1917" i="6"/>
  <c r="M1916" i="6"/>
  <c r="M1915" i="6"/>
  <c r="M1914" i="6"/>
  <c r="M1913" i="6"/>
  <c r="M1912" i="6"/>
  <c r="M1911" i="6"/>
  <c r="M1910" i="6"/>
  <c r="M1909" i="6"/>
  <c r="M1908" i="6"/>
  <c r="M1907" i="6"/>
  <c r="M1906" i="6"/>
  <c r="M1905" i="6"/>
  <c r="M1904" i="6"/>
  <c r="M1903" i="6"/>
  <c r="M1902" i="6"/>
  <c r="M1901" i="6"/>
  <c r="M1900" i="6"/>
  <c r="M1899" i="6"/>
  <c r="M1898" i="6"/>
  <c r="M1849" i="6"/>
  <c r="M1848" i="6"/>
  <c r="M1847" i="6"/>
  <c r="M1846" i="6"/>
  <c r="M1845" i="6"/>
  <c r="M1844" i="6"/>
  <c r="M1843" i="6"/>
  <c r="M1842" i="6"/>
  <c r="M1841" i="6"/>
  <c r="M1840" i="6"/>
  <c r="M1839" i="6"/>
  <c r="M1838" i="6"/>
  <c r="M1837" i="6"/>
  <c r="M1836" i="6"/>
  <c r="M1835" i="6"/>
  <c r="M1834" i="6"/>
  <c r="M1833" i="6"/>
  <c r="M1832" i="6"/>
  <c r="M1831" i="6"/>
  <c r="M1830" i="6"/>
  <c r="M1829" i="6"/>
  <c r="M1828" i="6"/>
  <c r="M1827" i="6"/>
  <c r="M1826" i="6"/>
  <c r="M1825" i="6"/>
  <c r="M1824" i="6"/>
  <c r="M1823" i="6"/>
  <c r="M1822" i="6"/>
  <c r="M1821" i="6"/>
  <c r="M1820" i="6"/>
  <c r="M1819" i="6"/>
  <c r="M1818" i="6"/>
  <c r="M1817" i="6"/>
  <c r="M1816" i="6"/>
  <c r="M1815" i="6"/>
  <c r="M1814" i="6"/>
  <c r="M1813" i="6"/>
  <c r="M1812" i="6"/>
  <c r="M1811" i="6"/>
  <c r="M1810" i="6"/>
  <c r="M1809" i="6"/>
  <c r="M1808" i="6"/>
  <c r="M1807" i="6"/>
  <c r="M1806" i="6"/>
  <c r="M1805" i="6"/>
  <c r="M1804" i="6"/>
  <c r="M1803" i="6"/>
  <c r="M1802" i="6"/>
  <c r="M1801" i="6"/>
  <c r="M1800" i="6"/>
  <c r="M1799" i="6"/>
  <c r="M1798" i="6"/>
  <c r="M1797" i="6"/>
  <c r="M1796" i="6"/>
  <c r="M1795" i="6"/>
  <c r="M1794" i="6"/>
  <c r="M1793" i="6"/>
  <c r="M1792" i="6"/>
  <c r="M1791" i="6"/>
  <c r="M1790" i="6"/>
  <c r="M1789" i="6"/>
  <c r="M1788" i="6"/>
  <c r="M1787" i="6"/>
  <c r="M1786" i="6"/>
  <c r="M1785" i="6"/>
  <c r="M1784" i="6"/>
  <c r="M1783" i="6"/>
  <c r="M1782" i="6"/>
  <c r="M1781" i="6"/>
  <c r="M1780" i="6"/>
  <c r="M1779" i="6"/>
  <c r="M1778" i="6"/>
  <c r="M1777" i="6"/>
  <c r="M1776" i="6"/>
  <c r="M1775" i="6"/>
  <c r="M1774" i="6"/>
  <c r="M1773" i="6"/>
  <c r="M1772" i="6"/>
  <c r="M1771" i="6"/>
  <c r="M1770" i="6"/>
  <c r="M1769" i="6"/>
  <c r="M1768" i="6"/>
  <c r="M1767" i="6"/>
  <c r="M1766" i="6"/>
  <c r="M1765" i="6"/>
  <c r="M1764" i="6"/>
  <c r="M1763" i="6"/>
  <c r="M1762" i="6"/>
  <c r="M1761" i="6"/>
  <c r="M1760" i="6"/>
  <c r="M1759" i="6"/>
  <c r="M1758" i="6"/>
  <c r="M1757" i="6"/>
  <c r="M1756" i="6"/>
  <c r="M1755" i="6"/>
  <c r="M1754" i="6"/>
  <c r="M1753" i="6"/>
  <c r="M1752" i="6"/>
  <c r="M1751" i="6"/>
  <c r="M1750" i="6"/>
  <c r="M1749" i="6"/>
  <c r="M1748" i="6"/>
  <c r="M1747" i="6"/>
  <c r="M1746" i="6"/>
  <c r="M1745" i="6"/>
  <c r="M1744" i="6"/>
  <c r="M1743" i="6"/>
  <c r="M1742" i="6"/>
  <c r="M1741" i="6"/>
  <c r="M1740" i="6"/>
  <c r="M1739" i="6"/>
  <c r="M1738" i="6"/>
  <c r="M1737" i="6"/>
  <c r="M1736" i="6"/>
  <c r="M1735" i="6"/>
  <c r="M1734" i="6"/>
  <c r="M1733" i="6"/>
  <c r="M1732" i="6"/>
  <c r="M1731" i="6"/>
  <c r="M1730" i="6"/>
  <c r="M1729" i="6"/>
  <c r="M1728" i="6"/>
  <c r="M1727" i="6"/>
  <c r="M1726" i="6"/>
  <c r="M1725" i="6"/>
  <c r="M1724" i="6"/>
  <c r="M1723" i="6"/>
  <c r="M1722" i="6"/>
  <c r="M1721" i="6"/>
  <c r="M1720" i="6"/>
  <c r="M1719" i="6"/>
  <c r="M1718" i="6"/>
  <c r="M1717" i="6"/>
  <c r="M1716" i="6"/>
  <c r="M1715" i="6"/>
  <c r="M1714" i="6"/>
  <c r="M1713" i="6"/>
  <c r="M1712" i="6"/>
  <c r="M1711" i="6"/>
  <c r="M1710" i="6"/>
  <c r="M1709" i="6"/>
  <c r="M1708" i="6"/>
  <c r="M1707" i="6"/>
  <c r="M1706" i="6"/>
  <c r="M1705" i="6"/>
  <c r="M1704" i="6"/>
  <c r="M1703" i="6"/>
  <c r="M1702" i="6"/>
  <c r="M1701" i="6"/>
  <c r="M1700" i="6"/>
  <c r="M1699" i="6"/>
  <c r="M1698" i="6"/>
  <c r="M1697" i="6"/>
  <c r="M1696" i="6"/>
  <c r="M1695" i="6"/>
  <c r="M1694" i="6"/>
  <c r="M1693" i="6"/>
  <c r="M1692" i="6"/>
  <c r="M1691" i="6"/>
  <c r="M1690" i="6"/>
  <c r="M1689" i="6"/>
  <c r="M1688" i="6"/>
  <c r="M1687" i="6"/>
  <c r="M1686" i="6"/>
  <c r="M1685" i="6"/>
  <c r="M1684" i="6"/>
  <c r="M1683" i="6"/>
  <c r="M1682" i="6"/>
  <c r="M1681" i="6"/>
  <c r="M1680" i="6"/>
  <c r="M1679" i="6"/>
  <c r="M1678" i="6"/>
  <c r="M1677" i="6"/>
  <c r="M1676" i="6"/>
  <c r="M1675" i="6"/>
  <c r="M1674" i="6"/>
  <c r="M1673" i="6"/>
  <c r="M1672" i="6"/>
  <c r="M1671" i="6"/>
  <c r="M1670" i="6"/>
  <c r="M1669" i="6"/>
  <c r="M1668" i="6"/>
  <c r="M1667" i="6"/>
  <c r="M1666" i="6"/>
  <c r="M1665" i="6"/>
  <c r="M1664" i="6"/>
  <c r="M1663" i="6"/>
  <c r="M1662" i="6"/>
  <c r="M1661" i="6"/>
  <c r="M1660" i="6"/>
  <c r="M1659" i="6"/>
  <c r="M1658" i="6"/>
  <c r="M1657" i="6"/>
  <c r="M1656" i="6"/>
  <c r="M1655" i="6"/>
  <c r="M1654" i="6"/>
  <c r="M1653" i="6"/>
  <c r="M1652" i="6"/>
  <c r="M1651" i="6"/>
  <c r="M1650" i="6"/>
  <c r="M1649" i="6"/>
  <c r="M1648" i="6"/>
  <c r="M1647" i="6"/>
  <c r="M1646" i="6"/>
  <c r="M1645" i="6"/>
  <c r="M1644" i="6"/>
  <c r="M1643" i="6"/>
  <c r="M1642" i="6"/>
  <c r="M1641" i="6"/>
  <c r="M1640" i="6"/>
  <c r="M1639" i="6"/>
  <c r="M1638" i="6"/>
  <c r="M1637" i="6"/>
  <c r="M1636" i="6"/>
  <c r="M1635" i="6"/>
  <c r="M1634" i="6"/>
  <c r="M1633" i="6"/>
  <c r="M1632" i="6"/>
  <c r="M1631" i="6"/>
  <c r="M1630" i="6"/>
  <c r="M1629" i="6"/>
  <c r="M1628" i="6"/>
  <c r="M1627" i="6"/>
  <c r="M1626" i="6"/>
  <c r="M1625" i="6"/>
  <c r="M1624" i="6"/>
  <c r="M1623" i="6"/>
  <c r="M1622" i="6"/>
  <c r="M1621" i="6"/>
  <c r="M1620" i="6"/>
  <c r="M1619" i="6"/>
  <c r="M1618" i="6"/>
  <c r="M1617" i="6"/>
  <c r="M1616" i="6"/>
  <c r="M1615" i="6"/>
  <c r="M1614" i="6"/>
  <c r="M1613" i="6"/>
  <c r="M1612" i="6"/>
  <c r="M1611" i="6"/>
  <c r="M1610" i="6"/>
  <c r="M1609" i="6"/>
  <c r="M1608" i="6"/>
  <c r="M1607" i="6"/>
  <c r="M1606" i="6"/>
  <c r="M1605" i="6"/>
  <c r="M1604" i="6"/>
  <c r="M1603" i="6"/>
  <c r="M1602" i="6"/>
  <c r="M1601" i="6"/>
  <c r="M1600" i="6"/>
  <c r="M1599" i="6"/>
  <c r="M1598" i="6"/>
  <c r="M1597" i="6"/>
  <c r="M1596" i="6"/>
  <c r="M1595" i="6"/>
  <c r="M1594" i="6"/>
  <c r="M1593" i="6"/>
  <c r="M1592" i="6"/>
  <c r="M1591" i="6"/>
  <c r="M1590" i="6"/>
  <c r="M1589" i="6"/>
  <c r="M1588" i="6"/>
  <c r="M1587" i="6"/>
  <c r="M1586" i="6"/>
  <c r="M1585" i="6"/>
  <c r="M1584" i="6"/>
  <c r="M1583" i="6"/>
  <c r="M1582" i="6"/>
  <c r="M1581" i="6"/>
  <c r="M1580" i="6"/>
  <c r="M1579" i="6"/>
  <c r="M1578" i="6"/>
  <c r="M1577" i="6"/>
  <c r="M1576" i="6"/>
  <c r="M1575" i="6"/>
  <c r="M1574" i="6"/>
  <c r="M1573" i="6"/>
  <c r="M1572" i="6"/>
  <c r="M1571" i="6"/>
  <c r="M1570" i="6"/>
  <c r="M1569" i="6"/>
  <c r="M1568" i="6"/>
  <c r="M1567" i="6"/>
  <c r="M1566" i="6"/>
  <c r="M1565" i="6"/>
  <c r="M1564" i="6"/>
  <c r="M1563" i="6"/>
  <c r="M1562" i="6"/>
  <c r="M1561" i="6"/>
  <c r="M1560" i="6"/>
  <c r="M1559" i="6"/>
  <c r="M1558" i="6"/>
  <c r="M1557" i="6"/>
  <c r="M1556" i="6"/>
  <c r="M1555" i="6"/>
  <c r="M1554" i="6"/>
  <c r="M1553" i="6"/>
  <c r="M1552" i="6"/>
  <c r="M1551" i="6"/>
  <c r="M1550" i="6"/>
  <c r="M1549" i="6"/>
  <c r="M1548" i="6"/>
  <c r="M1547" i="6"/>
  <c r="M1546" i="6"/>
  <c r="M1545" i="6"/>
  <c r="M1544" i="6"/>
  <c r="M1543" i="6"/>
  <c r="M1542" i="6"/>
  <c r="M1541" i="6"/>
  <c r="M1540" i="6"/>
  <c r="M1539" i="6"/>
  <c r="M1538" i="6"/>
  <c r="M1537" i="6"/>
  <c r="M1536" i="6"/>
  <c r="M1535" i="6"/>
  <c r="M1534" i="6"/>
  <c r="M1533" i="6"/>
  <c r="M1532" i="6"/>
  <c r="M1531" i="6"/>
  <c r="M1530" i="6"/>
  <c r="M1529" i="6"/>
  <c r="M1528" i="6"/>
  <c r="M1527" i="6"/>
  <c r="M1526" i="6"/>
  <c r="M1525" i="6"/>
  <c r="M1524" i="6"/>
  <c r="M1523" i="6"/>
  <c r="M1522" i="6"/>
  <c r="M1521" i="6"/>
  <c r="M1520" i="6"/>
  <c r="M1519" i="6"/>
  <c r="M1518" i="6"/>
  <c r="M1517" i="6"/>
  <c r="M1516" i="6"/>
  <c r="M1515" i="6"/>
  <c r="M1514" i="6"/>
  <c r="M1513" i="6"/>
  <c r="M1512" i="6"/>
  <c r="M1511" i="6"/>
  <c r="M1510" i="6"/>
  <c r="M1509" i="6"/>
  <c r="M1508" i="6"/>
  <c r="M1507" i="6"/>
  <c r="M1506" i="6"/>
  <c r="M1505" i="6"/>
  <c r="M1504" i="6"/>
  <c r="M1503" i="6"/>
  <c r="M1502" i="6"/>
  <c r="M1501" i="6"/>
  <c r="M1500" i="6"/>
  <c r="M1499" i="6"/>
  <c r="M1498" i="6"/>
  <c r="M1497" i="6"/>
  <c r="M1496" i="6"/>
  <c r="M1495" i="6"/>
  <c r="M1494" i="6"/>
  <c r="M1493" i="6"/>
  <c r="M1492" i="6"/>
  <c r="M1491" i="6"/>
  <c r="M1490" i="6"/>
  <c r="M1489" i="6"/>
  <c r="M1488" i="6"/>
  <c r="M1487" i="6"/>
  <c r="M1486" i="6"/>
  <c r="M1485" i="6"/>
  <c r="M1484" i="6"/>
  <c r="M1483" i="6"/>
  <c r="M1482" i="6"/>
  <c r="M1481" i="6"/>
  <c r="M1480" i="6"/>
  <c r="M1479" i="6"/>
  <c r="M1478" i="6"/>
  <c r="M1477" i="6"/>
  <c r="M1476" i="6"/>
  <c r="M1475" i="6"/>
  <c r="M1474" i="6"/>
  <c r="M1473" i="6"/>
  <c r="M1472" i="6"/>
  <c r="M1471" i="6"/>
  <c r="M1470" i="6"/>
  <c r="M1469" i="6"/>
  <c r="M1468" i="6"/>
  <c r="M1467" i="6"/>
  <c r="M1466" i="6"/>
  <c r="M1465" i="6"/>
  <c r="M1464" i="6"/>
  <c r="M1463" i="6"/>
  <c r="M1462" i="6"/>
  <c r="M1461" i="6"/>
  <c r="M1460" i="6"/>
  <c r="M1459" i="6"/>
  <c r="M1458" i="6"/>
  <c r="M1457" i="6"/>
  <c r="M1456" i="6"/>
  <c r="M1455" i="6"/>
  <c r="M1454" i="6"/>
  <c r="M1453" i="6"/>
  <c r="M1452" i="6"/>
  <c r="M1451" i="6"/>
  <c r="M1450" i="6"/>
  <c r="M1449" i="6"/>
  <c r="M1448" i="6"/>
  <c r="M1447" i="6"/>
  <c r="M1446" i="6"/>
  <c r="M1445" i="6"/>
  <c r="M1444" i="6"/>
  <c r="M1443" i="6"/>
  <c r="M1442" i="6"/>
  <c r="M1441" i="6"/>
  <c r="M1440" i="6"/>
  <c r="M1439" i="6"/>
  <c r="M1438" i="6"/>
  <c r="M1437" i="6"/>
  <c r="M1436" i="6"/>
  <c r="M1435" i="6"/>
  <c r="M1434" i="6"/>
  <c r="M1433" i="6"/>
  <c r="M1432" i="6"/>
  <c r="M1431" i="6"/>
  <c r="M1430" i="6"/>
  <c r="M1429" i="6"/>
  <c r="M1428" i="6"/>
  <c r="M1427" i="6"/>
  <c r="M1426" i="6"/>
  <c r="M1425" i="6"/>
  <c r="M1424" i="6"/>
  <c r="M1423" i="6"/>
  <c r="M1422" i="6"/>
  <c r="M1421" i="6"/>
  <c r="M1420" i="6"/>
  <c r="M1419" i="6"/>
  <c r="M1418" i="6"/>
  <c r="M1417" i="6"/>
  <c r="M1416" i="6"/>
  <c r="M1415" i="6"/>
  <c r="M1414" i="6"/>
  <c r="M1413" i="6"/>
  <c r="M1412" i="6"/>
  <c r="M1411" i="6"/>
  <c r="M1410" i="6"/>
  <c r="M1409" i="6"/>
  <c r="M1408" i="6"/>
  <c r="M1407" i="6"/>
  <c r="M1406" i="6"/>
  <c r="M1405" i="6"/>
  <c r="M1404" i="6"/>
  <c r="M1403" i="6"/>
  <c r="M1402" i="6"/>
  <c r="M1401" i="6"/>
  <c r="M1400" i="6"/>
  <c r="M1399" i="6"/>
  <c r="M1398" i="6"/>
  <c r="M1397" i="6"/>
  <c r="M1396" i="6"/>
  <c r="M1395" i="6"/>
  <c r="M1394" i="6"/>
  <c r="M1393" i="6"/>
  <c r="M1392" i="6"/>
  <c r="M1391" i="6"/>
  <c r="M1390" i="6"/>
  <c r="M1389" i="6"/>
  <c r="M1388" i="6"/>
  <c r="M1387" i="6"/>
  <c r="M1386" i="6"/>
  <c r="M1385" i="6"/>
  <c r="M1384" i="6"/>
  <c r="M1383" i="6"/>
  <c r="M1382" i="6"/>
  <c r="M1381" i="6"/>
  <c r="M1380" i="6"/>
  <c r="M1379" i="6"/>
  <c r="M1378" i="6"/>
  <c r="M1377" i="6"/>
  <c r="M1376" i="6"/>
  <c r="M1375" i="6"/>
  <c r="M1374" i="6"/>
  <c r="M1373" i="6"/>
  <c r="M1372" i="6"/>
  <c r="M1371" i="6"/>
  <c r="M1370" i="6"/>
  <c r="M1369" i="6"/>
  <c r="M1368" i="6"/>
  <c r="M1367" i="6"/>
  <c r="M1366" i="6"/>
  <c r="M1365" i="6"/>
  <c r="M1364" i="6"/>
  <c r="M1363" i="6"/>
  <c r="M1362" i="6"/>
  <c r="M1361" i="6"/>
  <c r="M1360" i="6"/>
  <c r="M1359" i="6"/>
  <c r="M1358" i="6"/>
  <c r="M1357" i="6"/>
  <c r="M1356" i="6"/>
  <c r="M1355" i="6"/>
  <c r="M1354" i="6"/>
  <c r="M1353" i="6"/>
  <c r="M1352" i="6"/>
  <c r="M1351" i="6"/>
  <c r="M1350" i="6"/>
  <c r="M1349" i="6"/>
  <c r="M1348" i="6"/>
  <c r="M1347" i="6"/>
  <c r="M1346" i="6"/>
  <c r="M1345" i="6"/>
  <c r="M1344" i="6"/>
  <c r="M1343" i="6"/>
  <c r="M1342" i="6"/>
  <c r="M1341" i="6"/>
  <c r="M1340" i="6"/>
  <c r="M1339" i="6"/>
  <c r="M1338" i="6"/>
  <c r="M1337" i="6"/>
  <c r="M1336" i="6"/>
  <c r="M1335" i="6"/>
  <c r="M1334" i="6"/>
  <c r="M1333" i="6"/>
  <c r="M1332" i="6"/>
  <c r="M1331" i="6"/>
  <c r="M1330" i="6"/>
  <c r="M1329" i="6"/>
  <c r="M1328" i="6"/>
  <c r="M1327" i="6"/>
  <c r="M1326" i="6"/>
  <c r="M1325" i="6"/>
  <c r="M1324" i="6"/>
  <c r="M1323" i="6"/>
  <c r="M1322" i="6"/>
  <c r="M1321" i="6"/>
  <c r="M1320" i="6"/>
  <c r="M1319" i="6"/>
  <c r="M1318" i="6"/>
  <c r="M1317" i="6"/>
  <c r="M1316" i="6"/>
  <c r="M1315" i="6"/>
  <c r="M1314" i="6"/>
  <c r="M1313" i="6"/>
  <c r="M1312" i="6"/>
  <c r="M1311" i="6"/>
  <c r="M1310" i="6"/>
  <c r="M1309" i="6"/>
  <c r="M1308" i="6"/>
  <c r="M1307" i="6"/>
  <c r="M1306" i="6"/>
  <c r="M1305" i="6"/>
  <c r="M1304" i="6"/>
  <c r="M1303" i="6"/>
  <c r="M1302" i="6"/>
  <c r="M1301" i="6"/>
  <c r="M1300" i="6"/>
  <c r="M1299" i="6"/>
  <c r="M1298" i="6"/>
  <c r="M1297" i="6"/>
  <c r="M1296" i="6"/>
  <c r="M1295" i="6"/>
  <c r="M1294" i="6"/>
  <c r="M1293" i="6"/>
  <c r="M1292" i="6"/>
  <c r="M1291" i="6"/>
  <c r="M1290" i="6"/>
  <c r="M1289" i="6"/>
  <c r="M1288" i="6"/>
  <c r="M1287" i="6"/>
  <c r="M1286" i="6"/>
  <c r="M1285" i="6"/>
  <c r="M1284" i="6"/>
  <c r="M1283" i="6"/>
  <c r="M1282" i="6"/>
  <c r="M1281" i="6"/>
  <c r="M1280" i="6"/>
  <c r="M1279" i="6"/>
  <c r="M1278" i="6"/>
  <c r="M1277" i="6"/>
  <c r="M1276" i="6"/>
  <c r="M1275" i="6"/>
  <c r="M1274" i="6"/>
  <c r="M1273" i="6"/>
  <c r="M1272" i="6"/>
  <c r="M1271" i="6"/>
  <c r="M1270" i="6"/>
  <c r="M1269" i="6"/>
  <c r="M1268" i="6"/>
  <c r="M1267" i="6"/>
  <c r="M1266" i="6"/>
  <c r="M1265" i="6"/>
  <c r="M1264" i="6"/>
  <c r="M1263" i="6"/>
  <c r="M1262" i="6"/>
  <c r="M1261" i="6"/>
  <c r="M1260" i="6"/>
  <c r="M1259" i="6"/>
  <c r="M1258" i="6"/>
  <c r="M1257" i="6"/>
  <c r="M1256" i="6"/>
  <c r="M1255" i="6"/>
  <c r="M1254" i="6"/>
  <c r="M1253" i="6"/>
  <c r="M1252" i="6"/>
  <c r="M1251" i="6"/>
  <c r="M1250" i="6"/>
  <c r="M1249" i="6"/>
  <c r="M1248" i="6"/>
  <c r="M1247" i="6"/>
  <c r="M1246" i="6"/>
  <c r="M1245" i="6"/>
  <c r="M1244" i="6"/>
  <c r="M1243" i="6"/>
  <c r="M1242" i="6"/>
  <c r="M1241" i="6"/>
  <c r="M1240" i="6"/>
  <c r="M1239" i="6"/>
  <c r="M1238" i="6"/>
  <c r="M1237" i="6"/>
  <c r="M1236" i="6"/>
  <c r="M1235" i="6"/>
  <c r="M1234" i="6"/>
  <c r="M1233" i="6"/>
  <c r="M1232" i="6"/>
  <c r="M1231" i="6"/>
  <c r="M1230" i="6"/>
  <c r="M1229" i="6"/>
  <c r="M1228" i="6"/>
  <c r="M1227" i="6"/>
  <c r="M1226" i="6"/>
  <c r="M1225" i="6"/>
  <c r="M1224" i="6"/>
  <c r="M1223" i="6"/>
  <c r="M1222" i="6"/>
  <c r="M1221" i="6"/>
  <c r="M1220" i="6"/>
  <c r="M1219" i="6"/>
  <c r="M1218" i="6"/>
  <c r="M1217" i="6"/>
  <c r="M1216" i="6"/>
  <c r="M1215" i="6"/>
  <c r="M1214" i="6"/>
  <c r="M1213" i="6"/>
  <c r="M1212" i="6"/>
  <c r="M1211" i="6"/>
  <c r="M1210" i="6"/>
  <c r="M1209" i="6"/>
  <c r="M1208" i="6"/>
  <c r="M1207" i="6"/>
  <c r="M1206" i="6"/>
  <c r="M1205" i="6"/>
  <c r="M1204" i="6"/>
  <c r="M1203" i="6"/>
  <c r="M1202" i="6"/>
  <c r="M1201" i="6"/>
  <c r="M1200" i="6"/>
  <c r="M1199" i="6"/>
  <c r="M1198" i="6"/>
  <c r="M1197" i="6"/>
  <c r="M1196" i="6"/>
  <c r="M1195" i="6"/>
  <c r="M1194" i="6"/>
  <c r="M1193" i="6"/>
  <c r="M1192" i="6"/>
  <c r="M1191" i="6"/>
  <c r="M1190" i="6"/>
  <c r="M1189" i="6"/>
  <c r="M1188" i="6"/>
  <c r="M1187" i="6"/>
  <c r="M1186" i="6"/>
  <c r="M1185" i="6"/>
  <c r="M1184" i="6"/>
  <c r="M1183" i="6"/>
  <c r="M1182" i="6"/>
  <c r="M1181" i="6"/>
  <c r="M1180" i="6"/>
  <c r="M1179" i="6"/>
  <c r="M1178" i="6"/>
  <c r="M1177" i="6"/>
  <c r="M1176" i="6"/>
  <c r="M1175" i="6"/>
  <c r="M1174" i="6"/>
  <c r="M1173" i="6"/>
  <c r="M1172" i="6"/>
  <c r="M1171" i="6"/>
  <c r="M1170" i="6"/>
  <c r="M1169" i="6"/>
  <c r="M1168" i="6"/>
  <c r="M1167" i="6"/>
  <c r="M1166" i="6"/>
  <c r="M1165" i="6"/>
  <c r="M1164" i="6"/>
  <c r="M1163" i="6"/>
  <c r="M1162" i="6"/>
  <c r="M1161" i="6"/>
  <c r="M1160" i="6"/>
  <c r="M1159" i="6"/>
  <c r="M1158" i="6"/>
  <c r="M1157" i="6"/>
  <c r="M1156" i="6"/>
  <c r="M1155" i="6"/>
  <c r="M1154" i="6"/>
  <c r="M1153" i="6"/>
  <c r="M1152" i="6"/>
  <c r="M1151" i="6"/>
  <c r="M1150" i="6"/>
  <c r="M1149" i="6"/>
  <c r="M1148" i="6"/>
  <c r="M1147" i="6"/>
  <c r="M1146" i="6"/>
  <c r="M1145" i="6"/>
  <c r="M1144" i="6"/>
  <c r="M1143" i="6"/>
  <c r="M1142" i="6"/>
  <c r="M1141" i="6"/>
  <c r="M1140" i="6"/>
  <c r="M1139" i="6"/>
  <c r="M1138" i="6"/>
  <c r="M1137" i="6"/>
  <c r="M1136" i="6"/>
  <c r="M1135" i="6"/>
  <c r="M1134" i="6"/>
  <c r="M1133" i="6"/>
  <c r="M1132" i="6"/>
  <c r="M1131" i="6"/>
  <c r="M1130" i="6"/>
  <c r="M1129" i="6"/>
  <c r="M1128" i="6"/>
  <c r="M1127" i="6"/>
  <c r="M1126" i="6"/>
  <c r="M1125" i="6"/>
  <c r="M1124" i="6"/>
  <c r="M1123" i="6"/>
  <c r="M1122" i="6"/>
  <c r="M1121" i="6"/>
  <c r="M1120" i="6"/>
  <c r="M1119" i="6"/>
  <c r="M1118" i="6"/>
  <c r="M1117" i="6"/>
  <c r="M1116" i="6"/>
  <c r="M1115" i="6"/>
  <c r="M1114" i="6"/>
  <c r="M1113" i="6"/>
  <c r="M1112" i="6"/>
  <c r="M1111" i="6"/>
  <c r="M1110" i="6"/>
  <c r="M1109" i="6"/>
  <c r="M1108" i="6"/>
  <c r="M1107" i="6"/>
  <c r="M1106" i="6"/>
  <c r="M1105" i="6"/>
  <c r="M1104" i="6"/>
  <c r="M1103" i="6"/>
  <c r="M1102" i="6"/>
  <c r="M1101" i="6"/>
  <c r="M1100" i="6"/>
  <c r="M1099" i="6"/>
  <c r="M1098" i="6"/>
  <c r="M1097" i="6"/>
  <c r="M1096" i="6"/>
  <c r="M1095" i="6"/>
  <c r="M1094" i="6"/>
  <c r="M1093" i="6"/>
  <c r="M1092" i="6"/>
  <c r="M1091" i="6"/>
  <c r="M1090" i="6"/>
  <c r="M1089" i="6"/>
  <c r="M1088" i="6"/>
  <c r="M1087" i="6"/>
  <c r="M1086" i="6"/>
  <c r="M1085" i="6"/>
  <c r="M1084" i="6"/>
  <c r="M1083" i="6"/>
  <c r="M1082" i="6"/>
  <c r="M1081" i="6"/>
  <c r="M1080" i="6"/>
  <c r="M1079" i="6"/>
  <c r="M1078" i="6"/>
  <c r="M1077" i="6"/>
  <c r="M1076" i="6"/>
  <c r="M1075" i="6"/>
  <c r="M1074" i="6"/>
  <c r="M1073" i="6"/>
  <c r="M1072" i="6"/>
  <c r="M1071" i="6"/>
  <c r="M1070" i="6"/>
  <c r="M1069" i="6"/>
  <c r="M1068" i="6"/>
  <c r="M1067" i="6"/>
  <c r="M1066" i="6"/>
  <c r="M1065" i="6"/>
  <c r="M1064" i="6"/>
  <c r="M1063" i="6"/>
  <c r="M1062" i="6"/>
  <c r="M1061" i="6"/>
  <c r="M1060" i="6"/>
  <c r="M1059" i="6"/>
  <c r="M1058" i="6"/>
  <c r="M1057" i="6"/>
  <c r="M1056" i="6"/>
  <c r="M1055" i="6"/>
  <c r="M1054" i="6"/>
  <c r="M1053" i="6"/>
  <c r="M1052" i="6"/>
  <c r="M1051" i="6"/>
  <c r="M1050" i="6"/>
  <c r="M1049" i="6"/>
  <c r="M1048" i="6"/>
  <c r="M1047" i="6"/>
  <c r="M1046" i="6"/>
  <c r="M1045" i="6"/>
  <c r="M1044" i="6"/>
  <c r="M1043" i="6"/>
  <c r="M1042" i="6"/>
  <c r="M1041" i="6"/>
  <c r="M1040" i="6"/>
  <c r="M1039" i="6"/>
  <c r="M1038" i="6"/>
  <c r="M1037" i="6"/>
  <c r="M1036" i="6"/>
  <c r="M1035" i="6"/>
  <c r="M1034" i="6"/>
  <c r="M1033" i="6"/>
  <c r="M1032" i="6"/>
  <c r="M1031" i="6"/>
  <c r="M1030" i="6"/>
  <c r="M1029" i="6"/>
  <c r="M1028" i="6"/>
  <c r="M1027" i="6"/>
  <c r="M1026" i="6"/>
  <c r="M1025" i="6"/>
  <c r="M1024" i="6"/>
  <c r="M1023" i="6"/>
  <c r="M1022" i="6"/>
  <c r="M1021" i="6"/>
  <c r="M1020" i="6"/>
  <c r="M1019" i="6"/>
  <c r="M1018" i="6"/>
  <c r="M1017" i="6"/>
  <c r="M1016" i="6"/>
  <c r="M1015" i="6"/>
  <c r="M1014" i="6"/>
  <c r="M1013" i="6"/>
  <c r="M1012" i="6"/>
  <c r="M1011" i="6"/>
  <c r="M1010" i="6"/>
  <c r="M1009" i="6"/>
  <c r="M1008" i="6"/>
  <c r="M1007" i="6"/>
  <c r="M1006" i="6"/>
  <c r="M1005" i="6"/>
  <c r="M1004" i="6"/>
  <c r="M1003" i="6"/>
  <c r="M1002" i="6"/>
  <c r="M1001" i="6"/>
  <c r="M1000" i="6"/>
  <c r="M999" i="6"/>
  <c r="M998" i="6"/>
  <c r="M997" i="6"/>
  <c r="M996" i="6"/>
  <c r="M995" i="6"/>
  <c r="M994" i="6"/>
  <c r="M993" i="6"/>
  <c r="M992" i="6"/>
  <c r="M991" i="6"/>
  <c r="M990" i="6"/>
  <c r="M989" i="6"/>
  <c r="M988" i="6"/>
  <c r="M987" i="6"/>
  <c r="M986" i="6"/>
  <c r="M985" i="6"/>
  <c r="M984" i="6"/>
  <c r="M983" i="6"/>
  <c r="M982" i="6"/>
  <c r="M981" i="6"/>
  <c r="M980" i="6"/>
  <c r="M979" i="6"/>
  <c r="M978" i="6"/>
  <c r="M977" i="6"/>
  <c r="M976" i="6"/>
  <c r="M975" i="6"/>
  <c r="M974" i="6"/>
  <c r="M973" i="6"/>
  <c r="M972" i="6"/>
  <c r="M971" i="6"/>
  <c r="M970" i="6"/>
  <c r="M969" i="6"/>
  <c r="M968" i="6"/>
  <c r="M967" i="6"/>
  <c r="M966" i="6"/>
  <c r="M965" i="6"/>
  <c r="M964" i="6"/>
  <c r="M963" i="6"/>
  <c r="M962" i="6"/>
  <c r="M961" i="6"/>
  <c r="M960" i="6"/>
  <c r="M959" i="6"/>
  <c r="M958" i="6"/>
  <c r="M957" i="6"/>
  <c r="M956" i="6"/>
  <c r="M955" i="6"/>
  <c r="M954" i="6"/>
  <c r="M953" i="6"/>
  <c r="M952" i="6"/>
  <c r="M951" i="6"/>
  <c r="M950" i="6"/>
  <c r="M949" i="6"/>
  <c r="M948" i="6"/>
  <c r="M947" i="6"/>
  <c r="M946" i="6"/>
  <c r="M945" i="6"/>
  <c r="M944" i="6"/>
  <c r="M943" i="6"/>
  <c r="M942" i="6"/>
  <c r="M941" i="6"/>
  <c r="M940" i="6"/>
  <c r="M939" i="6"/>
  <c r="M938" i="6"/>
  <c r="M937" i="6"/>
  <c r="M936" i="6"/>
  <c r="M935" i="6"/>
  <c r="M934" i="6"/>
  <c r="M933" i="6"/>
  <c r="M932" i="6"/>
  <c r="M931" i="6"/>
  <c r="M930" i="6"/>
  <c r="M929" i="6"/>
  <c r="M928" i="6"/>
  <c r="M927" i="6"/>
  <c r="M926" i="6"/>
  <c r="M925" i="6"/>
  <c r="M924" i="6"/>
  <c r="M923" i="6"/>
  <c r="M922" i="6"/>
  <c r="M921" i="6"/>
  <c r="M920" i="6"/>
  <c r="M919" i="6"/>
  <c r="M918" i="6"/>
  <c r="M917" i="6"/>
  <c r="M916" i="6"/>
  <c r="M915" i="6"/>
  <c r="M914" i="6"/>
  <c r="M913" i="6"/>
  <c r="M912" i="6"/>
  <c r="M911" i="6"/>
  <c r="M910" i="6"/>
  <c r="M909" i="6"/>
  <c r="M908" i="6"/>
  <c r="M907" i="6"/>
  <c r="M906" i="6"/>
  <c r="M905" i="6"/>
  <c r="M904" i="6"/>
  <c r="M903" i="6"/>
  <c r="M902" i="6"/>
  <c r="M901" i="6"/>
  <c r="M900" i="6"/>
  <c r="M899" i="6"/>
  <c r="M898" i="6"/>
  <c r="M897" i="6"/>
  <c r="M896" i="6"/>
  <c r="M895" i="6"/>
  <c r="M894" i="6"/>
  <c r="M893" i="6"/>
  <c r="M892" i="6"/>
  <c r="M891" i="6"/>
  <c r="M890" i="6"/>
  <c r="M889" i="6"/>
  <c r="M888" i="6"/>
  <c r="M887" i="6"/>
  <c r="M886" i="6"/>
  <c r="M885" i="6"/>
  <c r="M884" i="6"/>
  <c r="M883" i="6"/>
  <c r="M882" i="6"/>
  <c r="M881" i="6"/>
  <c r="M880" i="6"/>
  <c r="M879" i="6"/>
  <c r="M878" i="6"/>
  <c r="M877" i="6"/>
  <c r="M876" i="6"/>
  <c r="M875" i="6"/>
  <c r="M874" i="6"/>
  <c r="M873" i="6"/>
  <c r="M872" i="6"/>
  <c r="M871" i="6"/>
  <c r="M870" i="6"/>
  <c r="M869" i="6"/>
  <c r="M868" i="6"/>
  <c r="M867" i="6"/>
  <c r="M866" i="6"/>
  <c r="M865" i="6"/>
  <c r="M864" i="6"/>
  <c r="M863" i="6"/>
  <c r="M862" i="6"/>
  <c r="M861" i="6"/>
  <c r="M860" i="6"/>
  <c r="M859" i="6"/>
  <c r="M858" i="6"/>
  <c r="M857" i="6"/>
  <c r="M856" i="6"/>
  <c r="M855" i="6"/>
  <c r="M854" i="6"/>
  <c r="M853" i="6"/>
  <c r="M852" i="6"/>
  <c r="M851" i="6"/>
  <c r="M850" i="6"/>
  <c r="M849" i="6"/>
  <c r="M848" i="6"/>
  <c r="M847" i="6"/>
  <c r="M846" i="6"/>
  <c r="M845" i="6"/>
  <c r="M844" i="6"/>
  <c r="M843" i="6"/>
  <c r="M842" i="6"/>
  <c r="M841" i="6"/>
  <c r="M840" i="6"/>
  <c r="M839" i="6"/>
  <c r="M838" i="6"/>
  <c r="M837" i="6"/>
  <c r="M836" i="6"/>
  <c r="M835" i="6"/>
  <c r="M834" i="6"/>
  <c r="M833" i="6"/>
  <c r="M832" i="6"/>
  <c r="M831" i="6"/>
  <c r="M830" i="6"/>
  <c r="M829" i="6"/>
  <c r="M828" i="6"/>
  <c r="M827" i="6"/>
  <c r="M826" i="6"/>
  <c r="M825" i="6"/>
  <c r="M824" i="6"/>
  <c r="M823" i="6"/>
  <c r="M822" i="6"/>
  <c r="M821" i="6"/>
  <c r="M820" i="6"/>
  <c r="M819" i="6"/>
  <c r="M818" i="6"/>
  <c r="M817" i="6"/>
  <c r="M816" i="6"/>
  <c r="M815" i="6"/>
  <c r="M814" i="6"/>
  <c r="M813" i="6"/>
  <c r="M812" i="6"/>
  <c r="M811" i="6"/>
  <c r="M810" i="6"/>
  <c r="M809" i="6"/>
  <c r="M808" i="6"/>
  <c r="M807" i="6"/>
  <c r="M806" i="6"/>
  <c r="M805" i="6"/>
  <c r="M804" i="6"/>
  <c r="M803" i="6"/>
  <c r="M802" i="6"/>
  <c r="M801" i="6"/>
  <c r="M800" i="6"/>
  <c r="M799" i="6"/>
  <c r="M798" i="6"/>
  <c r="M797" i="6"/>
  <c r="M796" i="6"/>
  <c r="M795" i="6"/>
  <c r="M794" i="6"/>
  <c r="M793" i="6"/>
  <c r="M792" i="6"/>
  <c r="M791" i="6"/>
  <c r="M790" i="6"/>
  <c r="M789" i="6"/>
  <c r="M788" i="6"/>
  <c r="M787" i="6"/>
  <c r="M786" i="6"/>
  <c r="M785" i="6"/>
  <c r="M784" i="6"/>
  <c r="M783" i="6"/>
  <c r="M782" i="6"/>
  <c r="M781" i="6"/>
  <c r="M780" i="6"/>
  <c r="M779" i="6"/>
  <c r="M778" i="6"/>
  <c r="M777" i="6"/>
  <c r="M776" i="6"/>
  <c r="M775" i="6"/>
  <c r="M774" i="6"/>
  <c r="M773" i="6"/>
  <c r="M772" i="6"/>
  <c r="M771" i="6"/>
  <c r="M770" i="6"/>
  <c r="M769" i="6"/>
  <c r="M768" i="6"/>
  <c r="M767" i="6"/>
  <c r="M766" i="6"/>
  <c r="M765" i="6"/>
  <c r="M764" i="6"/>
  <c r="M763" i="6"/>
  <c r="M762" i="6"/>
  <c r="M761" i="6"/>
  <c r="M760" i="6"/>
  <c r="M759" i="6"/>
  <c r="M758" i="6"/>
  <c r="M757" i="6"/>
  <c r="M756" i="6"/>
  <c r="M755" i="6"/>
  <c r="M754" i="6"/>
  <c r="M753" i="6"/>
  <c r="M752" i="6"/>
  <c r="M751" i="6"/>
  <c r="M750" i="6"/>
  <c r="M749" i="6"/>
  <c r="M748" i="6"/>
  <c r="M747" i="6"/>
  <c r="M746" i="6"/>
  <c r="M745" i="6"/>
  <c r="M744" i="6"/>
  <c r="M743" i="6"/>
  <c r="M742" i="6"/>
  <c r="M741" i="6"/>
  <c r="M740" i="6"/>
  <c r="M739" i="6"/>
  <c r="M738" i="6"/>
  <c r="M737" i="6"/>
  <c r="M736" i="6"/>
  <c r="M735" i="6"/>
  <c r="M734" i="6"/>
  <c r="M733" i="6"/>
  <c r="M732" i="6"/>
  <c r="M731" i="6"/>
  <c r="M730" i="6"/>
  <c r="M729" i="6"/>
  <c r="M728" i="6"/>
  <c r="M727" i="6"/>
  <c r="M726" i="6"/>
  <c r="M725" i="6"/>
  <c r="M724" i="6"/>
  <c r="M723" i="6"/>
  <c r="M722" i="6"/>
  <c r="M721" i="6"/>
  <c r="M720" i="6"/>
  <c r="M719" i="6"/>
  <c r="M718" i="6"/>
  <c r="M717" i="6"/>
  <c r="M716" i="6"/>
  <c r="M715" i="6"/>
  <c r="M714" i="6"/>
  <c r="M713" i="6"/>
  <c r="M712" i="6"/>
  <c r="M711" i="6"/>
  <c r="M710" i="6"/>
  <c r="M709" i="6"/>
  <c r="M708" i="6"/>
  <c r="M707" i="6"/>
  <c r="M706" i="6"/>
  <c r="M705" i="6"/>
  <c r="M704" i="6"/>
  <c r="M703" i="6"/>
  <c r="M702" i="6"/>
  <c r="M701" i="6"/>
  <c r="M700" i="6"/>
  <c r="M699" i="6"/>
  <c r="M698" i="6"/>
  <c r="M697" i="6"/>
  <c r="M696" i="6"/>
  <c r="M695" i="6"/>
  <c r="M694" i="6"/>
  <c r="M693" i="6"/>
  <c r="M692" i="6"/>
  <c r="M691" i="6"/>
  <c r="M690" i="6"/>
  <c r="M689" i="6"/>
  <c r="M688" i="6"/>
  <c r="M687" i="6"/>
  <c r="M686" i="6"/>
  <c r="M685" i="6"/>
  <c r="M684" i="6"/>
  <c r="M683" i="6"/>
  <c r="M682" i="6"/>
  <c r="M681" i="6"/>
  <c r="M680" i="6"/>
  <c r="M679" i="6"/>
  <c r="M678" i="6"/>
  <c r="M677" i="6"/>
  <c r="M676" i="6"/>
  <c r="M675" i="6"/>
  <c r="M674" i="6"/>
  <c r="M673" i="6"/>
  <c r="M672" i="6"/>
  <c r="M671" i="6"/>
  <c r="M670" i="6"/>
  <c r="M669" i="6"/>
  <c r="M668" i="6"/>
  <c r="M667" i="6"/>
  <c r="M666" i="6"/>
  <c r="M665" i="6"/>
  <c r="M664" i="6"/>
  <c r="M663" i="6"/>
  <c r="M662" i="6"/>
  <c r="M661" i="6"/>
  <c r="M660" i="6"/>
  <c r="M659" i="6"/>
  <c r="M658" i="6"/>
  <c r="M657" i="6"/>
  <c r="M656" i="6"/>
  <c r="M655" i="6"/>
  <c r="M654" i="6"/>
  <c r="M653" i="6"/>
  <c r="M652" i="6"/>
  <c r="M651" i="6"/>
  <c r="M650" i="6"/>
  <c r="M649" i="6"/>
  <c r="M648" i="6"/>
  <c r="M647" i="6"/>
  <c r="M646" i="6"/>
  <c r="M645" i="6"/>
  <c r="M644" i="6"/>
  <c r="M643" i="6"/>
  <c r="M642" i="6"/>
  <c r="M641" i="6"/>
  <c r="M640" i="6"/>
  <c r="M639" i="6"/>
  <c r="M638" i="6"/>
  <c r="M637" i="6"/>
  <c r="M636" i="6"/>
  <c r="M635" i="6"/>
  <c r="M634" i="6"/>
  <c r="M633" i="6"/>
  <c r="M632" i="6"/>
  <c r="M631" i="6"/>
  <c r="M630" i="6"/>
  <c r="M629" i="6"/>
  <c r="M628" i="6"/>
  <c r="M627" i="6"/>
  <c r="M626" i="6"/>
  <c r="M625" i="6"/>
  <c r="M624" i="6"/>
  <c r="M623" i="6"/>
  <c r="M622" i="6"/>
  <c r="M621" i="6"/>
  <c r="M620" i="6"/>
  <c r="M619" i="6"/>
  <c r="M618" i="6"/>
  <c r="M617" i="6"/>
  <c r="M616" i="6"/>
  <c r="M615" i="6"/>
  <c r="M614" i="6"/>
  <c r="M613" i="6"/>
  <c r="M612" i="6"/>
  <c r="M611" i="6"/>
  <c r="M610" i="6"/>
  <c r="M609" i="6"/>
  <c r="M608" i="6"/>
  <c r="M607" i="6"/>
  <c r="M606" i="6"/>
  <c r="M605" i="6"/>
  <c r="M604" i="6"/>
  <c r="M603" i="6"/>
  <c r="M602" i="6"/>
  <c r="M601" i="6"/>
  <c r="M600" i="6"/>
  <c r="M599" i="6"/>
  <c r="M598" i="6"/>
  <c r="M597" i="6"/>
  <c r="M596" i="6"/>
  <c r="M595" i="6"/>
  <c r="M594" i="6"/>
  <c r="M593" i="6"/>
  <c r="M592" i="6"/>
  <c r="M591" i="6"/>
  <c r="M590" i="6"/>
  <c r="M589" i="6"/>
  <c r="M588" i="6"/>
  <c r="M587" i="6"/>
  <c r="M586" i="6"/>
  <c r="M585" i="6"/>
  <c r="M584" i="6"/>
  <c r="M583" i="6"/>
  <c r="M582" i="6"/>
  <c r="M581" i="6"/>
  <c r="M580" i="6"/>
  <c r="M579" i="6"/>
  <c r="M578" i="6"/>
  <c r="M577" i="6"/>
  <c r="M576" i="6"/>
  <c r="M575" i="6"/>
  <c r="M574" i="6"/>
  <c r="M573" i="6"/>
  <c r="M572" i="6"/>
  <c r="M571" i="6"/>
  <c r="M570" i="6"/>
  <c r="M569" i="6"/>
  <c r="M568" i="6"/>
  <c r="M567" i="6"/>
  <c r="M566" i="6"/>
  <c r="M565" i="6"/>
  <c r="M564" i="6"/>
  <c r="M563" i="6"/>
  <c r="M562" i="6"/>
  <c r="M561" i="6"/>
  <c r="M560" i="6"/>
  <c r="M559" i="6"/>
  <c r="M558" i="6"/>
  <c r="M557" i="6"/>
  <c r="M556" i="6"/>
  <c r="M555" i="6"/>
  <c r="M554" i="6"/>
  <c r="M553" i="6"/>
  <c r="M552" i="6"/>
  <c r="M551" i="6"/>
  <c r="M550" i="6"/>
  <c r="M549" i="6"/>
  <c r="M548" i="6"/>
  <c r="M547" i="6"/>
  <c r="M546" i="6"/>
  <c r="M545" i="6"/>
  <c r="M544" i="6"/>
  <c r="M543" i="6"/>
  <c r="M542" i="6"/>
  <c r="M541" i="6"/>
  <c r="M540" i="6"/>
  <c r="M539" i="6"/>
  <c r="M538" i="6"/>
  <c r="M537" i="6"/>
  <c r="M536" i="6"/>
  <c r="M535" i="6"/>
  <c r="M534" i="6"/>
  <c r="M533" i="6"/>
  <c r="M532" i="6"/>
  <c r="M531" i="6"/>
  <c r="M530" i="6"/>
  <c r="M529" i="6"/>
  <c r="M528" i="6"/>
  <c r="M527" i="6"/>
  <c r="M526" i="6"/>
  <c r="M525" i="6"/>
  <c r="M524" i="6"/>
  <c r="M523" i="6"/>
  <c r="M522" i="6"/>
  <c r="M521" i="6"/>
  <c r="M520" i="6"/>
  <c r="M519" i="6"/>
  <c r="M518" i="6"/>
  <c r="M517" i="6"/>
  <c r="M516" i="6"/>
  <c r="M515" i="6"/>
  <c r="M514" i="6"/>
  <c r="M513" i="6"/>
  <c r="M512" i="6"/>
  <c r="M511" i="6"/>
  <c r="M510" i="6"/>
  <c r="M509" i="6"/>
  <c r="M508" i="6"/>
  <c r="M507" i="6"/>
  <c r="M506" i="6"/>
  <c r="M505" i="6"/>
  <c r="M504" i="6"/>
  <c r="M503" i="6"/>
  <c r="M502" i="6"/>
  <c r="M501" i="6"/>
  <c r="M500" i="6"/>
  <c r="M499" i="6"/>
  <c r="M498" i="6"/>
  <c r="M497" i="6"/>
  <c r="M496" i="6"/>
  <c r="M495" i="6"/>
  <c r="M494" i="6"/>
  <c r="M493" i="6"/>
  <c r="M492" i="6"/>
  <c r="M491" i="6"/>
  <c r="M490" i="6"/>
  <c r="M489" i="6"/>
  <c r="M488" i="6"/>
  <c r="M487" i="6"/>
  <c r="M486" i="6"/>
  <c r="M485" i="6"/>
  <c r="M484" i="6"/>
  <c r="M483" i="6"/>
  <c r="M482" i="6"/>
  <c r="M481" i="6"/>
  <c r="M480" i="6"/>
  <c r="M479" i="6"/>
  <c r="M478" i="6"/>
  <c r="M477" i="6"/>
  <c r="M476" i="6"/>
  <c r="M475" i="6"/>
  <c r="M474" i="6"/>
  <c r="M473" i="6"/>
  <c r="M472" i="6"/>
  <c r="M471" i="6"/>
  <c r="M470" i="6"/>
  <c r="M469" i="6"/>
  <c r="M468" i="6"/>
  <c r="M467" i="6"/>
  <c r="M466" i="6"/>
  <c r="M465" i="6"/>
  <c r="M464" i="6"/>
  <c r="M463" i="6"/>
  <c r="M462" i="6"/>
  <c r="M461" i="6"/>
  <c r="M460" i="6"/>
  <c r="M459" i="6"/>
  <c r="M458" i="6"/>
  <c r="M457" i="6"/>
  <c r="M456" i="6"/>
  <c r="M455" i="6"/>
  <c r="M454" i="6"/>
  <c r="M453" i="6"/>
  <c r="M452" i="6"/>
  <c r="M451" i="6"/>
  <c r="M450" i="6"/>
  <c r="M449" i="6"/>
  <c r="M448" i="6"/>
  <c r="M447" i="6"/>
  <c r="M446" i="6"/>
  <c r="M445" i="6"/>
  <c r="M444" i="6"/>
  <c r="M443" i="6"/>
  <c r="M442" i="6"/>
  <c r="M441" i="6"/>
  <c r="M440" i="6"/>
  <c r="M439" i="6"/>
  <c r="M438" i="6"/>
  <c r="M437" i="6"/>
  <c r="M436" i="6"/>
  <c r="M435" i="6"/>
  <c r="M434" i="6"/>
  <c r="M433" i="6"/>
  <c r="M432" i="6"/>
  <c r="M431" i="6"/>
  <c r="M430" i="6"/>
  <c r="M429" i="6"/>
  <c r="M428" i="6"/>
  <c r="M427" i="6"/>
  <c r="M426" i="6"/>
  <c r="M425" i="6"/>
  <c r="M424" i="6"/>
  <c r="M423" i="6"/>
  <c r="M422" i="6"/>
  <c r="M421" i="6"/>
  <c r="M420" i="6"/>
  <c r="M419" i="6"/>
  <c r="M418" i="6"/>
  <c r="M417" i="6"/>
  <c r="M416" i="6"/>
  <c r="M415" i="6"/>
  <c r="M414" i="6"/>
  <c r="M413" i="6"/>
  <c r="M412" i="6"/>
  <c r="M411" i="6"/>
  <c r="M410" i="6"/>
  <c r="M409" i="6"/>
  <c r="M408" i="6"/>
  <c r="M407" i="6"/>
  <c r="M406" i="6"/>
  <c r="M405" i="6"/>
  <c r="M404" i="6"/>
  <c r="M403" i="6"/>
  <c r="M402" i="6"/>
  <c r="M401" i="6"/>
  <c r="M400" i="6"/>
  <c r="M399" i="6"/>
  <c r="M398" i="6"/>
  <c r="M397" i="6"/>
  <c r="M396" i="6"/>
  <c r="M395" i="6"/>
  <c r="M394" i="6"/>
  <c r="M393" i="6"/>
  <c r="M392" i="6"/>
  <c r="M391" i="6"/>
  <c r="M390" i="6"/>
  <c r="M389" i="6"/>
  <c r="M388" i="6"/>
  <c r="M387" i="6"/>
  <c r="M386" i="6"/>
  <c r="M385" i="6"/>
  <c r="M384" i="6"/>
  <c r="M383" i="6"/>
  <c r="M382" i="6"/>
  <c r="M381" i="6"/>
  <c r="M380" i="6"/>
  <c r="M379" i="6"/>
  <c r="M378" i="6"/>
  <c r="M377" i="6"/>
  <c r="M376" i="6"/>
  <c r="M375" i="6"/>
  <c r="M374" i="6"/>
  <c r="M373" i="6"/>
  <c r="M372" i="6"/>
  <c r="M371" i="6"/>
  <c r="M370" i="6"/>
  <c r="M369" i="6"/>
  <c r="M368" i="6"/>
  <c r="M367" i="6"/>
  <c r="M366" i="6"/>
  <c r="M365" i="6"/>
  <c r="M364" i="6"/>
  <c r="M363" i="6"/>
  <c r="M362" i="6"/>
  <c r="M361" i="6"/>
  <c r="M360" i="6"/>
  <c r="M359" i="6"/>
  <c r="M358" i="6"/>
  <c r="M357" i="6"/>
  <c r="M356" i="6"/>
  <c r="M355" i="6"/>
  <c r="M354" i="6"/>
  <c r="M353" i="6"/>
  <c r="M352" i="6"/>
  <c r="M351" i="6"/>
  <c r="M350" i="6"/>
  <c r="M349" i="6"/>
  <c r="M348" i="6"/>
  <c r="M347" i="6"/>
  <c r="M346" i="6"/>
  <c r="M345" i="6"/>
  <c r="M344" i="6"/>
  <c r="M343" i="6"/>
  <c r="M342" i="6"/>
  <c r="M341" i="6"/>
  <c r="M340" i="6"/>
  <c r="M339" i="6"/>
  <c r="M338" i="6"/>
  <c r="M337" i="6"/>
  <c r="M336" i="6"/>
  <c r="M335" i="6"/>
  <c r="M334" i="6"/>
  <c r="M333" i="6"/>
  <c r="M332" i="6"/>
  <c r="M331" i="6"/>
  <c r="M330" i="6"/>
  <c r="M329" i="6"/>
  <c r="M328" i="6"/>
  <c r="M327" i="6"/>
  <c r="M326" i="6"/>
  <c r="M325" i="6"/>
  <c r="M324" i="6"/>
  <c r="M323" i="6"/>
  <c r="M322" i="6"/>
  <c r="M321" i="6"/>
  <c r="M320" i="6"/>
  <c r="M319" i="6"/>
  <c r="M318" i="6"/>
  <c r="M317" i="6"/>
  <c r="M316" i="6"/>
  <c r="M315" i="6"/>
  <c r="M314" i="6"/>
  <c r="M313" i="6"/>
  <c r="M312" i="6"/>
  <c r="M311" i="6"/>
  <c r="M310" i="6"/>
  <c r="M309" i="6"/>
  <c r="M308" i="6"/>
  <c r="M307" i="6"/>
  <c r="M306" i="6"/>
  <c r="M305" i="6"/>
  <c r="M304" i="6"/>
  <c r="M303" i="6"/>
  <c r="M302" i="6"/>
  <c r="M301" i="6"/>
  <c r="M300" i="6"/>
  <c r="M299" i="6"/>
  <c r="M298" i="6"/>
  <c r="M297" i="6"/>
  <c r="M296" i="6"/>
  <c r="M295" i="6"/>
  <c r="M294" i="6"/>
  <c r="M293" i="6"/>
  <c r="M292" i="6"/>
  <c r="M291" i="6"/>
  <c r="M290" i="6"/>
  <c r="M289" i="6"/>
  <c r="M288" i="6"/>
  <c r="M287" i="6"/>
  <c r="M286" i="6"/>
  <c r="M285" i="6"/>
  <c r="M284" i="6"/>
  <c r="M283" i="6"/>
  <c r="M282" i="6"/>
  <c r="M281" i="6"/>
  <c r="M280" i="6"/>
  <c r="M279" i="6"/>
  <c r="M278" i="6"/>
  <c r="M277" i="6"/>
  <c r="M276" i="6"/>
  <c r="M275" i="6"/>
  <c r="M274" i="6"/>
  <c r="M273" i="6"/>
  <c r="M272" i="6"/>
  <c r="M271" i="6"/>
  <c r="M270" i="6"/>
  <c r="M269" i="6"/>
  <c r="M268" i="6"/>
  <c r="M267" i="6"/>
  <c r="M266" i="6"/>
  <c r="M265" i="6"/>
  <c r="M264" i="6"/>
  <c r="M263" i="6"/>
  <c r="M262" i="6"/>
  <c r="M261" i="6"/>
  <c r="M260" i="6"/>
  <c r="M259" i="6"/>
  <c r="M258" i="6"/>
  <c r="M257" i="6"/>
  <c r="M256" i="6"/>
  <c r="M255" i="6"/>
  <c r="M254" i="6"/>
  <c r="M253" i="6"/>
  <c r="M252" i="6"/>
  <c r="M251" i="6"/>
  <c r="M250" i="6"/>
  <c r="M249" i="6"/>
  <c r="M248" i="6"/>
  <c r="M247" i="6"/>
  <c r="M246" i="6"/>
  <c r="M245" i="6"/>
  <c r="M244" i="6"/>
  <c r="M243" i="6"/>
  <c r="M242" i="6"/>
  <c r="M241" i="6"/>
  <c r="M240" i="6"/>
  <c r="M239" i="6"/>
  <c r="M238" i="6"/>
  <c r="M237" i="6"/>
  <c r="M236" i="6"/>
  <c r="M235" i="6"/>
  <c r="M234" i="6"/>
  <c r="M233" i="6"/>
  <c r="M232" i="6"/>
  <c r="M231" i="6"/>
  <c r="M230" i="6"/>
  <c r="M229" i="6"/>
  <c r="M228" i="6"/>
  <c r="M227" i="6"/>
  <c r="M226" i="6"/>
  <c r="M225" i="6"/>
  <c r="M224" i="6"/>
  <c r="M223" i="6"/>
  <c r="M222" i="6"/>
  <c r="M221" i="6"/>
  <c r="M220" i="6"/>
  <c r="M219" i="6"/>
  <c r="M218" i="6"/>
  <c r="M217" i="6"/>
  <c r="M216" i="6"/>
  <c r="M215" i="6"/>
  <c r="M214" i="6"/>
  <c r="M213" i="6"/>
  <c r="M212" i="6"/>
  <c r="M211" i="6"/>
  <c r="M210" i="6"/>
  <c r="M209" i="6"/>
  <c r="M208" i="6"/>
  <c r="M207" i="6"/>
  <c r="M206" i="6"/>
  <c r="M205" i="6"/>
  <c r="M204" i="6"/>
  <c r="M203" i="6"/>
  <c r="M202" i="6"/>
  <c r="M201" i="6"/>
  <c r="M200" i="6"/>
  <c r="M199" i="6"/>
  <c r="M198" i="6"/>
  <c r="M197" i="6"/>
  <c r="M196" i="6"/>
  <c r="M195" i="6"/>
  <c r="M194" i="6"/>
  <c r="M193" i="6"/>
  <c r="M192" i="6"/>
  <c r="M191" i="6"/>
  <c r="M190" i="6"/>
  <c r="M189" i="6"/>
  <c r="M188" i="6"/>
  <c r="M187" i="6"/>
  <c r="M186" i="6"/>
  <c r="M185" i="6"/>
  <c r="M184" i="6"/>
  <c r="M183" i="6"/>
  <c r="M182" i="6"/>
  <c r="M181" i="6"/>
  <c r="M180" i="6"/>
  <c r="M179" i="6"/>
  <c r="M178" i="6"/>
  <c r="M177" i="6"/>
  <c r="M176" i="6"/>
  <c r="M175" i="6"/>
  <c r="M174" i="6"/>
  <c r="M173" i="6"/>
  <c r="M172" i="6"/>
  <c r="M171" i="6"/>
  <c r="M170" i="6"/>
  <c r="M169" i="6"/>
  <c r="M168" i="6"/>
  <c r="M167" i="6"/>
  <c r="M166" i="6"/>
  <c r="M165" i="6"/>
  <c r="M164" i="6"/>
  <c r="M163" i="6"/>
  <c r="M162" i="6"/>
  <c r="M161" i="6"/>
  <c r="M160" i="6"/>
  <c r="M159" i="6"/>
  <c r="M158" i="6"/>
  <c r="M157" i="6"/>
  <c r="M156" i="6"/>
  <c r="M155" i="6"/>
  <c r="M154" i="6"/>
  <c r="M153" i="6"/>
  <c r="M152" i="6"/>
  <c r="M151" i="6"/>
  <c r="M150" i="6"/>
  <c r="M149" i="6"/>
  <c r="M148" i="6"/>
  <c r="M147" i="6"/>
  <c r="M146" i="6"/>
  <c r="M145" i="6"/>
  <c r="M144" i="6"/>
  <c r="M143" i="6"/>
  <c r="M142" i="6"/>
  <c r="M141" i="6"/>
  <c r="M140" i="6"/>
  <c r="M139" i="6"/>
  <c r="M138" i="6"/>
  <c r="M137" i="6"/>
  <c r="M136" i="6"/>
  <c r="M135" i="6"/>
  <c r="M134" i="6"/>
  <c r="M133" i="6"/>
  <c r="M132" i="6"/>
  <c r="M131" i="6"/>
  <c r="M130" i="6"/>
  <c r="M129" i="6"/>
  <c r="M128" i="6"/>
  <c r="M127" i="6"/>
  <c r="M126" i="6"/>
  <c r="M125" i="6"/>
  <c r="M124" i="6"/>
  <c r="M123" i="6"/>
  <c r="M122" i="6"/>
  <c r="M121" i="6"/>
  <c r="M120" i="6"/>
  <c r="M119" i="6"/>
  <c r="M118" i="6"/>
  <c r="M117" i="6"/>
  <c r="M116" i="6"/>
  <c r="M115" i="6"/>
  <c r="M114" i="6"/>
  <c r="M113" i="6"/>
  <c r="M112" i="6"/>
  <c r="M111" i="6"/>
  <c r="M110" i="6"/>
  <c r="M109" i="6"/>
  <c r="M108" i="6"/>
  <c r="M107" i="6"/>
  <c r="M106" i="6"/>
  <c r="M105" i="6"/>
  <c r="M104" i="6"/>
  <c r="M103" i="6"/>
  <c r="M102" i="6"/>
  <c r="M101" i="6"/>
  <c r="M100" i="6"/>
  <c r="M99" i="6"/>
  <c r="M98" i="6"/>
  <c r="M97" i="6"/>
  <c r="M96" i="6"/>
  <c r="M95" i="6"/>
  <c r="M94" i="6"/>
  <c r="M93" i="6"/>
  <c r="M92" i="6"/>
  <c r="M91" i="6"/>
  <c r="M90" i="6"/>
  <c r="M89" i="6"/>
  <c r="M88" i="6"/>
  <c r="M87" i="6"/>
  <c r="M86" i="6"/>
  <c r="M85" i="6"/>
  <c r="M84" i="6"/>
  <c r="M83" i="6"/>
  <c r="M82" i="6"/>
  <c r="M81" i="6"/>
  <c r="M80" i="6"/>
  <c r="M79" i="6"/>
  <c r="M78" i="6"/>
  <c r="M77" i="6"/>
  <c r="M76" i="6"/>
  <c r="M75" i="6"/>
  <c r="M74" i="6"/>
  <c r="M73" i="6"/>
  <c r="M72" i="6"/>
  <c r="M71" i="6"/>
  <c r="M70" i="6"/>
  <c r="M69" i="6"/>
  <c r="M68" i="6"/>
  <c r="M67" i="6"/>
  <c r="M66" i="6"/>
  <c r="M65" i="6"/>
  <c r="M64" i="6"/>
  <c r="M63" i="6"/>
  <c r="M62" i="6"/>
  <c r="M61" i="6"/>
  <c r="M60" i="6"/>
  <c r="M59" i="6"/>
  <c r="M58" i="6"/>
  <c r="M57" i="6"/>
  <c r="M56" i="6"/>
  <c r="M55" i="6"/>
  <c r="M54" i="6"/>
  <c r="M53" i="6"/>
  <c r="M52" i="6"/>
  <c r="M51" i="6"/>
  <c r="M50" i="6"/>
  <c r="M49" i="6"/>
  <c r="M48" i="6"/>
  <c r="M47" i="6"/>
  <c r="M46" i="6"/>
  <c r="M45" i="6"/>
  <c r="M44" i="6"/>
  <c r="M43" i="6"/>
  <c r="M42" i="6"/>
  <c r="M41" i="6"/>
  <c r="M40" i="6"/>
  <c r="M39" i="6"/>
  <c r="M38" i="6"/>
  <c r="M37" i="6"/>
  <c r="M36" i="6"/>
  <c r="M35" i="6"/>
  <c r="M34" i="6"/>
  <c r="AC33" i="6"/>
  <c r="AB33" i="6"/>
  <c r="AA33" i="6"/>
  <c r="Z33" i="6"/>
  <c r="M33" i="6"/>
  <c r="AC32" i="6"/>
  <c r="AB32" i="6"/>
  <c r="AA32" i="6"/>
  <c r="Z32" i="6"/>
  <c r="M32" i="6"/>
  <c r="AC31" i="6"/>
  <c r="AB31" i="6"/>
  <c r="AA31" i="6"/>
  <c r="Z31" i="6"/>
  <c r="M31" i="6"/>
  <c r="AC30" i="6"/>
  <c r="AB30" i="6"/>
  <c r="AA30" i="6"/>
  <c r="Z30" i="6"/>
  <c r="M30" i="6"/>
  <c r="AC29" i="6"/>
  <c r="AB29" i="6"/>
  <c r="AA29" i="6"/>
  <c r="Z29" i="6"/>
  <c r="M29" i="6"/>
  <c r="AC28" i="6"/>
  <c r="AB28" i="6"/>
  <c r="AA28" i="6"/>
  <c r="Z28" i="6"/>
  <c r="M28" i="6"/>
  <c r="AC27" i="6"/>
  <c r="AB27" i="6"/>
  <c r="AA27" i="6"/>
  <c r="Z27" i="6"/>
  <c r="M27" i="6"/>
  <c r="AC26" i="6"/>
  <c r="AB26" i="6"/>
  <c r="AA26" i="6"/>
  <c r="Z26" i="6"/>
  <c r="M26" i="6"/>
  <c r="AC25" i="6"/>
  <c r="AB25" i="6"/>
  <c r="AA25" i="6"/>
  <c r="Z25" i="6"/>
  <c r="M25" i="6"/>
  <c r="AC24" i="6"/>
  <c r="AB24" i="6"/>
  <c r="AA24" i="6"/>
  <c r="Z24" i="6"/>
  <c r="M24" i="6"/>
  <c r="AC23" i="6"/>
  <c r="AB23" i="6"/>
  <c r="AA23" i="6"/>
  <c r="Z23" i="6"/>
  <c r="M23" i="6"/>
  <c r="AC22" i="6"/>
  <c r="AB22" i="6"/>
  <c r="AA22" i="6"/>
  <c r="Z22" i="6"/>
  <c r="M22" i="6"/>
  <c r="AC21" i="6"/>
  <c r="AB21" i="6"/>
  <c r="AA21" i="6"/>
  <c r="Z21" i="6"/>
  <c r="M21" i="6"/>
  <c r="AC20" i="6"/>
  <c r="AB20" i="6"/>
  <c r="AA20" i="6"/>
  <c r="Z20" i="6"/>
  <c r="M20" i="6"/>
  <c r="AC19" i="6"/>
  <c r="AB19" i="6"/>
  <c r="AA19" i="6"/>
  <c r="Z19" i="6"/>
  <c r="M19" i="6"/>
  <c r="AC18" i="6"/>
  <c r="AB18" i="6"/>
  <c r="AA18" i="6"/>
  <c r="Z18" i="6"/>
  <c r="M18" i="6"/>
  <c r="AC17" i="6"/>
  <c r="AB17" i="6"/>
  <c r="AA17" i="6"/>
  <c r="Z17" i="6"/>
  <c r="M17" i="6"/>
  <c r="AC16" i="6"/>
  <c r="AB16" i="6"/>
  <c r="AA16" i="6"/>
  <c r="Z16" i="6"/>
  <c r="M16" i="6"/>
  <c r="AC15" i="6"/>
  <c r="AB15" i="6"/>
  <c r="AA15" i="6"/>
  <c r="Z15" i="6"/>
  <c r="M15" i="6"/>
  <c r="AC14" i="6"/>
  <c r="AB14" i="6"/>
  <c r="AA14" i="6"/>
  <c r="Z14" i="6"/>
  <c r="M14" i="6"/>
  <c r="AC13" i="6"/>
  <c r="AB13" i="6"/>
  <c r="AA13" i="6"/>
  <c r="Z13" i="6"/>
  <c r="M13" i="6"/>
  <c r="AC12" i="6"/>
  <c r="AB12" i="6"/>
  <c r="AA12" i="6"/>
  <c r="Z12" i="6"/>
  <c r="M12" i="6"/>
  <c r="AC11" i="6"/>
  <c r="AB11" i="6"/>
  <c r="AA11" i="6"/>
  <c r="Z11" i="6"/>
  <c r="M11" i="6"/>
  <c r="AC10" i="6"/>
  <c r="AB10" i="6"/>
  <c r="AA10" i="6"/>
  <c r="Z10" i="6"/>
  <c r="M10" i="6"/>
  <c r="G16" i="4" l="1"/>
  <c r="H17" i="4"/>
  <c r="G17" i="4"/>
  <c r="E20" i="4"/>
  <c r="G20" i="4"/>
  <c r="AB31" i="17"/>
  <c r="AC33" i="17" s="1"/>
  <c r="E15" i="4"/>
  <c r="G15" i="4"/>
  <c r="H15" i="4" l="1"/>
  <c r="I20" i="4"/>
  <c r="H21" i="4"/>
  <c r="G19" i="4"/>
  <c r="H19" i="4"/>
  <c r="G21" i="4"/>
  <c r="E21" i="4"/>
  <c r="AJ31" i="17"/>
  <c r="E19" i="4"/>
  <c r="U31" i="17"/>
  <c r="AK33" i="17" l="1"/>
  <c r="V32" i="17"/>
  <c r="U32" i="17"/>
  <c r="J20" i="4"/>
  <c r="I19" i="4" l="1"/>
  <c r="I21" i="4"/>
  <c r="J19" i="4" l="1"/>
  <c r="J21" i="4"/>
  <c r="M39" i="3" l="1"/>
  <c r="J39" i="3"/>
  <c r="I39" i="3"/>
  <c r="H39" i="3"/>
  <c r="E39" i="3"/>
  <c r="M38" i="3"/>
  <c r="J38" i="3"/>
  <c r="I38" i="3"/>
  <c r="H38" i="3"/>
  <c r="E38" i="3"/>
  <c r="M25" i="3"/>
  <c r="J25" i="3"/>
  <c r="I25" i="3"/>
  <c r="H25" i="3"/>
  <c r="E25" i="3"/>
  <c r="N40" i="3"/>
  <c r="J37" i="3"/>
  <c r="I37" i="3"/>
  <c r="H37" i="3"/>
  <c r="E37" i="3"/>
  <c r="M36" i="3"/>
  <c r="M37" i="3" s="1"/>
  <c r="H36" i="3"/>
  <c r="K33" i="3"/>
  <c r="J33" i="3"/>
  <c r="F33" i="3"/>
  <c r="E33" i="3"/>
  <c r="D32" i="3"/>
  <c r="G28" i="3"/>
  <c r="G30" i="3" s="1"/>
  <c r="F28" i="3"/>
  <c r="F30" i="3" s="1"/>
  <c r="K22" i="3"/>
  <c r="K23" i="3" s="1"/>
  <c r="J22" i="3"/>
  <c r="J23" i="3" s="1"/>
  <c r="G22" i="3"/>
  <c r="G23" i="3" s="1"/>
  <c r="F22" i="3"/>
  <c r="F23" i="3" s="1"/>
  <c r="M21" i="3"/>
  <c r="L21" i="3"/>
  <c r="K21" i="3"/>
  <c r="J21" i="3"/>
  <c r="I21" i="3"/>
  <c r="I12" i="3" s="1"/>
  <c r="H21" i="3"/>
  <c r="H12" i="3" s="1"/>
  <c r="G21" i="3"/>
  <c r="F21" i="3"/>
  <c r="E21" i="3"/>
  <c r="N21" i="3" s="1"/>
  <c r="L20" i="3"/>
  <c r="K20" i="3"/>
  <c r="J20" i="3"/>
  <c r="I20" i="3"/>
  <c r="H20" i="3"/>
  <c r="G20" i="3"/>
  <c r="F20" i="3"/>
  <c r="E20" i="3"/>
  <c r="N20" i="3" s="1"/>
  <c r="L19" i="3"/>
  <c r="L43" i="3" s="1"/>
  <c r="M43" i="3" s="1"/>
  <c r="K19" i="3"/>
  <c r="J19" i="3"/>
  <c r="J43" i="3" s="1"/>
  <c r="I19" i="3"/>
  <c r="I33" i="3" s="1"/>
  <c r="G19" i="3"/>
  <c r="E43" i="3" s="1"/>
  <c r="F19" i="3"/>
  <c r="F44" i="3" s="1"/>
  <c r="E19" i="3"/>
  <c r="E28" i="3" s="1"/>
  <c r="E30" i="3" s="1"/>
  <c r="E31" i="3" s="1"/>
  <c r="E32" i="3" s="1"/>
  <c r="N18" i="3"/>
  <c r="M18" i="3"/>
  <c r="H18" i="3"/>
  <c r="M17" i="3"/>
  <c r="M20" i="3" s="1"/>
  <c r="M12" i="3" s="1"/>
  <c r="H17" i="3"/>
  <c r="N17" i="3" s="1"/>
  <c r="M16" i="3"/>
  <c r="M19" i="3" s="1"/>
  <c r="H16" i="3"/>
  <c r="N16" i="3" s="1"/>
  <c r="O19" i="3" s="1"/>
  <c r="M15" i="3"/>
  <c r="J15" i="3"/>
  <c r="I15" i="3"/>
  <c r="H15" i="3"/>
  <c r="E15" i="3"/>
  <c r="J13" i="3"/>
  <c r="I13" i="3"/>
  <c r="H13" i="3"/>
  <c r="E13" i="3"/>
  <c r="J12" i="3"/>
  <c r="E12" i="3"/>
  <c r="P11" i="3"/>
  <c r="N11" i="3"/>
  <c r="M10" i="3"/>
  <c r="H10" i="3"/>
  <c r="N10" i="3" s="1"/>
  <c r="M9" i="3"/>
  <c r="M13" i="3" s="1"/>
  <c r="J9" i="3"/>
  <c r="I9" i="3"/>
  <c r="H9" i="3"/>
  <c r="E9" i="3"/>
  <c r="N9" i="3" s="1"/>
  <c r="M8" i="3"/>
  <c r="N8" i="3" s="1"/>
  <c r="H8" i="3"/>
  <c r="M7" i="3"/>
  <c r="L7" i="3"/>
  <c r="K7" i="3"/>
  <c r="K37" i="3" s="1"/>
  <c r="L37" i="3" s="1"/>
  <c r="J7" i="3"/>
  <c r="I7" i="3"/>
  <c r="H7" i="3"/>
  <c r="G7" i="3"/>
  <c r="F7" i="3"/>
  <c r="F37" i="3" s="1"/>
  <c r="G37" i="3" s="1"/>
  <c r="E7" i="3"/>
  <c r="N7" i="3" s="1"/>
  <c r="P3" i="3" s="1"/>
  <c r="N6" i="3"/>
  <c r="M6" i="3"/>
  <c r="H6" i="3"/>
  <c r="M5" i="3"/>
  <c r="H5" i="3"/>
  <c r="L3" i="3"/>
  <c r="K3" i="3"/>
  <c r="J3" i="3"/>
  <c r="I3" i="3"/>
  <c r="G3" i="3"/>
  <c r="F3" i="3"/>
  <c r="E3" i="3"/>
  <c r="L1" i="3"/>
  <c r="K1" i="3"/>
  <c r="N12" i="3" l="1"/>
  <c r="H44" i="3"/>
  <c r="N44" i="3" s="1"/>
  <c r="M22" i="3"/>
  <c r="N5" i="3"/>
  <c r="O3" i="3" s="1"/>
  <c r="H19" i="3"/>
  <c r="L28" i="3"/>
  <c r="L30" i="3" s="1"/>
  <c r="G43" i="3"/>
  <c r="H43" i="3" s="1"/>
  <c r="I44" i="3"/>
  <c r="L22" i="3"/>
  <c r="L23" i="3" s="1"/>
  <c r="I28" i="3"/>
  <c r="I30" i="3" s="1"/>
  <c r="I31" i="3" s="1"/>
  <c r="I32" i="3"/>
  <c r="G33" i="3"/>
  <c r="L33" i="3"/>
  <c r="K44" i="3"/>
  <c r="M44" i="3" s="1"/>
  <c r="E22" i="3"/>
  <c r="I22" i="3"/>
  <c r="J28" i="3"/>
  <c r="J30" i="3" s="1"/>
  <c r="J31" i="3" s="1"/>
  <c r="J32" i="3" s="1"/>
  <c r="K28" i="3"/>
  <c r="K30" i="3" s="1"/>
  <c r="I23" i="3" l="1"/>
  <c r="H22" i="3"/>
  <c r="H42" i="3"/>
  <c r="M23" i="3"/>
  <c r="E23" i="3"/>
  <c r="N19" i="3"/>
  <c r="N43" i="3"/>
  <c r="H23" i="3" l="1"/>
  <c r="N22" i="3"/>
  <c r="D3" i="3" s="1"/>
  <c r="P20" i="3"/>
  <c r="P22" i="3" s="1"/>
  <c r="P24" i="3" s="1"/>
  <c r="P25" i="3" s="1"/>
  <c r="P27" i="3" s="1"/>
  <c r="N42" i="3"/>
  <c r="N33" i="3"/>
  <c r="P19" i="3"/>
  <c r="K42" i="3"/>
  <c r="L42" i="3"/>
  <c r="F42" i="3"/>
  <c r="E42" i="3"/>
  <c r="J42" i="3"/>
  <c r="M42" i="3"/>
  <c r="G42" i="3"/>
  <c r="I42" i="3"/>
  <c r="Q11" i="6" l="1"/>
  <c r="Q12" i="6" s="1"/>
  <c r="T12" i="6" l="1"/>
  <c r="S12" i="6"/>
  <c r="U12" i="6" l="1"/>
  <c r="V12" i="6"/>
  <c r="W12" i="6" s="1"/>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S102" i="6"/>
  <c r="V102" i="6" s="1"/>
  <c r="W102" i="6" s="1"/>
  <c r="U102" i="6"/>
  <c r="S84" i="6"/>
  <c r="V84" i="6" s="1"/>
  <c r="W84" i="6" s="1"/>
  <c r="S78" i="6"/>
  <c r="V78" i="6"/>
  <c r="W78" i="6"/>
  <c r="U78" i="6"/>
  <c r="S72" i="6"/>
  <c r="V72" i="6"/>
  <c r="W72" i="6" s="1"/>
  <c r="U72" i="6"/>
  <c r="S54" i="6"/>
  <c r="V54" i="6" s="1"/>
  <c r="W54" i="6" s="1"/>
  <c r="U54" i="6"/>
  <c r="S42" i="6"/>
  <c r="V42" i="6" s="1"/>
  <c r="W42" i="6" s="1"/>
  <c r="S48" i="6"/>
  <c r="V48" i="6" s="1"/>
  <c r="W48" i="6" s="1"/>
  <c r="U48" i="6"/>
  <c r="S24" i="6"/>
  <c r="U24" i="6"/>
  <c r="V24" i="6"/>
  <c r="W24" i="6" s="1"/>
  <c r="S18" i="6"/>
  <c r="V18" i="6" s="1"/>
  <c r="W18" i="6" s="1"/>
  <c r="U18" i="6"/>
  <c r="S103" i="6"/>
  <c r="V103" i="6" s="1"/>
  <c r="W103" i="6" s="1"/>
  <c r="U103" i="6"/>
  <c r="T103" i="6"/>
  <c r="T102" i="6"/>
  <c r="S73" i="6"/>
  <c r="V73" i="6"/>
  <c r="W73" i="6"/>
  <c r="S79" i="6"/>
  <c r="U79" i="6"/>
  <c r="V79" i="6"/>
  <c r="W79" i="6" s="1"/>
  <c r="T79" i="6"/>
  <c r="U73" i="6"/>
  <c r="T73" i="6"/>
  <c r="T78" i="6"/>
  <c r="T72" i="6"/>
  <c r="S49" i="6"/>
  <c r="U49" i="6" s="1"/>
  <c r="V49" i="6"/>
  <c r="W49" i="6" s="1"/>
  <c r="T49" i="6"/>
  <c r="S43" i="6"/>
  <c r="V43" i="6" s="1"/>
  <c r="W43" i="6" s="1"/>
  <c r="U43" i="6"/>
  <c r="T43" i="6"/>
  <c r="T48" i="6"/>
  <c r="T42" i="6"/>
  <c r="Q158" i="6"/>
  <c r="Q159" i="6"/>
  <c r="S19" i="6"/>
  <c r="V19" i="6" s="1"/>
  <c r="W19" i="6" s="1"/>
  <c r="S13" i="6"/>
  <c r="V13" i="6"/>
  <c r="W13" i="6"/>
  <c r="U13" i="6"/>
  <c r="T19" i="6"/>
  <c r="T18" i="6"/>
  <c r="T13" i="6"/>
  <c r="S97" i="6"/>
  <c r="U97" i="6" s="1"/>
  <c r="S96" i="6"/>
  <c r="U96" i="6" s="1"/>
  <c r="T97" i="6"/>
  <c r="T96" i="6"/>
  <c r="S91" i="6"/>
  <c r="V91" i="6" s="1"/>
  <c r="S90" i="6"/>
  <c r="V90" i="6" s="1"/>
  <c r="T91" i="6"/>
  <c r="T90" i="6"/>
  <c r="S85" i="6"/>
  <c r="V85" i="6" s="1"/>
  <c r="T85" i="6"/>
  <c r="T84" i="6"/>
  <c r="S67" i="6"/>
  <c r="U67" i="6" s="1"/>
  <c r="S66" i="6"/>
  <c r="U66" i="6" s="1"/>
  <c r="T67" i="6"/>
  <c r="T66" i="6"/>
  <c r="S61" i="6"/>
  <c r="V61" i="6" s="1"/>
  <c r="S60" i="6"/>
  <c r="V60" i="6" s="1"/>
  <c r="T61" i="6"/>
  <c r="T60" i="6"/>
  <c r="S55" i="6"/>
  <c r="V55" i="6" s="1"/>
  <c r="T55" i="6"/>
  <c r="T54" i="6"/>
  <c r="S37" i="6"/>
  <c r="V37" i="6" s="1"/>
  <c r="S36" i="6"/>
  <c r="U36" i="6" s="1"/>
  <c r="T37" i="6"/>
  <c r="T36" i="6"/>
  <c r="S31" i="6"/>
  <c r="V31" i="6" s="1"/>
  <c r="S30" i="6"/>
  <c r="V30" i="6" s="1"/>
  <c r="T31" i="6"/>
  <c r="T30" i="6"/>
  <c r="S25" i="6"/>
  <c r="V25" i="6" s="1"/>
  <c r="T25" i="6"/>
  <c r="T24" i="6"/>
  <c r="U19" i="6" l="1"/>
  <c r="U84" i="6"/>
  <c r="U42" i="6"/>
  <c r="U60" i="6"/>
  <c r="W60" i="6" s="1"/>
  <c r="V66" i="6"/>
  <c r="W66" i="6" s="1"/>
  <c r="V36" i="6"/>
  <c r="U90" i="6"/>
  <c r="W90" i="6" s="1"/>
  <c r="U25" i="6"/>
  <c r="W25" i="6" s="1"/>
  <c r="W36" i="6"/>
  <c r="V97" i="6"/>
  <c r="W97" i="6" s="1"/>
  <c r="U55" i="6"/>
  <c r="W55" i="6" s="1"/>
  <c r="V67" i="6"/>
  <c r="W67" i="6" s="1"/>
  <c r="U85" i="6"/>
  <c r="W85" i="6" s="1"/>
  <c r="U91" i="6"/>
  <c r="W91" i="6" s="1"/>
  <c r="V96" i="6"/>
  <c r="W96" i="6" s="1"/>
  <c r="U30" i="6"/>
  <c r="W30" i="6" s="1"/>
  <c r="U31" i="6"/>
  <c r="W31" i="6" s="1"/>
  <c r="U37" i="6"/>
  <c r="W37" i="6" s="1"/>
  <c r="U61" i="6"/>
  <c r="W61" i="6" s="1"/>
  <c r="K2511" i="6"/>
  <c r="L2674" i="6"/>
  <c r="K2586" i="6"/>
  <c r="K2997" i="6"/>
  <c r="K2755" i="6"/>
  <c r="K2666" i="6"/>
  <c r="K2328" i="6"/>
  <c r="K3006" i="6"/>
  <c r="D26" i="10"/>
  <c r="L2737" i="6"/>
  <c r="L2918" i="6"/>
  <c r="K3227" i="6"/>
  <c r="K3230" i="6"/>
  <c r="K2840" i="6"/>
  <c r="L2556" i="6"/>
  <c r="K2941" i="6"/>
  <c r="K2706" i="6"/>
  <c r="L2979" i="6"/>
  <c r="K3070" i="6"/>
  <c r="K2730" i="6"/>
  <c r="D25" i="10"/>
  <c r="K2835" i="6"/>
  <c r="K2923" i="6"/>
  <c r="L3118" i="6"/>
  <c r="L2746" i="6"/>
  <c r="L3098" i="6"/>
  <c r="K3170" i="6"/>
  <c r="K2538" i="6"/>
  <c r="L2976" i="6"/>
  <c r="L2966" i="6"/>
  <c r="K2723" i="6"/>
  <c r="L3178" i="6"/>
  <c r="K3120" i="6"/>
  <c r="L3233" i="6"/>
  <c r="L3005" i="6"/>
  <c r="K3177" i="6"/>
  <c r="K2604" i="6"/>
  <c r="K2699" i="6"/>
  <c r="L3232" i="6"/>
  <c r="L3057" i="6"/>
  <c r="K2862" i="6"/>
  <c r="K3187" i="6"/>
  <c r="L3171" i="6"/>
  <c r="L2901" i="6"/>
  <c r="K2063" i="6"/>
  <c r="K3232" i="6"/>
  <c r="L2205" i="6"/>
  <c r="K3166" i="6"/>
  <c r="K3146" i="6"/>
  <c r="K2622" i="6"/>
  <c r="L3150" i="6"/>
  <c r="K2391" i="6"/>
  <c r="L2770" i="6"/>
  <c r="K2894" i="6"/>
  <c r="K2865" i="6"/>
  <c r="K2516" i="6"/>
  <c r="K2937" i="6"/>
  <c r="K3194" i="6"/>
  <c r="K2882" i="6"/>
  <c r="K3115" i="6"/>
  <c r="K3197" i="6"/>
  <c r="K2482" i="6"/>
  <c r="K3114" i="6"/>
  <c r="K3073" i="6"/>
  <c r="L2884" i="6"/>
  <c r="L2777" i="6"/>
  <c r="L2997" i="6"/>
  <c r="K2204" i="6"/>
  <c r="L2473" i="6"/>
  <c r="L3224" i="6"/>
  <c r="K2662" i="6"/>
  <c r="K2819" i="6"/>
  <c r="L2906" i="6"/>
  <c r="K2742" i="6"/>
  <c r="L2943" i="6"/>
  <c r="K2731" i="6"/>
  <c r="L2410" i="6"/>
  <c r="K2272" i="6"/>
  <c r="L2759" i="6"/>
  <c r="K3076" i="6"/>
  <c r="L2854" i="6"/>
  <c r="K2909" i="6"/>
  <c r="K2839" i="6"/>
  <c r="K3127" i="6"/>
  <c r="E32" i="10"/>
  <c r="K3238" i="6"/>
  <c r="K3121" i="6"/>
  <c r="K3113" i="6"/>
  <c r="L2871" i="6"/>
  <c r="K2734" i="6"/>
  <c r="D28" i="10"/>
  <c r="K3082" i="6"/>
  <c r="K3066" i="6"/>
  <c r="K3151" i="6"/>
  <c r="L2451" i="6"/>
  <c r="K2693" i="6"/>
  <c r="K3171" i="6"/>
  <c r="K2956" i="6"/>
  <c r="K2178" i="6"/>
  <c r="L1959" i="6"/>
  <c r="L2988" i="6"/>
  <c r="K2320" i="6"/>
  <c r="L3143" i="6"/>
  <c r="K3207" i="6"/>
  <c r="L3086" i="6"/>
  <c r="L3051" i="6"/>
  <c r="L2863" i="6"/>
  <c r="L3020" i="6"/>
  <c r="K2475" i="6"/>
  <c r="K3139" i="6"/>
  <c r="K2618" i="6"/>
  <c r="L3216" i="6"/>
  <c r="L2885" i="6"/>
  <c r="K2671" i="6"/>
  <c r="L3238" i="6"/>
  <c r="K2585" i="6"/>
  <c r="L2797" i="6"/>
  <c r="L1862" i="6"/>
  <c r="K2709" i="6"/>
  <c r="K3011" i="6"/>
  <c r="L2717" i="6"/>
  <c r="K2682" i="6"/>
  <c r="K3210" i="6"/>
  <c r="K3096" i="6"/>
  <c r="K3147" i="6"/>
  <c r="K3213" i="6"/>
  <c r="L3041" i="6"/>
  <c r="L2995" i="6"/>
  <c r="L2930" i="6"/>
  <c r="L2390" i="6"/>
  <c r="L3240" i="6"/>
  <c r="K3142" i="6"/>
  <c r="K3074" i="6"/>
  <c r="K3058" i="6"/>
  <c r="K2288" i="6"/>
  <c r="K2416" i="6"/>
  <c r="K3037" i="6"/>
  <c r="E33" i="10"/>
  <c r="K2626" i="6"/>
  <c r="L2546" i="6"/>
  <c r="L3166" i="6"/>
  <c r="L3030" i="6"/>
  <c r="K3051" i="6"/>
  <c r="L2806" i="6"/>
  <c r="K3200" i="6"/>
  <c r="K2499" i="6"/>
  <c r="K2718" i="6"/>
  <c r="L2970" i="6"/>
  <c r="L3097" i="6"/>
  <c r="L3105" i="6"/>
  <c r="L2981" i="6"/>
  <c r="K2953" i="6"/>
  <c r="L2653" i="6"/>
  <c r="L3215" i="6"/>
  <c r="K3031" i="6"/>
  <c r="K2564" i="6"/>
  <c r="K3008" i="6"/>
  <c r="K2738" i="6"/>
  <c r="L3160" i="6"/>
  <c r="L2927" i="6"/>
  <c r="K3191" i="6"/>
  <c r="L2936" i="6"/>
  <c r="K2578" i="6"/>
  <c r="K3131" i="6"/>
  <c r="K2906" i="6"/>
  <c r="K3226" i="6"/>
  <c r="K2949" i="6"/>
  <c r="K2921" i="6"/>
  <c r="L3114" i="6"/>
  <c r="K3235" i="6"/>
  <c r="K3091" i="6"/>
  <c r="K3075" i="6"/>
  <c r="L2934" i="6"/>
  <c r="K2990" i="6"/>
  <c r="K3183" i="6"/>
  <c r="L3054" i="6"/>
  <c r="L2961" i="6"/>
  <c r="K3060" i="6"/>
  <c r="L2387" i="6"/>
  <c r="K3133" i="6"/>
  <c r="K3130" i="6"/>
  <c r="K2806" i="6"/>
  <c r="L3035" i="6"/>
  <c r="L2852" i="6"/>
  <c r="K3042" i="6"/>
  <c r="L2905" i="6"/>
  <c r="K3148" i="6"/>
  <c r="L2809" i="6"/>
  <c r="L3164" i="6"/>
  <c r="K3195" i="6"/>
  <c r="L3068" i="6"/>
  <c r="L2422" i="6"/>
  <c r="K2908" i="6"/>
  <c r="K2384" i="6"/>
  <c r="K3233" i="6"/>
  <c r="L3004" i="6"/>
  <c r="K2774" i="6"/>
  <c r="K3222" i="6"/>
  <c r="L3212" i="6"/>
  <c r="L2920" i="6"/>
  <c r="K3017" i="6"/>
  <c r="L3106" i="6"/>
  <c r="K3077" i="6"/>
  <c r="K3016" i="6"/>
  <c r="L2708" i="6"/>
  <c r="K3101" i="6"/>
  <c r="L2543" i="6"/>
  <c r="K2514" i="6"/>
  <c r="K3097" i="6"/>
  <c r="L3169" i="6"/>
  <c r="K3125" i="6"/>
  <c r="L2793" i="6"/>
  <c r="L3234" i="6"/>
  <c r="L2794" i="6"/>
  <c r="L3153" i="6"/>
  <c r="L3117" i="6"/>
  <c r="K2924" i="6"/>
  <c r="K2944" i="6"/>
  <c r="L3092" i="6"/>
  <c r="L1943" i="6"/>
  <c r="K3132" i="6"/>
  <c r="L3127" i="6"/>
  <c r="K2470" i="6"/>
  <c r="K3106" i="6"/>
  <c r="L2459" i="6"/>
  <c r="L3209" i="6"/>
  <c r="K2517" i="6"/>
  <c r="K2069" i="6"/>
  <c r="K3048" i="6"/>
  <c r="K2424" i="6"/>
  <c r="L2733" i="6"/>
  <c r="L2949" i="6"/>
  <c r="L3213" i="6"/>
  <c r="K2782" i="6"/>
  <c r="L3152" i="6"/>
  <c r="L2856" i="6"/>
  <c r="K2959" i="6"/>
  <c r="L2876" i="6"/>
  <c r="K3209" i="6"/>
  <c r="L2559" i="6"/>
  <c r="K3212" i="6"/>
  <c r="L2902" i="6"/>
  <c r="K2451" i="6"/>
  <c r="E27" i="10"/>
  <c r="L2497" i="6"/>
  <c r="L2945" i="6"/>
  <c r="L2992" i="6"/>
  <c r="K3004" i="6"/>
  <c r="K3134" i="6"/>
  <c r="L2403" i="6"/>
  <c r="L2714" i="6"/>
  <c r="L3017" i="6"/>
  <c r="L3239" i="6"/>
  <c r="K3126" i="6"/>
  <c r="K2967" i="6"/>
  <c r="L3241" i="6"/>
  <c r="L2628" i="6"/>
  <c r="L2710" i="6"/>
  <c r="L2999" i="6"/>
  <c r="L2917" i="6"/>
  <c r="K3168" i="6"/>
  <c r="L2868" i="6"/>
  <c r="K3174" i="6"/>
  <c r="K3237" i="6"/>
  <c r="L2761" i="6"/>
  <c r="L3064" i="6"/>
  <c r="L2552" i="6"/>
  <c r="L2954" i="6"/>
  <c r="L2928" i="6"/>
  <c r="K3198" i="6"/>
  <c r="L3003" i="6"/>
  <c r="L2947" i="6"/>
  <c r="K3062" i="6"/>
  <c r="L3167" i="6"/>
  <c r="L3042" i="6"/>
  <c r="K2490" i="6"/>
  <c r="L2509" i="6"/>
  <c r="K3215" i="6"/>
  <c r="L3172" i="6"/>
  <c r="K2860" i="6"/>
  <c r="L3122" i="6"/>
  <c r="L3120" i="6"/>
  <c r="L3141" i="6"/>
  <c r="L2969" i="6"/>
  <c r="L3210" i="6"/>
  <c r="L2728" i="6"/>
  <c r="L2778" i="6"/>
  <c r="K3080" i="6"/>
  <c r="K3057" i="6"/>
  <c r="L3024" i="6"/>
  <c r="K2966" i="6"/>
  <c r="L2519" i="6"/>
  <c r="L2818" i="6"/>
  <c r="L2816" i="6"/>
  <c r="L3219" i="6"/>
  <c r="K3018" i="6"/>
  <c r="L3148" i="6"/>
  <c r="L3184" i="6"/>
  <c r="L2382" i="6"/>
  <c r="K2672" i="6"/>
  <c r="L2723" i="6"/>
  <c r="L2672" i="6"/>
  <c r="L2720" i="6"/>
  <c r="L2844" i="6"/>
  <c r="L3077" i="6"/>
  <c r="L3237" i="6"/>
  <c r="L2907" i="6"/>
  <c r="L2826" i="6"/>
  <c r="L3010" i="6"/>
  <c r="K2316" i="6"/>
  <c r="K3186" i="6"/>
  <c r="E30" i="10"/>
  <c r="L3031" i="6"/>
  <c r="L2706" i="6"/>
  <c r="K3190" i="6"/>
  <c r="L2694" i="6"/>
  <c r="K2691" i="6"/>
  <c r="K2988" i="6"/>
  <c r="K3044" i="6"/>
  <c r="K2861" i="6"/>
  <c r="L3206" i="6"/>
  <c r="L2935" i="6"/>
  <c r="L2903" i="6"/>
  <c r="K2747" i="6"/>
  <c r="K3036" i="6"/>
  <c r="K2817" i="6"/>
  <c r="K2775" i="6"/>
  <c r="K2629" i="6"/>
  <c r="K3185" i="6"/>
  <c r="L3197" i="6"/>
  <c r="K2936" i="6"/>
  <c r="L2834" i="6"/>
  <c r="K3109" i="6"/>
  <c r="K2954" i="6"/>
  <c r="L3222" i="6"/>
  <c r="K3141" i="6"/>
  <c r="K3229" i="6"/>
  <c r="L3193" i="6"/>
  <c r="K3178" i="6"/>
  <c r="K3069" i="6"/>
  <c r="K2501" i="6"/>
  <c r="L2787" i="6"/>
  <c r="K2766" i="6"/>
  <c r="K3023" i="6"/>
  <c r="L3108" i="6"/>
  <c r="K3208" i="6"/>
  <c r="E31" i="10"/>
  <c r="L2835" i="6"/>
  <c r="K2554" i="6"/>
  <c r="K2615" i="6"/>
  <c r="L2418" i="6"/>
  <c r="L2828" i="6"/>
  <c r="L2950" i="6"/>
  <c r="K2842" i="6"/>
  <c r="L2711" i="6"/>
  <c r="L3188" i="6"/>
  <c r="L2909" i="6"/>
  <c r="K2811" i="6"/>
  <c r="L2657" i="6"/>
  <c r="K2557" i="6"/>
  <c r="K2991" i="6"/>
  <c r="L2299" i="6"/>
  <c r="K3050" i="6"/>
  <c r="L3046" i="6"/>
  <c r="K2336" i="6"/>
  <c r="L2671" i="6"/>
  <c r="K1530" i="6"/>
  <c r="L2788" i="6"/>
  <c r="K3056" i="6"/>
  <c r="L2355" i="6"/>
  <c r="L2307" i="6"/>
  <c r="K3054" i="6"/>
  <c r="K3110" i="6"/>
  <c r="K2850" i="6"/>
  <c r="L2531" i="6"/>
  <c r="L3048" i="6"/>
  <c r="K3161" i="6"/>
  <c r="K3022" i="6"/>
  <c r="L3032" i="6"/>
  <c r="K2599" i="6"/>
  <c r="L3045" i="6"/>
  <c r="K2790" i="6"/>
  <c r="K3059" i="6"/>
  <c r="K2593" i="6"/>
  <c r="K2881" i="6"/>
  <c r="K2879" i="6"/>
  <c r="L3013" i="6"/>
  <c r="K2057" i="6"/>
  <c r="L3071" i="6"/>
  <c r="K2827" i="6"/>
  <c r="K2870" i="6"/>
  <c r="K2324" i="6"/>
  <c r="K2572" i="6"/>
  <c r="L2801" i="6"/>
  <c r="K3027" i="6"/>
  <c r="E26" i="10"/>
  <c r="L2742" i="6"/>
  <c r="L3067" i="6"/>
  <c r="K3117" i="6"/>
  <c r="L3129" i="6"/>
  <c r="K2750" i="6"/>
  <c r="K2726" i="6"/>
  <c r="L2948" i="6"/>
  <c r="K3175" i="6"/>
  <c r="L3208" i="6"/>
  <c r="K3030" i="6"/>
  <c r="L2904" i="6"/>
  <c r="L3227" i="6"/>
  <c r="K2813" i="6"/>
  <c r="L2971" i="6"/>
  <c r="K3009" i="6"/>
  <c r="L2702" i="6"/>
  <c r="L2953" i="6"/>
  <c r="L3038" i="6"/>
  <c r="L1870" i="6"/>
  <c r="L3111" i="6"/>
  <c r="L2853" i="6"/>
  <c r="L2814" i="6"/>
  <c r="L2832" i="6"/>
  <c r="L3033" i="6"/>
  <c r="L2968" i="6"/>
  <c r="L2843" i="6"/>
  <c r="L3078" i="6"/>
  <c r="K3124" i="6"/>
  <c r="L3226" i="6"/>
  <c r="L3081" i="6"/>
  <c r="L2297" i="6"/>
  <c r="L3121" i="6"/>
  <c r="L2822" i="6"/>
  <c r="K2740" i="6"/>
  <c r="K3087" i="6"/>
  <c r="K2816" i="6"/>
  <c r="L2699" i="6"/>
  <c r="K3000" i="6"/>
  <c r="K2714" i="6"/>
  <c r="L3037" i="6"/>
  <c r="L2517" i="6"/>
  <c r="K2594" i="6"/>
  <c r="L3217" i="6"/>
  <c r="L3096" i="6"/>
  <c r="K3025" i="6"/>
  <c r="K3129" i="6"/>
  <c r="K2998" i="6"/>
  <c r="K2647" i="6"/>
  <c r="L2921" i="6"/>
  <c r="L2864" i="6"/>
  <c r="K2873" i="6"/>
  <c r="L2977" i="6"/>
  <c r="K3088" i="6"/>
  <c r="L2813" i="6"/>
  <c r="L2786" i="6"/>
  <c r="L2483" i="6"/>
  <c r="L3109" i="6"/>
  <c r="K3157" i="6"/>
  <c r="K3189" i="6"/>
  <c r="L2982" i="6"/>
  <c r="K3137" i="6"/>
  <c r="L2567" i="6"/>
  <c r="L2661" i="6"/>
  <c r="K2558" i="6"/>
  <c r="L3008" i="6"/>
  <c r="L2959" i="6"/>
  <c r="K2660" i="6"/>
  <c r="K2188" i="6"/>
  <c r="L2673" i="6"/>
  <c r="K3193" i="6"/>
  <c r="L2685" i="6"/>
  <c r="L2850" i="6"/>
  <c r="L2450" i="6"/>
  <c r="K2905" i="6"/>
  <c r="L3165" i="6"/>
  <c r="K2947" i="6"/>
  <c r="K3092" i="6"/>
  <c r="L2895" i="6"/>
  <c r="K2965" i="6"/>
  <c r="K3140" i="6"/>
  <c r="L2802" i="6"/>
  <c r="L3204" i="6"/>
  <c r="K2833" i="6"/>
  <c r="K2696" i="6"/>
  <c r="K3162" i="6"/>
  <c r="K3063" i="6"/>
  <c r="D30" i="10"/>
  <c r="K2284" i="6"/>
  <c r="K2900" i="6"/>
  <c r="L2584" i="6"/>
  <c r="K3104" i="6"/>
  <c r="K2646" i="6"/>
  <c r="K3061" i="6"/>
  <c r="L2721" i="6"/>
  <c r="K2884" i="6"/>
  <c r="K2859" i="6"/>
  <c r="L1403" i="6"/>
  <c r="L2765" i="6"/>
  <c r="L3083" i="6"/>
  <c r="K2379" i="6"/>
  <c r="K2240" i="6"/>
  <c r="L3116" i="6"/>
  <c r="L3073" i="6"/>
  <c r="L2748" i="6"/>
  <c r="K2436" i="6"/>
  <c r="L2916" i="6"/>
  <c r="K3019" i="6"/>
  <c r="L3137" i="6"/>
  <c r="L2680" i="6"/>
  <c r="L2277" i="6"/>
  <c r="K2855" i="6"/>
  <c r="K3179" i="6"/>
  <c r="L3235" i="6"/>
  <c r="L2275" i="6"/>
  <c r="K3223" i="6"/>
  <c r="L2798" i="6"/>
  <c r="L2593" i="6"/>
  <c r="L2867" i="6"/>
  <c r="L2162" i="6"/>
  <c r="K3020" i="6"/>
  <c r="L3198" i="6"/>
  <c r="K2550" i="6"/>
  <c r="L2012" i="6"/>
  <c r="L2861" i="6"/>
  <c r="K2392" i="6"/>
  <c r="L2815" i="6"/>
  <c r="L2375" i="6"/>
  <c r="K2264" i="6"/>
  <c r="K2822" i="6"/>
  <c r="L2810" i="6"/>
  <c r="K2472" i="6"/>
  <c r="K2847" i="6"/>
  <c r="K2657" i="6"/>
  <c r="L3088" i="6"/>
  <c r="K2973" i="6"/>
  <c r="D32" i="10"/>
  <c r="K2964" i="6"/>
  <c r="K2477" i="6"/>
  <c r="L2897" i="6"/>
  <c r="K2799" i="6"/>
  <c r="L2522" i="6"/>
  <c r="L3236" i="6"/>
  <c r="K2968" i="6"/>
  <c r="K1624" i="6"/>
  <c r="L2915" i="6"/>
  <c r="K3173" i="6"/>
  <c r="L3112" i="6"/>
  <c r="L3126" i="6"/>
  <c r="K2218" i="6"/>
  <c r="L2446" i="6"/>
  <c r="L2537" i="6"/>
  <c r="L2383" i="6"/>
  <c r="K2431" i="6"/>
  <c r="L2508" i="6"/>
  <c r="L2695" i="6"/>
  <c r="K3241" i="6"/>
  <c r="L2568" i="6"/>
  <c r="K2312" i="6"/>
  <c r="K2198" i="6"/>
  <c r="L2230" i="6"/>
  <c r="K2435" i="6"/>
  <c r="K2481" i="6"/>
  <c r="K2371" i="6"/>
  <c r="K3155" i="6"/>
  <c r="K3079" i="6"/>
  <c r="L2130" i="6"/>
  <c r="L2762" i="6"/>
  <c r="K2456" i="6"/>
  <c r="K3165" i="6"/>
  <c r="L2689" i="6"/>
  <c r="L3158" i="6"/>
  <c r="K3224" i="6"/>
  <c r="K3184" i="6"/>
  <c r="K2961" i="6"/>
  <c r="L2272" i="6"/>
  <c r="L2467" i="6"/>
  <c r="L3159" i="6"/>
  <c r="L2472" i="6"/>
  <c r="L2713" i="6"/>
  <c r="K3201" i="6"/>
  <c r="K3219" i="6"/>
  <c r="K2101" i="6"/>
  <c r="K2539" i="6"/>
  <c r="K3116" i="6"/>
  <c r="K2886" i="6"/>
  <c r="L3145" i="6"/>
  <c r="K2897" i="6"/>
  <c r="K2903" i="6"/>
  <c r="L3084" i="6"/>
  <c r="L2433" i="6"/>
  <c r="K2856" i="6"/>
  <c r="K1520" i="6"/>
  <c r="L3201" i="6"/>
  <c r="L3134" i="6"/>
  <c r="L2773" i="6"/>
  <c r="L2485" i="6"/>
  <c r="K2857" i="6"/>
  <c r="L2634" i="6"/>
  <c r="L2858" i="6"/>
  <c r="K3090" i="6"/>
  <c r="L2192" i="6"/>
  <c r="K2984" i="6"/>
  <c r="K3028" i="6"/>
  <c r="L2890" i="6"/>
  <c r="K3085" i="6"/>
  <c r="K2913" i="6"/>
  <c r="L1786" i="6"/>
  <c r="K2767" i="6"/>
  <c r="L3113" i="6"/>
  <c r="L2827" i="6"/>
  <c r="L3007" i="6"/>
  <c r="K2535" i="6"/>
  <c r="K2931" i="6"/>
  <c r="L2291" i="6"/>
  <c r="K2076" i="6"/>
  <c r="L2964" i="6"/>
  <c r="K2339" i="6"/>
  <c r="K2432" i="6"/>
  <c r="L2203" i="6"/>
  <c r="L1941" i="6"/>
  <c r="K2727" i="6"/>
  <c r="K2621" i="6"/>
  <c r="K1743" i="6"/>
  <c r="L1654" i="6"/>
  <c r="L2665" i="6"/>
  <c r="K2986" i="6"/>
  <c r="L3040" i="6"/>
  <c r="L2846" i="6"/>
  <c r="L3072" i="6"/>
  <c r="L2585" i="6"/>
  <c r="K2303" i="6"/>
  <c r="L2829" i="6"/>
  <c r="K3029" i="6"/>
  <c r="K2992" i="6"/>
  <c r="K2890" i="6"/>
  <c r="L2963" i="6"/>
  <c r="L3074" i="6"/>
  <c r="K2141" i="6"/>
  <c r="K2658" i="6"/>
  <c r="L2994" i="6"/>
  <c r="K3144" i="6"/>
  <c r="K3094" i="6"/>
  <c r="K3172" i="6"/>
  <c r="K2262" i="6"/>
  <c r="K2925" i="6"/>
  <c r="K3217" i="6"/>
  <c r="L2595" i="6"/>
  <c r="L3135" i="6"/>
  <c r="L2314" i="6"/>
  <c r="L2486" i="6"/>
  <c r="K2938" i="6"/>
  <c r="K1728" i="6"/>
  <c r="K2877" i="6"/>
  <c r="K2958" i="6"/>
  <c r="L2557" i="6"/>
  <c r="K2950" i="6"/>
  <c r="L2625" i="6"/>
  <c r="K3089" i="6"/>
  <c r="L2800" i="6"/>
  <c r="K2875" i="6"/>
  <c r="K2794" i="6"/>
  <c r="K3122" i="6"/>
  <c r="L2253" i="6"/>
  <c r="K2739" i="6"/>
  <c r="K2896" i="6"/>
  <c r="K3152" i="6"/>
  <c r="L3029" i="6"/>
  <c r="K3150" i="6"/>
  <c r="K2440" i="6"/>
  <c r="L2845" i="6"/>
  <c r="L2125" i="6"/>
  <c r="L2575" i="6"/>
  <c r="K2290" i="6"/>
  <c r="K2778" i="6"/>
  <c r="K3182" i="6"/>
  <c r="K2715" i="6"/>
  <c r="L3062" i="6"/>
  <c r="K2124" i="6"/>
  <c r="K2851" i="6"/>
  <c r="L3196" i="6"/>
  <c r="K2423" i="6"/>
  <c r="K1863" i="6"/>
  <c r="L2536" i="6"/>
  <c r="K830" i="6"/>
  <c r="K2955" i="6"/>
  <c r="K2400" i="6"/>
  <c r="K2812" i="6"/>
  <c r="K2945" i="6"/>
  <c r="K3118" i="6"/>
  <c r="L2913" i="6"/>
  <c r="L2973" i="6"/>
  <c r="L3218" i="6"/>
  <c r="L3199" i="6"/>
  <c r="L3019" i="6"/>
  <c r="K3236" i="6"/>
  <c r="K2610" i="6"/>
  <c r="L2883" i="6"/>
  <c r="L2839" i="6"/>
  <c r="L3123" i="6"/>
  <c r="K2703" i="6"/>
  <c r="K2975" i="6"/>
  <c r="L1718" i="6"/>
  <c r="K3211" i="6"/>
  <c r="K3205" i="6"/>
  <c r="L2617" i="6"/>
  <c r="K2649" i="6"/>
  <c r="L3052" i="6"/>
  <c r="K2356" i="6"/>
  <c r="K2008" i="6"/>
  <c r="L2899" i="6"/>
  <c r="K3049" i="6"/>
  <c r="K2219" i="6"/>
  <c r="L3053" i="6"/>
  <c r="K2377" i="6"/>
  <c r="L2991" i="6"/>
  <c r="K2510" i="6"/>
  <c r="K2876" i="6"/>
  <c r="L2663" i="6"/>
  <c r="D31" i="10"/>
  <c r="L2978" i="6"/>
  <c r="K2574" i="6"/>
  <c r="L3119" i="6"/>
  <c r="L3015" i="6"/>
  <c r="K2194" i="6"/>
  <c r="L3063" i="6"/>
  <c r="K1768" i="6"/>
  <c r="K922" i="6"/>
  <c r="L2591" i="6"/>
  <c r="K3214" i="6"/>
  <c r="L3069" i="6"/>
  <c r="L2639" i="6"/>
  <c r="K2765" i="6"/>
  <c r="L2117" i="6"/>
  <c r="L2457" i="6"/>
  <c r="K2322" i="6"/>
  <c r="L3157" i="6"/>
  <c r="L2769" i="6"/>
  <c r="K3216" i="6"/>
  <c r="L2395" i="6"/>
  <c r="L2782" i="6"/>
  <c r="K2926" i="6"/>
  <c r="L3110" i="6"/>
  <c r="L2460" i="6"/>
  <c r="L1371" i="6"/>
  <c r="K2843" i="6"/>
  <c r="K3196" i="6"/>
  <c r="L1667" i="6"/>
  <c r="L2222" i="6"/>
  <c r="K2559" i="6"/>
  <c r="L3000" i="6"/>
  <c r="K2466" i="6"/>
  <c r="L2677" i="6"/>
  <c r="K2590" i="6"/>
  <c r="K3034" i="6"/>
  <c r="K2786" i="6"/>
  <c r="L3132" i="6"/>
  <c r="K2989" i="6"/>
  <c r="L2302" i="6"/>
  <c r="L2669" i="6"/>
  <c r="L2703" i="6"/>
  <c r="K2474" i="6"/>
  <c r="L3026" i="6"/>
  <c r="K2689" i="6"/>
  <c r="K2285" i="6"/>
  <c r="L2613" i="6"/>
  <c r="K3154" i="6"/>
  <c r="K2678" i="6"/>
  <c r="L1991" i="6"/>
  <c r="L2734" i="6"/>
  <c r="K3100" i="6"/>
  <c r="K2627" i="6"/>
  <c r="K2803" i="6"/>
  <c r="K2486" i="6"/>
  <c r="L2754" i="6"/>
  <c r="L3047" i="6"/>
  <c r="K2677" i="6"/>
  <c r="L3085" i="6"/>
  <c r="L2776" i="6"/>
  <c r="K2994" i="6"/>
  <c r="K1991" i="6"/>
  <c r="L2629" i="6"/>
  <c r="K2641" i="6"/>
  <c r="L2609" i="6"/>
  <c r="L2569" i="6"/>
  <c r="L2642" i="6"/>
  <c r="K3169" i="6"/>
  <c r="L2860" i="6"/>
  <c r="E28" i="10"/>
  <c r="L3104" i="6"/>
  <c r="K3093" i="6"/>
  <c r="K3108" i="6"/>
  <c r="K2042" i="6"/>
  <c r="K2946" i="6"/>
  <c r="K2826" i="6"/>
  <c r="K2846" i="6"/>
  <c r="K2551" i="6"/>
  <c r="K3160" i="6"/>
  <c r="K3043" i="6"/>
  <c r="L2944" i="6"/>
  <c r="L1555" i="6"/>
  <c r="L3146" i="6"/>
  <c r="L2621" i="6"/>
  <c r="K2918" i="6"/>
  <c r="L3207" i="6"/>
  <c r="L3124" i="6"/>
  <c r="L3115" i="6"/>
  <c r="L3179" i="6"/>
  <c r="L1165" i="6"/>
  <c r="K2887" i="6"/>
  <c r="L2679" i="6"/>
  <c r="L2029" i="6"/>
  <c r="K1986" i="6"/>
  <c r="L2583" i="6"/>
  <c r="L2177" i="6"/>
  <c r="L2937" i="6"/>
  <c r="K3204" i="6"/>
  <c r="K2746" i="6"/>
  <c r="L2747" i="6"/>
  <c r="L2573" i="6"/>
  <c r="L2993" i="6"/>
  <c r="L3211" i="6"/>
  <c r="L3128" i="6"/>
  <c r="K2763" i="6"/>
  <c r="K2974" i="6"/>
  <c r="K3203" i="6"/>
  <c r="K2532" i="6"/>
  <c r="L3205" i="6"/>
  <c r="L2640" i="6"/>
  <c r="L2749" i="6"/>
  <c r="L2958" i="6"/>
  <c r="K2476" i="6"/>
  <c r="K2878" i="6"/>
  <c r="K3047" i="6"/>
  <c r="K2969" i="6"/>
  <c r="K2352" i="6"/>
  <c r="K2830" i="6"/>
  <c r="L2792" i="6"/>
  <c r="L2501" i="6"/>
  <c r="L1814" i="6"/>
  <c r="K2009" i="6"/>
  <c r="L2805" i="6"/>
  <c r="L1996" i="6"/>
  <c r="L3231" i="6"/>
  <c r="E25" i="10"/>
  <c r="L2175" i="6"/>
  <c r="L1675" i="6"/>
  <c r="L2700" i="6"/>
  <c r="L2529" i="6"/>
  <c r="L1873" i="6"/>
  <c r="L2772" i="6"/>
  <c r="K3041" i="6"/>
  <c r="L2526" i="6"/>
  <c r="L2530" i="6"/>
  <c r="K3068" i="6"/>
  <c r="K2871" i="6"/>
  <c r="K2845" i="6"/>
  <c r="L1970" i="6"/>
  <c r="L2774" i="6"/>
  <c r="K2891" i="6"/>
  <c r="K3234" i="6"/>
  <c r="L2836" i="6"/>
  <c r="K2584" i="6"/>
  <c r="K2720" i="6"/>
  <c r="L3060" i="6"/>
  <c r="K2029" i="6"/>
  <c r="L1377" i="6"/>
  <c r="L2598" i="6"/>
  <c r="L2212" i="6"/>
  <c r="L2242" i="6"/>
  <c r="K2238" i="6"/>
  <c r="L2622" i="6"/>
  <c r="L2481" i="6"/>
  <c r="K2294" i="6"/>
  <c r="K3240" i="6"/>
  <c r="L2330" i="6"/>
  <c r="K3038" i="6"/>
  <c r="L2587" i="6"/>
  <c r="L3151" i="6"/>
  <c r="L2838" i="6"/>
  <c r="L2342" i="6"/>
  <c r="L3154" i="6"/>
  <c r="L3102" i="6"/>
  <c r="K2892" i="6"/>
  <c r="L2201" i="6"/>
  <c r="L2739" i="6"/>
  <c r="L3161" i="6"/>
  <c r="K2783" i="6"/>
  <c r="L2705" i="6"/>
  <c r="L3125" i="6"/>
  <c r="K3192" i="6"/>
  <c r="L2305" i="6"/>
  <c r="K2580" i="6"/>
  <c r="K3153" i="6"/>
  <c r="K3231" i="6"/>
  <c r="L2848" i="6"/>
  <c r="K2553" i="6"/>
  <c r="K2932" i="6"/>
  <c r="K3098" i="6"/>
  <c r="L3177" i="6"/>
  <c r="K3035" i="6"/>
  <c r="K2673" i="6"/>
  <c r="K2031" i="6"/>
  <c r="K2899" i="6"/>
  <c r="L2738" i="6"/>
  <c r="L2952" i="6"/>
  <c r="L3090" i="6"/>
  <c r="L2126" i="6"/>
  <c r="L2942" i="6"/>
  <c r="L2551" i="6"/>
  <c r="L3155" i="6"/>
  <c r="L2743" i="6"/>
  <c r="L2785" i="6"/>
  <c r="L2282" i="6"/>
  <c r="L2833" i="6"/>
  <c r="L2647" i="6"/>
  <c r="K3102" i="6"/>
  <c r="K3032" i="6"/>
  <c r="K3015" i="6"/>
  <c r="K3228" i="6"/>
  <c r="L3059" i="6"/>
  <c r="K3176" i="6"/>
  <c r="L3214" i="6"/>
  <c r="K2082" i="6"/>
  <c r="L2645" i="6"/>
  <c r="K2345" i="6"/>
  <c r="K2935" i="6"/>
  <c r="K3167" i="6"/>
  <c r="K2872" i="6"/>
  <c r="K2478" i="6"/>
  <c r="L3001" i="6"/>
  <c r="K2242" i="6"/>
  <c r="K2630" i="6"/>
  <c r="K2771" i="6"/>
  <c r="L2156" i="6"/>
  <c r="L2796" i="6"/>
  <c r="K3083" i="6"/>
  <c r="L2641" i="6"/>
  <c r="L3186" i="6"/>
  <c r="L3087" i="6"/>
  <c r="L3229" i="6"/>
  <c r="L2985" i="6"/>
  <c r="L2873" i="6"/>
  <c r="K3013" i="6"/>
  <c r="L2707" i="6"/>
  <c r="K2802" i="6"/>
  <c r="L3181" i="6"/>
  <c r="L3140" i="6"/>
  <c r="L3070" i="6"/>
  <c r="K2869" i="6"/>
  <c r="K2736" i="6"/>
  <c r="K3081" i="6"/>
  <c r="L2256" i="6"/>
  <c r="K2674" i="6"/>
  <c r="L2957" i="6"/>
  <c r="L2044" i="6"/>
  <c r="D29" i="10"/>
  <c r="K2611" i="6"/>
  <c r="K3065" i="6"/>
  <c r="L3101" i="6"/>
  <c r="K2928" i="6"/>
  <c r="L2332" i="6"/>
  <c r="L2477" i="6"/>
  <c r="L2373" i="6"/>
  <c r="L3221" i="6"/>
  <c r="L2510" i="6"/>
  <c r="K2464" i="6"/>
  <c r="K3123" i="6"/>
  <c r="L3076" i="6"/>
  <c r="K2848" i="6"/>
  <c r="L3022" i="6"/>
  <c r="L2929" i="6"/>
  <c r="L2350" i="6"/>
  <c r="K2983" i="6"/>
  <c r="K3105" i="6"/>
  <c r="L2033" i="6"/>
  <c r="L2817" i="6"/>
  <c r="L3034" i="6"/>
  <c r="L3190" i="6"/>
  <c r="L3103" i="6"/>
  <c r="K2893" i="6"/>
  <c r="L2425" i="6"/>
  <c r="L2831" i="6"/>
  <c r="L2396" i="6"/>
  <c r="K2452" i="6"/>
  <c r="K2996" i="6"/>
  <c r="K1967" i="6"/>
  <c r="K2518" i="6"/>
  <c r="L2972" i="6"/>
  <c r="K2911" i="6"/>
  <c r="K2376" i="6"/>
  <c r="L1388" i="6"/>
  <c r="L3082" i="6"/>
  <c r="L3039" i="6"/>
  <c r="K45" i="6"/>
  <c r="L2116" i="6"/>
  <c r="K2987" i="6"/>
  <c r="L2676" i="6"/>
  <c r="K2358" i="6"/>
  <c r="L2630" i="6"/>
  <c r="L2758" i="6"/>
  <c r="L2811" i="6"/>
  <c r="L3187" i="6"/>
  <c r="L2900" i="6"/>
  <c r="L2636" i="6"/>
  <c r="K2120" i="6"/>
  <c r="L2635" i="6"/>
  <c r="L3093" i="6"/>
  <c r="D24" i="10"/>
  <c r="K2659" i="6"/>
  <c r="L3192" i="6"/>
  <c r="K2123" i="6"/>
  <c r="K3111" i="6"/>
  <c r="K1527" i="6"/>
  <c r="L2145" i="6"/>
  <c r="L2766" i="6"/>
  <c r="K3024" i="6"/>
  <c r="K3181" i="6"/>
  <c r="K2751" i="6"/>
  <c r="L2592" i="6"/>
  <c r="L2910" i="6"/>
  <c r="K1114" i="6"/>
  <c r="K2226" i="6"/>
  <c r="K2396" i="6"/>
  <c r="L2093" i="6"/>
  <c r="K2263" i="6"/>
  <c r="L3050" i="6"/>
  <c r="K2743" i="6"/>
  <c r="K3180" i="6"/>
  <c r="L2849" i="6"/>
  <c r="L2489" i="6"/>
  <c r="L3168" i="6"/>
  <c r="K2898" i="6"/>
  <c r="K1676" i="6"/>
  <c r="K2208" i="6"/>
  <c r="L2541" i="6"/>
  <c r="L2092" i="6"/>
  <c r="K1058" i="6"/>
  <c r="K2754" i="6"/>
  <c r="K1822" i="6"/>
  <c r="K2385" i="6"/>
  <c r="L2229" i="6"/>
  <c r="K2205" i="6"/>
  <c r="K3084" i="6"/>
  <c r="L2658" i="6"/>
  <c r="L3185" i="6"/>
  <c r="L2086" i="6"/>
  <c r="L1795" i="6"/>
  <c r="K2795" i="6"/>
  <c r="K2448" i="6"/>
  <c r="L2245" i="6"/>
  <c r="L2693" i="6"/>
  <c r="L2922" i="6"/>
  <c r="K3033" i="6"/>
  <c r="L1037" i="6"/>
  <c r="K2797" i="6"/>
  <c r="L3027" i="6"/>
  <c r="K2939" i="6"/>
  <c r="K2228" i="6"/>
  <c r="L3156" i="6"/>
  <c r="L2419" i="6"/>
  <c r="K2617" i="6"/>
  <c r="L2514" i="6"/>
  <c r="K1862" i="6"/>
  <c r="L2240" i="6"/>
  <c r="L2731" i="6"/>
  <c r="L2430" i="6"/>
  <c r="L2137" i="6"/>
  <c r="K3072" i="6"/>
  <c r="K2372" i="6"/>
  <c r="L1119" i="6"/>
  <c r="K2153" i="6"/>
  <c r="L2627" i="6"/>
  <c r="L2980" i="6"/>
  <c r="L2701" i="6"/>
  <c r="L2659" i="6"/>
  <c r="L3149" i="6"/>
  <c r="K2866" i="6"/>
  <c r="K1981" i="6"/>
  <c r="L3176" i="6"/>
  <c r="L3011" i="6"/>
  <c r="K2650" i="6"/>
  <c r="K3135" i="6"/>
  <c r="L2615" i="6"/>
  <c r="L2420" i="6"/>
  <c r="K2504" i="6"/>
  <c r="L3100" i="6"/>
  <c r="L3066" i="6"/>
  <c r="L2555" i="6"/>
  <c r="K2980" i="6"/>
  <c r="L3055" i="6"/>
  <c r="L3142" i="6"/>
  <c r="L2870" i="6"/>
  <c r="L2996" i="6"/>
  <c r="K2157" i="6"/>
  <c r="K2037" i="6"/>
  <c r="L2189" i="6"/>
  <c r="K1591" i="6"/>
  <c r="K1870" i="6"/>
  <c r="K2006" i="6"/>
  <c r="K2800" i="6"/>
  <c r="L2842" i="6"/>
  <c r="L1065" i="6"/>
  <c r="L2857" i="6"/>
  <c r="K2446" i="6"/>
  <c r="L2309" i="6"/>
  <c r="L1927" i="6"/>
  <c r="L1670" i="6"/>
  <c r="L2790" i="6"/>
  <c r="K2643" i="6"/>
  <c r="K2394" i="6"/>
  <c r="L2649" i="6"/>
  <c r="L2513" i="6"/>
  <c r="L2261" i="6"/>
  <c r="K1874" i="6"/>
  <c r="K2591" i="6"/>
  <c r="K2162" i="6"/>
  <c r="K2577" i="6"/>
  <c r="K1996" i="6"/>
  <c r="K3099" i="6"/>
  <c r="K3149" i="6"/>
  <c r="K2296" i="6"/>
  <c r="K2805" i="6"/>
  <c r="L1245" i="6"/>
  <c r="K2808" i="6"/>
  <c r="L1451" i="6"/>
  <c r="K2601" i="6"/>
  <c r="K2175" i="6"/>
  <c r="K1966" i="6"/>
  <c r="L1536" i="6"/>
  <c r="K2078" i="6"/>
  <c r="L2686" i="6"/>
  <c r="L2469" i="6"/>
  <c r="K1980" i="6"/>
  <c r="K1815" i="6"/>
  <c r="K2276" i="6"/>
  <c r="L2651" i="6"/>
  <c r="K654" i="6"/>
  <c r="K1464" i="6"/>
  <c r="K2867" i="6"/>
  <c r="L2369" i="6"/>
  <c r="L2345" i="6"/>
  <c r="L1719" i="6"/>
  <c r="K1959" i="6"/>
  <c r="L3028" i="6"/>
  <c r="L2712" i="6"/>
  <c r="K2687" i="6"/>
  <c r="K1943" i="6"/>
  <c r="L2632" i="6"/>
  <c r="K1823" i="6"/>
  <c r="K3039" i="6"/>
  <c r="K2880" i="6"/>
  <c r="K3067" i="6"/>
  <c r="L3061" i="6"/>
  <c r="K2090" i="6"/>
  <c r="K2640" i="6"/>
  <c r="L1574" i="6"/>
  <c r="K3158" i="6"/>
  <c r="L3133" i="6"/>
  <c r="L3056" i="6"/>
  <c r="K2686" i="6"/>
  <c r="L1916" i="6"/>
  <c r="K2468" i="6"/>
  <c r="L2925" i="6"/>
  <c r="L3195" i="6"/>
  <c r="K2562" i="6"/>
  <c r="K2756" i="6"/>
  <c r="K2492" i="6"/>
  <c r="L2505" i="6"/>
  <c r="K2888" i="6"/>
  <c r="K2708" i="6"/>
  <c r="K2705" i="6"/>
  <c r="L2290" i="6"/>
  <c r="K1763" i="6"/>
  <c r="L3025" i="6"/>
  <c r="L2752" i="6"/>
  <c r="K2359" i="6"/>
  <c r="K2555" i="6"/>
  <c r="K2106" i="6"/>
  <c r="L3183" i="6"/>
  <c r="K3188" i="6"/>
  <c r="K2642" i="6"/>
  <c r="K3001" i="6"/>
  <c r="K3064" i="6"/>
  <c r="K2503" i="6"/>
  <c r="K3010" i="6"/>
  <c r="L2266" i="6"/>
  <c r="L2722" i="6"/>
  <c r="K3040" i="6"/>
  <c r="L2273" i="6"/>
  <c r="L3163" i="6"/>
  <c r="L2053" i="6"/>
  <c r="K2831" i="6"/>
  <c r="L2926" i="6"/>
  <c r="K2669" i="6"/>
  <c r="L2938" i="6"/>
  <c r="K2853" i="6"/>
  <c r="L2962" i="6"/>
  <c r="K2982" i="6"/>
  <c r="K2692" i="6"/>
  <c r="K2587" i="6"/>
  <c r="L2100" i="6"/>
  <c r="K1693" i="6"/>
  <c r="K2633" i="6"/>
  <c r="K2636" i="6"/>
  <c r="K3112" i="6"/>
  <c r="K2625" i="6"/>
  <c r="K3052" i="6"/>
  <c r="L2631" i="6"/>
  <c r="K2025" i="6"/>
  <c r="L3180" i="6"/>
  <c r="L2967" i="6"/>
  <c r="K3086" i="6"/>
  <c r="L2347" i="6"/>
  <c r="K2722" i="6"/>
  <c r="L2727" i="6"/>
  <c r="K1935" i="6"/>
  <c r="L1881" i="6"/>
  <c r="K2752" i="6"/>
  <c r="L2394" i="6"/>
  <c r="L2955" i="6"/>
  <c r="K2367" i="6"/>
  <c r="K2540" i="6"/>
  <c r="L3191" i="6"/>
  <c r="L2951" i="6"/>
  <c r="K1950" i="6"/>
  <c r="L2495" i="6"/>
  <c r="L2544" i="6"/>
  <c r="K2402" i="6"/>
  <c r="K2107" i="6"/>
  <c r="K3218" i="6"/>
  <c r="K2418" i="6"/>
  <c r="K2542" i="6"/>
  <c r="L2479" i="6"/>
  <c r="L2718" i="6"/>
  <c r="K3078" i="6"/>
  <c r="L1958" i="6"/>
  <c r="L1886" i="6"/>
  <c r="K2531" i="6"/>
  <c r="L2726" i="6"/>
  <c r="K2910" i="6"/>
  <c r="L1611" i="6"/>
  <c r="K2039" i="6"/>
  <c r="L2656" i="6"/>
  <c r="L1595" i="6"/>
  <c r="K2702" i="6"/>
  <c r="K2688" i="6"/>
  <c r="K2308" i="6"/>
  <c r="L2799" i="6"/>
  <c r="K1803" i="6"/>
  <c r="K695" i="6"/>
  <c r="K2419" i="6"/>
  <c r="K1851" i="6"/>
  <c r="L2006" i="6"/>
  <c r="K1490" i="6"/>
  <c r="K1442" i="6"/>
  <c r="K2508" i="6"/>
  <c r="L2597" i="6"/>
  <c r="L2741" i="6"/>
  <c r="K2329" i="6"/>
  <c r="L26" i="6"/>
  <c r="K2105" i="6"/>
  <c r="K2787" i="6"/>
  <c r="K1720" i="6"/>
  <c r="L2244" i="6"/>
  <c r="K2034" i="6"/>
  <c r="K2019" i="6"/>
  <c r="K2523" i="6"/>
  <c r="K1026" i="6"/>
  <c r="L2051" i="6"/>
  <c r="L2768" i="6"/>
  <c r="K3225" i="6"/>
  <c r="K2425" i="6"/>
  <c r="K2406" i="6"/>
  <c r="L2692" i="6"/>
  <c r="K2895" i="6"/>
  <c r="L2241" i="6"/>
  <c r="K2458" i="6"/>
  <c r="L2840" i="6"/>
  <c r="L2898" i="6"/>
  <c r="K3199" i="6"/>
  <c r="L2150" i="6"/>
  <c r="K1879" i="6"/>
  <c r="K2934" i="6"/>
  <c r="K2904" i="6"/>
  <c r="K3026" i="6"/>
  <c r="L3223" i="6"/>
  <c r="K1973" i="6"/>
  <c r="K2970" i="6"/>
  <c r="L2984" i="6"/>
  <c r="K2780" i="6"/>
  <c r="L3139" i="6"/>
  <c r="K3103" i="6"/>
  <c r="K2823" i="6"/>
  <c r="K1412" i="6"/>
  <c r="K2768" i="6"/>
  <c r="K2231" i="6"/>
  <c r="L1755" i="6"/>
  <c r="L2956" i="6"/>
  <c r="L2924" i="6"/>
  <c r="K2399" i="6"/>
  <c r="K2791" i="6"/>
  <c r="L2349" i="6"/>
  <c r="L1077" i="6"/>
  <c r="L2154" i="6"/>
  <c r="L1262" i="6"/>
  <c r="L3095" i="6"/>
  <c r="K2758" i="6"/>
  <c r="K2609" i="6"/>
  <c r="L2487" i="6"/>
  <c r="K2360" i="6"/>
  <c r="K2821" i="6"/>
  <c r="L3220" i="6"/>
  <c r="L2912" i="6"/>
  <c r="L3094" i="6"/>
  <c r="L1419" i="6"/>
  <c r="K1424" i="6"/>
  <c r="L2596" i="6"/>
  <c r="K1947" i="6"/>
  <c r="K1647" i="6"/>
  <c r="K2638" i="6"/>
  <c r="L2589" i="6"/>
  <c r="K2889" i="6"/>
  <c r="K2232" i="6"/>
  <c r="K2582" i="6"/>
  <c r="L2255" i="6"/>
  <c r="L2767" i="6"/>
  <c r="L2879" i="6"/>
  <c r="K2017" i="6"/>
  <c r="L1843" i="6"/>
  <c r="L3131" i="6"/>
  <c r="L1973" i="6"/>
  <c r="L2751" i="6"/>
  <c r="K2354" i="6"/>
  <c r="L2755" i="6"/>
  <c r="L2607" i="6"/>
  <c r="L2601" i="6"/>
  <c r="K2841" i="6"/>
  <c r="L2339" i="6"/>
  <c r="K2940" i="6"/>
  <c r="K2962" i="6"/>
  <c r="K2015" i="6"/>
  <c r="L2500" i="6"/>
  <c r="L2933" i="6"/>
  <c r="K2300" i="6"/>
  <c r="L2781" i="6"/>
  <c r="K2929" i="6"/>
  <c r="L2413" i="6"/>
  <c r="D27" i="10"/>
  <c r="L3136" i="6"/>
  <c r="K2373" i="6"/>
  <c r="L2442" i="6"/>
  <c r="K1843" i="6"/>
  <c r="K3138" i="6"/>
  <c r="K2196" i="6"/>
  <c r="L2666" i="6"/>
  <c r="K2407" i="6"/>
  <c r="L2471" i="6"/>
  <c r="L2381" i="6"/>
  <c r="K2289" i="6"/>
  <c r="K2298" i="6"/>
  <c r="K2254" i="6"/>
  <c r="L2474" i="6"/>
  <c r="L1587" i="6"/>
  <c r="L2660" i="6"/>
  <c r="L2891" i="6"/>
  <c r="K2985" i="6"/>
  <c r="L2341" i="6"/>
  <c r="L2515" i="6"/>
  <c r="L3225" i="6"/>
  <c r="K2173" i="6"/>
  <c r="K2382" i="6"/>
  <c r="K2112" i="6"/>
  <c r="L2704" i="6"/>
  <c r="K2556" i="6"/>
  <c r="K2801" i="6"/>
  <c r="L753" i="6"/>
  <c r="L3065" i="6"/>
  <c r="L2791" i="6"/>
  <c r="L1699" i="6"/>
  <c r="K2317" i="6"/>
  <c r="L3023" i="6"/>
  <c r="L2736" i="6"/>
  <c r="L2565" i="6"/>
  <c r="L2491" i="6"/>
  <c r="K1760" i="6"/>
  <c r="L2202" i="6"/>
  <c r="K2094" i="6"/>
  <c r="L1971" i="6"/>
  <c r="L2648" i="6"/>
  <c r="L2847" i="6"/>
  <c r="L1205" i="6"/>
  <c r="K723" i="6"/>
  <c r="K2598" i="6"/>
  <c r="K2301" i="6"/>
  <c r="L2894" i="6"/>
  <c r="L1201" i="6"/>
  <c r="L2561" i="6"/>
  <c r="L2285" i="6"/>
  <c r="L2753" i="6"/>
  <c r="K3136" i="6"/>
  <c r="L1627" i="6"/>
  <c r="K3021" i="6"/>
  <c r="L2896" i="6"/>
  <c r="K2484" i="6"/>
  <c r="K3156" i="6"/>
  <c r="K2522" i="6"/>
  <c r="K2251" i="6"/>
  <c r="L2881" i="6"/>
  <c r="K1759" i="6"/>
  <c r="K2230" i="6"/>
  <c r="L3228" i="6"/>
  <c r="K2548" i="6"/>
  <c r="L2360" i="6"/>
  <c r="L2358" i="6"/>
  <c r="L2287" i="6"/>
  <c r="L2548" i="6"/>
  <c r="L3044" i="6"/>
  <c r="K2489" i="6"/>
  <c r="K3128" i="6"/>
  <c r="L3002" i="6"/>
  <c r="L2401" i="6"/>
  <c r="K1957" i="6"/>
  <c r="L941" i="6"/>
  <c r="K2707" i="6"/>
  <c r="K2506" i="6"/>
  <c r="L2371" i="6"/>
  <c r="K2595" i="6"/>
  <c r="K2061" i="6"/>
  <c r="L2337" i="6"/>
  <c r="L2771" i="6"/>
  <c r="K1455" i="6"/>
  <c r="K2634" i="6"/>
  <c r="L2118" i="6"/>
  <c r="L2730" i="6"/>
  <c r="L2919" i="6"/>
  <c r="K2637" i="6"/>
  <c r="K3053" i="6"/>
  <c r="K2614" i="6"/>
  <c r="K2059" i="6"/>
  <c r="K2389" i="6"/>
  <c r="L2344" i="6"/>
  <c r="K2710" i="6"/>
  <c r="K2883" i="6"/>
  <c r="L2745" i="6"/>
  <c r="K2728" i="6"/>
  <c r="L2207" i="6"/>
  <c r="K2832" i="6"/>
  <c r="K2753" i="6"/>
  <c r="L3170" i="6"/>
  <c r="K3071" i="6"/>
  <c r="L2987" i="6"/>
  <c r="L2200" i="6"/>
  <c r="L3175" i="6"/>
  <c r="K2409" i="6"/>
  <c r="K2779" i="6"/>
  <c r="L2908" i="6"/>
  <c r="L2599" i="6"/>
  <c r="K2414" i="6"/>
  <c r="K2498" i="6"/>
  <c r="K2457" i="6"/>
  <c r="K2537" i="6"/>
  <c r="K2849" i="6"/>
  <c r="K3145" i="6"/>
  <c r="L2986" i="6"/>
  <c r="K3239" i="6"/>
  <c r="L2941" i="6"/>
  <c r="L1731" i="6"/>
  <c r="L2643" i="6"/>
  <c r="K2770" i="6"/>
  <c r="L2888" i="6"/>
  <c r="K2951" i="6"/>
  <c r="L1622" i="6"/>
  <c r="L3018" i="6"/>
  <c r="L2789" i="6"/>
  <c r="K2612" i="6"/>
  <c r="K1618" i="6"/>
  <c r="L2878" i="6"/>
  <c r="K2916" i="6"/>
  <c r="K2661" i="6"/>
  <c r="L2911" i="6"/>
  <c r="K1518" i="6"/>
  <c r="K1603" i="6"/>
  <c r="K2268" i="6"/>
  <c r="L2317" i="6"/>
  <c r="K2314" i="6"/>
  <c r="L2106" i="6"/>
  <c r="K1987" i="6"/>
  <c r="K3055" i="6"/>
  <c r="L2775" i="6"/>
  <c r="K1999" i="6"/>
  <c r="L2633" i="6"/>
  <c r="K3163" i="6"/>
  <c r="K2995" i="6"/>
  <c r="L2532" i="6"/>
  <c r="K2512" i="6"/>
  <c r="K2186" i="6"/>
  <c r="K1538" i="6"/>
  <c r="K1583" i="6"/>
  <c r="L1771" i="6"/>
  <c r="K2362" i="6"/>
  <c r="K2430" i="6"/>
  <c r="L1045" i="6"/>
  <c r="K2561" i="6"/>
  <c r="K1612" i="6"/>
  <c r="L2560" i="6"/>
  <c r="K1702" i="6"/>
  <c r="K1202" i="6"/>
  <c r="L2274" i="6"/>
  <c r="K1456" i="6"/>
  <c r="K2115" i="6"/>
  <c r="K814" i="6"/>
  <c r="K1362" i="6"/>
  <c r="L1604" i="6"/>
  <c r="L2939" i="6"/>
  <c r="K1995" i="6"/>
  <c r="K2769" i="6"/>
  <c r="K2854" i="6"/>
  <c r="L1582" i="6"/>
  <c r="L2431" i="6"/>
  <c r="L2698" i="6"/>
  <c r="L2490" i="6"/>
  <c r="K2092" i="6"/>
  <c r="K2222" i="6"/>
  <c r="L2476" i="6"/>
  <c r="K2972" i="6"/>
  <c r="K1712" i="6"/>
  <c r="L3021" i="6"/>
  <c r="K1840" i="6"/>
  <c r="L2750" i="6"/>
  <c r="L2940" i="6"/>
  <c r="K2084" i="6"/>
  <c r="L1459" i="6"/>
  <c r="L2437" i="6"/>
  <c r="L1599" i="6"/>
  <c r="K2023" i="6"/>
  <c r="K1616" i="6"/>
  <c r="K2792" i="6"/>
  <c r="K2471" i="6"/>
  <c r="K2065" i="6"/>
  <c r="K2919" i="6"/>
  <c r="K2690" i="6"/>
  <c r="L1475" i="6"/>
  <c r="K1675" i="6"/>
  <c r="L2004" i="6"/>
  <c r="K2058" i="6"/>
  <c r="L2576" i="6"/>
  <c r="L3144" i="6"/>
  <c r="K2185" i="6"/>
  <c r="K1495" i="6"/>
  <c r="K1907" i="6"/>
  <c r="L2133" i="6"/>
  <c r="L2318" i="6"/>
  <c r="K2099" i="6"/>
  <c r="L3202" i="6"/>
  <c r="L3099" i="6"/>
  <c r="K2103" i="6"/>
  <c r="K2807" i="6"/>
  <c r="K2500" i="6"/>
  <c r="L2435" i="6"/>
  <c r="K2117" i="6"/>
  <c r="L2108" i="6"/>
  <c r="L2581" i="6"/>
  <c r="L2326" i="6"/>
  <c r="K2319" i="6"/>
  <c r="L2258" i="6"/>
  <c r="K2334" i="6"/>
  <c r="K2315" i="6"/>
  <c r="K1410" i="6"/>
  <c r="L1482" i="6"/>
  <c r="L1707" i="6"/>
  <c r="K750" i="6"/>
  <c r="L2492" i="6"/>
  <c r="L2535" i="6"/>
  <c r="L2247" i="6"/>
  <c r="L1683" i="6"/>
  <c r="L2220" i="6"/>
  <c r="K1276" i="6"/>
  <c r="K3143" i="6"/>
  <c r="L2421" i="6"/>
  <c r="L1251" i="6"/>
  <c r="K1226" i="6"/>
  <c r="K1446" i="6"/>
  <c r="L2393" i="6"/>
  <c r="K2426" i="6"/>
  <c r="L1782" i="6"/>
  <c r="L2208" i="6"/>
  <c r="K2602" i="6"/>
  <c r="K1847" i="6"/>
  <c r="L2608" i="6"/>
  <c r="K2497" i="6"/>
  <c r="K2676" i="6"/>
  <c r="L3138" i="6"/>
  <c r="K2021" i="6"/>
  <c r="K3014" i="6"/>
  <c r="K2560" i="6"/>
  <c r="L2931" i="6"/>
  <c r="L2463" i="6"/>
  <c r="K2493" i="6"/>
  <c r="K1898" i="6"/>
  <c r="L2688" i="6"/>
  <c r="K2437" i="6"/>
  <c r="L2684" i="6"/>
  <c r="L2181" i="6"/>
  <c r="K2824" i="6"/>
  <c r="L1409" i="6"/>
  <c r="K2838" i="6"/>
  <c r="L2570" i="6"/>
  <c r="L2606" i="6"/>
  <c r="L2616" i="6"/>
  <c r="K2981" i="6"/>
  <c r="K1960" i="6"/>
  <c r="L3079" i="6"/>
  <c r="K2081" i="6"/>
  <c r="K2055" i="6"/>
  <c r="K1210" i="6"/>
  <c r="L1467" i="6"/>
  <c r="K2047" i="6"/>
  <c r="K2654" i="6"/>
  <c r="K1919" i="6"/>
  <c r="K1502" i="6"/>
  <c r="K1742" i="6"/>
  <c r="L801" i="6"/>
  <c r="L2784" i="6"/>
  <c r="K1886" i="6"/>
  <c r="K1208" i="6"/>
  <c r="K1423" i="6"/>
  <c r="L2278" i="6"/>
  <c r="K1357" i="6"/>
  <c r="L2877" i="6"/>
  <c r="K2963" i="6"/>
  <c r="L2449" i="6"/>
  <c r="K1964" i="6"/>
  <c r="L1769" i="6"/>
  <c r="L2549" i="6"/>
  <c r="L1386" i="6"/>
  <c r="L1436" i="6"/>
  <c r="K1775" i="6"/>
  <c r="L1479" i="6"/>
  <c r="K1635" i="6"/>
  <c r="K1813" i="6"/>
  <c r="K818" i="6"/>
  <c r="K1976" i="6"/>
  <c r="K1865" i="6"/>
  <c r="K2353" i="6"/>
  <c r="L869" i="6"/>
  <c r="L1382" i="6"/>
  <c r="L1965" i="6"/>
  <c r="L2134" i="6"/>
  <c r="L3075" i="6"/>
  <c r="L989" i="6"/>
  <c r="L3080" i="6"/>
  <c r="L2620" i="6"/>
  <c r="K2520" i="6"/>
  <c r="L1427" i="6"/>
  <c r="L2172" i="6"/>
  <c r="L1859" i="6"/>
  <c r="L2539" i="6"/>
  <c r="K2764" i="6"/>
  <c r="L1545" i="6"/>
  <c r="L3091" i="6"/>
  <c r="L2319" i="6"/>
  <c r="K2133" i="6"/>
  <c r="L2346" i="6"/>
  <c r="K2528" i="6"/>
  <c r="L2298" i="6"/>
  <c r="K1833" i="6"/>
  <c r="L1722" i="6"/>
  <c r="L2032" i="6"/>
  <c r="L1974" i="6"/>
  <c r="L2887" i="6"/>
  <c r="K2589" i="6"/>
  <c r="K926" i="6"/>
  <c r="E24" i="10"/>
  <c r="L2017" i="6"/>
  <c r="K2749" i="6"/>
  <c r="K2083" i="6"/>
  <c r="K2049" i="6"/>
  <c r="K2597" i="6"/>
  <c r="L2507" i="6"/>
  <c r="K3046" i="6"/>
  <c r="L2076" i="6"/>
  <c r="K2976" i="6"/>
  <c r="L2807" i="6"/>
  <c r="L2655" i="6"/>
  <c r="K2136" i="6"/>
  <c r="K2852" i="6"/>
  <c r="L3036" i="6"/>
  <c r="K1806" i="6"/>
  <c r="L3089" i="6"/>
  <c r="K1576" i="6"/>
  <c r="L586" i="6"/>
  <c r="L2687" i="6"/>
  <c r="K2108" i="6"/>
  <c r="L1429" i="6"/>
  <c r="L2238" i="6"/>
  <c r="K2762" i="6"/>
  <c r="L1727" i="6"/>
  <c r="K774" i="6"/>
  <c r="L2095" i="6"/>
  <c r="L2047" i="6"/>
  <c r="K3007" i="6"/>
  <c r="K2581" i="6"/>
  <c r="K2907" i="6"/>
  <c r="L1274" i="6"/>
  <c r="L2265" i="6"/>
  <c r="L3182" i="6"/>
  <c r="L2427" i="6"/>
  <c r="L2237" i="6"/>
  <c r="L2580" i="6"/>
  <c r="L2872" i="6"/>
  <c r="L2851" i="6"/>
  <c r="K2829" i="6"/>
  <c r="K2685" i="6"/>
  <c r="L2825" i="6"/>
  <c r="K2365" i="6"/>
  <c r="K2917" i="6"/>
  <c r="L1113" i="6"/>
  <c r="K2271" i="6"/>
  <c r="L1883" i="6"/>
  <c r="K1608" i="6"/>
  <c r="K2370" i="6"/>
  <c r="K2275" i="6"/>
  <c r="L1313" i="6"/>
  <c r="L2144" i="6"/>
  <c r="L638" i="6"/>
  <c r="L1878" i="6"/>
  <c r="L1601" i="6"/>
  <c r="K1811" i="6"/>
  <c r="K1178" i="6"/>
  <c r="L1374" i="6"/>
  <c r="K1382" i="6"/>
  <c r="K2221" i="6"/>
  <c r="L909" i="6"/>
  <c r="L3012" i="6"/>
  <c r="K1852" i="6"/>
  <c r="L2206" i="6"/>
  <c r="L1310" i="6"/>
  <c r="K2828" i="6"/>
  <c r="L1193" i="6"/>
  <c r="L1798" i="6"/>
  <c r="L1101" i="6"/>
  <c r="L1423" i="6"/>
  <c r="K1262" i="6"/>
  <c r="L200" i="6"/>
  <c r="L777" i="6"/>
  <c r="K2485" i="6"/>
  <c r="L2662" i="6"/>
  <c r="L610" i="6"/>
  <c r="K1555" i="6"/>
  <c r="L2070" i="6"/>
  <c r="K2605" i="6"/>
  <c r="L701" i="6"/>
  <c r="L2423" i="6"/>
  <c r="L1723" i="6"/>
  <c r="L1629" i="6"/>
  <c r="L1518" i="6"/>
  <c r="K988" i="6"/>
  <c r="L2455" i="6"/>
  <c r="K2327" i="6"/>
  <c r="K1814" i="6"/>
  <c r="L1573" i="6"/>
  <c r="L2600" i="6"/>
  <c r="L2091" i="6"/>
  <c r="K1213" i="6"/>
  <c r="K3095" i="6"/>
  <c r="K2181" i="6"/>
  <c r="L2249" i="6"/>
  <c r="K2530" i="6"/>
  <c r="K2259" i="6"/>
  <c r="K1246" i="6"/>
  <c r="L3189" i="6"/>
  <c r="L1372" i="6"/>
  <c r="L2465" i="6"/>
  <c r="K2679" i="6"/>
  <c r="K2704" i="6"/>
  <c r="L2114" i="6"/>
  <c r="L1776" i="6"/>
  <c r="K2999" i="6"/>
  <c r="L2398" i="6"/>
  <c r="L2841" i="6"/>
  <c r="K2600" i="6"/>
  <c r="L2377" i="6"/>
  <c r="K2596" i="6"/>
  <c r="K2631" i="6"/>
  <c r="K1355" i="6"/>
  <c r="K1074" i="6"/>
  <c r="L2830" i="6"/>
  <c r="K2075" i="6"/>
  <c r="K1109" i="6"/>
  <c r="L2764" i="6"/>
  <c r="L3173" i="6"/>
  <c r="L2965" i="6"/>
  <c r="L1875" i="6"/>
  <c r="L1567" i="6"/>
  <c r="L1922" i="6"/>
  <c r="L2443" i="6"/>
  <c r="K1640" i="6"/>
  <c r="K2541" i="6"/>
  <c r="K2071" i="6"/>
  <c r="K2310" i="6"/>
  <c r="L2974" i="6"/>
  <c r="L1948" i="6"/>
  <c r="K1810" i="6"/>
  <c r="K2711" i="6"/>
  <c r="K1934" i="6"/>
  <c r="L1954" i="6"/>
  <c r="L2041" i="6"/>
  <c r="K2785" i="6"/>
  <c r="K2874" i="6"/>
  <c r="L1854" i="6"/>
  <c r="K2189" i="6"/>
  <c r="K2616" i="6"/>
  <c r="K2863" i="6"/>
  <c r="L1254" i="6"/>
  <c r="L3203" i="6"/>
  <c r="K1358" i="6"/>
  <c r="L2744" i="6"/>
  <c r="K2295" i="6"/>
  <c r="L2367" i="6"/>
  <c r="K2619" i="6"/>
  <c r="K1523" i="6"/>
  <c r="K2632" i="6"/>
  <c r="L2085" i="6"/>
  <c r="L2045" i="6"/>
  <c r="K2420" i="6"/>
  <c r="K1927" i="6"/>
  <c r="L2862" i="6"/>
  <c r="K2639" i="6"/>
  <c r="K2005" i="6"/>
  <c r="L2213" i="6"/>
  <c r="L2141" i="6"/>
  <c r="L2512" i="6"/>
  <c r="L2819" i="6"/>
  <c r="L1981" i="6"/>
  <c r="L2007" i="6"/>
  <c r="L1790" i="6"/>
  <c r="K2563" i="6"/>
  <c r="L2124" i="6"/>
  <c r="L2182" i="6"/>
  <c r="L2503" i="6"/>
  <c r="L2488" i="6"/>
  <c r="L2308" i="6"/>
  <c r="K2044" i="6"/>
  <c r="L2445" i="6"/>
  <c r="K2788" i="6"/>
  <c r="K1842" i="6"/>
  <c r="K2608" i="6"/>
  <c r="K2979" i="6"/>
  <c r="K2338" i="6"/>
  <c r="K3206" i="6"/>
  <c r="K2147" i="6"/>
  <c r="L2214" i="6"/>
  <c r="L1361" i="6"/>
  <c r="K1633" i="6"/>
  <c r="K2652" i="6"/>
  <c r="K2502" i="6"/>
  <c r="K1560" i="6"/>
  <c r="K2529" i="6"/>
  <c r="K2085" i="6"/>
  <c r="K2527" i="6"/>
  <c r="K2265" i="6"/>
  <c r="L1213" i="6"/>
  <c r="K2465" i="6"/>
  <c r="L1506" i="6"/>
  <c r="L2520" i="6"/>
  <c r="K1930" i="6"/>
  <c r="L1902" i="6"/>
  <c r="K798" i="6"/>
  <c r="K2192" i="6"/>
  <c r="L1909" i="6"/>
  <c r="L1759" i="6"/>
  <c r="K2521" i="6"/>
  <c r="K1076" i="6"/>
  <c r="K2648" i="6"/>
  <c r="L2340" i="6"/>
  <c r="L2180" i="6"/>
  <c r="L2020" i="6"/>
  <c r="L1679" i="6"/>
  <c r="L1884" i="6"/>
  <c r="K2326" i="6"/>
  <c r="K1363" i="6"/>
  <c r="K2818" i="6"/>
  <c r="K1896" i="6"/>
  <c r="L2540" i="6"/>
  <c r="L881" i="6"/>
  <c r="L2183" i="6"/>
  <c r="L2668" i="6"/>
  <c r="L2715" i="6"/>
  <c r="K2442" i="6"/>
  <c r="K1625" i="6"/>
  <c r="L1314" i="6"/>
  <c r="L1807" i="6"/>
  <c r="L1811" i="6"/>
  <c r="L2184" i="6"/>
  <c r="K2421" i="6"/>
  <c r="K728" i="6"/>
  <c r="L2005" i="6"/>
  <c r="L2231" i="6"/>
  <c r="L2027" i="6"/>
  <c r="K1513" i="6"/>
  <c r="K1670" i="6"/>
  <c r="K2286" i="6"/>
  <c r="K2480" i="6"/>
  <c r="K2337" i="6"/>
  <c r="L2691" i="6"/>
  <c r="K2473" i="6"/>
  <c r="L2779" i="6"/>
  <c r="L2310" i="6"/>
  <c r="L2820" i="6"/>
  <c r="K2412" i="6"/>
  <c r="K2948" i="6"/>
  <c r="L2983" i="6"/>
  <c r="L2286" i="6"/>
  <c r="K2781" i="6"/>
  <c r="L1850" i="6"/>
  <c r="K2952" i="6"/>
  <c r="L2405" i="6"/>
  <c r="K2635" i="6"/>
  <c r="K2444" i="6"/>
  <c r="L1939" i="6"/>
  <c r="K2260" i="6"/>
  <c r="K2565" i="6"/>
  <c r="L2331" i="6"/>
  <c r="L1551" i="6"/>
  <c r="L2380" i="6"/>
  <c r="L2795" i="6"/>
  <c r="L2619" i="6"/>
  <c r="K2737" i="6"/>
  <c r="K2683" i="6"/>
  <c r="K2410" i="6"/>
  <c r="K2885" i="6"/>
  <c r="L1750" i="6"/>
  <c r="K1848" i="6"/>
  <c r="K3221" i="6"/>
  <c r="L2426" i="6"/>
  <c r="L2545" i="6"/>
  <c r="K1871" i="6"/>
  <c r="L1652" i="6"/>
  <c r="L111" i="6"/>
  <c r="K1152" i="6"/>
  <c r="K1694" i="6"/>
  <c r="K2366" i="6"/>
  <c r="K797" i="6"/>
  <c r="L1698" i="6"/>
  <c r="K1170" i="6"/>
  <c r="L2417" i="6"/>
  <c r="K1584" i="6"/>
  <c r="K1283" i="6"/>
  <c r="L2824" i="6"/>
  <c r="L1988" i="6"/>
  <c r="L2667" i="6"/>
  <c r="L2361" i="6"/>
  <c r="L2268" i="6"/>
  <c r="L1505" i="6"/>
  <c r="L2447" i="6"/>
  <c r="K2378" i="6"/>
  <c r="L1491" i="6"/>
  <c r="L2521" i="6"/>
  <c r="L2932" i="6"/>
  <c r="L2683" i="6"/>
  <c r="L1964" i="6"/>
  <c r="K2321" i="6"/>
  <c r="L2221" i="6"/>
  <c r="K1906" i="6"/>
  <c r="K954" i="6"/>
  <c r="K2588" i="6"/>
  <c r="K1496" i="6"/>
  <c r="K2665" i="6"/>
  <c r="K2858" i="6"/>
  <c r="L2823" i="6"/>
  <c r="L1328" i="6"/>
  <c r="K1501" i="6"/>
  <c r="K1727" i="6"/>
  <c r="K2607" i="6"/>
  <c r="K1586" i="6"/>
  <c r="K2182" i="6"/>
  <c r="K2583" i="6"/>
  <c r="K1299" i="6"/>
  <c r="L590" i="6"/>
  <c r="K1118" i="6"/>
  <c r="L1947" i="6"/>
  <c r="K2993" i="6"/>
  <c r="K2149" i="6"/>
  <c r="L1483" i="6"/>
  <c r="K1046" i="6"/>
  <c r="L2637" i="6"/>
  <c r="K2257" i="6"/>
  <c r="K989" i="6"/>
  <c r="L1841" i="6"/>
  <c r="K2957" i="6"/>
  <c r="L2225" i="6"/>
  <c r="L1687" i="6"/>
  <c r="K2087" i="6"/>
  <c r="K2675" i="6"/>
  <c r="L1563" i="6"/>
  <c r="L1903" i="6"/>
  <c r="L2104" i="6"/>
  <c r="K1017" i="6"/>
  <c r="L674" i="6"/>
  <c r="K2515" i="6"/>
  <c r="K1381" i="6"/>
  <c r="L2729" i="6"/>
  <c r="L694" i="6"/>
  <c r="K1610" i="6"/>
  <c r="K1666" i="6"/>
  <c r="K3119" i="6"/>
  <c r="L1751" i="6"/>
  <c r="K1642" i="6"/>
  <c r="K1993" i="6"/>
  <c r="K1969" i="6"/>
  <c r="K2250" i="6"/>
  <c r="L174" i="6"/>
  <c r="L1309" i="6"/>
  <c r="L1157" i="6"/>
  <c r="K978" i="6"/>
  <c r="K539" i="6"/>
  <c r="K2224" i="6"/>
  <c r="L1168" i="6"/>
  <c r="K2837" i="6"/>
  <c r="K1944" i="6"/>
  <c r="L2763" i="6"/>
  <c r="K2244" i="6"/>
  <c r="L583" i="6"/>
  <c r="L1713" i="6"/>
  <c r="L2572" i="6"/>
  <c r="K2060" i="6"/>
  <c r="K2568" i="6"/>
  <c r="K270" i="6"/>
  <c r="K1662" i="6"/>
  <c r="L1052" i="6"/>
  <c r="L2039" i="6"/>
  <c r="L1185" i="6"/>
  <c r="K1854" i="6"/>
  <c r="L2803" i="6"/>
  <c r="L2169" i="6"/>
  <c r="L2681" i="6"/>
  <c r="K806" i="6"/>
  <c r="L2366" i="6"/>
  <c r="L1997" i="6"/>
  <c r="K1082" i="6"/>
  <c r="L670" i="6"/>
  <c r="K2544" i="6"/>
  <c r="K1745" i="6"/>
  <c r="K2573" i="6"/>
  <c r="L2170" i="6"/>
  <c r="K987" i="6"/>
  <c r="K1493" i="6"/>
  <c r="K2118" i="6"/>
  <c r="K2653" i="6"/>
  <c r="K1789" i="6"/>
  <c r="K1002" i="6"/>
  <c r="L1766" i="6"/>
  <c r="L2324" i="6"/>
  <c r="K1372" i="6"/>
  <c r="L2378" i="6"/>
  <c r="K1325" i="6"/>
  <c r="L1919" i="6"/>
  <c r="L3016" i="6"/>
  <c r="L2875" i="6"/>
  <c r="L1524" i="6"/>
  <c r="L106" i="6"/>
  <c r="K2628" i="6"/>
  <c r="K1731" i="6"/>
  <c r="K2825" i="6"/>
  <c r="L934" i="6"/>
  <c r="K535" i="6"/>
  <c r="L929" i="6"/>
  <c r="L975" i="6"/>
  <c r="L2482" i="6"/>
  <c r="K2236" i="6"/>
  <c r="L3049" i="6"/>
  <c r="L1911" i="6"/>
  <c r="L2233" i="6"/>
  <c r="K1522" i="6"/>
  <c r="K2960" i="6"/>
  <c r="K2131" i="6"/>
  <c r="K2190" i="6"/>
  <c r="K2209" i="6"/>
  <c r="L2406" i="6"/>
  <c r="L2204" i="6"/>
  <c r="L1643" i="6"/>
  <c r="L1606" i="6"/>
  <c r="L2923" i="6"/>
  <c r="L1694" i="6"/>
  <c r="L1763" i="6"/>
  <c r="K2735" i="6"/>
  <c r="K1674" i="6"/>
  <c r="L1195" i="6"/>
  <c r="L849" i="6"/>
  <c r="L1531" i="6"/>
  <c r="L1669" i="6"/>
  <c r="K719" i="6"/>
  <c r="K1089" i="6"/>
  <c r="L1546" i="6"/>
  <c r="L430" i="6"/>
  <c r="K1539" i="6"/>
  <c r="L1027" i="6"/>
  <c r="L2374" i="6"/>
  <c r="K2311" i="6"/>
  <c r="L2523" i="6"/>
  <c r="K1845" i="6"/>
  <c r="L1894" i="6"/>
  <c r="L977" i="6"/>
  <c r="K2536" i="6"/>
  <c r="K2318" i="6"/>
  <c r="K1150" i="6"/>
  <c r="L1651" i="6"/>
  <c r="L1980" i="6"/>
  <c r="K1672" i="6"/>
  <c r="L1620" i="6"/>
  <c r="L2062" i="6"/>
  <c r="K2351" i="6"/>
  <c r="L1928" i="6"/>
  <c r="L2049" i="6"/>
  <c r="K1291" i="6"/>
  <c r="L1281" i="6"/>
  <c r="K3005" i="6"/>
  <c r="K1704" i="6"/>
  <c r="K2901" i="6"/>
  <c r="L2808" i="6"/>
  <c r="K2836" i="6"/>
  <c r="L2397" i="6"/>
  <c r="K1315" i="6"/>
  <c r="L1107" i="6"/>
  <c r="K1893" i="6"/>
  <c r="K1434" i="6"/>
  <c r="L393" i="6"/>
  <c r="K1206" i="6"/>
  <c r="K731" i="6"/>
  <c r="L1816" i="6"/>
  <c r="L2052" i="6"/>
  <c r="K2744" i="6"/>
  <c r="L1806" i="6"/>
  <c r="L509" i="6"/>
  <c r="L2187" i="6"/>
  <c r="K1897" i="6"/>
  <c r="K2491" i="6"/>
  <c r="K1747" i="6"/>
  <c r="L1204" i="6"/>
  <c r="K2606" i="6"/>
  <c r="L2732" i="6"/>
  <c r="K1014" i="6"/>
  <c r="K1401" i="6"/>
  <c r="K1948" i="6"/>
  <c r="K3220" i="6"/>
  <c r="K2036" i="6"/>
  <c r="K1310" i="6"/>
  <c r="L654" i="6"/>
  <c r="L354" i="6"/>
  <c r="K1303" i="6"/>
  <c r="K1796" i="6"/>
  <c r="L2191" i="6"/>
  <c r="L2675" i="6"/>
  <c r="L2454" i="6"/>
  <c r="L2173" i="6"/>
  <c r="K3012" i="6"/>
  <c r="L1809" i="6"/>
  <c r="L1360" i="6"/>
  <c r="K881" i="6"/>
  <c r="L474" i="6"/>
  <c r="K1172" i="6"/>
  <c r="K1085" i="6"/>
  <c r="L2709" i="6"/>
  <c r="K1195" i="6"/>
  <c r="K1200" i="6"/>
  <c r="K1238" i="6"/>
  <c r="K2220" i="6"/>
  <c r="L2155" i="6"/>
  <c r="L1297" i="6"/>
  <c r="K2156" i="6"/>
  <c r="K2330" i="6"/>
  <c r="L2186" i="6"/>
  <c r="L2079" i="6"/>
  <c r="L2030" i="6"/>
  <c r="L1261" i="6"/>
  <c r="K118" i="6"/>
  <c r="L2329" i="6"/>
  <c r="L1564" i="6"/>
  <c r="K1941" i="6"/>
  <c r="K1242" i="6"/>
  <c r="K1914" i="6"/>
  <c r="K2386" i="6"/>
  <c r="L3058" i="6"/>
  <c r="L2571" i="6"/>
  <c r="K2549" i="6"/>
  <c r="K2933" i="6"/>
  <c r="K3107" i="6"/>
  <c r="K1070" i="6"/>
  <c r="K870" i="6"/>
  <c r="K2291" i="6"/>
  <c r="K878" i="6"/>
  <c r="K1185" i="6"/>
  <c r="K2350" i="6"/>
  <c r="K2364" i="6"/>
  <c r="L3194" i="6"/>
  <c r="L1626" i="6"/>
  <c r="L1029" i="6"/>
  <c r="K1287" i="6"/>
  <c r="L3107" i="6"/>
  <c r="K1984" i="6"/>
  <c r="K1054" i="6"/>
  <c r="L2415" i="6"/>
  <c r="K2579" i="6"/>
  <c r="K2165" i="6"/>
  <c r="L2283" i="6"/>
  <c r="L1989" i="6"/>
  <c r="K2422" i="6"/>
  <c r="L2068" i="6"/>
  <c r="L2140" i="6"/>
  <c r="L702" i="6"/>
  <c r="L2099" i="6"/>
  <c r="K2701" i="6"/>
  <c r="L2334" i="6"/>
  <c r="K2546" i="6"/>
  <c r="K2111" i="6"/>
  <c r="L2040" i="6"/>
  <c r="L2057" i="6"/>
  <c r="L2193" i="6"/>
  <c r="L2461" i="6"/>
  <c r="K2507" i="6"/>
  <c r="K1384" i="6"/>
  <c r="L2013" i="6"/>
  <c r="K1772" i="6"/>
  <c r="L2168" i="6"/>
  <c r="L1876" i="6"/>
  <c r="K2167" i="6"/>
  <c r="L2612" i="6"/>
  <c r="L1703" i="6"/>
  <c r="L2804" i="6"/>
  <c r="L2015" i="6"/>
  <c r="K145" i="6"/>
  <c r="L2408" i="6"/>
  <c r="L1229" i="6"/>
  <c r="L1105" i="6"/>
  <c r="L1318" i="6"/>
  <c r="L2480" i="6"/>
  <c r="K1673" i="6"/>
  <c r="L1411" i="6"/>
  <c r="L1236" i="6"/>
  <c r="K1634" i="6"/>
  <c r="K499" i="6"/>
  <c r="L1607" i="6"/>
  <c r="K2191" i="6"/>
  <c r="L2038" i="6"/>
  <c r="L1994" i="6"/>
  <c r="L3043" i="6"/>
  <c r="K1892" i="6"/>
  <c r="L1577" i="6"/>
  <c r="L1610" i="6"/>
  <c r="K2519" i="6"/>
  <c r="L1521" i="6"/>
  <c r="L1441" i="6"/>
  <c r="K1596" i="6"/>
  <c r="K2567" i="6"/>
  <c r="K2135" i="6"/>
  <c r="L2579" i="6"/>
  <c r="K1933" i="6"/>
  <c r="K1710" i="6"/>
  <c r="L189" i="6"/>
  <c r="L2151" i="6"/>
  <c r="K2810" i="6"/>
  <c r="K1542" i="6"/>
  <c r="K1997" i="6"/>
  <c r="K933" i="6"/>
  <c r="L398" i="6"/>
  <c r="L2002" i="6"/>
  <c r="K910" i="6"/>
  <c r="K587" i="6"/>
  <c r="K2369" i="6"/>
  <c r="L718" i="6"/>
  <c r="K793" i="6"/>
  <c r="K2091" i="6"/>
  <c r="K2455" i="6"/>
  <c r="L1639" i="6"/>
  <c r="L806" i="6"/>
  <c r="K1084" i="6"/>
  <c r="K1887" i="6"/>
  <c r="L916" i="6"/>
  <c r="K890" i="6"/>
  <c r="K1107" i="6"/>
  <c r="L2343" i="6"/>
  <c r="L1715" i="6"/>
  <c r="L2553" i="6"/>
  <c r="L2533" i="6"/>
  <c r="L1147" i="6"/>
  <c r="L2534" i="6"/>
  <c r="L2136" i="6"/>
  <c r="L877" i="6"/>
  <c r="L1219" i="6"/>
  <c r="K2239" i="6"/>
  <c r="L1365" i="6"/>
  <c r="K1278" i="6"/>
  <c r="K1888" i="6"/>
  <c r="K667" i="6"/>
  <c r="L1641" i="6"/>
  <c r="K1889" i="6"/>
  <c r="L1550" i="6"/>
  <c r="K1766" i="6"/>
  <c r="K2299" i="6"/>
  <c r="L1430" i="6"/>
  <c r="L2385" i="6"/>
  <c r="L1789" i="6"/>
  <c r="L1164" i="6"/>
  <c r="L377" i="6"/>
  <c r="L2024" i="6"/>
  <c r="K2335" i="6"/>
  <c r="K1505" i="6"/>
  <c r="L2602" i="6"/>
  <c r="K2114" i="6"/>
  <c r="L1823" i="6"/>
  <c r="L2323" i="6"/>
  <c r="K2344" i="6"/>
  <c r="L2194" i="6"/>
  <c r="K1418" i="6"/>
  <c r="K1615" i="6"/>
  <c r="K2804" i="6"/>
  <c r="L2388" i="6"/>
  <c r="K294" i="6"/>
  <c r="K2002" i="6"/>
  <c r="K2390" i="6"/>
  <c r="L1642" i="6"/>
  <c r="K1432" i="6"/>
  <c r="K2576" i="6"/>
  <c r="K2207" i="6"/>
  <c r="K1393" i="6"/>
  <c r="L2294" i="6"/>
  <c r="K2494" i="6"/>
  <c r="L2439" i="6"/>
  <c r="L3014" i="6"/>
  <c r="K2216" i="6"/>
  <c r="K2798" i="6"/>
  <c r="K2395" i="6"/>
  <c r="K1313" i="6"/>
  <c r="K1365" i="6"/>
  <c r="L2547" i="6"/>
  <c r="L456" i="6"/>
  <c r="L1235" i="6"/>
  <c r="L1714" i="6"/>
  <c r="K753" i="6"/>
  <c r="K259" i="6"/>
  <c r="K647" i="6"/>
  <c r="K2079" i="6"/>
  <c r="K1734" i="6"/>
  <c r="L1906" i="6"/>
  <c r="L2893" i="6"/>
  <c r="K2363" i="6"/>
  <c r="L1617" i="6"/>
  <c r="K2274" i="6"/>
  <c r="L2122" i="6"/>
  <c r="K1632" i="6"/>
  <c r="L2267" i="6"/>
  <c r="K2253" i="6"/>
  <c r="K2210" i="6"/>
  <c r="K2912" i="6"/>
  <c r="K2547" i="6"/>
  <c r="K2902" i="6"/>
  <c r="L2061" i="6"/>
  <c r="K2138" i="6"/>
  <c r="K2460" i="6"/>
  <c r="L2075" i="6"/>
  <c r="L2356" i="6"/>
  <c r="K2721" i="6"/>
  <c r="L2132" i="6"/>
  <c r="L1026" i="6"/>
  <c r="L862" i="6"/>
  <c r="K462" i="6"/>
  <c r="K162" i="6"/>
  <c r="K2757" i="6"/>
  <c r="K2545" i="6"/>
  <c r="K1595" i="6"/>
  <c r="L2504" i="6"/>
  <c r="K1478" i="6"/>
  <c r="K2279" i="6"/>
  <c r="K2680" i="6"/>
  <c r="L1299" i="6"/>
  <c r="K2408" i="6"/>
  <c r="L2610" i="6"/>
  <c r="K2309" i="6"/>
  <c r="K1908" i="6"/>
  <c r="L2048" i="6"/>
  <c r="K1719" i="6"/>
  <c r="L2259" i="6"/>
  <c r="K1010" i="6"/>
  <c r="K1972" i="6"/>
  <c r="L2441" i="6"/>
  <c r="L913" i="6"/>
  <c r="K2246" i="6"/>
  <c r="K2104" i="6"/>
  <c r="K1427" i="6"/>
  <c r="L1268" i="6"/>
  <c r="K2243" i="6"/>
  <c r="L1153" i="6"/>
  <c r="K1799" i="6"/>
  <c r="L2158" i="6"/>
  <c r="L2138" i="6"/>
  <c r="K861" i="6"/>
  <c r="L773" i="6"/>
  <c r="K303" i="6"/>
  <c r="K94" i="6"/>
  <c r="K1631" i="6"/>
  <c r="L1130" i="6"/>
  <c r="L2149" i="6"/>
  <c r="K2223" i="6"/>
  <c r="L1302" i="6"/>
  <c r="L2697" i="6"/>
  <c r="L2066" i="6"/>
  <c r="K1034" i="6"/>
  <c r="L1863" i="6"/>
  <c r="L2386" i="6"/>
  <c r="K1956" i="6"/>
  <c r="L1341" i="6"/>
  <c r="L1323" i="6"/>
  <c r="L2588" i="6"/>
  <c r="L1924" i="6"/>
  <c r="K999" i="6"/>
  <c r="L1273" i="6"/>
  <c r="L3162" i="6"/>
  <c r="L2946" i="6"/>
  <c r="L1678" i="6"/>
  <c r="L3006" i="6"/>
  <c r="L917" i="6"/>
  <c r="L2582" i="6"/>
  <c r="L2502" i="6"/>
  <c r="L2031" i="6"/>
  <c r="L25" i="6"/>
  <c r="K1711" i="6"/>
  <c r="K1322" i="6"/>
  <c r="L2008" i="6"/>
  <c r="L1334" i="6"/>
  <c r="K1100" i="6"/>
  <c r="K2459" i="6"/>
  <c r="L1998" i="6"/>
  <c r="L2354" i="6"/>
  <c r="L2740" i="6"/>
  <c r="K2759" i="6"/>
  <c r="K2152" i="6"/>
  <c r="K1263" i="6"/>
  <c r="L1426" i="6"/>
  <c r="L2466" i="6"/>
  <c r="L1644" i="6"/>
  <c r="L2670" i="6"/>
  <c r="K1224" i="6"/>
  <c r="K1623" i="6"/>
  <c r="L1583" i="6"/>
  <c r="L206" i="6"/>
  <c r="L1538" i="6"/>
  <c r="L2165" i="6"/>
  <c r="K1550" i="6"/>
  <c r="L90" i="6"/>
  <c r="L1181" i="6"/>
  <c r="K1417" i="6"/>
  <c r="K946" i="6"/>
  <c r="K567" i="6"/>
  <c r="L2036" i="6"/>
  <c r="L837" i="6"/>
  <c r="K1769" i="6"/>
  <c r="K1354" i="6"/>
  <c r="K712" i="6"/>
  <c r="K2150" i="6"/>
  <c r="K703" i="6"/>
  <c r="K2100" i="6"/>
  <c r="L573" i="6"/>
  <c r="K1858" i="6"/>
  <c r="K2095" i="6"/>
  <c r="L1977" i="6"/>
  <c r="K2411" i="6"/>
  <c r="L2195" i="6"/>
  <c r="K338" i="6"/>
  <c r="K2942" i="6"/>
  <c r="K2125" i="6"/>
  <c r="L1030" i="6"/>
  <c r="L1932" i="6"/>
  <c r="L1895" i="6"/>
  <c r="K1547" i="6"/>
  <c r="L1858" i="6"/>
  <c r="K2570" i="6"/>
  <c r="K1504" i="6"/>
  <c r="K741" i="6"/>
  <c r="L2313" i="6"/>
  <c r="K2428" i="6"/>
  <c r="K718" i="6"/>
  <c r="K550" i="6"/>
  <c r="K1949" i="6"/>
  <c r="L1449" i="6"/>
  <c r="K2302" i="6"/>
  <c r="K559" i="6"/>
  <c r="L2518" i="6"/>
  <c r="L1559" i="6"/>
  <c r="K2331" i="6"/>
  <c r="K2697" i="6"/>
  <c r="L1346" i="6"/>
  <c r="L27" i="6"/>
  <c r="L1009" i="6"/>
  <c r="K2415" i="6"/>
  <c r="L2603" i="6"/>
  <c r="K1824" i="6"/>
  <c r="L1488" i="6"/>
  <c r="L873" i="6"/>
  <c r="L1418" i="6"/>
  <c r="L1553" i="6"/>
  <c r="L3200" i="6"/>
  <c r="L1529" i="6"/>
  <c r="L2379" i="6"/>
  <c r="K1714" i="6"/>
  <c r="K2712" i="6"/>
  <c r="L2284" i="6"/>
  <c r="L678" i="6"/>
  <c r="L146" i="6"/>
  <c r="K2732" i="6"/>
  <c r="K2454" i="6"/>
  <c r="L1437" i="6"/>
  <c r="K2488" i="6"/>
  <c r="K2815" i="6"/>
  <c r="K1484" i="6"/>
  <c r="K866" i="6"/>
  <c r="L1336" i="6"/>
  <c r="K2201" i="6"/>
  <c r="K595" i="6"/>
  <c r="L2260" i="6"/>
  <c r="L2123" i="6"/>
  <c r="L1889" i="6"/>
  <c r="L1161" i="6"/>
  <c r="K757" i="6"/>
  <c r="K1126" i="6"/>
  <c r="K443" i="6"/>
  <c r="L740" i="6"/>
  <c r="L2105" i="6"/>
  <c r="K2552" i="6"/>
  <c r="K2184" i="6"/>
  <c r="K2684" i="6"/>
  <c r="L2064" i="6"/>
  <c r="L1079" i="6"/>
  <c r="L2882" i="6"/>
  <c r="K1630" i="6"/>
  <c r="K2346" i="6"/>
  <c r="K1977" i="6"/>
  <c r="L2865" i="6"/>
  <c r="K1324" i="6"/>
  <c r="L523" i="6"/>
  <c r="K2032" i="6"/>
  <c r="L2725" i="6"/>
  <c r="K2655" i="6"/>
  <c r="K1077" i="6"/>
  <c r="L1415" i="6"/>
  <c r="L1584" i="6"/>
  <c r="K2202" i="6"/>
  <c r="K2227" i="6"/>
  <c r="K1488" i="6"/>
  <c r="K1096" i="6"/>
  <c r="K2733" i="6"/>
  <c r="K1913" i="6"/>
  <c r="K2978" i="6"/>
  <c r="K2040" i="6"/>
  <c r="K2784" i="6"/>
  <c r="L1749" i="6"/>
  <c r="L269" i="6"/>
  <c r="K2134" i="6"/>
  <c r="K1431" i="6"/>
  <c r="L2025" i="6"/>
  <c r="K626" i="6"/>
  <c r="L218" i="6"/>
  <c r="K2719" i="6"/>
  <c r="K1740" i="6"/>
  <c r="K1901" i="6"/>
  <c r="L2563" i="6"/>
  <c r="L2402" i="6"/>
  <c r="K1921" i="6"/>
  <c r="L2812" i="6"/>
  <c r="K2664" i="6"/>
  <c r="L1270" i="6"/>
  <c r="L54" i="6"/>
  <c r="K1587" i="6"/>
  <c r="L1803" i="6"/>
  <c r="L2783" i="6"/>
  <c r="K1408" i="6"/>
  <c r="K2524" i="6"/>
  <c r="L1866" i="6"/>
  <c r="L2611" i="6"/>
  <c r="K2214" i="6"/>
  <c r="L2889" i="6"/>
  <c r="K2603" i="6"/>
  <c r="L2412" i="6"/>
  <c r="L1387" i="6"/>
  <c r="L334" i="6"/>
  <c r="L1985" i="6"/>
  <c r="L2306" i="6"/>
  <c r="K1390" i="6"/>
  <c r="L2880" i="6"/>
  <c r="L2511" i="6"/>
  <c r="K2814" i="6"/>
  <c r="L1576" i="6"/>
  <c r="L1421" i="6"/>
  <c r="K1792" i="6"/>
  <c r="L3147" i="6"/>
  <c r="K2261" i="6"/>
  <c r="L2444" i="6"/>
  <c r="L2564" i="6"/>
  <c r="K2745" i="6"/>
  <c r="K2438" i="6"/>
  <c r="L1049" i="6"/>
  <c r="L969" i="6"/>
  <c r="L1758" i="6"/>
  <c r="K2920" i="6"/>
  <c r="K1688" i="6"/>
  <c r="K2695" i="6"/>
  <c r="K1433" i="6"/>
  <c r="L2372" i="6"/>
  <c r="L1940" i="6"/>
  <c r="L2990" i="6"/>
  <c r="L2000" i="6"/>
  <c r="K2062" i="6"/>
  <c r="K2716" i="6"/>
  <c r="L1447" i="6"/>
  <c r="L2590" i="6"/>
  <c r="K1746" i="6"/>
  <c r="K1816" i="6"/>
  <c r="K1435" i="6"/>
  <c r="K2072" i="6"/>
  <c r="K2307" i="6"/>
  <c r="L1619" i="6"/>
  <c r="L1729" i="6"/>
  <c r="L1822" i="6"/>
  <c r="K1171" i="6"/>
  <c r="K2045" i="6"/>
  <c r="K2128" i="6"/>
  <c r="K2483" i="6"/>
  <c r="L1151" i="6"/>
  <c r="K1451" i="6"/>
  <c r="L2678" i="6"/>
  <c r="L2157" i="6"/>
  <c r="K2292" i="6"/>
  <c r="K1805" i="6"/>
  <c r="L2646" i="6"/>
  <c r="L1321" i="6"/>
  <c r="K2487" i="6"/>
  <c r="K1018" i="6"/>
  <c r="L3009" i="6"/>
  <c r="L1395" i="6"/>
  <c r="L1379" i="6"/>
  <c r="L1338" i="6"/>
  <c r="L2289" i="6"/>
  <c r="L605" i="6"/>
  <c r="K1057" i="6"/>
  <c r="L2516" i="6"/>
  <c r="K1122" i="6"/>
  <c r="L1462" i="6"/>
  <c r="L1957" i="6"/>
  <c r="K1685" i="6"/>
  <c r="L2407" i="6"/>
  <c r="L925" i="6"/>
  <c r="L1023" i="6"/>
  <c r="K2127" i="6"/>
  <c r="L1290" i="6"/>
  <c r="L1566" i="6"/>
  <c r="K1920" i="6"/>
  <c r="K1541" i="6"/>
  <c r="L3130" i="6"/>
  <c r="L1139" i="6"/>
  <c r="L2146" i="6"/>
  <c r="L1938" i="6"/>
  <c r="K2469" i="6"/>
  <c r="K2245" i="6"/>
  <c r="L981" i="6"/>
  <c r="K1890" i="6"/>
  <c r="L2190" i="6"/>
  <c r="L1537" i="6"/>
  <c r="L1993" i="6"/>
  <c r="L1073" i="6"/>
  <c r="L1748" i="6"/>
  <c r="K2777" i="6"/>
  <c r="L1674" i="6"/>
  <c r="L2279" i="6"/>
  <c r="L1010" i="6"/>
  <c r="K3202" i="6"/>
  <c r="K2613" i="6"/>
  <c r="K2844" i="6"/>
  <c r="L1730" i="6"/>
  <c r="K2463" i="6"/>
  <c r="L1111" i="6"/>
  <c r="L42" i="6"/>
  <c r="K1614" i="6"/>
  <c r="L2131" i="6"/>
  <c r="K1552" i="6"/>
  <c r="K1295" i="6"/>
  <c r="K478" i="6"/>
  <c r="K2282" i="6"/>
  <c r="K1133" i="6"/>
  <c r="K2027" i="6"/>
  <c r="K1692" i="6"/>
  <c r="K1937" i="6"/>
  <c r="L1571" i="6"/>
  <c r="L2209" i="6"/>
  <c r="K846" i="6"/>
  <c r="L1810" i="6"/>
  <c r="K1970" i="6"/>
  <c r="K663" i="6"/>
  <c r="L788" i="6"/>
  <c r="L2362" i="6"/>
  <c r="L477" i="6"/>
  <c r="L2528" i="6"/>
  <c r="K2450" i="6"/>
  <c r="L1489" i="6"/>
  <c r="K1925" i="6"/>
  <c r="L2069" i="6"/>
  <c r="K3002" i="6"/>
  <c r="L1061" i="6"/>
  <c r="L1912" i="6"/>
  <c r="K54" i="6"/>
  <c r="K1994" i="6"/>
  <c r="K1983" i="6"/>
  <c r="K2441" i="6"/>
  <c r="K1665" i="6"/>
  <c r="L205" i="6"/>
  <c r="K1506" i="6"/>
  <c r="K2381" i="6"/>
  <c r="K1088" i="6"/>
  <c r="K665" i="6"/>
  <c r="L2496" i="6"/>
  <c r="K1293" i="6"/>
  <c r="K1939" i="6"/>
  <c r="L782" i="6"/>
  <c r="K1387" i="6"/>
  <c r="L2468" i="6"/>
  <c r="L2322" i="6"/>
  <c r="L1406" i="6"/>
  <c r="L1285" i="6"/>
  <c r="L1960" i="6"/>
  <c r="K1217" i="6"/>
  <c r="K1820" i="6"/>
  <c r="K1249" i="6"/>
  <c r="K1366" i="6"/>
  <c r="K1971" i="6"/>
  <c r="L1917" i="6"/>
  <c r="L2292" i="6"/>
  <c r="K234" i="6"/>
  <c r="L1225" i="6"/>
  <c r="K2158" i="6"/>
  <c r="K2273" i="6"/>
  <c r="K1965" i="6"/>
  <c r="L1308" i="6"/>
  <c r="K2012" i="6"/>
  <c r="K1340" i="6"/>
  <c r="K1371" i="6"/>
  <c r="L2333" i="6"/>
  <c r="K2513" i="6"/>
  <c r="K1755" i="6"/>
  <c r="L1944" i="6"/>
  <c r="L2989" i="6"/>
  <c r="L957" i="6"/>
  <c r="D33" i="10"/>
  <c r="L2364" i="6"/>
  <c r="L886" i="6"/>
  <c r="L1354" i="6"/>
  <c r="L2654" i="6"/>
  <c r="L2067" i="6"/>
  <c r="L1275" i="6"/>
  <c r="K2700" i="6"/>
  <c r="K2645" i="6"/>
  <c r="L1557" i="6"/>
  <c r="L2178" i="6"/>
  <c r="K2176" i="6"/>
  <c r="K1540" i="6"/>
  <c r="L2176" i="6"/>
  <c r="L1444" i="6"/>
  <c r="K1098" i="6"/>
  <c r="K2453" i="6"/>
  <c r="K1154" i="6"/>
  <c r="K2098" i="6"/>
  <c r="L1160" i="6"/>
  <c r="K1404" i="6"/>
  <c r="K2717" i="6"/>
  <c r="L1710" i="6"/>
  <c r="K1807" i="6"/>
  <c r="L1662" i="6"/>
  <c r="L1677" i="6"/>
  <c r="K1169" i="6"/>
  <c r="L2072" i="6"/>
  <c r="K2670" i="6"/>
  <c r="L1435" i="6"/>
  <c r="K225" i="6"/>
  <c r="K1639" i="6"/>
  <c r="K918" i="6"/>
  <c r="K1794" i="6"/>
  <c r="K1592" i="6"/>
  <c r="L1697" i="6"/>
  <c r="L731" i="6"/>
  <c r="K2054" i="6"/>
  <c r="K2248" i="6"/>
  <c r="L2719" i="6"/>
  <c r="K2592" i="6"/>
  <c r="K686" i="6"/>
  <c r="L1527" i="6"/>
  <c r="L1779" i="6"/>
  <c r="L2735" i="6"/>
  <c r="K434" i="6"/>
  <c r="L1487" i="6"/>
  <c r="L2363" i="6"/>
  <c r="K622" i="6"/>
  <c r="L1846" i="6"/>
  <c r="K2398" i="6"/>
  <c r="L1625" i="6"/>
  <c r="L1071" i="6"/>
  <c r="L1801" i="6"/>
  <c r="L272" i="6"/>
  <c r="K1732" i="6"/>
  <c r="L2664" i="6"/>
  <c r="L1787" i="6"/>
  <c r="K1347" i="6"/>
  <c r="K2729" i="6"/>
  <c r="L2300" i="6"/>
  <c r="K2256" i="6"/>
  <c r="K1929" i="6"/>
  <c r="K1902" i="6"/>
  <c r="L1745" i="6"/>
  <c r="K2543" i="6"/>
  <c r="L1068" i="6"/>
  <c r="K1776" i="6"/>
  <c r="L1442" i="6"/>
  <c r="K2154" i="6"/>
  <c r="K1931" i="6"/>
  <c r="L2525" i="6"/>
  <c r="L2493" i="6"/>
  <c r="K2761" i="6"/>
  <c r="K1627" i="6"/>
  <c r="K2139" i="6"/>
  <c r="K1599" i="6"/>
  <c r="K1855" i="6"/>
  <c r="L1112" i="6"/>
  <c r="K2401" i="6"/>
  <c r="K1364" i="6"/>
  <c r="K1658" i="6"/>
  <c r="K2915" i="6"/>
  <c r="L2975" i="6"/>
  <c r="K874" i="6"/>
  <c r="L1248" i="6"/>
  <c r="L1084" i="6"/>
  <c r="L1851" i="6"/>
  <c r="L1738" i="6"/>
  <c r="K1680" i="6"/>
  <c r="K1990" i="6"/>
  <c r="L1059" i="6"/>
  <c r="L659" i="6"/>
  <c r="K1831" i="6"/>
  <c r="K2348" i="6"/>
  <c r="K2343" i="6"/>
  <c r="L1956" i="6"/>
  <c r="K1543" i="6"/>
  <c r="K1821" i="6"/>
  <c r="L1090" i="6"/>
  <c r="K1252" i="6"/>
  <c r="K1305" i="6"/>
  <c r="L1322" i="6"/>
  <c r="K754" i="6"/>
  <c r="L1963" i="6"/>
  <c r="K1137" i="6"/>
  <c r="L143" i="6"/>
  <c r="K985" i="6"/>
  <c r="K2010" i="6"/>
  <c r="K1895" i="6"/>
  <c r="K1667" i="6"/>
  <c r="L2352" i="6"/>
  <c r="L1663" i="6"/>
  <c r="K1978" i="6"/>
  <c r="K1846" i="6"/>
  <c r="L2409" i="6"/>
  <c r="K3003" i="6"/>
  <c r="L2046" i="6"/>
  <c r="K2051" i="6"/>
  <c r="L1180" i="6"/>
  <c r="K2724" i="6"/>
  <c r="L1535" i="6"/>
  <c r="K2656" i="6"/>
  <c r="L1630" i="6"/>
  <c r="K2270" i="6"/>
  <c r="K1834" i="6"/>
  <c r="K1277" i="6"/>
  <c r="K2413" i="6"/>
  <c r="L707" i="6"/>
  <c r="K1402" i="6"/>
  <c r="K2217" i="6"/>
  <c r="K2122" i="6"/>
  <c r="K1326" i="6"/>
  <c r="K2668" i="6"/>
  <c r="K3045" i="6"/>
  <c r="L2188" i="6"/>
  <c r="K2266" i="6"/>
  <c r="L1183" i="6"/>
  <c r="L1539" i="6"/>
  <c r="L1893" i="6"/>
  <c r="L857" i="6"/>
  <c r="K2355" i="6"/>
  <c r="L1968" i="6"/>
  <c r="K2277" i="6"/>
  <c r="L2250" i="6"/>
  <c r="K2341" i="6"/>
  <c r="K2864" i="6"/>
  <c r="L2147" i="6"/>
  <c r="K2374" i="6"/>
  <c r="L813" i="6"/>
  <c r="K1514" i="6"/>
  <c r="K3159" i="6"/>
  <c r="K2461" i="6"/>
  <c r="L2142" i="6"/>
  <c r="L2874" i="6"/>
  <c r="L1734" i="6"/>
  <c r="K2171" i="6"/>
  <c r="L2174" i="6"/>
  <c r="L1294" i="6"/>
  <c r="L1986" i="6"/>
  <c r="K789" i="6"/>
  <c r="K1116" i="6"/>
  <c r="K262" i="6"/>
  <c r="L2837" i="6"/>
  <c r="L1434" i="6"/>
  <c r="K1000" i="6"/>
  <c r="K1617" i="6"/>
  <c r="L1519" i="6"/>
  <c r="K1696" i="6"/>
  <c r="K2206" i="6"/>
  <c r="L30" i="6"/>
  <c r="K1880" i="6"/>
  <c r="L2252" i="6"/>
  <c r="L1603" i="6"/>
  <c r="K1548" i="6"/>
  <c r="L1653" i="6"/>
  <c r="L1569" i="6"/>
  <c r="K330" i="6"/>
  <c r="K1968" i="6"/>
  <c r="L248" i="6"/>
  <c r="K2215" i="6"/>
  <c r="L2428" i="6"/>
  <c r="K1399" i="6"/>
  <c r="L1813" i="6"/>
  <c r="K1909" i="6"/>
  <c r="L982" i="6"/>
  <c r="K2403" i="6"/>
  <c r="L1474" i="6"/>
  <c r="L2892" i="6"/>
  <c r="L1507" i="6"/>
  <c r="K1791" i="6"/>
  <c r="L2411" i="6"/>
  <c r="L843" i="6"/>
  <c r="K2479" i="6"/>
  <c r="K437" i="6"/>
  <c r="K2773" i="6"/>
  <c r="K2323" i="6"/>
  <c r="K142" i="6"/>
  <c r="L1266" i="6"/>
  <c r="K1955" i="6"/>
  <c r="L2071" i="6"/>
  <c r="L1295" i="6"/>
  <c r="K1007" i="6"/>
  <c r="L2060" i="6"/>
  <c r="K1866" i="6"/>
  <c r="K1839" i="6"/>
  <c r="L1955" i="6"/>
  <c r="L128" i="6"/>
  <c r="L776" i="6"/>
  <c r="K1604" i="6"/>
  <c r="L2376" i="6"/>
  <c r="L894" i="6"/>
  <c r="L1132" i="6"/>
  <c r="K1447" i="6"/>
  <c r="L1232" i="6"/>
  <c r="L1498" i="6"/>
  <c r="K1388" i="6"/>
  <c r="L2196" i="6"/>
  <c r="K1339" i="6"/>
  <c r="L883" i="6"/>
  <c r="K1223" i="6"/>
  <c r="K1138" i="6"/>
  <c r="K2623" i="6"/>
  <c r="K871" i="6"/>
  <c r="L3230" i="6"/>
  <c r="L2311" i="6"/>
  <c r="L1609" i="6"/>
  <c r="K501" i="6"/>
  <c r="L2336" i="6"/>
  <c r="L1829" i="6"/>
  <c r="K956" i="6"/>
  <c r="K1440" i="6"/>
  <c r="K1687" i="6"/>
  <c r="L1701" i="6"/>
  <c r="L2089" i="6"/>
  <c r="L1511" i="6"/>
  <c r="L1520" i="6"/>
  <c r="L1867" i="6"/>
  <c r="K1282" i="6"/>
  <c r="K1606" i="6"/>
  <c r="K2447" i="6"/>
  <c r="K292" i="6"/>
  <c r="L726" i="6"/>
  <c r="L2021" i="6"/>
  <c r="K2255" i="6"/>
  <c r="K2681" i="6"/>
  <c r="K191" i="6"/>
  <c r="L2506" i="6"/>
  <c r="K1736" i="6"/>
  <c r="L2215" i="6"/>
  <c r="L324" i="6"/>
  <c r="K762" i="6"/>
  <c r="K1551" i="6"/>
  <c r="L1282" i="6"/>
  <c r="K1452" i="6"/>
  <c r="K2533" i="6"/>
  <c r="L973" i="6"/>
  <c r="K1741" i="6"/>
  <c r="K1872" i="6"/>
  <c r="L1484" i="6"/>
  <c r="L1936" i="6"/>
  <c r="K2293" i="6"/>
  <c r="L1887" i="6"/>
  <c r="K1958" i="6"/>
  <c r="K1664" i="6"/>
  <c r="L2063" i="6"/>
  <c r="L2023" i="6"/>
  <c r="L1633" i="6"/>
  <c r="K1448" i="6"/>
  <c r="L1454" i="6"/>
  <c r="L2014" i="6"/>
  <c r="L501" i="6"/>
  <c r="K1660" i="6"/>
  <c r="L510" i="6"/>
  <c r="K1856" i="6"/>
  <c r="L1439" i="6"/>
  <c r="L2022" i="6"/>
  <c r="L1319" i="6"/>
  <c r="K1335" i="6"/>
  <c r="L2327" i="6"/>
  <c r="L2128" i="6"/>
  <c r="L261" i="6"/>
  <c r="K2387" i="6"/>
  <c r="K1361" i="6"/>
  <c r="K2233" i="6"/>
  <c r="K1526" i="6"/>
  <c r="L2316" i="6"/>
  <c r="K973" i="6"/>
  <c r="L119" i="6"/>
  <c r="L1780" i="6"/>
  <c r="K1784" i="6"/>
  <c r="L2303" i="6"/>
  <c r="K2943" i="6"/>
  <c r="K23" i="6"/>
  <c r="L415" i="6"/>
  <c r="L302" i="6"/>
  <c r="K1102" i="6"/>
  <c r="L2251" i="6"/>
  <c r="K128" i="6"/>
  <c r="K2267" i="6"/>
  <c r="L1847" i="6"/>
  <c r="K837" i="6"/>
  <c r="K1069" i="6"/>
  <c r="K1723" i="6"/>
  <c r="K1524" i="6"/>
  <c r="K296" i="6"/>
  <c r="L1819" i="6"/>
  <c r="K2022" i="6"/>
  <c r="L1966" i="6"/>
  <c r="L121" i="6"/>
  <c r="L664" i="6"/>
  <c r="K2026" i="6"/>
  <c r="L998" i="6"/>
  <c r="L2077" i="6"/>
  <c r="K1207" i="6"/>
  <c r="K2043" i="6"/>
  <c r="K1021" i="6"/>
  <c r="K1765" i="6"/>
  <c r="K934" i="6"/>
  <c r="K972" i="6"/>
  <c r="K1558" i="6"/>
  <c r="K1113" i="6"/>
  <c r="L2338" i="6"/>
  <c r="L1724" i="6"/>
  <c r="K1536" i="6"/>
  <c r="K2930" i="6"/>
  <c r="L971" i="6"/>
  <c r="K630" i="6"/>
  <c r="K2405" i="6"/>
  <c r="L2143" i="6"/>
  <c r="L2019" i="6"/>
  <c r="L669" i="6"/>
  <c r="K2439" i="6"/>
  <c r="L2129" i="6"/>
  <c r="L1523" i="6"/>
  <c r="K2252" i="6"/>
  <c r="L2056" i="6"/>
  <c r="K1042" i="6"/>
  <c r="K2130" i="6"/>
  <c r="K2281" i="6"/>
  <c r="K1487" i="6"/>
  <c r="L2050" i="6"/>
  <c r="K1903" i="6"/>
  <c r="L1353" i="6"/>
  <c r="K1237" i="6"/>
  <c r="K2093" i="6"/>
  <c r="K370" i="6"/>
  <c r="L2281" i="6"/>
  <c r="L1635" i="6"/>
  <c r="L2301" i="6"/>
  <c r="L2756" i="6"/>
  <c r="L1681" i="6"/>
  <c r="L2236" i="6"/>
  <c r="K1110" i="6"/>
  <c r="L747" i="6"/>
  <c r="L2164" i="6"/>
  <c r="K1915" i="6"/>
  <c r="K1609" i="6"/>
  <c r="L1280" i="6"/>
  <c r="L1390" i="6"/>
  <c r="K1910" i="6"/>
  <c r="K1445" i="6"/>
  <c r="L1301" i="6"/>
  <c r="K1566" i="6"/>
  <c r="K2048" i="6"/>
  <c r="L389" i="6"/>
  <c r="K1922" i="6"/>
  <c r="K2004" i="6"/>
  <c r="K2109" i="6"/>
  <c r="L2384" i="6"/>
  <c r="L2219" i="6"/>
  <c r="L2102" i="6"/>
  <c r="K1762" i="6"/>
  <c r="K1338" i="6"/>
  <c r="K1598" i="6"/>
  <c r="K1367" i="6"/>
  <c r="K1744" i="6"/>
  <c r="K749" i="6"/>
  <c r="L202" i="6"/>
  <c r="L2605" i="6"/>
  <c r="K1389" i="6"/>
  <c r="K1004" i="6"/>
  <c r="K908" i="6"/>
  <c r="K2169" i="6"/>
  <c r="K1585" i="6"/>
  <c r="K2922" i="6"/>
  <c r="K63" i="6"/>
  <c r="L1888" i="6"/>
  <c r="L2028" i="6"/>
  <c r="L1721" i="6"/>
  <c r="K2170" i="6"/>
  <c r="K2694" i="6"/>
  <c r="L2436" i="6"/>
  <c r="L1978" i="6"/>
  <c r="K430" i="6"/>
  <c r="L1585" i="6"/>
  <c r="L905" i="6"/>
  <c r="L2335" i="6"/>
  <c r="L2320" i="6"/>
  <c r="K2174" i="6"/>
  <c r="L2550" i="6"/>
  <c r="K1174" i="6"/>
  <c r="L1702" i="6"/>
  <c r="K2393" i="6"/>
  <c r="L1414" i="6"/>
  <c r="K1656" i="6"/>
  <c r="L1100" i="6"/>
  <c r="L666" i="6"/>
  <c r="L2257" i="6"/>
  <c r="K2569" i="6"/>
  <c r="K1459" i="6"/>
  <c r="L818" i="6"/>
  <c r="L1380" i="6"/>
  <c r="L1695" i="6"/>
  <c r="L1542" i="6"/>
  <c r="L1591" i="6"/>
  <c r="L31" i="6"/>
  <c r="K1392" i="6"/>
  <c r="L1412" i="6"/>
  <c r="L1478" i="6"/>
  <c r="L1269" i="6"/>
  <c r="K2445" i="6"/>
  <c r="L1827" i="6"/>
  <c r="L2594" i="6"/>
  <c r="K164" i="6"/>
  <c r="K1923" i="6"/>
  <c r="L1367" i="6"/>
  <c r="K2142" i="6"/>
  <c r="L1615" i="6"/>
  <c r="L1925" i="6"/>
  <c r="K1861" i="6"/>
  <c r="K2137" i="6"/>
  <c r="K1911" i="6"/>
  <c r="K486" i="6"/>
  <c r="K2097" i="6"/>
  <c r="L1208" i="6"/>
  <c r="K195" i="6"/>
  <c r="K765" i="6"/>
  <c r="L2453" i="6"/>
  <c r="K1050" i="6"/>
  <c r="K1375" i="6"/>
  <c r="L1217" i="6"/>
  <c r="K1582" i="6"/>
  <c r="K1422" i="6"/>
  <c r="L1842" i="6"/>
  <c r="K2375" i="6"/>
  <c r="L1668" i="6"/>
  <c r="L2416" i="6"/>
  <c r="K1309" i="6"/>
  <c r="L532" i="6"/>
  <c r="L2226" i="6"/>
  <c r="L1291" i="6"/>
  <c r="L2464" i="6"/>
  <c r="L1188" i="6"/>
  <c r="K279" i="6"/>
  <c r="L771" i="6"/>
  <c r="K417" i="6"/>
  <c r="K90" i="6"/>
  <c r="L311" i="6"/>
  <c r="K945" i="6"/>
  <c r="K334" i="6"/>
  <c r="L234" i="6"/>
  <c r="L1901" i="6"/>
  <c r="K1876" i="6"/>
  <c r="L1098" i="6"/>
  <c r="L2001" i="6"/>
  <c r="L1728" i="6"/>
  <c r="K1828" i="6"/>
  <c r="K42" i="6"/>
  <c r="L1565" i="6"/>
  <c r="L1961" i="6"/>
  <c r="L1287" i="6"/>
  <c r="K1511" i="6"/>
  <c r="L1335" i="6"/>
  <c r="L34" i="6"/>
  <c r="L2498" i="6"/>
  <c r="K944" i="6"/>
  <c r="K2119" i="6"/>
  <c r="K159" i="6"/>
  <c r="L2179" i="6"/>
  <c r="K1651" i="6"/>
  <c r="K1273" i="6"/>
  <c r="L2010" i="6"/>
  <c r="L1344" i="6"/>
  <c r="L1716" i="6"/>
  <c r="L1337" i="6"/>
  <c r="L1187" i="6"/>
  <c r="L2757" i="6"/>
  <c r="K1561" i="6"/>
  <c r="L490" i="6"/>
  <c r="K2496" i="6"/>
  <c r="K1738" i="6"/>
  <c r="L1457" i="6"/>
  <c r="K1975" i="6"/>
  <c r="K1468" i="6"/>
  <c r="L1358" i="6"/>
  <c r="L2438" i="6"/>
  <c r="K1668" i="6"/>
  <c r="L526" i="6"/>
  <c r="K1311" i="6"/>
  <c r="K407" i="6"/>
  <c r="K865" i="6"/>
  <c r="K291" i="6"/>
  <c r="L1547" i="6"/>
  <c r="K2698" i="6"/>
  <c r="K2183" i="6"/>
  <c r="K1556" i="6"/>
  <c r="L2018" i="6"/>
  <c r="K418" i="6"/>
  <c r="L1777" i="6"/>
  <c r="K2534" i="6"/>
  <c r="L1019" i="6"/>
  <c r="K1867" i="6"/>
  <c r="L2524" i="6"/>
  <c r="K1467" i="6"/>
  <c r="K1450" i="6"/>
  <c r="L1311" i="6"/>
  <c r="L937" i="6"/>
  <c r="K2663" i="6"/>
  <c r="L2470" i="6"/>
  <c r="K2306" i="6"/>
  <c r="L558" i="6"/>
  <c r="L906" i="6"/>
  <c r="K1304" i="6"/>
  <c r="L1515" i="6"/>
  <c r="K1802" i="6"/>
  <c r="L1047" i="6"/>
  <c r="K1503" i="6"/>
  <c r="K1332" i="6"/>
  <c r="K670" i="6"/>
  <c r="L1103" i="6"/>
  <c r="L2097" i="6"/>
  <c r="K17" i="6"/>
  <c r="L635" i="6"/>
  <c r="K77" i="6"/>
  <c r="L1155" i="6"/>
  <c r="K1047" i="6"/>
  <c r="L1008" i="6"/>
  <c r="K2001" i="6"/>
  <c r="L289" i="6"/>
  <c r="K1780" i="6"/>
  <c r="K930" i="6"/>
  <c r="L946" i="6"/>
  <c r="L1805" i="6"/>
  <c r="L2065" i="6"/>
  <c r="L1676" i="6"/>
  <c r="L1879" i="6"/>
  <c r="L1221" i="6"/>
  <c r="L2414" i="6"/>
  <c r="K2525" i="6"/>
  <c r="K666" i="6"/>
  <c r="K1499" i="6"/>
  <c r="K2046" i="6"/>
  <c r="K1414" i="6"/>
  <c r="K152" i="6"/>
  <c r="K1020" i="6"/>
  <c r="K2041" i="6"/>
  <c r="K1083" i="6"/>
  <c r="K2110" i="6"/>
  <c r="K882" i="6"/>
  <c r="K1377" i="6"/>
  <c r="K1637" i="6"/>
  <c r="K1580" i="6"/>
  <c r="K2495" i="6"/>
  <c r="K2155" i="6"/>
  <c r="K1485" i="6"/>
  <c r="K281" i="6"/>
  <c r="K1024" i="6"/>
  <c r="L919" i="6"/>
  <c r="L1899" i="6"/>
  <c r="L99" i="6"/>
  <c r="L749" i="6"/>
  <c r="L1272" i="6"/>
  <c r="L2254" i="6"/>
  <c r="L1773" i="6"/>
  <c r="L1767" i="6"/>
  <c r="K2725" i="6"/>
  <c r="K2143" i="6"/>
  <c r="K1572" i="6"/>
  <c r="L1598" i="6"/>
  <c r="K1205" i="6"/>
  <c r="K2018" i="6"/>
  <c r="L2270" i="6"/>
  <c r="L961" i="6"/>
  <c r="K2449" i="6"/>
  <c r="L1706" i="6"/>
  <c r="L2083" i="6"/>
  <c r="K1698" i="6"/>
  <c r="L1448" i="6"/>
  <c r="K2116" i="6"/>
  <c r="K1258" i="6"/>
  <c r="K1860" i="6"/>
  <c r="K642" i="6"/>
  <c r="K2102" i="6"/>
  <c r="L2262" i="6"/>
  <c r="L1826" i="6"/>
  <c r="K1241" i="6"/>
  <c r="L79" i="6"/>
  <c r="L2110" i="6"/>
  <c r="K2089" i="6"/>
  <c r="K590" i="6"/>
  <c r="K974" i="6"/>
  <c r="K1218" i="6"/>
  <c r="L1549" i="6"/>
  <c r="K2333" i="6"/>
  <c r="K1683" i="6"/>
  <c r="K571" i="6"/>
  <c r="K1730" i="6"/>
  <c r="L1490" i="6"/>
  <c r="K1260" i="6"/>
  <c r="L1589" i="6"/>
  <c r="L1951" i="6"/>
  <c r="K322" i="6"/>
  <c r="K2144" i="6"/>
  <c r="L1623" i="6"/>
  <c r="L761" i="6"/>
  <c r="K898" i="6"/>
  <c r="K1244" i="6"/>
  <c r="K1420" i="6"/>
  <c r="L2232" i="6"/>
  <c r="K2526" i="6"/>
  <c r="L1962" i="6"/>
  <c r="K1729" i="6"/>
  <c r="L2696" i="6"/>
  <c r="K2160" i="6"/>
  <c r="L2263" i="6"/>
  <c r="K1593" i="6"/>
  <c r="L1647" i="6"/>
  <c r="L468" i="6"/>
  <c r="L767" i="6"/>
  <c r="L2037" i="6"/>
  <c r="K1419" i="6"/>
  <c r="K222" i="6"/>
  <c r="K790" i="6"/>
  <c r="L1362" i="6"/>
  <c r="L1422" i="6"/>
  <c r="K1378" i="6"/>
  <c r="L2288" i="6"/>
  <c r="K1699" i="6"/>
  <c r="K1697" i="6"/>
  <c r="L789" i="6"/>
  <c r="L2821" i="6"/>
  <c r="K1875" i="6"/>
  <c r="L1431" i="6"/>
  <c r="K1864" i="6"/>
  <c r="K1788" i="6"/>
  <c r="L246" i="6"/>
  <c r="K2287" i="6"/>
  <c r="L2166" i="6"/>
  <c r="L1634" i="6"/>
  <c r="K2247" i="6"/>
  <c r="K558" i="6"/>
  <c r="K2035" i="6"/>
  <c r="K2258" i="6"/>
  <c r="E29" i="10"/>
  <c r="K1641" i="6"/>
  <c r="K998" i="6"/>
  <c r="L2198" i="6"/>
  <c r="L582" i="6"/>
  <c r="K2741" i="6"/>
  <c r="K2212" i="6"/>
  <c r="L1747" i="6"/>
  <c r="K1191" i="6"/>
  <c r="K682" i="6"/>
  <c r="L1278" i="6"/>
  <c r="L1514" i="6"/>
  <c r="K2325" i="6"/>
  <c r="L822" i="6"/>
  <c r="L1169" i="6"/>
  <c r="K171" i="6"/>
  <c r="L966" i="6"/>
  <c r="K1395" i="6"/>
  <c r="L757" i="6"/>
  <c r="L49" i="6"/>
  <c r="K2357" i="6"/>
  <c r="L1558" i="6"/>
  <c r="K2126" i="6"/>
  <c r="K526" i="6"/>
  <c r="K2011" i="6"/>
  <c r="K1108" i="6"/>
  <c r="K2347" i="6"/>
  <c r="L1240" i="6"/>
  <c r="L856" i="6"/>
  <c r="K2505" i="6"/>
  <c r="L1355" i="6"/>
  <c r="K67" i="6"/>
  <c r="L1896" i="6"/>
  <c r="K1753" i="6"/>
  <c r="L1857" i="6"/>
  <c r="L283" i="6"/>
  <c r="K727" i="6"/>
  <c r="L769" i="6"/>
  <c r="K2575" i="6"/>
  <c r="L1083" i="6"/>
  <c r="L1890" i="6"/>
  <c r="L1570" i="6"/>
  <c r="K966" i="6"/>
  <c r="K1979" i="6"/>
  <c r="K1989" i="6"/>
  <c r="L979" i="6"/>
  <c r="L2098" i="6"/>
  <c r="L1172" i="6"/>
  <c r="L253" i="6"/>
  <c r="K1629" i="6"/>
  <c r="K1095" i="6"/>
  <c r="L765" i="6"/>
  <c r="K891" i="6"/>
  <c r="L1097" i="6"/>
  <c r="L1051" i="6"/>
  <c r="L402" i="6"/>
  <c r="K857" i="6"/>
  <c r="K1750" i="6"/>
  <c r="L394" i="6"/>
  <c r="L293" i="6"/>
  <c r="L2328" i="6"/>
  <c r="L1704" i="6"/>
  <c r="L1231" i="6"/>
  <c r="K1827" i="6"/>
  <c r="K527" i="6"/>
  <c r="L60" i="6"/>
  <c r="K516" i="6"/>
  <c r="L2623" i="6"/>
  <c r="K1160" i="6"/>
  <c r="L1967" i="6"/>
  <c r="L1783" i="6"/>
  <c r="K1406" i="6"/>
  <c r="L904" i="6"/>
  <c r="L2558" i="6"/>
  <c r="L2650" i="6"/>
  <c r="K1123" i="6"/>
  <c r="L2866" i="6"/>
  <c r="K896" i="6"/>
  <c r="L1473" i="6"/>
  <c r="K1715" i="6"/>
  <c r="K1708" i="6"/>
  <c r="K2361" i="6"/>
  <c r="K1963" i="6"/>
  <c r="L518" i="6"/>
  <c r="L2494" i="6"/>
  <c r="L1650" i="6"/>
  <c r="L1530" i="6"/>
  <c r="L1136" i="6"/>
  <c r="L1376" i="6"/>
  <c r="L832" i="6"/>
  <c r="K1370" i="6"/>
  <c r="L866" i="6"/>
  <c r="L2760" i="6"/>
  <c r="L2055" i="6"/>
  <c r="K2145" i="6"/>
  <c r="L1392" i="6"/>
  <c r="K2834" i="6"/>
  <c r="K1482" i="6"/>
  <c r="L1485" i="6"/>
  <c r="K1952" i="6"/>
  <c r="K1351" i="6"/>
  <c r="L1915" i="6"/>
  <c r="K781" i="6"/>
  <c r="L772" i="6"/>
  <c r="L2248" i="6"/>
  <c r="K306" i="6"/>
  <c r="L437" i="6"/>
  <c r="K2809" i="6"/>
  <c r="L1286" i="6"/>
  <c r="L1891" i="6"/>
  <c r="L2269" i="6"/>
  <c r="K1471" i="6"/>
  <c r="L2351" i="6"/>
  <c r="K2164" i="6"/>
  <c r="K2443" i="6"/>
  <c r="L1493" i="6"/>
  <c r="K1486" i="6"/>
  <c r="K2283" i="6"/>
  <c r="K1549" i="6"/>
  <c r="L888" i="6"/>
  <c r="L1874" i="6"/>
  <c r="K838" i="6"/>
  <c r="L804" i="6"/>
  <c r="K1359" i="6"/>
  <c r="K402" i="6"/>
  <c r="K1373" i="6"/>
  <c r="K205" i="6"/>
  <c r="K179" i="6"/>
  <c r="K1269" i="6"/>
  <c r="L1396" i="6"/>
  <c r="K1751" i="6"/>
  <c r="L2855" i="6"/>
  <c r="L2475" i="6"/>
  <c r="K1578" i="6"/>
  <c r="L1705" i="6"/>
  <c r="K807" i="6"/>
  <c r="K194" i="6"/>
  <c r="L1108" i="6"/>
  <c r="K897" i="6"/>
  <c r="K158" i="6"/>
  <c r="L2293" i="6"/>
  <c r="L1041" i="6"/>
  <c r="L1408" i="6"/>
  <c r="K1575" i="6"/>
  <c r="K1940" i="6"/>
  <c r="L2109" i="6"/>
  <c r="K2342" i="6"/>
  <c r="K2651" i="6"/>
  <c r="L2159" i="6"/>
  <c r="L1942" i="6"/>
  <c r="K1491" i="6"/>
  <c r="K174" i="6"/>
  <c r="K1781" i="6"/>
  <c r="K206" i="6"/>
  <c r="L338" i="6"/>
  <c r="L1018" i="6"/>
  <c r="L1740" i="6"/>
  <c r="K1559" i="6"/>
  <c r="K1483" i="6"/>
  <c r="K1474" i="6"/>
  <c r="L2059" i="6"/>
  <c r="L1450" i="6"/>
  <c r="K1825" i="6"/>
  <c r="K1515" i="6"/>
  <c r="K1437" i="6"/>
  <c r="K2013" i="6"/>
  <c r="L238" i="6"/>
  <c r="L1793" i="6"/>
  <c r="K1405" i="6"/>
  <c r="L945" i="6"/>
  <c r="K1369" i="6"/>
  <c r="K1808" i="6"/>
  <c r="L2452" i="6"/>
  <c r="L1691" i="6"/>
  <c r="K1891" i="6"/>
  <c r="K2007" i="6"/>
  <c r="L2886" i="6"/>
  <c r="L2043" i="6"/>
  <c r="L1064" i="6"/>
  <c r="L2054" i="6"/>
  <c r="L1892" i="6"/>
  <c r="L450" i="6"/>
  <c r="K481" i="6"/>
  <c r="L2478" i="6"/>
  <c r="L1397" i="6"/>
  <c r="K2024" i="6"/>
  <c r="L19" i="6"/>
  <c r="L1207" i="6"/>
  <c r="K149" i="6"/>
  <c r="L2078" i="6"/>
  <c r="K2020" i="6"/>
  <c r="K1472" i="6"/>
  <c r="K586" i="6"/>
  <c r="K1294" i="6"/>
  <c r="K1757" i="6"/>
  <c r="L1830" i="6"/>
  <c r="K2304" i="6"/>
  <c r="L853" i="6"/>
  <c r="L2211" i="6"/>
  <c r="K342" i="6"/>
  <c r="K1819" i="6"/>
  <c r="K619" i="6"/>
  <c r="K2971" i="6"/>
  <c r="K1099" i="6"/>
  <c r="L221" i="6"/>
  <c r="K50" i="6"/>
  <c r="L745" i="6"/>
  <c r="K97" i="6"/>
  <c r="K1167" i="6"/>
  <c r="L2391" i="6"/>
  <c r="L817" i="6"/>
  <c r="K1344" i="6"/>
  <c r="L1673" i="6"/>
  <c r="K782" i="6"/>
  <c r="K1148" i="6"/>
  <c r="K960" i="6"/>
  <c r="K1565" i="6"/>
  <c r="L1926" i="6"/>
  <c r="K2172" i="6"/>
  <c r="K394" i="6"/>
  <c r="L1326" i="6"/>
  <c r="L713" i="6"/>
  <c r="L1476" i="6"/>
  <c r="L1774" i="6"/>
  <c r="L1481" i="6"/>
  <c r="L2073" i="6"/>
  <c r="L758" i="6"/>
  <c r="L2096" i="6"/>
  <c r="K1771" i="6"/>
  <c r="L1900" i="6"/>
  <c r="K1265" i="6"/>
  <c r="K1428" i="6"/>
  <c r="L2224" i="6"/>
  <c r="K1706" i="6"/>
  <c r="L1775" i="6"/>
  <c r="K1758" i="6"/>
  <c r="K1774" i="6"/>
  <c r="L1298" i="6"/>
  <c r="K715" i="6"/>
  <c r="K1678" i="6"/>
  <c r="K581" i="6"/>
  <c r="L838" i="6"/>
  <c r="K1783" i="6"/>
  <c r="K2073" i="6"/>
  <c r="L2434" i="6"/>
  <c r="L1885" i="6"/>
  <c r="K1659" i="6"/>
  <c r="K1071" i="6"/>
  <c r="K1785" i="6"/>
  <c r="L102" i="6"/>
  <c r="K1234" i="6"/>
  <c r="L1556" i="6"/>
  <c r="L960" i="6"/>
  <c r="K2148" i="6"/>
  <c r="L2869" i="6"/>
  <c r="L1534" i="6"/>
  <c r="K2509" i="6"/>
  <c r="L829" i="6"/>
  <c r="L784" i="6"/>
  <c r="L892" i="6"/>
  <c r="K2068" i="6"/>
  <c r="L1013" i="6"/>
  <c r="K1782" i="6"/>
  <c r="L2462" i="6"/>
  <c r="L1613" i="6"/>
  <c r="K1962" i="6"/>
  <c r="L231" i="6"/>
  <c r="K1197" i="6"/>
  <c r="K2146" i="6"/>
  <c r="L2780" i="6"/>
  <c r="K2380" i="6"/>
  <c r="K1166" i="6"/>
  <c r="L538" i="6"/>
  <c r="L932" i="6"/>
  <c r="K561" i="6"/>
  <c r="L33" i="6"/>
  <c r="L1228" i="6"/>
  <c r="L1148" i="6"/>
  <c r="L541" i="6"/>
  <c r="K1998" i="6"/>
  <c r="L2321" i="6"/>
  <c r="L1741" i="6"/>
  <c r="K684" i="6"/>
  <c r="L1293" i="6"/>
  <c r="L1177" i="6"/>
  <c r="L2127" i="6"/>
  <c r="K2080" i="6"/>
  <c r="L2239" i="6"/>
  <c r="L1095" i="6"/>
  <c r="L2088" i="6"/>
  <c r="K1454" i="6"/>
  <c r="L846" i="6"/>
  <c r="K779" i="6"/>
  <c r="L390" i="6"/>
  <c r="L933" i="6"/>
  <c r="L441" i="6"/>
  <c r="K1236" i="6"/>
  <c r="L968" i="6"/>
  <c r="L374" i="6"/>
  <c r="L80" i="6"/>
  <c r="L1312" i="6"/>
  <c r="L237" i="6"/>
  <c r="K135" i="6"/>
  <c r="L1975" i="6"/>
  <c r="K1426" i="6"/>
  <c r="L2295" i="6"/>
  <c r="L2035" i="6"/>
  <c r="L1369" i="6"/>
  <c r="K498" i="6"/>
  <c r="L949" i="6"/>
  <c r="L277" i="6"/>
  <c r="K404" i="6"/>
  <c r="K1033" i="6"/>
  <c r="K1280" i="6"/>
  <c r="L1332" i="6"/>
  <c r="K1003" i="6"/>
  <c r="K1444" i="6"/>
  <c r="L409" i="6"/>
  <c r="K1214" i="6"/>
  <c r="K607" i="6"/>
  <c r="L2389" i="6"/>
  <c r="K508" i="6"/>
  <c r="K134" i="6"/>
  <c r="L1765" i="6"/>
  <c r="L1864" i="6"/>
  <c r="K1413" i="6"/>
  <c r="K1441" i="6"/>
  <c r="K1873" i="6"/>
  <c r="L1852" i="6"/>
  <c r="L1672" i="6"/>
  <c r="L1808" i="6"/>
  <c r="K1415" i="6"/>
  <c r="L1561" i="6"/>
  <c r="L1305" i="6"/>
  <c r="K1628" i="6"/>
  <c r="K494" i="6"/>
  <c r="L625" i="6"/>
  <c r="L1378" i="6"/>
  <c r="K1312" i="6"/>
  <c r="L1149" i="6"/>
  <c r="K1619" i="6"/>
  <c r="K1290" i="6"/>
  <c r="L504" i="6"/>
  <c r="K1270" i="6"/>
  <c r="K1162" i="6"/>
  <c r="K422" i="6"/>
  <c r="K456" i="6"/>
  <c r="K1764" i="6"/>
  <c r="L2081" i="6"/>
  <c r="K1528" i="6"/>
  <c r="K1300" i="6"/>
  <c r="L528" i="6"/>
  <c r="L2484" i="6"/>
  <c r="K722" i="6"/>
  <c r="K1212" i="6"/>
  <c r="K606" i="6"/>
  <c r="L955" i="6"/>
  <c r="K1040" i="6"/>
  <c r="K1323" i="6"/>
  <c r="K2434" i="6"/>
  <c r="K1679" i="6"/>
  <c r="K1756" i="6"/>
  <c r="K1905" i="6"/>
  <c r="L2577" i="6"/>
  <c r="K2404" i="6"/>
  <c r="K2462" i="6"/>
  <c r="K2064" i="6"/>
  <c r="L2348" i="6"/>
  <c r="K2914" i="6"/>
  <c r="K1259" i="6"/>
  <c r="K1735" i="6"/>
  <c r="L1579" i="6"/>
  <c r="L2638" i="6"/>
  <c r="K1438" i="6"/>
  <c r="K1663" i="6"/>
  <c r="L1794" i="6"/>
  <c r="L987" i="6"/>
  <c r="K2163" i="6"/>
  <c r="K1754" i="6"/>
  <c r="K826" i="6"/>
  <c r="L137" i="6"/>
  <c r="L719" i="6"/>
  <c r="K568" i="6"/>
  <c r="K1537" i="6"/>
  <c r="L224" i="6"/>
  <c r="L2960" i="6"/>
  <c r="L1931" i="6"/>
  <c r="K2772" i="6"/>
  <c r="K1724" i="6"/>
  <c r="K231" i="6"/>
  <c r="K2280" i="6"/>
  <c r="L1145" i="6"/>
  <c r="K523" i="6"/>
  <c r="K2776" i="6"/>
  <c r="K2132" i="6"/>
  <c r="L317" i="6"/>
  <c r="K1686" i="6"/>
  <c r="K1028" i="6"/>
  <c r="L2163" i="6"/>
  <c r="L1494" i="6"/>
  <c r="K1600" i="6"/>
  <c r="K2927" i="6"/>
  <c r="K2140" i="6"/>
  <c r="K2234" i="6"/>
  <c r="L1407" i="6"/>
  <c r="L730" i="6"/>
  <c r="L2538" i="6"/>
  <c r="L1055" i="6"/>
  <c r="L626" i="6"/>
  <c r="L1648" i="6"/>
  <c r="K1770" i="6"/>
  <c r="L1233" i="6"/>
  <c r="K1396" i="6"/>
  <c r="L607" i="6"/>
  <c r="K1904" i="6"/>
  <c r="K1722" i="6"/>
  <c r="L2120" i="6"/>
  <c r="K925" i="6"/>
  <c r="L918" i="6"/>
  <c r="L1831" i="6"/>
  <c r="K2789" i="6"/>
  <c r="L825" i="6"/>
  <c r="L1605" i="6"/>
  <c r="K1563" i="6"/>
  <c r="K1411" i="6"/>
  <c r="L983" i="6"/>
  <c r="K2030" i="6"/>
  <c r="L3174" i="6"/>
  <c r="L1417" i="6"/>
  <c r="K2383" i="6"/>
  <c r="K2332" i="6"/>
  <c r="L2370" i="6"/>
  <c r="K2624" i="6"/>
  <c r="L485" i="6"/>
  <c r="K1752" i="6"/>
  <c r="L1761" i="6"/>
  <c r="K1882" i="6"/>
  <c r="L64" i="6"/>
  <c r="K1131" i="6"/>
  <c r="K562" i="6"/>
  <c r="L1554" i="6"/>
  <c r="L1324" i="6"/>
  <c r="K1597" i="6"/>
  <c r="K2203" i="6"/>
  <c r="L2223" i="6"/>
  <c r="L2914" i="6"/>
  <c r="K1532" i="6"/>
  <c r="K986" i="6"/>
  <c r="L1325" i="6"/>
  <c r="L2499" i="6"/>
  <c r="K879" i="6"/>
  <c r="L1992" i="6"/>
  <c r="L1410" i="6"/>
  <c r="L2121" i="6"/>
  <c r="K850" i="6"/>
  <c r="K2713" i="6"/>
  <c r="K1961" i="6"/>
  <c r="L786" i="6"/>
  <c r="K243" i="6"/>
  <c r="K415" i="6"/>
  <c r="K2340" i="6"/>
  <c r="K2177" i="6"/>
  <c r="L1258" i="6"/>
  <c r="K1341" i="6"/>
  <c r="L2716" i="6"/>
  <c r="L1252" i="6"/>
  <c r="K887" i="6"/>
  <c r="L170" i="6"/>
  <c r="K1917" i="6"/>
  <c r="L2246" i="6"/>
  <c r="L342" i="6"/>
  <c r="L318" i="6"/>
  <c r="L985" i="6"/>
  <c r="K275" i="6"/>
  <c r="K691" i="6"/>
  <c r="L613" i="6"/>
  <c r="K2566" i="6"/>
  <c r="L1001" i="6"/>
  <c r="K469" i="6"/>
  <c r="K885" i="6"/>
  <c r="K1239" i="6"/>
  <c r="L901" i="6"/>
  <c r="L2365" i="6"/>
  <c r="L1972" i="6"/>
  <c r="K1553" i="6"/>
  <c r="L406" i="6"/>
  <c r="L1659" i="6"/>
  <c r="K1953" i="6"/>
  <c r="L1908" i="6"/>
  <c r="L1025" i="6"/>
  <c r="K2467" i="6"/>
  <c r="L2139" i="6"/>
  <c r="K3164" i="6"/>
  <c r="K1130" i="6"/>
  <c r="K2793" i="6"/>
  <c r="K2571" i="6"/>
  <c r="L1839" i="6"/>
  <c r="L1080" i="6"/>
  <c r="L2185" i="6"/>
  <c r="K1037" i="6"/>
  <c r="L1102" i="6"/>
  <c r="K474" i="6"/>
  <c r="K1296" i="6"/>
  <c r="K969" i="6"/>
  <c r="L75" i="6"/>
  <c r="K1844" i="6"/>
  <c r="L808" i="6"/>
  <c r="L2440" i="6"/>
  <c r="L1005" i="6"/>
  <c r="K1926" i="6"/>
  <c r="L1398" i="6"/>
  <c r="K1458" i="6"/>
  <c r="L1445" i="6"/>
  <c r="L1391" i="6"/>
  <c r="L1053" i="6"/>
  <c r="K2644" i="6"/>
  <c r="L1424" i="6"/>
  <c r="L1428" i="6"/>
  <c r="K1255" i="6"/>
  <c r="L1243" i="6"/>
  <c r="K2067" i="6"/>
  <c r="K1043" i="6"/>
  <c r="L790" i="6"/>
  <c r="L1057" i="6"/>
  <c r="K1141" i="6"/>
  <c r="L1778" i="6"/>
  <c r="K1173" i="6"/>
  <c r="L1969" i="6"/>
  <c r="K1129" i="6"/>
  <c r="L1871" i="6"/>
  <c r="K1288" i="6"/>
  <c r="L2304" i="6"/>
  <c r="K941" i="6"/>
  <c r="L108" i="6"/>
  <c r="K1155" i="6"/>
  <c r="K1607" i="6"/>
  <c r="L274" i="6"/>
  <c r="K136" i="6"/>
  <c r="K1331" i="6"/>
  <c r="K658" i="6"/>
  <c r="K2088" i="6"/>
  <c r="K1250" i="6"/>
  <c r="L531" i="6"/>
  <c r="L35" i="6"/>
  <c r="K1209" i="6"/>
  <c r="K2187" i="6"/>
  <c r="L178" i="6"/>
  <c r="L578" i="6"/>
  <c r="K1481" i="6"/>
  <c r="K1066" i="6"/>
  <c r="K1942" i="6"/>
  <c r="L1141" i="6"/>
  <c r="L898" i="6"/>
  <c r="K189" i="6"/>
  <c r="L834" i="6"/>
  <c r="L1140" i="6"/>
  <c r="K2313" i="6"/>
  <c r="K446" i="6"/>
  <c r="L2527" i="6"/>
  <c r="K675" i="6"/>
  <c r="K1274" i="6"/>
  <c r="L1590" i="6"/>
  <c r="L1929" i="6"/>
  <c r="K761" i="6"/>
  <c r="L976" i="6"/>
  <c r="L948" i="6"/>
  <c r="L1680" i="6"/>
  <c r="L939" i="6"/>
  <c r="K601" i="6"/>
  <c r="K1115" i="6"/>
  <c r="L122" i="6"/>
  <c r="K625" i="6"/>
  <c r="K68" i="6"/>
  <c r="L984" i="6"/>
  <c r="L1933" i="6"/>
  <c r="L2153" i="6"/>
  <c r="L1375" i="6"/>
  <c r="K2620" i="6"/>
  <c r="L1171" i="6"/>
  <c r="K2066" i="6"/>
  <c r="L1510" i="6"/>
  <c r="L631" i="6"/>
  <c r="L927" i="6"/>
  <c r="K1946" i="6"/>
  <c r="L1832" i="6"/>
  <c r="K2433" i="6"/>
  <c r="K1052" i="6"/>
  <c r="L1597" i="6"/>
  <c r="L405" i="6"/>
  <c r="L1987" i="6"/>
  <c r="K1655" i="6"/>
  <c r="K1636" i="6"/>
  <c r="K905" i="6"/>
  <c r="L1838" i="6"/>
  <c r="K2760" i="6"/>
  <c r="K929" i="6"/>
  <c r="L809" i="6"/>
  <c r="K1646" i="6"/>
  <c r="L699" i="6"/>
  <c r="K1220" i="6"/>
  <c r="L2234" i="6"/>
  <c r="K909" i="6"/>
  <c r="K514" i="6"/>
  <c r="L1552" i="6"/>
  <c r="L87" i="6"/>
  <c r="L1526" i="6"/>
  <c r="L1184" i="6"/>
  <c r="L1033" i="6"/>
  <c r="L665" i="6"/>
  <c r="K1626" i="6"/>
  <c r="L2210" i="6"/>
  <c r="L1347" i="6"/>
  <c r="L1517" i="6"/>
  <c r="K849" i="6"/>
  <c r="K1165" i="6"/>
  <c r="L1404" i="6"/>
  <c r="K788" i="6"/>
  <c r="L1685" i="6"/>
  <c r="K1327" i="6"/>
  <c r="K286" i="6"/>
  <c r="K44" i="6"/>
  <c r="K98" i="6"/>
  <c r="K1700" i="6"/>
  <c r="K547" i="6"/>
  <c r="K2278" i="6"/>
  <c r="L714" i="6"/>
  <c r="L2586" i="6"/>
  <c r="L1244" i="6"/>
  <c r="L2578" i="6"/>
  <c r="K1476" i="6"/>
  <c r="K69" i="6"/>
  <c r="K414" i="6"/>
  <c r="L1594" i="6"/>
  <c r="K1602" i="6"/>
  <c r="L1227" i="6"/>
  <c r="L974" i="6"/>
  <c r="L1384" i="6"/>
  <c r="L1560" i="6"/>
  <c r="L798" i="6"/>
  <c r="K1554" i="6"/>
  <c r="L1935" i="6"/>
  <c r="K2368" i="6"/>
  <c r="L140" i="6"/>
  <c r="K38" i="6"/>
  <c r="L502" i="6"/>
  <c r="L487" i="6"/>
  <c r="K1279" i="6"/>
  <c r="L871" i="6"/>
  <c r="K238" i="6"/>
  <c r="L1170" i="6"/>
  <c r="L1123" i="6"/>
  <c r="K353" i="6"/>
  <c r="L1425" i="6"/>
  <c r="L1339" i="6"/>
  <c r="L1345" i="6"/>
  <c r="L1260" i="6"/>
  <c r="K2235" i="6"/>
  <c r="K2000" i="6"/>
  <c r="L2217" i="6"/>
  <c r="L2264" i="6"/>
  <c r="L1880" i="6"/>
  <c r="L343" i="6"/>
  <c r="K521" i="6"/>
  <c r="K1225" i="6"/>
  <c r="K1918" i="6"/>
  <c r="K593" i="6"/>
  <c r="K219" i="6"/>
  <c r="K1190" i="6"/>
  <c r="K1379" i="6"/>
  <c r="K411" i="6"/>
  <c r="L104" i="6"/>
  <c r="K188" i="6"/>
  <c r="L2614" i="6"/>
  <c r="K1707" i="6"/>
  <c r="L1196" i="6"/>
  <c r="L1446" i="6"/>
  <c r="K1463" i="6"/>
  <c r="L2034" i="6"/>
  <c r="K2056" i="6"/>
  <c r="K1356" i="6"/>
  <c r="L530" i="6"/>
  <c r="K230" i="6"/>
  <c r="L750" i="6"/>
  <c r="K403" i="6"/>
  <c r="K1567" i="6"/>
  <c r="K439" i="6"/>
  <c r="K1671" i="6"/>
  <c r="K1182" i="6"/>
  <c r="L2353" i="6"/>
  <c r="L1399" i="6"/>
  <c r="L991" i="6"/>
  <c r="L930" i="6"/>
  <c r="L1032" i="6"/>
  <c r="K755" i="6"/>
  <c r="K927" i="6"/>
  <c r="L639" i="6"/>
  <c r="L453" i="6"/>
  <c r="K227" i="6"/>
  <c r="L498" i="6"/>
  <c r="L424" i="6"/>
  <c r="L1142" i="6"/>
  <c r="L721" i="6"/>
  <c r="L705" i="6"/>
  <c r="K2427" i="6"/>
  <c r="L870" i="6"/>
  <c r="L861" i="6"/>
  <c r="K845" i="6"/>
  <c r="L2199" i="6"/>
  <c r="K503" i="6"/>
  <c r="L1206" i="6"/>
  <c r="L1592" i="6"/>
  <c r="L706" i="6"/>
  <c r="L88" i="6"/>
  <c r="K1090" i="6"/>
  <c r="K406" i="6"/>
  <c r="K1568" i="6"/>
  <c r="L1276" i="6"/>
  <c r="K229" i="6"/>
  <c r="K304" i="6"/>
  <c r="L2082" i="6"/>
  <c r="L1735" i="6"/>
  <c r="L646" i="6"/>
  <c r="L1949" i="6"/>
  <c r="K1374" i="6"/>
  <c r="K1494" i="6"/>
  <c r="K541" i="6"/>
  <c r="L1028" i="6"/>
  <c r="L695" i="6"/>
  <c r="K512" i="6"/>
  <c r="K326" i="6"/>
  <c r="L657" i="6"/>
  <c r="L884" i="6"/>
  <c r="K970" i="6"/>
  <c r="K689" i="6"/>
  <c r="L647" i="6"/>
  <c r="L282" i="6"/>
  <c r="L2682" i="6"/>
  <c r="L1785" i="6"/>
  <c r="L1824" i="6"/>
  <c r="K745" i="6"/>
  <c r="K181" i="6"/>
  <c r="K1124" i="6"/>
  <c r="K89" i="6"/>
  <c r="K148" i="6"/>
  <c r="L341" i="6"/>
  <c r="L333" i="6"/>
  <c r="K184" i="6"/>
  <c r="L307" i="6"/>
  <c r="L100" i="6"/>
  <c r="L520" i="6"/>
  <c r="L1117" i="6"/>
  <c r="L1950" i="6"/>
  <c r="L1463" i="6"/>
  <c r="K2197" i="6"/>
  <c r="L1133" i="6"/>
  <c r="L1087" i="6"/>
  <c r="L1602" i="6"/>
  <c r="K2349" i="6"/>
  <c r="L1492" i="6"/>
  <c r="L1466" i="6"/>
  <c r="K1749" i="6"/>
  <c r="K977" i="6"/>
  <c r="L1522" i="6"/>
  <c r="L1486" i="6"/>
  <c r="K2297" i="6"/>
  <c r="L1726" i="6"/>
  <c r="K1473" i="6"/>
  <c r="L1671" i="6"/>
  <c r="L445" i="6"/>
  <c r="K1826" i="6"/>
  <c r="L2644" i="6"/>
  <c r="L1203" i="6"/>
  <c r="K122" i="6"/>
  <c r="K633" i="6"/>
  <c r="L1405" i="6"/>
  <c r="K1383" i="6"/>
  <c r="L425" i="6"/>
  <c r="K644" i="6"/>
  <c r="L1688" i="6"/>
  <c r="K451" i="6"/>
  <c r="L1265" i="6"/>
  <c r="K475" i="6"/>
  <c r="K955" i="6"/>
  <c r="K1519" i="6"/>
  <c r="K822" i="6"/>
  <c r="L294" i="6"/>
  <c r="L132" i="6"/>
  <c r="L1067" i="6"/>
  <c r="K1804" i="6"/>
  <c r="K210" i="6"/>
  <c r="K813" i="6"/>
  <c r="K1809" i="6"/>
  <c r="L845" i="6"/>
  <c r="K1581" i="6"/>
  <c r="K395" i="6"/>
  <c r="K834" i="6"/>
  <c r="K693" i="6"/>
  <c r="L781" i="6"/>
  <c r="K1992" i="6"/>
  <c r="K1142" i="6"/>
  <c r="L1501" i="6"/>
  <c r="K1529" i="6"/>
  <c r="K660" i="6"/>
  <c r="K596" i="6"/>
  <c r="L970" i="6"/>
  <c r="K2050" i="6"/>
  <c r="L439" i="6"/>
  <c r="L310" i="6"/>
  <c r="L344" i="6"/>
  <c r="L2312" i="6"/>
  <c r="L331" i="6"/>
  <c r="K1231" i="6"/>
  <c r="K530" i="6"/>
  <c r="L803" i="6"/>
  <c r="L608" i="6"/>
  <c r="K1779" i="6"/>
  <c r="L1114" i="6"/>
  <c r="L1092" i="6"/>
  <c r="L1126" i="6"/>
  <c r="K775" i="6"/>
  <c r="K357" i="6"/>
  <c r="K489" i="6"/>
  <c r="K167" i="6"/>
  <c r="L214" i="6"/>
  <c r="K1360" i="6"/>
  <c r="K187" i="6"/>
  <c r="K1570" i="6"/>
  <c r="K877" i="6"/>
  <c r="K1517" i="6"/>
  <c r="K2033" i="6"/>
  <c r="K1386" i="6"/>
  <c r="K1569" i="6"/>
  <c r="L601" i="6"/>
  <c r="L2011" i="6"/>
  <c r="L1503" i="6"/>
  <c r="L176" i="6"/>
  <c r="K119" i="6"/>
  <c r="K1056" i="6"/>
  <c r="L69" i="6"/>
  <c r="K289" i="6"/>
  <c r="L463" i="6"/>
  <c r="L1664" i="6"/>
  <c r="L2197" i="6"/>
  <c r="L1509" i="6"/>
  <c r="K1132" i="6"/>
  <c r="K380" i="6"/>
  <c r="K384" i="6"/>
  <c r="L1815" i="6"/>
  <c r="K2748" i="6"/>
  <c r="K1761" i="6"/>
  <c r="L1011" i="6"/>
  <c r="L1194" i="6"/>
  <c r="K555" i="6"/>
  <c r="K1027" i="6"/>
  <c r="K1243" i="6"/>
  <c r="L802" i="6"/>
  <c r="K1221" i="6"/>
  <c r="K1032" i="6"/>
  <c r="K161" i="6"/>
  <c r="L1121" i="6"/>
  <c r="K746" i="6"/>
  <c r="L956" i="6"/>
  <c r="L597" i="6"/>
  <c r="K201" i="6"/>
  <c r="K1153" i="6"/>
  <c r="K835" i="6"/>
  <c r="K958" i="6"/>
  <c r="L1284" i="6"/>
  <c r="K680" i="6"/>
  <c r="L448" i="6"/>
  <c r="L2357" i="6"/>
  <c r="L1690" i="6"/>
  <c r="L2448" i="6"/>
  <c r="L1833" i="6"/>
  <c r="L1700" i="6"/>
  <c r="L823" i="6"/>
  <c r="L1983" i="6"/>
  <c r="L1192" i="6"/>
  <c r="K1951" i="6"/>
  <c r="L2998" i="6"/>
  <c r="L1770" i="6"/>
  <c r="L1381" i="6"/>
  <c r="L1502" i="6"/>
  <c r="K912" i="6"/>
  <c r="K760" i="6"/>
  <c r="K58" i="6"/>
  <c r="K2211" i="6"/>
  <c r="L1022" i="6"/>
  <c r="K360" i="6"/>
  <c r="K1015" i="6"/>
  <c r="K366" i="6"/>
  <c r="K46" i="6"/>
  <c r="K2016" i="6"/>
  <c r="K2053" i="6"/>
  <c r="K1830" i="6"/>
  <c r="K1850" i="6"/>
  <c r="L1277" i="6"/>
  <c r="K2241" i="6"/>
  <c r="K266" i="6"/>
  <c r="L14" i="6"/>
  <c r="L696" i="6"/>
  <c r="L301" i="6"/>
  <c r="L175" i="6"/>
  <c r="K815" i="6"/>
  <c r="L1860" i="6"/>
  <c r="K990" i="6"/>
  <c r="L1608" i="6"/>
  <c r="K92" i="6"/>
  <c r="K1912" i="6"/>
  <c r="K2213" i="6"/>
  <c r="L2626" i="6"/>
  <c r="L1882" i="6"/>
  <c r="K1317" i="6"/>
  <c r="L1366" i="6"/>
  <c r="L516" i="6"/>
  <c r="K1682" i="6"/>
  <c r="K2417" i="6"/>
  <c r="L107" i="6"/>
  <c r="K1470" i="6"/>
  <c r="L615" i="6"/>
  <c r="L912" i="6"/>
  <c r="K348" i="6"/>
  <c r="K532" i="6"/>
  <c r="K923" i="6"/>
  <c r="L412" i="6"/>
  <c r="K43" i="6"/>
  <c r="K1497" i="6"/>
  <c r="K1837" i="6"/>
  <c r="L1817" i="6"/>
  <c r="L1315" i="6"/>
  <c r="K390" i="6"/>
  <c r="K963" i="6"/>
  <c r="L1907" i="6"/>
  <c r="K802" i="6"/>
  <c r="L618" i="6"/>
  <c r="L1034" i="6"/>
  <c r="L1593" i="6"/>
  <c r="L634" i="6"/>
  <c r="L410" i="6"/>
  <c r="L1263" i="6"/>
  <c r="L2152" i="6"/>
  <c r="K354" i="6"/>
  <c r="K1180" i="6"/>
  <c r="L2424" i="6"/>
  <c r="L1665" i="6"/>
  <c r="L327" i="6"/>
  <c r="L1303" i="6"/>
  <c r="L1163" i="6"/>
  <c r="K133" i="6"/>
  <c r="K233" i="6"/>
  <c r="K869" i="6"/>
  <c r="L697" i="6"/>
  <c r="L403" i="6"/>
  <c r="L2724" i="6"/>
  <c r="K651" i="6"/>
  <c r="K953" i="6"/>
  <c r="K2028" i="6"/>
  <c r="K1884" i="6"/>
  <c r="L1802" i="6"/>
  <c r="K1035" i="6"/>
  <c r="L1331" i="6"/>
  <c r="K260" i="6"/>
  <c r="K127" i="6"/>
  <c r="L611" i="6"/>
  <c r="K1535" i="6"/>
  <c r="K1103" i="6"/>
  <c r="K297" i="6"/>
  <c r="L662" i="6"/>
  <c r="L1040" i="6"/>
  <c r="K472" i="6"/>
  <c r="K704" i="6"/>
  <c r="L584" i="6"/>
  <c r="L150" i="6"/>
  <c r="K1689" i="6"/>
  <c r="L1984" i="6"/>
  <c r="K1179" i="6"/>
  <c r="L1304" i="6"/>
  <c r="L2084" i="6"/>
  <c r="L316" i="6"/>
  <c r="L570" i="6"/>
  <c r="L184" i="6"/>
  <c r="K902" i="6"/>
  <c r="K943" i="6"/>
  <c r="L867" i="6"/>
  <c r="K1198" i="6"/>
  <c r="K75" i="6"/>
  <c r="K1192" i="6"/>
  <c r="L885" i="6"/>
  <c r="L1725" i="6"/>
  <c r="L768" i="6"/>
  <c r="L2359" i="6"/>
  <c r="K1425" i="6"/>
  <c r="K766" i="6"/>
  <c r="L180" i="6"/>
  <c r="K436" i="6"/>
  <c r="L893" i="6"/>
  <c r="L652" i="6"/>
  <c r="K78" i="6"/>
  <c r="K594" i="6"/>
  <c r="K714" i="6"/>
  <c r="K458" i="6"/>
  <c r="K1143" i="6"/>
  <c r="K1394" i="6"/>
  <c r="L349" i="6"/>
  <c r="L2554" i="6"/>
  <c r="K1248" i="6"/>
  <c r="L1199" i="6"/>
  <c r="K1068" i="6"/>
  <c r="K795" i="6"/>
  <c r="L1709" i="6"/>
  <c r="L1218" i="6"/>
  <c r="K29" i="6"/>
  <c r="L172" i="6"/>
  <c r="L700" i="6"/>
  <c r="K93" i="6"/>
  <c r="K1877" i="6"/>
  <c r="L98" i="6"/>
  <c r="L2167" i="6"/>
  <c r="K1328" i="6"/>
  <c r="L130" i="6"/>
  <c r="K1119" i="6"/>
  <c r="K331" i="6"/>
  <c r="L59" i="6"/>
  <c r="K786" i="6"/>
  <c r="K1298" i="6"/>
  <c r="L434" i="6"/>
  <c r="K1881" i="6"/>
  <c r="L43" i="6"/>
  <c r="K505" i="6"/>
  <c r="K1029" i="6"/>
  <c r="K466" i="6"/>
  <c r="K382" i="6"/>
  <c r="L752" i="6"/>
  <c r="K112" i="6"/>
  <c r="L1156" i="6"/>
  <c r="K1030" i="6"/>
  <c r="L940" i="6"/>
  <c r="K1653" i="6"/>
  <c r="L760" i="6"/>
  <c r="K2168" i="6"/>
  <c r="K1222" i="6"/>
  <c r="L2148" i="6"/>
  <c r="K917" i="6"/>
  <c r="L23" i="6"/>
  <c r="L1562" i="6"/>
  <c r="L82" i="6"/>
  <c r="L572" i="6"/>
  <c r="L950" i="6"/>
  <c r="L66" i="6"/>
  <c r="L508" i="6"/>
  <c r="K648" i="6"/>
  <c r="L138" i="6"/>
  <c r="L1693" i="6"/>
  <c r="L1173" i="6"/>
  <c r="L852" i="6"/>
  <c r="L404" i="6"/>
  <c r="L366" i="6"/>
  <c r="K528" i="6"/>
  <c r="K246" i="6"/>
  <c r="K204" i="6"/>
  <c r="L1012" i="6"/>
  <c r="K267" i="6"/>
  <c r="K621" i="6"/>
  <c r="L479" i="6"/>
  <c r="L204" i="6"/>
  <c r="L233" i="6"/>
  <c r="K150" i="6"/>
  <c r="K211" i="6"/>
  <c r="L186" i="6"/>
  <c r="L935" i="6"/>
  <c r="L878" i="6"/>
  <c r="L329" i="6"/>
  <c r="K1232" i="6"/>
  <c r="K57" i="6"/>
  <c r="K1072" i="6"/>
  <c r="K252" i="6"/>
  <c r="L391" i="6"/>
  <c r="L325" i="6"/>
  <c r="L183" i="6"/>
  <c r="K53" i="6"/>
  <c r="K1705" i="6"/>
  <c r="L1572" i="6"/>
  <c r="L1468" i="6"/>
  <c r="K696" i="6"/>
  <c r="L1179" i="6"/>
  <c r="K379" i="6"/>
  <c r="L733" i="6"/>
  <c r="K1097" i="6"/>
  <c r="K490" i="6"/>
  <c r="L1797" i="6"/>
  <c r="L2107" i="6"/>
  <c r="L1292" i="6"/>
  <c r="K214" i="6"/>
  <c r="L1853" i="6"/>
  <c r="K1128" i="6"/>
  <c r="L1799" i="6"/>
  <c r="K1336" i="6"/>
  <c r="K251" i="6"/>
  <c r="L606" i="6"/>
  <c r="L194" i="6"/>
  <c r="L1443" i="6"/>
  <c r="K1695" i="6"/>
  <c r="K1512" i="6"/>
  <c r="K2429" i="6"/>
  <c r="K1469" i="6"/>
  <c r="L2058" i="6"/>
  <c r="L1828" i="6"/>
  <c r="K32" i="6"/>
  <c r="L1089" i="6"/>
  <c r="L1036" i="6"/>
  <c r="L1216" i="6"/>
  <c r="K1136" i="6"/>
  <c r="L1754" i="6"/>
  <c r="K408" i="6"/>
  <c r="K1266" i="6"/>
  <c r="L447" i="6"/>
  <c r="L1737" i="6"/>
  <c r="L1038" i="6"/>
  <c r="K1194" i="6"/>
  <c r="L959" i="6"/>
  <c r="L685" i="6"/>
  <c r="L39" i="6"/>
  <c r="K1982" i="6"/>
  <c r="L1513" i="6"/>
  <c r="K1533" i="6"/>
  <c r="L281" i="6"/>
  <c r="L648" i="6"/>
  <c r="K1149" i="6"/>
  <c r="L1921" i="6"/>
  <c r="K323" i="6"/>
  <c r="K121" i="6"/>
  <c r="K1767" i="6"/>
  <c r="L243" i="6"/>
  <c r="L2690" i="6"/>
  <c r="L1333" i="6"/>
  <c r="K2003" i="6"/>
  <c r="L292" i="6"/>
  <c r="L299" i="6"/>
  <c r="L386" i="6"/>
  <c r="K1899" i="6"/>
  <c r="L321" i="6"/>
  <c r="L117" i="6"/>
  <c r="K1184" i="6"/>
  <c r="K2269" i="6"/>
  <c r="K426" i="6"/>
  <c r="K442" i="6"/>
  <c r="K339" i="6"/>
  <c r="L1686" i="6"/>
  <c r="K1204" i="6"/>
  <c r="L1804" i="6"/>
  <c r="L682" i="6"/>
  <c r="L422" i="6"/>
  <c r="L1359" i="6"/>
  <c r="K429" i="6"/>
  <c r="K1690" i="6"/>
  <c r="K1818" i="6"/>
  <c r="L212" i="6"/>
  <c r="L2228" i="6"/>
  <c r="K1314" i="6"/>
  <c r="L91" i="6"/>
  <c r="L1043" i="6"/>
  <c r="L1223" i="6"/>
  <c r="L109" i="6"/>
  <c r="K899" i="6"/>
  <c r="K1546" i="6"/>
  <c r="K1403" i="6"/>
  <c r="K1611" i="6"/>
  <c r="L1416" i="6"/>
  <c r="K1475" i="6"/>
  <c r="K758" i="6"/>
  <c r="K1859" i="6"/>
  <c r="L1739" i="6"/>
  <c r="K692" i="6"/>
  <c r="L1296" i="6"/>
  <c r="K1286" i="6"/>
  <c r="K1492" i="6"/>
  <c r="L1614" i="6"/>
  <c r="K1271" i="6"/>
  <c r="L1288" i="6"/>
  <c r="L2161" i="6"/>
  <c r="K1193" i="6"/>
  <c r="L1869" i="6"/>
  <c r="L1200" i="6"/>
  <c r="L2227" i="6"/>
  <c r="K932" i="6"/>
  <c r="K368" i="6"/>
  <c r="L1256" i="6"/>
  <c r="K180" i="6"/>
  <c r="L880" i="6"/>
  <c r="L1581" i="6"/>
  <c r="K1703" i="6"/>
  <c r="K283" i="6"/>
  <c r="K743" i="6"/>
  <c r="L505" i="6"/>
  <c r="L1402" i="6"/>
  <c r="L1076" i="6"/>
  <c r="L2296" i="6"/>
  <c r="K1329" i="6"/>
  <c r="L1458" i="6"/>
  <c r="K91" i="6"/>
  <c r="L219" i="6"/>
  <c r="L1226" i="6"/>
  <c r="L503" i="6"/>
  <c r="L1385" i="6"/>
  <c r="K400" i="6"/>
  <c r="L319" i="6"/>
  <c r="K618" i="6"/>
  <c r="L680" i="6"/>
  <c r="K796" i="6"/>
  <c r="L296" i="6"/>
  <c r="K101" i="6"/>
  <c r="K1945" i="6"/>
  <c r="L1656" i="6"/>
  <c r="L2368" i="6"/>
  <c r="L1035" i="6"/>
  <c r="L522" i="6"/>
  <c r="K1885" i="6"/>
  <c r="L1844" i="6"/>
  <c r="L1999" i="6"/>
  <c r="K1717" i="6"/>
  <c r="K427" i="6"/>
  <c r="L1821" i="6"/>
  <c r="L1586" i="6"/>
  <c r="L118" i="6"/>
  <c r="L259" i="6"/>
  <c r="K810" i="6"/>
  <c r="K34" i="6"/>
  <c r="K223" i="6"/>
  <c r="L1352" i="6"/>
  <c r="K1574" i="6"/>
  <c r="L154" i="6"/>
  <c r="K483" i="6"/>
  <c r="K938" i="6"/>
  <c r="L1060" i="6"/>
  <c r="L1453" i="6"/>
  <c r="L2026" i="6"/>
  <c r="L226" i="6"/>
  <c r="K2195" i="6"/>
  <c r="L1825" i="6"/>
  <c r="K76" i="6"/>
  <c r="L858" i="6"/>
  <c r="L936" i="6"/>
  <c r="L185" i="6"/>
  <c r="L51" i="6"/>
  <c r="L295" i="6"/>
  <c r="K1562" i="6"/>
  <c r="K431" i="6"/>
  <c r="K821" i="6"/>
  <c r="K1621" i="6"/>
  <c r="L668" i="6"/>
  <c r="K2074" i="6"/>
  <c r="L45" i="6"/>
  <c r="L1480" i="6"/>
  <c r="K397" i="6"/>
  <c r="L1220" i="6"/>
  <c r="L1174" i="6"/>
  <c r="K361" i="6"/>
  <c r="L249" i="6"/>
  <c r="K1516" i="6"/>
  <c r="L791" i="6"/>
  <c r="L1135" i="6"/>
  <c r="K479" i="6"/>
  <c r="L1350" i="6"/>
  <c r="K1281" i="6"/>
  <c r="L11" i="6"/>
  <c r="L800" i="6"/>
  <c r="K1111" i="6"/>
  <c r="L2276" i="6"/>
  <c r="K1416" i="6"/>
  <c r="K1461" i="6"/>
  <c r="K911" i="6"/>
  <c r="K1579" i="6"/>
  <c r="L1104" i="6"/>
  <c r="L1137" i="6"/>
  <c r="L1781" i="6"/>
  <c r="K1421" i="6"/>
  <c r="K1613" i="6"/>
  <c r="L1342" i="6"/>
  <c r="L1990" i="6"/>
  <c r="K471" i="6"/>
  <c r="K895" i="6"/>
  <c r="K102" i="6"/>
  <c r="K848" i="6"/>
  <c r="L120" i="6"/>
  <c r="K424" i="6"/>
  <c r="K237" i="6"/>
  <c r="L1834" i="6"/>
  <c r="K453" i="6"/>
  <c r="L105" i="6"/>
  <c r="K340" i="6"/>
  <c r="L544" i="6"/>
  <c r="K374" i="6"/>
  <c r="L2101" i="6"/>
  <c r="K2820" i="6"/>
  <c r="K706" i="6"/>
  <c r="L2566" i="6"/>
  <c r="L1578" i="6"/>
  <c r="L1855" i="6"/>
  <c r="L742" i="6"/>
  <c r="K551" i="6"/>
  <c r="K1936" i="6"/>
  <c r="K1620" i="6"/>
  <c r="K1201" i="6"/>
  <c r="L2009" i="6"/>
  <c r="K423" i="6"/>
  <c r="L1015" i="6"/>
  <c r="K886" i="6"/>
  <c r="K867" i="6"/>
  <c r="K1031" i="6"/>
  <c r="K931" i="6"/>
  <c r="L1433" i="6"/>
  <c r="L381" i="6"/>
  <c r="K627" i="6"/>
  <c r="K61" i="6"/>
  <c r="L805" i="6"/>
  <c r="L466" i="6"/>
  <c r="L257" i="6"/>
  <c r="L964" i="6"/>
  <c r="L431" i="6"/>
  <c r="K1307" i="6"/>
  <c r="L496" i="6"/>
  <c r="K940" i="6"/>
  <c r="L1953" i="6"/>
  <c r="L793" i="6"/>
  <c r="K221" i="6"/>
  <c r="L576" i="6"/>
  <c r="K425" i="6"/>
  <c r="L725" i="6"/>
  <c r="K1140" i="6"/>
  <c r="L1063" i="6"/>
  <c r="L345" i="6"/>
  <c r="K1669" i="6"/>
  <c r="K705" i="6"/>
  <c r="K679" i="6"/>
  <c r="K1067" i="6"/>
  <c r="L454" i="6"/>
  <c r="L1934" i="6"/>
  <c r="K157" i="6"/>
  <c r="K936" i="6"/>
  <c r="K1302" i="6"/>
  <c r="K858" i="6"/>
  <c r="L759" i="6"/>
  <c r="L467" i="6"/>
  <c r="L848" i="6"/>
  <c r="L1125" i="6"/>
  <c r="K893" i="6"/>
  <c r="K1577" i="6"/>
  <c r="L193" i="6"/>
  <c r="L392" i="6"/>
  <c r="K172" i="6"/>
  <c r="L651" i="6"/>
  <c r="L762" i="6"/>
  <c r="K1157" i="6"/>
  <c r="L833" i="6"/>
  <c r="K31" i="6"/>
  <c r="K1127" i="6"/>
  <c r="L623" i="6"/>
  <c r="K575" i="6"/>
  <c r="K1253" i="6"/>
  <c r="L1923" i="6"/>
  <c r="K163" i="6"/>
  <c r="K613" i="6"/>
  <c r="L673" i="6"/>
  <c r="L1249" i="6"/>
  <c r="K2667" i="6"/>
  <c r="K557" i="6"/>
  <c r="K2159" i="6"/>
  <c r="K643" i="6"/>
  <c r="K420" i="6"/>
  <c r="L599" i="6"/>
  <c r="L2399" i="6"/>
  <c r="K538" i="6"/>
  <c r="L1533" i="6"/>
  <c r="L2016" i="6"/>
  <c r="L1300" i="6"/>
  <c r="L1743" i="6"/>
  <c r="K2249" i="6"/>
  <c r="L897" i="6"/>
  <c r="K25" i="6"/>
  <c r="K1932" i="6"/>
  <c r="L2618" i="6"/>
  <c r="L1756" i="6"/>
  <c r="K2193" i="6"/>
  <c r="K726" i="6"/>
  <c r="K1235" i="6"/>
  <c r="K109" i="6"/>
  <c r="L67" i="6"/>
  <c r="K980" i="6"/>
  <c r="L373" i="6"/>
  <c r="K405" i="6"/>
  <c r="K1048" i="6"/>
  <c r="K994" i="6"/>
  <c r="K298" i="6"/>
  <c r="K1073" i="6"/>
  <c r="K207" i="6"/>
  <c r="L2119" i="6"/>
  <c r="L656" i="6"/>
  <c r="L161" i="6"/>
  <c r="K1644" i="6"/>
  <c r="K1348" i="6"/>
  <c r="K192" i="6"/>
  <c r="K441" i="6"/>
  <c r="L924" i="6"/>
  <c r="K399" i="6"/>
  <c r="L1995" i="6"/>
  <c r="L1600" i="6"/>
  <c r="L729" i="6"/>
  <c r="K10" i="6"/>
  <c r="L443" i="6"/>
  <c r="K681" i="6"/>
  <c r="L1202" i="6"/>
  <c r="L766" i="6"/>
  <c r="L1383" i="6"/>
  <c r="L1636" i="6"/>
  <c r="L1508" i="6"/>
  <c r="L741" i="6"/>
  <c r="K1507" i="6"/>
  <c r="L2090" i="6"/>
  <c r="K1985" i="6"/>
  <c r="K894" i="6"/>
  <c r="L566" i="6"/>
  <c r="K1466" i="6"/>
  <c r="K2388" i="6"/>
  <c r="K1812" i="6"/>
  <c r="L672" i="6"/>
  <c r="L1413" i="6"/>
  <c r="K398" i="6"/>
  <c r="L1075" i="6"/>
  <c r="K1196" i="6"/>
  <c r="K1787" i="6"/>
  <c r="L2859" i="6"/>
  <c r="K2151" i="6"/>
  <c r="L61" i="6"/>
  <c r="K1228" i="6"/>
  <c r="K1790" i="6"/>
  <c r="L1091" i="6"/>
  <c r="K1334" i="6"/>
  <c r="K144" i="6"/>
  <c r="L965" i="6"/>
  <c r="K1177" i="6"/>
  <c r="L165" i="6"/>
  <c r="L322" i="6"/>
  <c r="L1120" i="6"/>
  <c r="L1432" i="6"/>
  <c r="L432" i="6"/>
  <c r="L181" i="6"/>
  <c r="L1465" i="6"/>
  <c r="K1835" i="6"/>
  <c r="K1064" i="6"/>
  <c r="K509" i="6"/>
  <c r="L235" i="6"/>
  <c r="L336" i="6"/>
  <c r="K777" i="6"/>
  <c r="L408" i="6"/>
  <c r="K840" i="6"/>
  <c r="L1056" i="6"/>
  <c r="L489" i="6"/>
  <c r="K604" i="6"/>
  <c r="L835" i="6"/>
  <c r="K1832" i="6"/>
  <c r="L458" i="6"/>
  <c r="L126" i="6"/>
  <c r="K1709" i="6"/>
  <c r="L1088" i="6"/>
  <c r="L315" i="6"/>
  <c r="L703" i="6"/>
  <c r="L1861" i="6"/>
  <c r="L1472" i="6"/>
  <c r="K1044" i="6"/>
  <c r="L83" i="6"/>
  <c r="L602" i="6"/>
  <c r="K445" i="6"/>
  <c r="K113" i="6"/>
  <c r="K1589" i="6"/>
  <c r="K996" i="6"/>
  <c r="L902" i="6"/>
  <c r="K1721" i="6"/>
  <c r="L1144" i="6"/>
  <c r="L1645" i="6"/>
  <c r="K884" i="6"/>
  <c r="K1500" i="6"/>
  <c r="K1285" i="6"/>
  <c r="L872" i="6"/>
  <c r="K690" i="6"/>
  <c r="K126" i="6"/>
  <c r="L604" i="6"/>
  <c r="K854" i="6"/>
  <c r="L1548" i="6"/>
  <c r="K1601" i="6"/>
  <c r="L484" i="6"/>
  <c r="K1916" i="6"/>
  <c r="L353" i="6"/>
  <c r="L1930" i="6"/>
  <c r="L550" i="6"/>
  <c r="L1910" i="6"/>
  <c r="L1363" i="6"/>
  <c r="K2977" i="6"/>
  <c r="K1261" i="6"/>
  <c r="K355" i="6"/>
  <c r="K1398" i="6"/>
  <c r="L2456" i="6"/>
  <c r="K1430" i="6"/>
  <c r="K892" i="6"/>
  <c r="K502" i="6"/>
  <c r="L179" i="6"/>
  <c r="K1189" i="6"/>
  <c r="L556" i="6"/>
  <c r="K636" i="6"/>
  <c r="L1241" i="6"/>
  <c r="L592" i="6"/>
  <c r="L2652" i="6"/>
  <c r="K531" i="6"/>
  <c r="K1245" i="6"/>
  <c r="L254" i="6"/>
  <c r="K435" i="6"/>
  <c r="K22" i="6"/>
  <c r="L215" i="6"/>
  <c r="K1838" i="6"/>
  <c r="L17" i="6"/>
  <c r="L242" i="6"/>
  <c r="L1330" i="6"/>
  <c r="L650" i="6"/>
  <c r="K178" i="6"/>
  <c r="L2604" i="6"/>
  <c r="K770" i="6"/>
  <c r="L830" i="6"/>
  <c r="L2325" i="6"/>
  <c r="L388" i="6"/>
  <c r="L312" i="6"/>
  <c r="L203" i="6"/>
  <c r="K311" i="6"/>
  <c r="L847" i="6"/>
  <c r="K863" i="6"/>
  <c r="L810" i="6"/>
  <c r="K1079" i="6"/>
  <c r="L2624" i="6"/>
  <c r="K982" i="6"/>
  <c r="L93" i="6"/>
  <c r="K1564" i="6"/>
  <c r="K683" i="6"/>
  <c r="L1085" i="6"/>
  <c r="L1212" i="6"/>
  <c r="L230" i="6"/>
  <c r="L1657" i="6"/>
  <c r="L1835" i="6"/>
  <c r="L68" i="6"/>
  <c r="L641" i="6"/>
  <c r="L785" i="6"/>
  <c r="K776" i="6"/>
  <c r="K687" i="6"/>
  <c r="L1257" i="6"/>
  <c r="K1163" i="6"/>
  <c r="K1793" i="6"/>
  <c r="K583" i="6"/>
  <c r="K984" i="6"/>
  <c r="L2171" i="6"/>
  <c r="L1255" i="6"/>
  <c r="K1059" i="6"/>
  <c r="L429" i="6"/>
  <c r="K2129" i="6"/>
  <c r="L1646" i="6"/>
  <c r="K507" i="6"/>
  <c r="L57" i="6"/>
  <c r="L844" i="6"/>
  <c r="L815" i="6"/>
  <c r="L972" i="6"/>
  <c r="K801" i="6"/>
  <c r="L475" i="6"/>
  <c r="L2218" i="6"/>
  <c r="K15" i="6"/>
  <c r="L499" i="6"/>
  <c r="L1069" i="6"/>
  <c r="K1588" i="6"/>
  <c r="K906" i="6"/>
  <c r="L952" i="6"/>
  <c r="K1801" i="6"/>
  <c r="L438" i="6"/>
  <c r="K39" i="6"/>
  <c r="K182" i="6"/>
  <c r="K467" i="6"/>
  <c r="K24" i="6"/>
  <c r="L826" i="6"/>
  <c r="K278" i="6"/>
  <c r="L149" i="6"/>
  <c r="K317" i="6"/>
  <c r="K545" i="6"/>
  <c r="L1528" i="6"/>
  <c r="K228" i="6"/>
  <c r="L159" i="6"/>
  <c r="K1773" i="6"/>
  <c r="K388" i="6"/>
  <c r="L131" i="6"/>
  <c r="L139" i="6"/>
  <c r="K213" i="6"/>
  <c r="L588" i="6"/>
  <c r="L22" i="6"/>
  <c r="L368" i="6"/>
  <c r="L546" i="6"/>
  <c r="L537" i="6"/>
  <c r="K506" i="6"/>
  <c r="L812" i="6"/>
  <c r="L1757" i="6"/>
  <c r="L1178" i="6"/>
  <c r="L53" i="6"/>
  <c r="K778" i="6"/>
  <c r="K280" i="6"/>
  <c r="L210" i="6"/>
  <c r="L1044" i="6"/>
  <c r="L780" i="6"/>
  <c r="L1717" i="6"/>
  <c r="K716" i="6"/>
  <c r="K120" i="6"/>
  <c r="L887" i="6"/>
  <c r="K1525" i="6"/>
  <c r="L1152" i="6"/>
  <c r="L297" i="6"/>
  <c r="L1456" i="6"/>
  <c r="L1612" i="6"/>
  <c r="L1154" i="6"/>
  <c r="K1924" i="6"/>
  <c r="K609" i="6"/>
  <c r="K1571" i="6"/>
  <c r="K620" i="6"/>
  <c r="L1146" i="6"/>
  <c r="L225" i="6"/>
  <c r="K791" i="6"/>
  <c r="L1540" i="6"/>
  <c r="L642" i="6"/>
  <c r="K628" i="6"/>
  <c r="L365" i="6"/>
  <c r="K901" i="6"/>
  <c r="L136" i="6"/>
  <c r="L911" i="6"/>
  <c r="K1462" i="6"/>
  <c r="L1215" i="6"/>
  <c r="K576" i="6"/>
  <c r="L328" i="6"/>
  <c r="K220" i="6"/>
  <c r="L12" i="6"/>
  <c r="L1848" i="6"/>
  <c r="L240" i="6"/>
  <c r="L564" i="6"/>
  <c r="K981" i="6"/>
  <c r="L995" i="6"/>
  <c r="L562" i="6"/>
  <c r="L1348" i="6"/>
  <c r="K438" i="6"/>
  <c r="L308" i="6"/>
  <c r="K49" i="6"/>
  <c r="K2052" i="6"/>
  <c r="L1389" i="6"/>
  <c r="L462" i="6"/>
  <c r="L1094" i="6"/>
  <c r="K862" i="6"/>
  <c r="L1109" i="6"/>
  <c r="K1829" i="6"/>
  <c r="K1168" i="6"/>
  <c r="K476" i="6"/>
  <c r="K518" i="6"/>
  <c r="K809" i="6"/>
  <c r="K1016" i="6"/>
  <c r="K1275" i="6"/>
  <c r="L162" i="6"/>
  <c r="L256" i="6"/>
  <c r="L483" i="6"/>
  <c r="K579" i="6"/>
  <c r="L1711" i="6"/>
  <c r="K13" i="6"/>
  <c r="L1845" i="6"/>
  <c r="L814" i="6"/>
  <c r="L145" i="6"/>
  <c r="L285" i="6"/>
  <c r="L820" i="6"/>
  <c r="K295" i="6"/>
  <c r="K832" i="6"/>
  <c r="K64" i="6"/>
  <c r="L279" i="6"/>
  <c r="L1471" i="6"/>
  <c r="L627" i="6"/>
  <c r="K346" i="6"/>
  <c r="K997" i="6"/>
  <c r="L600" i="6"/>
  <c r="L169" i="6"/>
  <c r="L990" i="6"/>
  <c r="L1279" i="6"/>
  <c r="L621" i="6"/>
  <c r="L459" i="6"/>
  <c r="K600" i="6"/>
  <c r="L32" i="6"/>
  <c r="L421" i="6"/>
  <c r="K1353" i="6"/>
  <c r="L153" i="6"/>
  <c r="K325" i="6"/>
  <c r="K419" i="6"/>
  <c r="K35" i="6"/>
  <c r="K1531" i="6"/>
  <c r="L81" i="6"/>
  <c r="K1748" i="6"/>
  <c r="L511" i="6"/>
  <c r="K1011" i="6"/>
  <c r="K123" i="6"/>
  <c r="L944" i="6"/>
  <c r="K383" i="6"/>
  <c r="L1340" i="6"/>
  <c r="L478" i="6"/>
  <c r="L756" i="6"/>
  <c r="L1742" i="6"/>
  <c r="K554" i="6"/>
  <c r="K103" i="6"/>
  <c r="K519" i="6"/>
  <c r="K1087" i="6"/>
  <c r="K650" i="6"/>
  <c r="L241" i="6"/>
  <c r="L708" i="6"/>
  <c r="K367" i="6"/>
  <c r="K769" i="6"/>
  <c r="L264" i="6"/>
  <c r="L1732" i="6"/>
  <c r="L364" i="6"/>
  <c r="L999" i="6"/>
  <c r="L260" i="6"/>
  <c r="L20" i="6"/>
  <c r="K657" i="6"/>
  <c r="K85" i="6"/>
  <c r="K465" i="6"/>
  <c r="L144" i="6"/>
  <c r="L124" i="6"/>
  <c r="L152" i="6"/>
  <c r="L395" i="6"/>
  <c r="K993" i="6"/>
  <c r="L653" i="6"/>
  <c r="L1621" i="6"/>
  <c r="K1534" i="6"/>
  <c r="L491" i="6"/>
  <c r="K860" i="6"/>
  <c r="K36" i="6"/>
  <c r="K261" i="6"/>
  <c r="L266" i="6"/>
  <c r="L101" i="6"/>
  <c r="L492" i="6"/>
  <c r="K811" i="6"/>
  <c r="K767" i="6"/>
  <c r="K668" i="6"/>
  <c r="K115" i="6"/>
  <c r="K375" i="6"/>
  <c r="L252" i="6"/>
  <c r="K1183" i="6"/>
  <c r="L48" i="6"/>
  <c r="K393" i="6"/>
  <c r="L70" i="6"/>
  <c r="K1009" i="6"/>
  <c r="K1652" i="6"/>
  <c r="K623" i="6"/>
  <c r="K983" i="6"/>
  <c r="L754" i="6"/>
  <c r="K1557" i="6"/>
  <c r="L744" i="6"/>
  <c r="L1320" i="6"/>
  <c r="L94" i="6"/>
  <c r="K597" i="6"/>
  <c r="K1308" i="6"/>
  <c r="K198" i="6"/>
  <c r="K47" i="6"/>
  <c r="K327" i="6"/>
  <c r="K129" i="6"/>
  <c r="K1649" i="6"/>
  <c r="K599" i="6"/>
  <c r="K573" i="6"/>
  <c r="K603" i="6"/>
  <c r="K1292" i="6"/>
  <c r="L303" i="6"/>
  <c r="L748" i="6"/>
  <c r="K784" i="6"/>
  <c r="K1733" i="6"/>
  <c r="L1368" i="6"/>
  <c r="K921" i="6"/>
  <c r="K839" i="6"/>
  <c r="K701" i="6"/>
  <c r="L173" i="6"/>
  <c r="K146" i="6"/>
  <c r="L15" i="6"/>
  <c r="L2542" i="6"/>
  <c r="K744" i="6"/>
  <c r="K1681" i="6"/>
  <c r="K1429" i="6"/>
  <c r="L855" i="6"/>
  <c r="L115" i="6"/>
  <c r="L1191" i="6"/>
  <c r="K2397" i="6"/>
  <c r="K319" i="6"/>
  <c r="L551" i="6"/>
  <c r="L580" i="6"/>
  <c r="K293" i="6"/>
  <c r="K578" i="6"/>
  <c r="L643" i="6"/>
  <c r="K1661" i="6"/>
  <c r="L1440" i="6"/>
  <c r="L2243" i="6"/>
  <c r="L2135" i="6"/>
  <c r="K1701" i="6"/>
  <c r="K948" i="6"/>
  <c r="K991" i="6"/>
  <c r="K495" i="6"/>
  <c r="K33" i="6"/>
  <c r="K363" i="6"/>
  <c r="L1868" i="6"/>
  <c r="K428" i="6"/>
  <c r="L1283" i="6"/>
  <c r="L2080" i="6"/>
  <c r="L658" i="6"/>
  <c r="K709" i="6"/>
  <c r="L86" i="6"/>
  <c r="L280" i="6"/>
  <c r="K1025" i="6"/>
  <c r="L1349" i="6"/>
  <c r="K725" i="6"/>
  <c r="K659" i="6"/>
  <c r="L2315" i="6"/>
  <c r="L2574" i="6"/>
  <c r="L1865" i="6"/>
  <c r="L1946" i="6"/>
  <c r="L951" i="6"/>
  <c r="K386" i="6"/>
  <c r="K1019" i="6"/>
  <c r="K1857" i="6"/>
  <c r="K582" i="6"/>
  <c r="K656" i="6"/>
  <c r="L1500" i="6"/>
  <c r="L1306" i="6"/>
  <c r="K1817" i="6"/>
  <c r="L89" i="6"/>
  <c r="L37" i="6"/>
  <c r="L1920" i="6"/>
  <c r="L168" i="6"/>
  <c r="K1883" i="6"/>
  <c r="K449" i="6"/>
  <c r="K66" i="6"/>
  <c r="L229" i="6"/>
  <c r="L1211" i="6"/>
  <c r="L1753" i="6"/>
  <c r="L549" i="6"/>
  <c r="L1230" i="6"/>
  <c r="K1121" i="6"/>
  <c r="K480" i="6"/>
  <c r="L738" i="6"/>
  <c r="K269" i="6"/>
  <c r="L71" i="6"/>
  <c r="L1162" i="6"/>
  <c r="L1289" i="6"/>
  <c r="K308" i="6"/>
  <c r="K170" i="6"/>
  <c r="K1135" i="6"/>
  <c r="K110" i="6"/>
  <c r="L247" i="6"/>
  <c r="K70" i="6"/>
  <c r="L1021" i="6"/>
  <c r="L1684" i="6"/>
  <c r="L1818" i="6"/>
  <c r="K341" i="6"/>
  <c r="L56" i="6"/>
  <c r="K1645" i="6"/>
  <c r="K496" i="6"/>
  <c r="L675" i="6"/>
  <c r="L13" i="6"/>
  <c r="K1023" i="6"/>
  <c r="L250" i="6"/>
  <c r="K737" i="6"/>
  <c r="L728" i="6"/>
  <c r="K2179" i="6"/>
  <c r="L290" i="6"/>
  <c r="K1853" i="6"/>
  <c r="K772" i="6"/>
  <c r="K1001" i="6"/>
  <c r="K713" i="6"/>
  <c r="K1297" i="6"/>
  <c r="L816" i="6"/>
  <c r="K19" i="6"/>
  <c r="L372" i="6"/>
  <c r="L1616" i="6"/>
  <c r="K967" i="6"/>
  <c r="K515" i="6"/>
  <c r="L679" i="6"/>
  <c r="L535" i="6"/>
  <c r="L2003" i="6"/>
  <c r="L1099" i="6"/>
  <c r="K1264" i="6"/>
  <c r="L840" i="6"/>
  <c r="K1938" i="6"/>
  <c r="K130" i="6"/>
  <c r="L688" i="6"/>
  <c r="L216" i="6"/>
  <c r="K1251" i="6"/>
  <c r="L1897" i="6"/>
  <c r="K1301" i="6"/>
  <c r="L74" i="6"/>
  <c r="L362" i="6"/>
  <c r="L380" i="6"/>
  <c r="K1725" i="6"/>
  <c r="K212" i="6"/>
  <c r="L1512" i="6"/>
  <c r="K504" i="6"/>
  <c r="L1222" i="6"/>
  <c r="L481" i="6"/>
  <c r="L417" i="6"/>
  <c r="K1573" i="6"/>
  <c r="K805" i="6"/>
  <c r="K2199" i="6"/>
  <c r="L712" i="6"/>
  <c r="K1051" i="6"/>
  <c r="L208" i="6"/>
  <c r="L720" i="6"/>
  <c r="L1209" i="6"/>
  <c r="K751" i="6"/>
  <c r="K904" i="6"/>
  <c r="L18" i="6"/>
  <c r="K312" i="6"/>
  <c r="K733" i="6"/>
  <c r="K329" i="6"/>
  <c r="K409" i="6"/>
  <c r="K803" i="6"/>
  <c r="K1187" i="6"/>
  <c r="K736" i="6"/>
  <c r="K2161" i="6"/>
  <c r="K702" i="6"/>
  <c r="L1190" i="6"/>
  <c r="L723" i="6"/>
  <c r="K1849" i="6"/>
  <c r="L1214" i="6"/>
  <c r="K316" i="6"/>
  <c r="K612" i="6"/>
  <c r="L874" i="6"/>
  <c r="K979" i="6"/>
  <c r="L515" i="6"/>
  <c r="L609" i="6"/>
  <c r="L931" i="6"/>
  <c r="L2429" i="6"/>
  <c r="K272" i="6"/>
  <c r="K787" i="6"/>
  <c r="K217" i="6"/>
  <c r="K928" i="6"/>
  <c r="K563" i="6"/>
  <c r="L1661" i="6"/>
  <c r="L1081" i="6"/>
  <c r="L1006" i="6"/>
  <c r="L1499" i="6"/>
  <c r="K1319" i="6"/>
  <c r="L1791" i="6"/>
  <c r="K1284" i="6"/>
  <c r="K1800" i="6"/>
  <c r="K2077" i="6"/>
  <c r="L1976" i="6"/>
  <c r="L548" i="6"/>
  <c r="K389" i="6"/>
  <c r="K27" i="6"/>
  <c r="K1786" i="6"/>
  <c r="K841" i="6"/>
  <c r="L1918" i="6"/>
  <c r="K226" i="6"/>
  <c r="L1239" i="6"/>
  <c r="K1795" i="6"/>
  <c r="K608" i="6"/>
  <c r="K309" i="6"/>
  <c r="K1684" i="6"/>
  <c r="L1666" i="6"/>
  <c r="K315" i="6"/>
  <c r="L2094" i="6"/>
  <c r="K248" i="6"/>
  <c r="K143" i="6"/>
  <c r="L286" i="6"/>
  <c r="L527" i="6"/>
  <c r="K335" i="6"/>
  <c r="K883" i="6"/>
  <c r="L1800" i="6"/>
  <c r="K785" i="6"/>
  <c r="L452" i="6"/>
  <c r="L85" i="6"/>
  <c r="K827" i="6"/>
  <c r="K396" i="6"/>
  <c r="K804" i="6"/>
  <c r="L907" i="6"/>
  <c r="K86" i="6"/>
  <c r="K1211" i="6"/>
  <c r="K1869" i="6"/>
  <c r="L1516" i="6"/>
  <c r="K646" i="6"/>
  <c r="K732" i="6"/>
  <c r="K16" i="6"/>
  <c r="K1039" i="6"/>
  <c r="L1042" i="6"/>
  <c r="K343" i="6"/>
  <c r="K817" i="6"/>
  <c r="K1544" i="6"/>
  <c r="K482" i="6"/>
  <c r="L1150" i="6"/>
  <c r="K372" i="6"/>
  <c r="K455" i="6"/>
  <c r="K440" i="6"/>
  <c r="K71" i="6"/>
  <c r="L1356" i="6"/>
  <c r="L709" i="6"/>
  <c r="K1643" i="6"/>
  <c r="L358" i="6"/>
  <c r="K470" i="6"/>
  <c r="L78" i="6"/>
  <c r="L1159" i="6"/>
  <c r="L691" i="6"/>
  <c r="K1638" i="6"/>
  <c r="L471" i="6"/>
  <c r="K1380" i="6"/>
  <c r="K669" i="6"/>
  <c r="K1094" i="6"/>
  <c r="K1648" i="6"/>
  <c r="L2404" i="6"/>
  <c r="K151" i="6"/>
  <c r="K900" i="6"/>
  <c r="L545" i="6"/>
  <c r="K1062" i="6"/>
  <c r="L500" i="6"/>
  <c r="K836" i="6"/>
  <c r="K913" i="6"/>
  <c r="K356" i="6"/>
  <c r="K1650" i="6"/>
  <c r="K236" i="6"/>
  <c r="K1622" i="6"/>
  <c r="K1480" i="6"/>
  <c r="L265" i="6"/>
  <c r="K1509" i="6"/>
  <c r="K864" i="6"/>
  <c r="L649" i="6"/>
  <c r="K450" i="6"/>
  <c r="L1127" i="6"/>
  <c r="K473" i="6"/>
  <c r="K1075" i="6"/>
  <c r="L1317" i="6"/>
  <c r="L900" i="6"/>
  <c r="K1229" i="6"/>
  <c r="K617" i="6"/>
  <c r="L962" i="6"/>
  <c r="K183" i="6"/>
  <c r="K254" i="6"/>
  <c r="K1230" i="6"/>
  <c r="K1453" i="6"/>
  <c r="K1175" i="6"/>
  <c r="K852" i="6"/>
  <c r="L997" i="6"/>
  <c r="L676" i="6"/>
  <c r="L1166" i="6"/>
  <c r="L1122" i="6"/>
  <c r="K100" i="6"/>
  <c r="L1796" i="6"/>
  <c r="K1233" i="6"/>
  <c r="L1464" i="6"/>
  <c r="L687" i="6"/>
  <c r="K500" i="6"/>
  <c r="K1974" i="6"/>
  <c r="L799" i="6"/>
  <c r="K290" i="6"/>
  <c r="K268" i="6"/>
  <c r="L1618" i="6"/>
  <c r="K328" i="6"/>
  <c r="K685" i="6"/>
  <c r="L1124" i="6"/>
  <c r="K951" i="6"/>
  <c r="K1594" i="6"/>
  <c r="K350" i="6"/>
  <c r="L1106" i="6"/>
  <c r="L1712" i="6"/>
  <c r="L1720" i="6"/>
  <c r="K193" i="6"/>
  <c r="L147" i="6"/>
  <c r="L114" i="6"/>
  <c r="K155" i="6"/>
  <c r="K671" i="6"/>
  <c r="L1772" i="6"/>
  <c r="L284" i="6"/>
  <c r="K464" i="6"/>
  <c r="K1797" i="6"/>
  <c r="L367" i="6"/>
  <c r="L624" i="6"/>
  <c r="K74" i="6"/>
  <c r="L428" i="6"/>
  <c r="L73" i="6"/>
  <c r="K273" i="6"/>
  <c r="K615" i="6"/>
  <c r="L1307" i="6"/>
  <c r="K816" i="6"/>
  <c r="K939" i="6"/>
  <c r="L1253" i="6"/>
  <c r="L1024" i="6"/>
  <c r="K1063" i="6"/>
  <c r="K137" i="6"/>
  <c r="L239" i="6"/>
  <c r="K542" i="6"/>
  <c r="K1346" i="6"/>
  <c r="K190" i="6"/>
  <c r="K773" i="6"/>
  <c r="L313" i="6"/>
  <c r="L715" i="6"/>
  <c r="L958" i="6"/>
  <c r="L1792" i="6"/>
  <c r="K935" i="6"/>
  <c r="L182" i="6"/>
  <c r="K614" i="6"/>
  <c r="K1081" i="6"/>
  <c r="K186" i="6"/>
  <c r="K271" i="6"/>
  <c r="L1129" i="6"/>
  <c r="K888" i="6"/>
  <c r="L571" i="6"/>
  <c r="L1224" i="6"/>
  <c r="K1739" i="6"/>
  <c r="L1872" i="6"/>
  <c r="L347" i="6"/>
  <c r="L62" i="6"/>
  <c r="K697" i="6"/>
  <c r="K584" i="6"/>
  <c r="L628" i="6"/>
  <c r="K11" i="6"/>
  <c r="K589" i="6"/>
  <c r="L724" i="6"/>
  <c r="L2074" i="6"/>
  <c r="L575" i="6"/>
  <c r="L633" i="6"/>
  <c r="K28" i="6"/>
  <c r="K548" i="6"/>
  <c r="L495" i="6"/>
  <c r="L1066" i="6"/>
  <c r="K1144" i="6"/>
  <c r="L926" i="6"/>
  <c r="L207" i="6"/>
  <c r="K792" i="6"/>
  <c r="K574" i="6"/>
  <c r="L636" i="6"/>
  <c r="L1937" i="6"/>
  <c r="K1449" i="6"/>
  <c r="L1452" i="6"/>
  <c r="L1820" i="6"/>
  <c r="K253" i="6"/>
  <c r="K639" i="6"/>
  <c r="L1837" i="6"/>
  <c r="L1264" i="6"/>
  <c r="L1186" i="6"/>
  <c r="K1151" i="6"/>
  <c r="L314" i="6"/>
  <c r="L1708" i="6"/>
  <c r="K634" i="6"/>
  <c r="L440" i="6"/>
  <c r="K742" i="6"/>
  <c r="K699" i="6"/>
  <c r="K572" i="6"/>
  <c r="K968" i="6"/>
  <c r="K1345" i="6"/>
  <c r="K1053" i="6"/>
  <c r="L1393" i="6"/>
  <c r="L306" i="6"/>
  <c r="L385" i="6"/>
  <c r="K808" i="6"/>
  <c r="L142" i="6"/>
  <c r="K1254" i="6"/>
  <c r="K2113" i="6"/>
  <c r="L2113" i="6"/>
  <c r="K1400" i="6"/>
  <c r="L850" i="6"/>
  <c r="K1125" i="6"/>
  <c r="L811" i="6"/>
  <c r="L774" i="6"/>
  <c r="K1006" i="6"/>
  <c r="K800" i="6"/>
  <c r="L379" i="6"/>
  <c r="L488" i="6"/>
  <c r="L569" i="6"/>
  <c r="L908" i="6"/>
  <c r="K1219" i="6"/>
  <c r="L47" i="6"/>
  <c r="K448" i="6"/>
  <c r="K2180" i="6"/>
  <c r="L737" i="6"/>
  <c r="L693" i="6"/>
  <c r="K249" i="6"/>
  <c r="K740" i="6"/>
  <c r="K511" i="6"/>
  <c r="L1504" i="6"/>
  <c r="L1198" i="6"/>
  <c r="K1713" i="6"/>
  <c r="L1497" i="6"/>
  <c r="L382" i="6"/>
  <c r="K1836" i="6"/>
  <c r="K117" i="6"/>
  <c r="K1199" i="6"/>
  <c r="K447" i="6"/>
  <c r="K829" i="6"/>
  <c r="L994" i="6"/>
  <c r="L577" i="6"/>
  <c r="K336" i="6"/>
  <c r="L1189" i="6"/>
  <c r="L134" i="6"/>
  <c r="L351" i="6"/>
  <c r="L76" i="6"/>
  <c r="L552" i="6"/>
  <c r="K1337" i="6"/>
  <c r="L1575" i="6"/>
  <c r="L494" i="6"/>
  <c r="L1158" i="6"/>
  <c r="K1878" i="6"/>
  <c r="K2229" i="6"/>
  <c r="L978" i="6"/>
  <c r="L304" i="6"/>
  <c r="K564" i="6"/>
  <c r="L1632" i="6"/>
  <c r="K2225" i="6"/>
  <c r="L1072" i="6"/>
  <c r="K610" i="6"/>
  <c r="L133" i="6"/>
  <c r="K645" i="6"/>
  <c r="K833" i="6"/>
  <c r="K677" i="6"/>
  <c r="K301" i="6"/>
  <c r="L2235" i="6"/>
  <c r="L543" i="6"/>
  <c r="L493" i="6"/>
  <c r="L1242" i="6"/>
  <c r="L416" i="6"/>
  <c r="L113" i="6"/>
  <c r="L36" i="6"/>
  <c r="L2160" i="6"/>
  <c r="L594" i="6"/>
  <c r="K768" i="6"/>
  <c r="L568" i="6"/>
  <c r="K1928" i="6"/>
  <c r="K629" i="6"/>
  <c r="L298" i="6"/>
  <c r="L1596" i="6"/>
  <c r="K87" i="6"/>
  <c r="L863" i="6"/>
  <c r="L92" i="6"/>
  <c r="K392" i="6"/>
  <c r="K544" i="6"/>
  <c r="L895" i="6"/>
  <c r="L587" i="6"/>
  <c r="L1394" i="6"/>
  <c r="L836" i="6"/>
  <c r="L1692" i="6"/>
  <c r="L473" i="6"/>
  <c r="K700" i="6"/>
  <c r="L1048" i="6"/>
  <c r="L220" i="6"/>
  <c r="K1055" i="6"/>
  <c r="L384" i="6"/>
  <c r="L455" i="6"/>
  <c r="L920" i="6"/>
  <c r="L378" i="6"/>
  <c r="L191" i="6"/>
  <c r="K552" i="6"/>
  <c r="K957" i="6"/>
  <c r="K1036" i="6"/>
  <c r="L446" i="6"/>
  <c r="K855" i="6"/>
  <c r="L209" i="6"/>
  <c r="K376" i="6"/>
  <c r="L1624" i="6"/>
  <c r="K247" i="6"/>
  <c r="K764" i="6"/>
  <c r="K391" i="6"/>
  <c r="K1306" i="6"/>
  <c r="L24" i="6"/>
  <c r="K1350" i="6"/>
  <c r="K856" i="6"/>
  <c r="K1521" i="6"/>
  <c r="K168" i="6"/>
  <c r="L1050" i="6"/>
  <c r="L751" i="6"/>
  <c r="L52" i="6"/>
  <c r="L177" i="6"/>
  <c r="K488" i="6"/>
  <c r="L2111" i="6"/>
  <c r="L614" i="6"/>
  <c r="L807" i="6"/>
  <c r="L778" i="6"/>
  <c r="L1438" i="6"/>
  <c r="L2458" i="6"/>
  <c r="K82" i="6"/>
  <c r="K730" i="6"/>
  <c r="K1139" i="6"/>
  <c r="K175" i="6"/>
  <c r="K1112" i="6"/>
  <c r="K96" i="6"/>
  <c r="K324" i="6"/>
  <c r="K556" i="6"/>
  <c r="K549" i="6"/>
  <c r="L352" i="6"/>
  <c r="K914" i="6"/>
  <c r="L2280" i="6"/>
  <c r="K250" i="6"/>
  <c r="K460" i="6"/>
  <c r="L914" i="6"/>
  <c r="K274" i="6"/>
  <c r="L387" i="6"/>
  <c r="L743" i="6"/>
  <c r="L1116" i="6"/>
  <c r="L1175" i="6"/>
  <c r="L369" i="6"/>
  <c r="K1188" i="6"/>
  <c r="L1420" i="6"/>
  <c r="K37" i="6"/>
  <c r="L797" i="6"/>
  <c r="K1080" i="6"/>
  <c r="L1020" i="6"/>
  <c r="L598" i="6"/>
  <c r="K1134" i="6"/>
  <c r="K1510" i="6"/>
  <c r="L619" i="6"/>
  <c r="K410" i="6"/>
  <c r="L375" i="6"/>
  <c r="L1455" i="6"/>
  <c r="K2305" i="6"/>
  <c r="L2392" i="6"/>
  <c r="L1143" i="6"/>
  <c r="L1364" i="6"/>
  <c r="L1267" i="6"/>
  <c r="K1777" i="6"/>
  <c r="L692" i="6"/>
  <c r="L986" i="6"/>
  <c r="L326" i="6"/>
  <c r="L1370" i="6"/>
  <c r="K674" i="6"/>
  <c r="K724" i="6"/>
  <c r="K524" i="6"/>
  <c r="K2096" i="6"/>
  <c r="L555" i="6"/>
  <c r="L921" i="6"/>
  <c r="K216" i="6"/>
  <c r="K41" i="6"/>
  <c r="L1197" i="6"/>
  <c r="L2400" i="6"/>
  <c r="L842" i="6"/>
  <c r="K771" i="6"/>
  <c r="K812" i="6"/>
  <c r="K344" i="6"/>
  <c r="L875" i="6"/>
  <c r="L29" i="6"/>
  <c r="L270" i="6"/>
  <c r="K661" i="6"/>
  <c r="L217" i="6"/>
  <c r="L151" i="6"/>
  <c r="L1762" i="6"/>
  <c r="L95" i="6"/>
  <c r="L1544" i="6"/>
  <c r="K739" i="6"/>
  <c r="K26" i="6"/>
  <c r="L928" i="6"/>
  <c r="L996" i="6"/>
  <c r="L561" i="6"/>
  <c r="L348" i="6"/>
  <c r="L110" i="6"/>
  <c r="L1271" i="6"/>
  <c r="K73" i="6"/>
  <c r="K1443" i="6"/>
  <c r="L376" i="6"/>
  <c r="L851" i="6"/>
  <c r="L141" i="6"/>
  <c r="K1161" i="6"/>
  <c r="L97" i="6"/>
  <c r="K83" i="6"/>
  <c r="L164" i="6"/>
  <c r="K365" i="6"/>
  <c r="L199" i="6"/>
  <c r="K320" i="6"/>
  <c r="K105" i="6"/>
  <c r="K664" i="6"/>
  <c r="K1092" i="6"/>
  <c r="L1568" i="6"/>
  <c r="K218" i="6"/>
  <c r="K1439" i="6"/>
  <c r="L1812" i="6"/>
  <c r="L1115" i="6"/>
  <c r="K1508" i="6"/>
  <c r="L1039" i="6"/>
  <c r="L519" i="6"/>
  <c r="L947" i="6"/>
  <c r="L681" i="6"/>
  <c r="L942" i="6"/>
  <c r="K2014" i="6"/>
  <c r="L579" i="6"/>
  <c r="K1093" i="6"/>
  <c r="L278" i="6"/>
  <c r="L1470" i="6"/>
  <c r="K2121" i="6"/>
  <c r="K825" i="6"/>
  <c r="K421" i="6"/>
  <c r="L1138" i="6"/>
  <c r="K965" i="6"/>
  <c r="K605" i="6"/>
  <c r="K197" i="6"/>
  <c r="L1016" i="6"/>
  <c r="L1343" i="6"/>
  <c r="K964" i="6"/>
  <c r="K950" i="6"/>
  <c r="L346" i="6"/>
  <c r="K1257" i="6"/>
  <c r="L223" i="6"/>
  <c r="L155" i="6"/>
  <c r="L211" i="6"/>
  <c r="L1640" i="6"/>
  <c r="K377" i="6"/>
  <c r="K352" i="6"/>
  <c r="K847" i="6"/>
  <c r="K12" i="6"/>
  <c r="L96" i="6"/>
  <c r="K820" i="6"/>
  <c r="K819" i="6"/>
  <c r="K1677" i="6"/>
  <c r="L563" i="6"/>
  <c r="L645" i="6"/>
  <c r="L340" i="6"/>
  <c r="L899" i="6"/>
  <c r="L739" i="6"/>
  <c r="K915" i="6"/>
  <c r="L222" i="6"/>
  <c r="K1104" i="6"/>
  <c r="K655" i="6"/>
  <c r="K763" i="6"/>
  <c r="L864" i="6"/>
  <c r="K1457" i="6"/>
  <c r="K81" i="6"/>
  <c r="L228" i="6"/>
  <c r="L1017" i="6"/>
  <c r="L622" i="6"/>
  <c r="K566" i="6"/>
  <c r="K1289" i="6"/>
  <c r="L896" i="6"/>
  <c r="K995" i="6"/>
  <c r="L335" i="6"/>
  <c r="L819" i="6"/>
  <c r="L746" i="6"/>
  <c r="K522" i="6"/>
  <c r="K721" i="6"/>
  <c r="K72" i="6"/>
  <c r="K362" i="6"/>
  <c r="L684" i="6"/>
  <c r="K84" i="6"/>
  <c r="K1091" i="6"/>
  <c r="K337" i="6"/>
  <c r="L879" i="6"/>
  <c r="K202" i="6"/>
  <c r="L860" i="6"/>
  <c r="L2112" i="6"/>
  <c r="L28" i="6"/>
  <c r="K520" i="6"/>
  <c r="L464" i="6"/>
  <c r="K2796" i="6"/>
  <c r="L891" i="6"/>
  <c r="K1256" i="6"/>
  <c r="K1342" i="6"/>
  <c r="L992" i="6"/>
  <c r="K592" i="6"/>
  <c r="K652" i="6"/>
  <c r="K824" i="6"/>
  <c r="K735" i="6"/>
  <c r="K493" i="6"/>
  <c r="K1156" i="6"/>
  <c r="K1954" i="6"/>
  <c r="K245" i="6"/>
  <c r="L1752" i="6"/>
  <c r="K1654" i="6"/>
  <c r="K752" i="6"/>
  <c r="L397" i="6"/>
  <c r="K844" i="6"/>
  <c r="K200" i="6"/>
  <c r="K673" i="6"/>
  <c r="L922" i="6"/>
  <c r="L655" i="6"/>
  <c r="L770" i="6"/>
  <c r="L1477" i="6"/>
  <c r="L472" i="6"/>
  <c r="L554" i="6"/>
  <c r="L2216" i="6"/>
  <c r="K1798" i="6"/>
  <c r="K1716" i="6"/>
  <c r="K305" i="6"/>
  <c r="K640" i="6"/>
  <c r="K1105" i="6"/>
  <c r="L370" i="6"/>
  <c r="L1031" i="6"/>
  <c r="K131" i="6"/>
  <c r="L1014" i="6"/>
  <c r="L660" i="6"/>
  <c r="L1460" i="6"/>
  <c r="K1022" i="6"/>
  <c r="L1682" i="6"/>
  <c r="K1691" i="6"/>
  <c r="L954" i="6"/>
  <c r="K285" i="6"/>
  <c r="K717" i="6"/>
  <c r="K156" i="6"/>
  <c r="L427" i="6"/>
  <c r="L620" i="6"/>
  <c r="L196" i="6"/>
  <c r="K351" i="6"/>
  <c r="K611" i="6"/>
  <c r="K653" i="6"/>
  <c r="K2166" i="6"/>
  <c r="K1159" i="6"/>
  <c r="L889" i="6"/>
  <c r="K1013" i="6"/>
  <c r="L291" i="6"/>
  <c r="L187" i="6"/>
  <c r="L41" i="6"/>
  <c r="L539" i="6"/>
  <c r="K1268" i="6"/>
  <c r="L287" i="6"/>
  <c r="K468" i="6"/>
  <c r="K525" i="6"/>
  <c r="L414" i="6"/>
  <c r="L167" i="6"/>
  <c r="K358" i="6"/>
  <c r="K1737" i="6"/>
  <c r="L828" i="6"/>
  <c r="L1588" i="6"/>
  <c r="L244" i="6"/>
  <c r="L591" i="6"/>
  <c r="K1385" i="6"/>
  <c r="K2868" i="6"/>
  <c r="K707" i="6"/>
  <c r="L201" i="6"/>
  <c r="K748" i="6"/>
  <c r="K942" i="6"/>
  <c r="K2038" i="6"/>
  <c r="K263" i="6"/>
  <c r="K588" i="6"/>
  <c r="L882" i="6"/>
  <c r="L258" i="6"/>
  <c r="L763" i="6"/>
  <c r="K851" i="6"/>
  <c r="L129" i="6"/>
  <c r="K1376" i="6"/>
  <c r="K1718" i="6"/>
  <c r="K734" i="6"/>
  <c r="K1216" i="6"/>
  <c r="K513" i="6"/>
  <c r="L1131" i="6"/>
  <c r="K859" i="6"/>
  <c r="L1746" i="6"/>
  <c r="K831" i="6"/>
  <c r="L824" i="6"/>
  <c r="L444" i="6"/>
  <c r="K299" i="6"/>
  <c r="K828" i="6"/>
  <c r="L943" i="6"/>
  <c r="K872" i="6"/>
  <c r="K300" i="6"/>
  <c r="K1227" i="6"/>
  <c r="K1498" i="6"/>
  <c r="L356" i="6"/>
  <c r="K992" i="6"/>
  <c r="K381" i="6"/>
  <c r="L171" i="6"/>
  <c r="L1655" i="6"/>
  <c r="K125" i="6"/>
  <c r="K534" i="6"/>
  <c r="L2432" i="6"/>
  <c r="L581" i="6"/>
  <c r="L1058" i="6"/>
  <c r="L1327" i="6"/>
  <c r="L330" i="6"/>
  <c r="L197" i="6"/>
  <c r="K104" i="6"/>
  <c r="K780" i="6"/>
  <c r="L407" i="6"/>
  <c r="L21" i="6"/>
  <c r="L560" i="6"/>
  <c r="K302" i="6"/>
  <c r="K1065" i="6"/>
  <c r="K196" i="6"/>
  <c r="L262" i="6"/>
  <c r="K21" i="6"/>
  <c r="L497" i="6"/>
  <c r="L227" i="6"/>
  <c r="L1357" i="6"/>
  <c r="K80" i="6"/>
  <c r="K959" i="6"/>
  <c r="K711" i="6"/>
  <c r="L2115" i="6"/>
  <c r="L1764" i="6"/>
  <c r="K30" i="6"/>
  <c r="K1460" i="6"/>
  <c r="L337" i="6"/>
  <c r="K169" i="6"/>
  <c r="L854" i="6"/>
  <c r="L1246" i="6"/>
  <c r="K553" i="6"/>
  <c r="L255" i="6"/>
  <c r="L449" i="6"/>
  <c r="K1005" i="6"/>
  <c r="L103" i="6"/>
  <c r="L288" i="6"/>
  <c r="L251" i="6"/>
  <c r="L727" i="6"/>
  <c r="L711" i="6"/>
  <c r="K185" i="6"/>
  <c r="L1070" i="6"/>
  <c r="L1744" i="6"/>
  <c r="K1158" i="6"/>
  <c r="K314" i="6"/>
  <c r="L245" i="6"/>
  <c r="K18" i="6"/>
  <c r="K452" i="6"/>
  <c r="L876" i="6"/>
  <c r="K510" i="6"/>
  <c r="K1086" i="6"/>
  <c r="K199" i="6"/>
  <c r="L55" i="6"/>
  <c r="K624" i="6"/>
  <c r="K364" i="6"/>
  <c r="L953" i="6"/>
  <c r="L360" i="6"/>
  <c r="L232" i="6"/>
  <c r="K154" i="6"/>
  <c r="K108" i="6"/>
  <c r="K1368" i="6"/>
  <c r="K138" i="6"/>
  <c r="K203" i="6"/>
  <c r="K1397" i="6"/>
  <c r="L1952" i="6"/>
  <c r="L567" i="6"/>
  <c r="L980" i="6"/>
  <c r="K241" i="6"/>
  <c r="K484" i="6"/>
  <c r="K698" i="6"/>
  <c r="L486" i="6"/>
  <c r="L529" i="6"/>
  <c r="L755" i="6"/>
  <c r="L795" i="6"/>
  <c r="L1118" i="6"/>
  <c r="L1007" i="6"/>
  <c r="K876" i="6"/>
  <c r="K265" i="6"/>
  <c r="L166" i="6"/>
  <c r="L2271" i="6"/>
  <c r="K729" i="6"/>
  <c r="K961" i="6"/>
  <c r="L371" i="6"/>
  <c r="K99" i="6"/>
  <c r="K1320" i="6"/>
  <c r="L540" i="6"/>
  <c r="L419" i="6"/>
  <c r="K345" i="6"/>
  <c r="L534" i="6"/>
  <c r="L1649" i="6"/>
  <c r="K1318" i="6"/>
  <c r="K264" i="6"/>
  <c r="K313" i="6"/>
  <c r="L418" i="6"/>
  <c r="K794" i="6"/>
  <c r="L910" i="6"/>
  <c r="L2103" i="6"/>
  <c r="L616" i="6"/>
  <c r="K920" i="6"/>
  <c r="L396" i="6"/>
  <c r="K140" i="6"/>
  <c r="K540" i="6"/>
  <c r="K359" i="6"/>
  <c r="K114" i="6"/>
  <c r="L451" i="6"/>
  <c r="L1000" i="6"/>
  <c r="K1868" i="6"/>
  <c r="L517" i="6"/>
  <c r="K347" i="6"/>
  <c r="K641" i="6"/>
  <c r="K1186" i="6"/>
  <c r="L1856" i="6"/>
  <c r="K971" i="6"/>
  <c r="L1945" i="6"/>
  <c r="L1316" i="6"/>
  <c r="K106" i="6"/>
  <c r="K1407" i="6"/>
  <c r="L125" i="6"/>
  <c r="L637" i="6"/>
  <c r="L663" i="6"/>
  <c r="L923" i="6"/>
  <c r="K916" i="6"/>
  <c r="L116" i="6"/>
  <c r="L1628" i="6"/>
  <c r="K492" i="6"/>
  <c r="L1004" i="6"/>
  <c r="K1330" i="6"/>
  <c r="L1840" i="6"/>
  <c r="L640" i="6"/>
  <c r="K1590" i="6"/>
  <c r="K759" i="6"/>
  <c r="K116" i="6"/>
  <c r="K1409" i="6"/>
  <c r="L512" i="6"/>
  <c r="L1210" i="6"/>
  <c r="L383" i="6"/>
  <c r="L123" i="6"/>
  <c r="K783" i="6"/>
  <c r="K59" i="6"/>
  <c r="K949" i="6"/>
  <c r="L1373" i="6"/>
  <c r="L275" i="6"/>
  <c r="L1238" i="6"/>
  <c r="L565" i="6"/>
  <c r="L775" i="6"/>
  <c r="L426" i="6"/>
  <c r="L1046" i="6"/>
  <c r="L323" i="6"/>
  <c r="L629" i="6"/>
  <c r="L1002" i="6"/>
  <c r="K1657" i="6"/>
  <c r="L1696" i="6"/>
  <c r="L612" i="6"/>
  <c r="L127" i="6"/>
  <c r="L1082" i="6"/>
  <c r="K208" i="6"/>
  <c r="L1904" i="6"/>
  <c r="L58" i="6"/>
  <c r="L507" i="6"/>
  <c r="L559" i="6"/>
  <c r="K580" i="6"/>
  <c r="L1658" i="6"/>
  <c r="L938" i="6"/>
  <c r="L1638" i="6"/>
  <c r="K56" i="6"/>
  <c r="L192" i="6"/>
  <c r="K598" i="6"/>
  <c r="L1176" i="6"/>
  <c r="L698" i="6"/>
  <c r="L1849" i="6"/>
  <c r="K880" i="6"/>
  <c r="L661" i="6"/>
  <c r="L1234" i="6"/>
  <c r="L44" i="6"/>
  <c r="K1333" i="6"/>
  <c r="K48" i="6"/>
  <c r="L1237" i="6"/>
  <c r="L1914" i="6"/>
  <c r="L1982" i="6"/>
  <c r="L135" i="6"/>
  <c r="L1877" i="6"/>
  <c r="K1203" i="6"/>
  <c r="K631" i="6"/>
  <c r="K952" i="6"/>
  <c r="K1436" i="6"/>
  <c r="K62" i="6"/>
  <c r="L480" i="6"/>
  <c r="K2200" i="6"/>
  <c r="L735" i="6"/>
  <c r="K570" i="6"/>
  <c r="L1182" i="6"/>
  <c r="L1110" i="6"/>
  <c r="L667" i="6"/>
  <c r="L10" i="6"/>
  <c r="K1181" i="6"/>
  <c r="L1905" i="6"/>
  <c r="L710" i="6"/>
  <c r="L525" i="6"/>
  <c r="L465" i="6"/>
  <c r="K875" i="6"/>
  <c r="L595" i="6"/>
  <c r="K240" i="6"/>
  <c r="K166" i="6"/>
  <c r="K1316" i="6"/>
  <c r="L506" i="6"/>
  <c r="K491" i="6"/>
  <c r="K1061" i="6"/>
  <c r="L524" i="6"/>
  <c r="K52" i="6"/>
  <c r="L361" i="6"/>
  <c r="L267" i="6"/>
  <c r="K543" i="6"/>
  <c r="L988" i="6"/>
  <c r="K560" i="6"/>
  <c r="K676" i="6"/>
  <c r="L589" i="6"/>
  <c r="K823" i="6"/>
  <c r="L16" i="6"/>
  <c r="L236" i="6"/>
  <c r="K51" i="6"/>
  <c r="K632" i="6"/>
  <c r="K284" i="6"/>
  <c r="K919" i="6"/>
  <c r="K1060" i="6"/>
  <c r="K868" i="6"/>
  <c r="K55" i="6"/>
  <c r="K517" i="6"/>
  <c r="K638" i="6"/>
  <c r="L401" i="6"/>
  <c r="K2086" i="6"/>
  <c r="K79" i="6"/>
  <c r="K416" i="6"/>
  <c r="L40" i="6"/>
  <c r="K310" i="6"/>
  <c r="K111" i="6"/>
  <c r="K1038" i="6"/>
  <c r="L1093" i="6"/>
  <c r="L339" i="6"/>
  <c r="K497" i="6"/>
  <c r="L350" i="6"/>
  <c r="K173" i="6"/>
  <c r="L1525" i="6"/>
  <c r="K873" i="6"/>
  <c r="K1267" i="6"/>
  <c r="K1012" i="6"/>
  <c r="K307" i="6"/>
  <c r="K1117" i="6"/>
  <c r="L1913" i="6"/>
  <c r="K165" i="6"/>
  <c r="K649" i="6"/>
  <c r="K107" i="6"/>
  <c r="L841" i="6"/>
  <c r="L542" i="6"/>
  <c r="K1391" i="6"/>
  <c r="K1349" i="6"/>
  <c r="K635" i="6"/>
  <c r="L686" i="6"/>
  <c r="L779" i="6"/>
  <c r="K672" i="6"/>
  <c r="L596" i="6"/>
  <c r="K387" i="6"/>
  <c r="K1489" i="6"/>
  <c r="K177" i="6"/>
  <c r="K720" i="6"/>
  <c r="L1128" i="6"/>
  <c r="L442" i="6"/>
  <c r="L1760" i="6"/>
  <c r="K1078" i="6"/>
  <c r="L435" i="6"/>
  <c r="K444" i="6"/>
  <c r="L460" i="6"/>
  <c r="K976" i="6"/>
  <c r="L704" i="6"/>
  <c r="K485" i="6"/>
  <c r="K321" i="6"/>
  <c r="K1120" i="6"/>
  <c r="K224" i="6"/>
  <c r="L300" i="6"/>
  <c r="L1074" i="6"/>
  <c r="L736" i="6"/>
  <c r="L514" i="6"/>
  <c r="L470" i="6"/>
  <c r="L1768" i="6"/>
  <c r="K662" i="6"/>
  <c r="L827" i="6"/>
  <c r="K1545" i="6"/>
  <c r="L163" i="6"/>
  <c r="K569" i="6"/>
  <c r="L1400" i="6"/>
  <c r="L764" i="6"/>
  <c r="L593" i="6"/>
  <c r="L355" i="6"/>
  <c r="K457" i="6"/>
  <c r="K907" i="6"/>
  <c r="K461" i="6"/>
  <c r="L160" i="6"/>
  <c r="K378" i="6"/>
  <c r="K1215" i="6"/>
  <c r="K371" i="6"/>
  <c r="L1979" i="6"/>
  <c r="K537" i="6"/>
  <c r="L263" i="6"/>
  <c r="K937" i="6"/>
  <c r="L521" i="6"/>
  <c r="K1176" i="6"/>
  <c r="L84" i="6"/>
  <c r="L2042" i="6"/>
  <c r="L1167" i="6"/>
  <c r="K1894" i="6"/>
  <c r="L363" i="6"/>
  <c r="K577" i="6"/>
  <c r="L1631" i="6"/>
  <c r="L2562" i="6"/>
  <c r="K147" i="6"/>
  <c r="L1495" i="6"/>
  <c r="K1146" i="6"/>
  <c r="K2237" i="6"/>
  <c r="L792" i="6"/>
  <c r="K333" i="6"/>
  <c r="L513" i="6"/>
  <c r="K924" i="6"/>
  <c r="K947" i="6"/>
  <c r="K747" i="6"/>
  <c r="L112" i="6"/>
  <c r="L1733" i="6"/>
  <c r="L783" i="6"/>
  <c r="K139" i="6"/>
  <c r="L320" i="6"/>
  <c r="K385" i="6"/>
  <c r="L671" i="6"/>
  <c r="L1660" i="6"/>
  <c r="K1726" i="6"/>
  <c r="L1543" i="6"/>
  <c r="L332" i="6"/>
  <c r="K1147" i="6"/>
  <c r="L457" i="6"/>
  <c r="L690" i="6"/>
  <c r="K1841" i="6"/>
  <c r="L717" i="6"/>
  <c r="K1101" i="6"/>
  <c r="L533" i="6"/>
  <c r="L38" i="6"/>
  <c r="K1605" i="6"/>
  <c r="L1259" i="6"/>
  <c r="K413" i="6"/>
  <c r="K95" i="6"/>
  <c r="K853" i="6"/>
  <c r="L195" i="6"/>
  <c r="K1988" i="6"/>
  <c r="L1401" i="6"/>
  <c r="K487" i="6"/>
  <c r="L213" i="6"/>
  <c r="K1343" i="6"/>
  <c r="L411" i="6"/>
  <c r="L734" i="6"/>
  <c r="L644" i="6"/>
  <c r="L557" i="6"/>
  <c r="K244" i="6"/>
  <c r="K209" i="6"/>
  <c r="K20" i="6"/>
  <c r="L1689" i="6"/>
  <c r="K256" i="6"/>
  <c r="L617" i="6"/>
  <c r="L859" i="6"/>
  <c r="L1580" i="6"/>
  <c r="L461" i="6"/>
  <c r="L547" i="6"/>
  <c r="L72" i="6"/>
  <c r="L198" i="6"/>
  <c r="K141" i="6"/>
  <c r="L1003" i="6"/>
  <c r="L1788" i="6"/>
  <c r="K1145" i="6"/>
  <c r="K903" i="6"/>
  <c r="K412" i="6"/>
  <c r="L1898" i="6"/>
  <c r="L1461" i="6"/>
  <c r="K255" i="6"/>
  <c r="L433" i="6"/>
  <c r="K242" i="6"/>
  <c r="K287" i="6"/>
  <c r="L1247" i="6"/>
  <c r="K1900" i="6"/>
  <c r="K1049" i="6"/>
  <c r="L794" i="6"/>
  <c r="K975" i="6"/>
  <c r="K1247" i="6"/>
  <c r="L732" i="6"/>
  <c r="L821" i="6"/>
  <c r="L677" i="6"/>
  <c r="K232" i="6"/>
  <c r="L603" i="6"/>
  <c r="L46" i="6"/>
  <c r="K454" i="6"/>
  <c r="K616" i="6"/>
  <c r="L831" i="6"/>
  <c r="L689" i="6"/>
  <c r="K889" i="6"/>
  <c r="K756" i="6"/>
  <c r="K276" i="6"/>
  <c r="L1637" i="6"/>
  <c r="L157" i="6"/>
  <c r="K88" i="6"/>
  <c r="L630" i="6"/>
  <c r="K40" i="6"/>
  <c r="L400" i="6"/>
  <c r="L420" i="6"/>
  <c r="K282" i="6"/>
  <c r="K602" i="6"/>
  <c r="K401" i="6"/>
  <c r="K235" i="6"/>
  <c r="L305" i="6"/>
  <c r="K843" i="6"/>
  <c r="K1164" i="6"/>
  <c r="K463" i="6"/>
  <c r="L65" i="6"/>
  <c r="L683" i="6"/>
  <c r="K1479" i="6"/>
  <c r="K546" i="6"/>
  <c r="K288" i="6"/>
  <c r="K14" i="6"/>
  <c r="L1329" i="6"/>
  <c r="L309" i="6"/>
  <c r="L1134" i="6"/>
  <c r="K738" i="6"/>
  <c r="K1008" i="6"/>
  <c r="K591" i="6"/>
  <c r="K1778" i="6"/>
  <c r="K1352" i="6"/>
  <c r="L1532" i="6"/>
  <c r="K1477" i="6"/>
  <c r="K708" i="6"/>
  <c r="K1321" i="6"/>
  <c r="L1736" i="6"/>
  <c r="K124" i="6"/>
  <c r="L357" i="6"/>
  <c r="L190" i="6"/>
  <c r="K962" i="6"/>
  <c r="L716" i="6"/>
  <c r="L865" i="6"/>
  <c r="K1272" i="6"/>
  <c r="L536" i="6"/>
  <c r="L585" i="6"/>
  <c r="K799" i="6"/>
  <c r="L399" i="6"/>
  <c r="L423" i="6"/>
  <c r="K529" i="6"/>
  <c r="K332" i="6"/>
  <c r="L476" i="6"/>
  <c r="K160" i="6"/>
  <c r="L469" i="6"/>
  <c r="K369" i="6"/>
  <c r="L787" i="6"/>
  <c r="K1045" i="6"/>
  <c r="K585" i="6"/>
  <c r="L273" i="6"/>
  <c r="L482" i="6"/>
  <c r="L868" i="6"/>
  <c r="L1836" i="6"/>
  <c r="K459" i="6"/>
  <c r="L413" i="6"/>
  <c r="L1496" i="6"/>
  <c r="K842" i="6"/>
  <c r="K318" i="6"/>
  <c r="K349" i="6"/>
  <c r="K1240" i="6"/>
  <c r="K257" i="6"/>
  <c r="L1096" i="6"/>
  <c r="L50" i="6"/>
  <c r="K373" i="6"/>
  <c r="L1086" i="6"/>
  <c r="K1041" i="6"/>
  <c r="L359" i="6"/>
  <c r="K694" i="6"/>
  <c r="L553" i="6"/>
  <c r="L276" i="6"/>
  <c r="L632" i="6"/>
  <c r="L915" i="6"/>
  <c r="L1469" i="6"/>
  <c r="K1465" i="6"/>
  <c r="K60" i="6"/>
  <c r="L1250" i="6"/>
  <c r="L156" i="6"/>
  <c r="L158" i="6"/>
  <c r="K132" i="6"/>
  <c r="L188" i="6"/>
  <c r="L574" i="6"/>
  <c r="K533" i="6"/>
  <c r="K176" i="6"/>
  <c r="L1062" i="6"/>
  <c r="L796" i="6"/>
  <c r="K2070" i="6"/>
  <c r="L993" i="6"/>
  <c r="K239" i="6"/>
  <c r="K433" i="6"/>
  <c r="L839" i="6"/>
  <c r="L2087" i="6"/>
  <c r="L63" i="6"/>
  <c r="K153" i="6"/>
  <c r="K678" i="6"/>
  <c r="L1541" i="6"/>
  <c r="K1106" i="6"/>
  <c r="L1078" i="6"/>
  <c r="L436" i="6"/>
  <c r="L722" i="6"/>
  <c r="K536" i="6"/>
  <c r="K277" i="6"/>
  <c r="L1054" i="6"/>
  <c r="K477" i="6"/>
  <c r="K688" i="6"/>
  <c r="L268" i="6"/>
  <c r="L271" i="6"/>
  <c r="K432" i="6"/>
  <c r="K637" i="6"/>
  <c r="L1351" i="6"/>
  <c r="L77" i="6"/>
  <c r="L148" i="6"/>
  <c r="L963" i="6"/>
  <c r="L890" i="6"/>
  <c r="L1784" i="6"/>
  <c r="K258" i="6"/>
  <c r="K65" i="6"/>
  <c r="K215" i="6"/>
  <c r="L967" i="6"/>
  <c r="K710" i="6"/>
  <c r="L903" i="6"/>
  <c r="K565" i="6"/>
  <c r="N903" i="6" l="1"/>
  <c r="O903" i="6" s="1"/>
  <c r="N967" i="6"/>
  <c r="O967" i="6" s="1"/>
  <c r="N1784" i="6"/>
  <c r="O1784" i="6" s="1"/>
  <c r="N890" i="6"/>
  <c r="O890" i="6" s="1"/>
  <c r="N963" i="6"/>
  <c r="O963" i="6" s="1"/>
  <c r="N148" i="6"/>
  <c r="O148" i="6" s="1"/>
  <c r="N77" i="6"/>
  <c r="O77" i="6" s="1"/>
  <c r="N1351" i="6"/>
  <c r="O1351" i="6" s="1"/>
  <c r="N271" i="6"/>
  <c r="O271" i="6" s="1"/>
  <c r="N268" i="6"/>
  <c r="O268" i="6" s="1"/>
  <c r="N1054" i="6"/>
  <c r="O1054" i="6" s="1"/>
  <c r="N722" i="6"/>
  <c r="O722" i="6" s="1"/>
  <c r="N436" i="6"/>
  <c r="O436" i="6" s="1"/>
  <c r="N1078" i="6"/>
  <c r="O1078" i="6" s="1"/>
  <c r="N1541" i="6"/>
  <c r="O1541" i="6" s="1"/>
  <c r="N63" i="6"/>
  <c r="O63" i="6" s="1"/>
  <c r="N2087" i="6"/>
  <c r="O2087" i="6" s="1"/>
  <c r="N839" i="6"/>
  <c r="O839" i="6" s="1"/>
  <c r="N993" i="6"/>
  <c r="O993" i="6" s="1"/>
  <c r="N796" i="6"/>
  <c r="O796" i="6" s="1"/>
  <c r="N1062" i="6"/>
  <c r="O1062" i="6" s="1"/>
  <c r="N574" i="6"/>
  <c r="O574" i="6" s="1"/>
  <c r="N188" i="6"/>
  <c r="O188" i="6" s="1"/>
  <c r="N158" i="6"/>
  <c r="O158" i="6" s="1"/>
  <c r="N156" i="6"/>
  <c r="O156" i="6" s="1"/>
  <c r="N1250" i="6"/>
  <c r="O1250" i="6" s="1"/>
  <c r="N1469" i="6"/>
  <c r="O1469" i="6" s="1"/>
  <c r="N915" i="6"/>
  <c r="O915" i="6" s="1"/>
  <c r="N632" i="6"/>
  <c r="O632" i="6" s="1"/>
  <c r="N276" i="6"/>
  <c r="O276" i="6" s="1"/>
  <c r="N553" i="6"/>
  <c r="O553" i="6" s="1"/>
  <c r="N359" i="6"/>
  <c r="O359" i="6" s="1"/>
  <c r="N1086" i="6"/>
  <c r="O1086" i="6" s="1"/>
  <c r="N50" i="6"/>
  <c r="O50" i="6" s="1"/>
  <c r="N1096" i="6"/>
  <c r="O1096" i="6" s="1"/>
  <c r="N1496" i="6"/>
  <c r="O1496" i="6" s="1"/>
  <c r="N413" i="6"/>
  <c r="O413" i="6" s="1"/>
  <c r="N1836" i="6"/>
  <c r="O1836" i="6" s="1"/>
  <c r="N868" i="6"/>
  <c r="O868" i="6" s="1"/>
  <c r="N482" i="6"/>
  <c r="O482" i="6" s="1"/>
  <c r="N273" i="6"/>
  <c r="O273" i="6" s="1"/>
  <c r="N787" i="6"/>
  <c r="O787" i="6" s="1"/>
  <c r="N469" i="6"/>
  <c r="O469" i="6" s="1"/>
  <c r="N476" i="6"/>
  <c r="O476" i="6" s="1"/>
  <c r="N423" i="6"/>
  <c r="O423" i="6" s="1"/>
  <c r="N399" i="6"/>
  <c r="O399" i="6" s="1"/>
  <c r="N585" i="6"/>
  <c r="O585" i="6" s="1"/>
  <c r="N536" i="6"/>
  <c r="O536" i="6" s="1"/>
  <c r="N865" i="6"/>
  <c r="O865" i="6" s="1"/>
  <c r="N716" i="6"/>
  <c r="O716" i="6" s="1"/>
  <c r="N190" i="6"/>
  <c r="O190" i="6" s="1"/>
  <c r="N357" i="6"/>
  <c r="O357" i="6" s="1"/>
  <c r="N1736" i="6"/>
  <c r="O1736" i="6" s="1"/>
  <c r="N1532" i="6"/>
  <c r="O1532" i="6" s="1"/>
  <c r="N1134" i="6"/>
  <c r="O1134" i="6" s="1"/>
  <c r="N309" i="6"/>
  <c r="O309" i="6" s="1"/>
  <c r="N1329" i="6"/>
  <c r="O1329" i="6" s="1"/>
  <c r="N683" i="6"/>
  <c r="O683" i="6" s="1"/>
  <c r="N65" i="6"/>
  <c r="O65" i="6" s="1"/>
  <c r="N305" i="6"/>
  <c r="O305" i="6" s="1"/>
  <c r="N420" i="6"/>
  <c r="O420" i="6" s="1"/>
  <c r="N400" i="6"/>
  <c r="O400" i="6" s="1"/>
  <c r="N630" i="6"/>
  <c r="O630" i="6" s="1"/>
  <c r="N157" i="6"/>
  <c r="O157" i="6" s="1"/>
  <c r="N1637" i="6"/>
  <c r="O1637" i="6" s="1"/>
  <c r="N689" i="6"/>
  <c r="O689" i="6" s="1"/>
  <c r="N831" i="6"/>
  <c r="O831" i="6" s="1"/>
  <c r="N46" i="6"/>
  <c r="O46" i="6" s="1"/>
  <c r="N603" i="6"/>
  <c r="O603" i="6" s="1"/>
  <c r="N677" i="6"/>
  <c r="O677" i="6" s="1"/>
  <c r="N821" i="6"/>
  <c r="O821" i="6" s="1"/>
  <c r="N732" i="6"/>
  <c r="O732" i="6" s="1"/>
  <c r="N794" i="6"/>
  <c r="O794" i="6" s="1"/>
  <c r="N1247" i="6"/>
  <c r="O1247" i="6" s="1"/>
  <c r="N433" i="6"/>
  <c r="O433" i="6" s="1"/>
  <c r="N1461" i="6"/>
  <c r="O1461" i="6" s="1"/>
  <c r="N1898" i="6"/>
  <c r="O1898" i="6" s="1"/>
  <c r="N1788" i="6"/>
  <c r="O1788" i="6" s="1"/>
  <c r="N1003" i="6"/>
  <c r="O1003" i="6" s="1"/>
  <c r="N198" i="6"/>
  <c r="O198" i="6" s="1"/>
  <c r="N72" i="6"/>
  <c r="O72" i="6" s="1"/>
  <c r="N547" i="6"/>
  <c r="O547" i="6" s="1"/>
  <c r="N461" i="6"/>
  <c r="O461" i="6" s="1"/>
  <c r="N1580" i="6"/>
  <c r="O1580" i="6" s="1"/>
  <c r="N859" i="6"/>
  <c r="O859" i="6" s="1"/>
  <c r="N617" i="6"/>
  <c r="O617" i="6" s="1"/>
  <c r="N1689" i="6"/>
  <c r="O1689" i="6" s="1"/>
  <c r="N557" i="6"/>
  <c r="O557" i="6" s="1"/>
  <c r="N644" i="6"/>
  <c r="O644" i="6" s="1"/>
  <c r="N734" i="6"/>
  <c r="O734" i="6" s="1"/>
  <c r="N411" i="6"/>
  <c r="O411" i="6" s="1"/>
  <c r="N213" i="6"/>
  <c r="O213" i="6" s="1"/>
  <c r="N1401" i="6"/>
  <c r="O1401" i="6" s="1"/>
  <c r="N195" i="6"/>
  <c r="O195" i="6" s="1"/>
  <c r="N1259" i="6"/>
  <c r="O1259" i="6" s="1"/>
  <c r="N38" i="6"/>
  <c r="O38" i="6" s="1"/>
  <c r="N533" i="6"/>
  <c r="O533" i="6" s="1"/>
  <c r="N717" i="6"/>
  <c r="O717" i="6" s="1"/>
  <c r="N690" i="6"/>
  <c r="O690" i="6" s="1"/>
  <c r="N457" i="6"/>
  <c r="O457" i="6" s="1"/>
  <c r="N332" i="6"/>
  <c r="O332" i="6" s="1"/>
  <c r="N1543" i="6"/>
  <c r="O1543" i="6" s="1"/>
  <c r="N1660" i="6"/>
  <c r="O1660" i="6" s="1"/>
  <c r="N671" i="6"/>
  <c r="O671" i="6" s="1"/>
  <c r="N320" i="6"/>
  <c r="O320" i="6" s="1"/>
  <c r="N783" i="6"/>
  <c r="O783" i="6" s="1"/>
  <c r="N1733" i="6"/>
  <c r="O1733" i="6" s="1"/>
  <c r="N112" i="6"/>
  <c r="O112" i="6" s="1"/>
  <c r="N513" i="6"/>
  <c r="O513" i="6" s="1"/>
  <c r="N792" i="6"/>
  <c r="O792" i="6" s="1"/>
  <c r="N1495" i="6"/>
  <c r="O1495" i="6" s="1"/>
  <c r="N2562" i="6"/>
  <c r="O2562" i="6" s="1"/>
  <c r="N1631" i="6"/>
  <c r="O1631" i="6" s="1"/>
  <c r="N363" i="6"/>
  <c r="O363" i="6" s="1"/>
  <c r="N1167" i="6"/>
  <c r="O1167" i="6" s="1"/>
  <c r="N84" i="6"/>
  <c r="O84" i="6" s="1"/>
  <c r="N521" i="6"/>
  <c r="O521" i="6" s="1"/>
  <c r="N263" i="6"/>
  <c r="O263" i="6" s="1"/>
  <c r="N1979" i="6"/>
  <c r="O1979" i="6" s="1"/>
  <c r="N160" i="6"/>
  <c r="O160" i="6" s="1"/>
  <c r="N355" i="6"/>
  <c r="O355" i="6" s="1"/>
  <c r="N593" i="6"/>
  <c r="O593" i="6" s="1"/>
  <c r="N764" i="6"/>
  <c r="O764" i="6" s="1"/>
  <c r="N1400" i="6"/>
  <c r="O1400" i="6" s="1"/>
  <c r="N163" i="6"/>
  <c r="O163" i="6" s="1"/>
  <c r="N827" i="6"/>
  <c r="O827" i="6" s="1"/>
  <c r="N1768" i="6"/>
  <c r="O1768" i="6" s="1"/>
  <c r="N470" i="6"/>
  <c r="O470" i="6" s="1"/>
  <c r="N514" i="6"/>
  <c r="O514" i="6" s="1"/>
  <c r="N736" i="6"/>
  <c r="O736" i="6" s="1"/>
  <c r="N1074" i="6"/>
  <c r="O1074" i="6" s="1"/>
  <c r="N300" i="6"/>
  <c r="O300" i="6" s="1"/>
  <c r="N704" i="6"/>
  <c r="O704" i="6" s="1"/>
  <c r="N460" i="6"/>
  <c r="O460" i="6" s="1"/>
  <c r="N435" i="6"/>
  <c r="O435" i="6" s="1"/>
  <c r="N1760" i="6"/>
  <c r="O1760" i="6" s="1"/>
  <c r="N442" i="6"/>
  <c r="O442" i="6" s="1"/>
  <c r="N1128" i="6"/>
  <c r="O1128" i="6" s="1"/>
  <c r="N596" i="6"/>
  <c r="O596" i="6" s="1"/>
  <c r="N779" i="6"/>
  <c r="O779" i="6" s="1"/>
  <c r="N686" i="6"/>
  <c r="O686" i="6" s="1"/>
  <c r="N542" i="6"/>
  <c r="O542" i="6" s="1"/>
  <c r="N841" i="6"/>
  <c r="O841" i="6" s="1"/>
  <c r="N1913" i="6"/>
  <c r="O1913" i="6" s="1"/>
  <c r="N1525" i="6"/>
  <c r="O1525" i="6" s="1"/>
  <c r="N350" i="6"/>
  <c r="O350" i="6" s="1"/>
  <c r="N339" i="6"/>
  <c r="O339" i="6" s="1"/>
  <c r="N1093" i="6"/>
  <c r="O1093" i="6" s="1"/>
  <c r="N40" i="6"/>
  <c r="O40" i="6" s="1"/>
  <c r="N401" i="6"/>
  <c r="O401" i="6" s="1"/>
  <c r="N236" i="6"/>
  <c r="O236" i="6" s="1"/>
  <c r="N16" i="6"/>
  <c r="O16" i="6" s="1"/>
  <c r="N589" i="6"/>
  <c r="O589" i="6" s="1"/>
  <c r="N988" i="6"/>
  <c r="O988" i="6" s="1"/>
  <c r="N267" i="6"/>
  <c r="O267" i="6" s="1"/>
  <c r="N361" i="6"/>
  <c r="O361" i="6" s="1"/>
  <c r="N524" i="6"/>
  <c r="O524" i="6" s="1"/>
  <c r="N506" i="6"/>
  <c r="O506" i="6" s="1"/>
  <c r="N595" i="6"/>
  <c r="O595" i="6" s="1"/>
  <c r="N465" i="6"/>
  <c r="O465" i="6" s="1"/>
  <c r="N525" i="6"/>
  <c r="O525" i="6" s="1"/>
  <c r="N710" i="6"/>
  <c r="O710" i="6" s="1"/>
  <c r="N1905" i="6"/>
  <c r="O1905" i="6" s="1"/>
  <c r="N10" i="6"/>
  <c r="O10" i="6" s="1"/>
  <c r="N667" i="6"/>
  <c r="O667" i="6" s="1"/>
  <c r="N1110" i="6"/>
  <c r="O1110" i="6" s="1"/>
  <c r="N1182" i="6"/>
  <c r="O1182" i="6" s="1"/>
  <c r="N735" i="6"/>
  <c r="O735" i="6" s="1"/>
  <c r="N480" i="6"/>
  <c r="O480" i="6" s="1"/>
  <c r="N135" i="6"/>
  <c r="O135" i="6" s="1"/>
  <c r="N1982" i="6"/>
  <c r="O1982" i="6" s="1"/>
  <c r="N1914" i="6"/>
  <c r="O1914" i="6" s="1"/>
  <c r="N1237" i="6"/>
  <c r="O1237" i="6" s="1"/>
  <c r="N44" i="6"/>
  <c r="O44" i="6" s="1"/>
  <c r="N1234" i="6"/>
  <c r="O1234" i="6" s="1"/>
  <c r="N661" i="6"/>
  <c r="O661" i="6" s="1"/>
  <c r="N1849" i="6"/>
  <c r="O1849" i="6" s="1"/>
  <c r="N698" i="6"/>
  <c r="O698" i="6" s="1"/>
  <c r="N1176" i="6"/>
  <c r="O1176" i="6" s="1"/>
  <c r="N192" i="6"/>
  <c r="O192" i="6" s="1"/>
  <c r="N1638" i="6"/>
  <c r="O1638" i="6" s="1"/>
  <c r="N938" i="6"/>
  <c r="O938" i="6" s="1"/>
  <c r="N1658" i="6"/>
  <c r="O1658" i="6" s="1"/>
  <c r="N559" i="6"/>
  <c r="O559" i="6" s="1"/>
  <c r="N507" i="6"/>
  <c r="O507" i="6" s="1"/>
  <c r="N58" i="6"/>
  <c r="O58" i="6" s="1"/>
  <c r="N1904" i="6"/>
  <c r="O1904" i="6" s="1"/>
  <c r="N1082" i="6"/>
  <c r="O1082" i="6" s="1"/>
  <c r="N127" i="6"/>
  <c r="O127" i="6" s="1"/>
  <c r="N612" i="6"/>
  <c r="O612" i="6" s="1"/>
  <c r="N1696" i="6"/>
  <c r="O1696" i="6" s="1"/>
  <c r="N1002" i="6"/>
  <c r="O1002" i="6" s="1"/>
  <c r="N629" i="6"/>
  <c r="O629" i="6" s="1"/>
  <c r="N323" i="6"/>
  <c r="O323" i="6" s="1"/>
  <c r="N1046" i="6"/>
  <c r="O1046" i="6" s="1"/>
  <c r="N426" i="6"/>
  <c r="O426" i="6" s="1"/>
  <c r="N775" i="6"/>
  <c r="O775" i="6" s="1"/>
  <c r="N565" i="6"/>
  <c r="O565" i="6" s="1"/>
  <c r="N1238" i="6"/>
  <c r="O1238" i="6" s="1"/>
  <c r="N275" i="6"/>
  <c r="O275" i="6" s="1"/>
  <c r="N1373" i="6"/>
  <c r="O1373" i="6" s="1"/>
  <c r="N123" i="6"/>
  <c r="O123" i="6" s="1"/>
  <c r="N383" i="6"/>
  <c r="O383" i="6" s="1"/>
  <c r="N1210" i="6"/>
  <c r="O1210" i="6" s="1"/>
  <c r="N512" i="6"/>
  <c r="O512" i="6" s="1"/>
  <c r="N640" i="6"/>
  <c r="O640" i="6" s="1"/>
  <c r="N1840" i="6"/>
  <c r="O1840" i="6" s="1"/>
  <c r="N1004" i="6"/>
  <c r="O1004" i="6" s="1"/>
  <c r="N1628" i="6"/>
  <c r="O1628" i="6" s="1"/>
  <c r="N116" i="6"/>
  <c r="O116" i="6" s="1"/>
  <c r="N923" i="6"/>
  <c r="O923" i="6" s="1"/>
  <c r="N663" i="6"/>
  <c r="O663" i="6" s="1"/>
  <c r="N637" i="6"/>
  <c r="O637" i="6" s="1"/>
  <c r="N125" i="6"/>
  <c r="O125" i="6" s="1"/>
  <c r="N1316" i="6"/>
  <c r="O1316" i="6" s="1"/>
  <c r="N1945" i="6"/>
  <c r="O1945" i="6" s="1"/>
  <c r="N517" i="6"/>
  <c r="O517" i="6" s="1"/>
  <c r="N1000" i="6"/>
  <c r="O1000" i="6" s="1"/>
  <c r="N451" i="6"/>
  <c r="O451" i="6" s="1"/>
  <c r="N396" i="6"/>
  <c r="O396" i="6" s="1"/>
  <c r="N616" i="6"/>
  <c r="O616" i="6" s="1"/>
  <c r="N2103" i="6"/>
  <c r="O2103" i="6" s="1"/>
  <c r="N910" i="6"/>
  <c r="O910" i="6" s="1"/>
  <c r="N418" i="6"/>
  <c r="O418" i="6" s="1"/>
  <c r="N1649" i="6"/>
  <c r="O1649" i="6" s="1"/>
  <c r="N534" i="6"/>
  <c r="O534" i="6" s="1"/>
  <c r="N419" i="6"/>
  <c r="O419" i="6" s="1"/>
  <c r="N540" i="6"/>
  <c r="O540" i="6" s="1"/>
  <c r="N371" i="6"/>
  <c r="O371" i="6" s="1"/>
  <c r="N2271" i="6"/>
  <c r="O2271" i="6" s="1"/>
  <c r="N166" i="6"/>
  <c r="O166" i="6" s="1"/>
  <c r="N1007" i="6"/>
  <c r="O1007" i="6" s="1"/>
  <c r="N1118" i="6"/>
  <c r="O1118" i="6" s="1"/>
  <c r="N795" i="6"/>
  <c r="O795" i="6" s="1"/>
  <c r="N755" i="6"/>
  <c r="O755" i="6" s="1"/>
  <c r="N529" i="6"/>
  <c r="O529" i="6" s="1"/>
  <c r="N486" i="6"/>
  <c r="O486" i="6" s="1"/>
  <c r="N980" i="6"/>
  <c r="O980" i="6" s="1"/>
  <c r="N567" i="6"/>
  <c r="O567" i="6" s="1"/>
  <c r="N1952" i="6"/>
  <c r="O1952" i="6" s="1"/>
  <c r="N232" i="6"/>
  <c r="O232" i="6" s="1"/>
  <c r="N360" i="6"/>
  <c r="O360" i="6" s="1"/>
  <c r="N953" i="6"/>
  <c r="O953" i="6" s="1"/>
  <c r="N55" i="6"/>
  <c r="O55" i="6" s="1"/>
  <c r="N876" i="6"/>
  <c r="O876" i="6" s="1"/>
  <c r="N245" i="6"/>
  <c r="O245" i="6" s="1"/>
  <c r="N1744" i="6"/>
  <c r="O1744" i="6" s="1"/>
  <c r="N1070" i="6"/>
  <c r="O1070" i="6" s="1"/>
  <c r="N711" i="6"/>
  <c r="O711" i="6" s="1"/>
  <c r="N727" i="6"/>
  <c r="O727" i="6" s="1"/>
  <c r="N251" i="6"/>
  <c r="O251" i="6" s="1"/>
  <c r="N288" i="6"/>
  <c r="O288" i="6" s="1"/>
  <c r="N103" i="6"/>
  <c r="O103" i="6" s="1"/>
  <c r="N449" i="6"/>
  <c r="O449" i="6" s="1"/>
  <c r="N255" i="6"/>
  <c r="O255" i="6" s="1"/>
  <c r="N1246" i="6"/>
  <c r="O1246" i="6" s="1"/>
  <c r="N854" i="6"/>
  <c r="O854" i="6" s="1"/>
  <c r="N337" i="6"/>
  <c r="O337" i="6" s="1"/>
  <c r="N1764" i="6"/>
  <c r="O1764" i="6" s="1"/>
  <c r="N2115" i="6"/>
  <c r="O2115" i="6" s="1"/>
  <c r="N1357" i="6"/>
  <c r="O1357" i="6" s="1"/>
  <c r="N227" i="6"/>
  <c r="O227" i="6" s="1"/>
  <c r="N497" i="6"/>
  <c r="O497" i="6" s="1"/>
  <c r="N262" i="6"/>
  <c r="O262" i="6" s="1"/>
  <c r="N560" i="6"/>
  <c r="O560" i="6" s="1"/>
  <c r="N21" i="6"/>
  <c r="O21" i="6" s="1"/>
  <c r="N407" i="6"/>
  <c r="O407" i="6" s="1"/>
  <c r="N197" i="6"/>
  <c r="O197" i="6" s="1"/>
  <c r="N330" i="6"/>
  <c r="O330" i="6" s="1"/>
  <c r="N1327" i="6"/>
  <c r="O1327" i="6" s="1"/>
  <c r="N1058" i="6"/>
  <c r="O1058" i="6" s="1"/>
  <c r="N581" i="6"/>
  <c r="O581" i="6" s="1"/>
  <c r="N2432" i="6"/>
  <c r="O2432" i="6" s="1"/>
  <c r="N1655" i="6"/>
  <c r="O1655" i="6" s="1"/>
  <c r="N171" i="6"/>
  <c r="O171" i="6" s="1"/>
  <c r="N356" i="6"/>
  <c r="O356" i="6" s="1"/>
  <c r="N943" i="6"/>
  <c r="O943" i="6" s="1"/>
  <c r="N444" i="6"/>
  <c r="O444" i="6" s="1"/>
  <c r="N824" i="6"/>
  <c r="O824" i="6" s="1"/>
  <c r="N1746" i="6"/>
  <c r="O1746" i="6" s="1"/>
  <c r="N1131" i="6"/>
  <c r="O1131" i="6" s="1"/>
  <c r="N129" i="6"/>
  <c r="O129" i="6" s="1"/>
  <c r="N763" i="6"/>
  <c r="O763" i="6" s="1"/>
  <c r="N258" i="6"/>
  <c r="O258" i="6" s="1"/>
  <c r="N882" i="6"/>
  <c r="O882" i="6" s="1"/>
  <c r="N201" i="6"/>
  <c r="O201" i="6" s="1"/>
  <c r="N591" i="6"/>
  <c r="O591" i="6" s="1"/>
  <c r="N244" i="6"/>
  <c r="O244" i="6" s="1"/>
  <c r="N1588" i="6"/>
  <c r="O1588" i="6" s="1"/>
  <c r="N828" i="6"/>
  <c r="O828" i="6" s="1"/>
  <c r="N167" i="6"/>
  <c r="O167" i="6" s="1"/>
  <c r="N414" i="6"/>
  <c r="O414" i="6" s="1"/>
  <c r="N287" i="6"/>
  <c r="O287" i="6" s="1"/>
  <c r="N539" i="6"/>
  <c r="O539" i="6" s="1"/>
  <c r="N41" i="6"/>
  <c r="O41" i="6" s="1"/>
  <c r="N187" i="6"/>
  <c r="O187" i="6" s="1"/>
  <c r="N291" i="6"/>
  <c r="O291" i="6" s="1"/>
  <c r="N889" i="6"/>
  <c r="O889" i="6" s="1"/>
  <c r="N196" i="6"/>
  <c r="O196" i="6" s="1"/>
  <c r="N620" i="6"/>
  <c r="O620" i="6" s="1"/>
  <c r="N427" i="6"/>
  <c r="O427" i="6" s="1"/>
  <c r="N954" i="6"/>
  <c r="O954" i="6" s="1"/>
  <c r="N1682" i="6"/>
  <c r="O1682" i="6" s="1"/>
  <c r="N1460" i="6"/>
  <c r="O1460" i="6" s="1"/>
  <c r="N660" i="6"/>
  <c r="O660" i="6" s="1"/>
  <c r="N1014" i="6"/>
  <c r="O1014" i="6" s="1"/>
  <c r="N1031" i="6"/>
  <c r="O1031" i="6" s="1"/>
  <c r="N370" i="6"/>
  <c r="O370" i="6" s="1"/>
  <c r="N554" i="6"/>
  <c r="O554" i="6" s="1"/>
  <c r="N472" i="6"/>
  <c r="O472" i="6" s="1"/>
  <c r="N1477" i="6"/>
  <c r="O1477" i="6" s="1"/>
  <c r="N770" i="6"/>
  <c r="O770" i="6" s="1"/>
  <c r="N655" i="6"/>
  <c r="O655" i="6" s="1"/>
  <c r="N922" i="6"/>
  <c r="O922" i="6" s="1"/>
  <c r="N397" i="6"/>
  <c r="O397" i="6" s="1"/>
  <c r="N1752" i="6"/>
  <c r="O1752" i="6" s="1"/>
  <c r="N992" i="6"/>
  <c r="O992" i="6" s="1"/>
  <c r="N891" i="6"/>
  <c r="O891" i="6" s="1"/>
  <c r="N464" i="6"/>
  <c r="O464" i="6" s="1"/>
  <c r="N28" i="6"/>
  <c r="O28" i="6" s="1"/>
  <c r="N2112" i="6"/>
  <c r="O2112" i="6" s="1"/>
  <c r="N860" i="6"/>
  <c r="O860" i="6" s="1"/>
  <c r="N879" i="6"/>
  <c r="O879" i="6" s="1"/>
  <c r="N684" i="6"/>
  <c r="O684" i="6" s="1"/>
  <c r="N746" i="6"/>
  <c r="O746" i="6" s="1"/>
  <c r="N819" i="6"/>
  <c r="O819" i="6" s="1"/>
  <c r="N335" i="6"/>
  <c r="O335" i="6" s="1"/>
  <c r="N896" i="6"/>
  <c r="O896" i="6" s="1"/>
  <c r="N622" i="6"/>
  <c r="O622" i="6" s="1"/>
  <c r="N1017" i="6"/>
  <c r="O1017" i="6" s="1"/>
  <c r="N228" i="6"/>
  <c r="O228" i="6" s="1"/>
  <c r="N864" i="6"/>
  <c r="O864" i="6" s="1"/>
  <c r="N222" i="6"/>
  <c r="O222" i="6" s="1"/>
  <c r="N739" i="6"/>
  <c r="O739" i="6" s="1"/>
  <c r="N899" i="6"/>
  <c r="O899" i="6" s="1"/>
  <c r="N340" i="6"/>
  <c r="O340" i="6" s="1"/>
  <c r="N645" i="6"/>
  <c r="O645" i="6" s="1"/>
  <c r="N563" i="6"/>
  <c r="O563" i="6" s="1"/>
  <c r="N96" i="6"/>
  <c r="O96" i="6" s="1"/>
  <c r="N1640" i="6"/>
  <c r="O1640" i="6" s="1"/>
  <c r="N211" i="6"/>
  <c r="O211" i="6" s="1"/>
  <c r="N155" i="6"/>
  <c r="O155" i="6" s="1"/>
  <c r="N223" i="6"/>
  <c r="O223" i="6" s="1"/>
  <c r="N346" i="6"/>
  <c r="O346" i="6" s="1"/>
  <c r="N1343" i="6"/>
  <c r="O1343" i="6" s="1"/>
  <c r="N1016" i="6"/>
  <c r="O1016" i="6" s="1"/>
  <c r="N1138" i="6"/>
  <c r="O1138" i="6" s="1"/>
  <c r="N1470" i="6"/>
  <c r="O1470" i="6" s="1"/>
  <c r="N278" i="6"/>
  <c r="O278" i="6" s="1"/>
  <c r="N579" i="6"/>
  <c r="O579" i="6" s="1"/>
  <c r="N942" i="6"/>
  <c r="O942" i="6" s="1"/>
  <c r="N681" i="6"/>
  <c r="O681" i="6" s="1"/>
  <c r="N947" i="6"/>
  <c r="O947" i="6" s="1"/>
  <c r="N519" i="6"/>
  <c r="O519" i="6" s="1"/>
  <c r="N1039" i="6"/>
  <c r="O1039" i="6" s="1"/>
  <c r="N1115" i="6"/>
  <c r="O1115" i="6" s="1"/>
  <c r="N1812" i="6"/>
  <c r="O1812" i="6" s="1"/>
  <c r="N1568" i="6"/>
  <c r="O1568" i="6" s="1"/>
  <c r="N199" i="6"/>
  <c r="O199" i="6" s="1"/>
  <c r="N164" i="6"/>
  <c r="O164" i="6" s="1"/>
  <c r="N97" i="6"/>
  <c r="O97" i="6" s="1"/>
  <c r="N141" i="6"/>
  <c r="O141" i="6" s="1"/>
  <c r="N851" i="6"/>
  <c r="O851" i="6" s="1"/>
  <c r="N376" i="6"/>
  <c r="O376" i="6" s="1"/>
  <c r="N1271" i="6"/>
  <c r="O1271" i="6" s="1"/>
  <c r="N110" i="6"/>
  <c r="O110" i="6" s="1"/>
  <c r="N348" i="6"/>
  <c r="O348" i="6" s="1"/>
  <c r="N561" i="6"/>
  <c r="O561" i="6" s="1"/>
  <c r="N996" i="6"/>
  <c r="O996" i="6" s="1"/>
  <c r="N928" i="6"/>
  <c r="O928" i="6" s="1"/>
  <c r="N1544" i="6"/>
  <c r="O1544" i="6" s="1"/>
  <c r="N95" i="6"/>
  <c r="O95" i="6" s="1"/>
  <c r="N1762" i="6"/>
  <c r="O1762" i="6" s="1"/>
  <c r="N151" i="6"/>
  <c r="O151" i="6" s="1"/>
  <c r="N217" i="6"/>
  <c r="O217" i="6" s="1"/>
  <c r="N270" i="6"/>
  <c r="O270" i="6" s="1"/>
  <c r="N29" i="6"/>
  <c r="O29" i="6" s="1"/>
  <c r="N875" i="6"/>
  <c r="O875" i="6" s="1"/>
  <c r="N842" i="6"/>
  <c r="O842" i="6" s="1"/>
  <c r="N2400" i="6"/>
  <c r="O2400" i="6" s="1"/>
  <c r="N1197" i="6"/>
  <c r="O1197" i="6" s="1"/>
  <c r="N921" i="6"/>
  <c r="O921" i="6" s="1"/>
  <c r="N555" i="6"/>
  <c r="O555" i="6" s="1"/>
  <c r="N1370" i="6"/>
  <c r="O1370" i="6" s="1"/>
  <c r="N326" i="6"/>
  <c r="O326" i="6" s="1"/>
  <c r="N986" i="6"/>
  <c r="O986" i="6" s="1"/>
  <c r="N692" i="6"/>
  <c r="O692" i="6" s="1"/>
  <c r="N1267" i="6"/>
  <c r="O1267" i="6" s="1"/>
  <c r="N1364" i="6"/>
  <c r="O1364" i="6" s="1"/>
  <c r="N1143" i="6"/>
  <c r="O1143" i="6" s="1"/>
  <c r="N2392" i="6"/>
  <c r="O2392" i="6" s="1"/>
  <c r="N1455" i="6"/>
  <c r="O1455" i="6" s="1"/>
  <c r="N375" i="6"/>
  <c r="O375" i="6" s="1"/>
  <c r="N619" i="6"/>
  <c r="O619" i="6" s="1"/>
  <c r="N598" i="6"/>
  <c r="O598" i="6" s="1"/>
  <c r="N1020" i="6"/>
  <c r="O1020" i="6" s="1"/>
  <c r="N797" i="6"/>
  <c r="O797" i="6" s="1"/>
  <c r="N1420" i="6"/>
  <c r="O1420" i="6" s="1"/>
  <c r="N369" i="6"/>
  <c r="O369" i="6" s="1"/>
  <c r="N1175" i="6"/>
  <c r="O1175" i="6" s="1"/>
  <c r="N1116" i="6"/>
  <c r="O1116" i="6" s="1"/>
  <c r="N743" i="6"/>
  <c r="O743" i="6" s="1"/>
  <c r="N387" i="6"/>
  <c r="O387" i="6" s="1"/>
  <c r="N914" i="6"/>
  <c r="O914" i="6" s="1"/>
  <c r="N2280" i="6"/>
  <c r="O2280" i="6" s="1"/>
  <c r="N352" i="6"/>
  <c r="O352" i="6" s="1"/>
  <c r="N2458" i="6"/>
  <c r="O2458" i="6" s="1"/>
  <c r="N1438" i="6"/>
  <c r="O1438" i="6" s="1"/>
  <c r="N778" i="6"/>
  <c r="O778" i="6" s="1"/>
  <c r="N807" i="6"/>
  <c r="O807" i="6" s="1"/>
  <c r="N614" i="6"/>
  <c r="O614" i="6" s="1"/>
  <c r="N2111" i="6"/>
  <c r="O2111" i="6" s="1"/>
  <c r="N177" i="6"/>
  <c r="O177" i="6" s="1"/>
  <c r="N52" i="6"/>
  <c r="O52" i="6" s="1"/>
  <c r="N751" i="6"/>
  <c r="O751" i="6" s="1"/>
  <c r="N1050" i="6"/>
  <c r="O1050" i="6" s="1"/>
  <c r="N24" i="6"/>
  <c r="O24" i="6" s="1"/>
  <c r="N1624" i="6"/>
  <c r="O1624" i="6" s="1"/>
  <c r="N209" i="6"/>
  <c r="O209" i="6" s="1"/>
  <c r="N446" i="6"/>
  <c r="O446" i="6" s="1"/>
  <c r="N191" i="6"/>
  <c r="O191" i="6" s="1"/>
  <c r="N378" i="6"/>
  <c r="O378" i="6" s="1"/>
  <c r="N920" i="6"/>
  <c r="O920" i="6" s="1"/>
  <c r="N455" i="6"/>
  <c r="O455" i="6" s="1"/>
  <c r="N384" i="6"/>
  <c r="O384" i="6" s="1"/>
  <c r="N220" i="6"/>
  <c r="O220" i="6" s="1"/>
  <c r="N1048" i="6"/>
  <c r="O1048" i="6" s="1"/>
  <c r="N473" i="6"/>
  <c r="O473" i="6" s="1"/>
  <c r="N1692" i="6"/>
  <c r="O1692" i="6" s="1"/>
  <c r="N836" i="6"/>
  <c r="O836" i="6" s="1"/>
  <c r="N1394" i="6"/>
  <c r="O1394" i="6" s="1"/>
  <c r="N587" i="6"/>
  <c r="O587" i="6" s="1"/>
  <c r="N895" i="6"/>
  <c r="O895" i="6" s="1"/>
  <c r="N92" i="6"/>
  <c r="O92" i="6" s="1"/>
  <c r="N863" i="6"/>
  <c r="O863" i="6" s="1"/>
  <c r="N1596" i="6"/>
  <c r="O1596" i="6" s="1"/>
  <c r="N298" i="6"/>
  <c r="O298" i="6" s="1"/>
  <c r="N568" i="6"/>
  <c r="O568" i="6" s="1"/>
  <c r="N594" i="6"/>
  <c r="O594" i="6" s="1"/>
  <c r="N2160" i="6"/>
  <c r="O2160" i="6" s="1"/>
  <c r="N36" i="6"/>
  <c r="O36" i="6" s="1"/>
  <c r="N113" i="6"/>
  <c r="O113" i="6" s="1"/>
  <c r="N416" i="6"/>
  <c r="O416" i="6" s="1"/>
  <c r="N1242" i="6"/>
  <c r="O1242" i="6" s="1"/>
  <c r="N493" i="6"/>
  <c r="O493" i="6" s="1"/>
  <c r="N543" i="6"/>
  <c r="O543" i="6" s="1"/>
  <c r="N2235" i="6"/>
  <c r="O2235" i="6" s="1"/>
  <c r="N133" i="6"/>
  <c r="O133" i="6" s="1"/>
  <c r="N1072" i="6"/>
  <c r="O1072" i="6" s="1"/>
  <c r="N1632" i="6"/>
  <c r="O1632" i="6" s="1"/>
  <c r="N304" i="6"/>
  <c r="O304" i="6" s="1"/>
  <c r="N978" i="6"/>
  <c r="O978" i="6" s="1"/>
  <c r="N1158" i="6"/>
  <c r="O1158" i="6" s="1"/>
  <c r="N494" i="6"/>
  <c r="O494" i="6" s="1"/>
  <c r="N1575" i="6"/>
  <c r="O1575" i="6" s="1"/>
  <c r="N552" i="6"/>
  <c r="O552" i="6" s="1"/>
  <c r="N76" i="6"/>
  <c r="O76" i="6" s="1"/>
  <c r="N351" i="6"/>
  <c r="O351" i="6" s="1"/>
  <c r="N134" i="6"/>
  <c r="O134" i="6" s="1"/>
  <c r="N1189" i="6"/>
  <c r="O1189" i="6" s="1"/>
  <c r="N577" i="6"/>
  <c r="O577" i="6" s="1"/>
  <c r="N994" i="6"/>
  <c r="O994" i="6" s="1"/>
  <c r="N382" i="6"/>
  <c r="O382" i="6" s="1"/>
  <c r="N1497" i="6"/>
  <c r="O1497" i="6" s="1"/>
  <c r="N1198" i="6"/>
  <c r="O1198" i="6" s="1"/>
  <c r="N1504" i="6"/>
  <c r="O1504" i="6" s="1"/>
  <c r="N693" i="6"/>
  <c r="O693" i="6" s="1"/>
  <c r="N737" i="6"/>
  <c r="O737" i="6" s="1"/>
  <c r="N47" i="6"/>
  <c r="O47" i="6" s="1"/>
  <c r="N908" i="6"/>
  <c r="O908" i="6" s="1"/>
  <c r="N569" i="6"/>
  <c r="O569" i="6" s="1"/>
  <c r="N488" i="6"/>
  <c r="O488" i="6" s="1"/>
  <c r="N379" i="6"/>
  <c r="O379" i="6" s="1"/>
  <c r="N774" i="6"/>
  <c r="O774" i="6" s="1"/>
  <c r="N811" i="6"/>
  <c r="O811" i="6" s="1"/>
  <c r="N850" i="6"/>
  <c r="O850" i="6" s="1"/>
  <c r="N2113" i="6"/>
  <c r="O2113" i="6" s="1"/>
  <c r="N142" i="6"/>
  <c r="O142" i="6" s="1"/>
  <c r="N385" i="6"/>
  <c r="O385" i="6" s="1"/>
  <c r="N306" i="6"/>
  <c r="O306" i="6" s="1"/>
  <c r="N1393" i="6"/>
  <c r="O1393" i="6" s="1"/>
  <c r="N440" i="6"/>
  <c r="O440" i="6" s="1"/>
  <c r="N1708" i="6"/>
  <c r="O1708" i="6" s="1"/>
  <c r="N314" i="6"/>
  <c r="O314" i="6" s="1"/>
  <c r="N1186" i="6"/>
  <c r="O1186" i="6" s="1"/>
  <c r="N1264" i="6"/>
  <c r="O1264" i="6" s="1"/>
  <c r="N1837" i="6"/>
  <c r="O1837" i="6" s="1"/>
  <c r="N1820" i="6"/>
  <c r="O1820" i="6" s="1"/>
  <c r="N1452" i="6"/>
  <c r="O1452" i="6" s="1"/>
  <c r="N1937" i="6"/>
  <c r="O1937" i="6" s="1"/>
  <c r="N636" i="6"/>
  <c r="O636" i="6" s="1"/>
  <c r="N207" i="6"/>
  <c r="O207" i="6" s="1"/>
  <c r="N926" i="6"/>
  <c r="O926" i="6" s="1"/>
  <c r="N1066" i="6"/>
  <c r="O1066" i="6" s="1"/>
  <c r="N495" i="6"/>
  <c r="O495" i="6" s="1"/>
  <c r="N633" i="6"/>
  <c r="O633" i="6" s="1"/>
  <c r="N575" i="6"/>
  <c r="O575" i="6" s="1"/>
  <c r="N2074" i="6"/>
  <c r="O2074" i="6" s="1"/>
  <c r="N724" i="6"/>
  <c r="O724" i="6" s="1"/>
  <c r="N628" i="6"/>
  <c r="O628" i="6" s="1"/>
  <c r="N62" i="6"/>
  <c r="O62" i="6" s="1"/>
  <c r="N347" i="6"/>
  <c r="O347" i="6" s="1"/>
  <c r="N1224" i="6"/>
  <c r="O1224" i="6" s="1"/>
  <c r="N571" i="6"/>
  <c r="O571" i="6" s="1"/>
  <c r="N1129" i="6"/>
  <c r="O1129" i="6" s="1"/>
  <c r="N182" i="6"/>
  <c r="O182" i="6" s="1"/>
  <c r="N1792" i="6"/>
  <c r="O1792" i="6" s="1"/>
  <c r="N958" i="6"/>
  <c r="O958" i="6" s="1"/>
  <c r="N715" i="6"/>
  <c r="O715" i="6" s="1"/>
  <c r="N313" i="6"/>
  <c r="O313" i="6" s="1"/>
  <c r="N239" i="6"/>
  <c r="O239" i="6" s="1"/>
  <c r="N1024" i="6"/>
  <c r="O1024" i="6" s="1"/>
  <c r="N1253" i="6"/>
  <c r="O1253" i="6" s="1"/>
  <c r="N1307" i="6"/>
  <c r="O1307" i="6" s="1"/>
  <c r="N73" i="6"/>
  <c r="O73" i="6" s="1"/>
  <c r="N428" i="6"/>
  <c r="O428" i="6" s="1"/>
  <c r="N624" i="6"/>
  <c r="O624" i="6" s="1"/>
  <c r="N367" i="6"/>
  <c r="O367" i="6" s="1"/>
  <c r="N284" i="6"/>
  <c r="O284" i="6" s="1"/>
  <c r="N1772" i="6"/>
  <c r="O1772" i="6" s="1"/>
  <c r="N114" i="6"/>
  <c r="O114" i="6" s="1"/>
  <c r="N147" i="6"/>
  <c r="O147" i="6" s="1"/>
  <c r="N1720" i="6"/>
  <c r="O1720" i="6" s="1"/>
  <c r="N1712" i="6"/>
  <c r="O1712" i="6" s="1"/>
  <c r="N1106" i="6"/>
  <c r="O1106" i="6" s="1"/>
  <c r="N1124" i="6"/>
  <c r="O1124" i="6" s="1"/>
  <c r="N1618" i="6"/>
  <c r="O1618" i="6" s="1"/>
  <c r="N799" i="6"/>
  <c r="O799" i="6" s="1"/>
  <c r="N687" i="6"/>
  <c r="O687" i="6" s="1"/>
  <c r="N1464" i="6"/>
  <c r="O1464" i="6" s="1"/>
  <c r="N1796" i="6"/>
  <c r="O1796" i="6" s="1"/>
  <c r="N1122" i="6"/>
  <c r="O1122" i="6" s="1"/>
  <c r="N1166" i="6"/>
  <c r="O1166" i="6" s="1"/>
  <c r="N676" i="6"/>
  <c r="O676" i="6" s="1"/>
  <c r="N997" i="6"/>
  <c r="O997" i="6" s="1"/>
  <c r="N962" i="6"/>
  <c r="O962" i="6" s="1"/>
  <c r="N900" i="6"/>
  <c r="O900" i="6" s="1"/>
  <c r="N1317" i="6"/>
  <c r="O1317" i="6" s="1"/>
  <c r="N1127" i="6"/>
  <c r="O1127" i="6" s="1"/>
  <c r="N649" i="6"/>
  <c r="O649" i="6" s="1"/>
  <c r="N265" i="6"/>
  <c r="O265" i="6" s="1"/>
  <c r="N500" i="6"/>
  <c r="O500" i="6" s="1"/>
  <c r="N545" i="6"/>
  <c r="O545" i="6" s="1"/>
  <c r="N2404" i="6"/>
  <c r="O2404" i="6" s="1"/>
  <c r="N471" i="6"/>
  <c r="O471" i="6" s="1"/>
  <c r="N691" i="6"/>
  <c r="O691" i="6" s="1"/>
  <c r="N1159" i="6"/>
  <c r="O1159" i="6" s="1"/>
  <c r="N78" i="6"/>
  <c r="O78" i="6" s="1"/>
  <c r="N358" i="6"/>
  <c r="O358" i="6" s="1"/>
  <c r="N709" i="6"/>
  <c r="O709" i="6" s="1"/>
  <c r="N1356" i="6"/>
  <c r="O1356" i="6" s="1"/>
  <c r="N1150" i="6"/>
  <c r="O1150" i="6" s="1"/>
  <c r="N1042" i="6"/>
  <c r="O1042" i="6" s="1"/>
  <c r="N1516" i="6"/>
  <c r="O1516" i="6" s="1"/>
  <c r="N907" i="6"/>
  <c r="O907" i="6" s="1"/>
  <c r="N85" i="6"/>
  <c r="O85" i="6" s="1"/>
  <c r="N452" i="6"/>
  <c r="O452" i="6" s="1"/>
  <c r="N1800" i="6"/>
  <c r="O1800" i="6" s="1"/>
  <c r="N527" i="6"/>
  <c r="O527" i="6" s="1"/>
  <c r="N286" i="6"/>
  <c r="O286" i="6" s="1"/>
  <c r="N2094" i="6"/>
  <c r="O2094" i="6" s="1"/>
  <c r="N1666" i="6"/>
  <c r="O1666" i="6" s="1"/>
  <c r="N1239" i="6"/>
  <c r="O1239" i="6" s="1"/>
  <c r="N1918" i="6"/>
  <c r="O1918" i="6" s="1"/>
  <c r="N548" i="6"/>
  <c r="O548" i="6" s="1"/>
  <c r="N1976" i="6"/>
  <c r="O1976" i="6" s="1"/>
  <c r="N1791" i="6"/>
  <c r="O1791" i="6" s="1"/>
  <c r="N1499" i="6"/>
  <c r="O1499" i="6" s="1"/>
  <c r="N1006" i="6"/>
  <c r="O1006" i="6" s="1"/>
  <c r="N1081" i="6"/>
  <c r="O1081" i="6" s="1"/>
  <c r="N1661" i="6"/>
  <c r="O1661" i="6" s="1"/>
  <c r="N2429" i="6"/>
  <c r="O2429" i="6" s="1"/>
  <c r="N931" i="6"/>
  <c r="O931" i="6" s="1"/>
  <c r="N609" i="6"/>
  <c r="O609" i="6" s="1"/>
  <c r="N515" i="6"/>
  <c r="O515" i="6" s="1"/>
  <c r="N874" i="6"/>
  <c r="O874" i="6" s="1"/>
  <c r="N1214" i="6"/>
  <c r="O1214" i="6" s="1"/>
  <c r="N723" i="6"/>
  <c r="O723" i="6" s="1"/>
  <c r="N1190" i="6"/>
  <c r="O1190" i="6" s="1"/>
  <c r="N18" i="6"/>
  <c r="O18" i="6" s="1"/>
  <c r="N1209" i="6"/>
  <c r="O1209" i="6" s="1"/>
  <c r="N720" i="6"/>
  <c r="O720" i="6" s="1"/>
  <c r="N208" i="6"/>
  <c r="O208" i="6" s="1"/>
  <c r="N712" i="6"/>
  <c r="O712" i="6" s="1"/>
  <c r="N417" i="6"/>
  <c r="O417" i="6" s="1"/>
  <c r="N481" i="6"/>
  <c r="O481" i="6" s="1"/>
  <c r="N1222" i="6"/>
  <c r="O1222" i="6" s="1"/>
  <c r="N1512" i="6"/>
  <c r="O1512" i="6" s="1"/>
  <c r="N380" i="6"/>
  <c r="O380" i="6" s="1"/>
  <c r="N362" i="6"/>
  <c r="O362" i="6" s="1"/>
  <c r="N74" i="6"/>
  <c r="O74" i="6" s="1"/>
  <c r="N216" i="6"/>
  <c r="O216" i="6" s="1"/>
  <c r="N688" i="6"/>
  <c r="O688" i="6" s="1"/>
  <c r="N840" i="6"/>
  <c r="O840" i="6" s="1"/>
  <c r="N1099" i="6"/>
  <c r="O1099" i="6" s="1"/>
  <c r="N2003" i="6"/>
  <c r="O2003" i="6" s="1"/>
  <c r="N535" i="6"/>
  <c r="O535" i="6" s="1"/>
  <c r="N679" i="6"/>
  <c r="O679" i="6" s="1"/>
  <c r="N1616" i="6"/>
  <c r="O1616" i="6" s="1"/>
  <c r="N372" i="6"/>
  <c r="O372" i="6" s="1"/>
  <c r="N816" i="6"/>
  <c r="O816" i="6" s="1"/>
  <c r="N290" i="6"/>
  <c r="O290" i="6" s="1"/>
  <c r="N728" i="6"/>
  <c r="O728" i="6" s="1"/>
  <c r="N250" i="6"/>
  <c r="O250" i="6" s="1"/>
  <c r="N13" i="6"/>
  <c r="O13" i="6" s="1"/>
  <c r="N675" i="6"/>
  <c r="O675" i="6" s="1"/>
  <c r="N56" i="6"/>
  <c r="O56" i="6" s="1"/>
  <c r="N1818" i="6"/>
  <c r="O1818" i="6" s="1"/>
  <c r="N1684" i="6"/>
  <c r="O1684" i="6" s="1"/>
  <c r="N1021" i="6"/>
  <c r="O1021" i="6" s="1"/>
  <c r="N247" i="6"/>
  <c r="O247" i="6" s="1"/>
  <c r="N1289" i="6"/>
  <c r="O1289" i="6" s="1"/>
  <c r="N1162" i="6"/>
  <c r="O1162" i="6" s="1"/>
  <c r="N71" i="6"/>
  <c r="O71" i="6" s="1"/>
  <c r="N738" i="6"/>
  <c r="O738" i="6" s="1"/>
  <c r="N1230" i="6"/>
  <c r="O1230" i="6" s="1"/>
  <c r="N549" i="6"/>
  <c r="O549" i="6" s="1"/>
  <c r="N1753" i="6"/>
  <c r="O1753" i="6" s="1"/>
  <c r="N1211" i="6"/>
  <c r="O1211" i="6" s="1"/>
  <c r="N229" i="6"/>
  <c r="O229" i="6" s="1"/>
  <c r="N168" i="6"/>
  <c r="O168" i="6" s="1"/>
  <c r="N1920" i="6"/>
  <c r="O1920" i="6" s="1"/>
  <c r="N37" i="6"/>
  <c r="O37" i="6" s="1"/>
  <c r="N89" i="6"/>
  <c r="O89" i="6" s="1"/>
  <c r="N1306" i="6"/>
  <c r="O1306" i="6" s="1"/>
  <c r="N1500" i="6"/>
  <c r="O1500" i="6" s="1"/>
  <c r="N951" i="6"/>
  <c r="O951" i="6" s="1"/>
  <c r="N1946" i="6"/>
  <c r="O1946" i="6" s="1"/>
  <c r="N2574" i="6"/>
  <c r="O2574" i="6" s="1"/>
  <c r="N2315" i="6"/>
  <c r="O2315" i="6" s="1"/>
  <c r="N1349" i="6"/>
  <c r="O1349" i="6" s="1"/>
  <c r="N280" i="6"/>
  <c r="O280" i="6" s="1"/>
  <c r="N86" i="6"/>
  <c r="O86" i="6" s="1"/>
  <c r="N658" i="6"/>
  <c r="O658" i="6" s="1"/>
  <c r="N2080" i="6"/>
  <c r="O2080" i="6" s="1"/>
  <c r="N1283" i="6"/>
  <c r="O1283" i="6" s="1"/>
  <c r="N2135" i="6"/>
  <c r="O2135" i="6" s="1"/>
  <c r="N2243" i="6"/>
  <c r="O2243" i="6" s="1"/>
  <c r="N1440" i="6"/>
  <c r="O1440" i="6" s="1"/>
  <c r="N643" i="6"/>
  <c r="O643" i="6" s="1"/>
  <c r="N580" i="6"/>
  <c r="O580" i="6" s="1"/>
  <c r="N551" i="6"/>
  <c r="O551" i="6" s="1"/>
  <c r="N1191" i="6"/>
  <c r="O1191" i="6" s="1"/>
  <c r="N115" i="6"/>
  <c r="O115" i="6" s="1"/>
  <c r="N855" i="6"/>
  <c r="O855" i="6" s="1"/>
  <c r="N2542" i="6"/>
  <c r="O2542" i="6" s="1"/>
  <c r="N15" i="6"/>
  <c r="O15" i="6" s="1"/>
  <c r="N173" i="6"/>
  <c r="O173" i="6" s="1"/>
  <c r="N1368" i="6"/>
  <c r="O1368" i="6" s="1"/>
  <c r="N748" i="6"/>
  <c r="O748" i="6" s="1"/>
  <c r="N303" i="6"/>
  <c r="O303" i="6" s="1"/>
  <c r="N94" i="6"/>
  <c r="O94" i="6" s="1"/>
  <c r="N1320" i="6"/>
  <c r="O1320" i="6" s="1"/>
  <c r="N744" i="6"/>
  <c r="O744" i="6" s="1"/>
  <c r="N754" i="6"/>
  <c r="O754" i="6" s="1"/>
  <c r="N70" i="6"/>
  <c r="O70" i="6" s="1"/>
  <c r="N48" i="6"/>
  <c r="O48" i="6" s="1"/>
  <c r="N252" i="6"/>
  <c r="O252" i="6" s="1"/>
  <c r="N492" i="6"/>
  <c r="O492" i="6" s="1"/>
  <c r="N101" i="6"/>
  <c r="O101" i="6" s="1"/>
  <c r="N266" i="6"/>
  <c r="O266" i="6" s="1"/>
  <c r="N491" i="6"/>
  <c r="O491" i="6" s="1"/>
  <c r="N1621" i="6"/>
  <c r="O1621" i="6" s="1"/>
  <c r="N653" i="6"/>
  <c r="O653" i="6" s="1"/>
  <c r="N395" i="6"/>
  <c r="O395" i="6" s="1"/>
  <c r="N152" i="6"/>
  <c r="O152" i="6" s="1"/>
  <c r="N124" i="6"/>
  <c r="O124" i="6" s="1"/>
  <c r="N144" i="6"/>
  <c r="O144" i="6" s="1"/>
  <c r="N20" i="6"/>
  <c r="O20" i="6" s="1"/>
  <c r="N260" i="6"/>
  <c r="O260" i="6" s="1"/>
  <c r="N999" i="6"/>
  <c r="O999" i="6" s="1"/>
  <c r="N364" i="6"/>
  <c r="O364" i="6" s="1"/>
  <c r="N1732" i="6"/>
  <c r="O1732" i="6" s="1"/>
  <c r="N264" i="6"/>
  <c r="O264" i="6" s="1"/>
  <c r="N708" i="6"/>
  <c r="O708" i="6" s="1"/>
  <c r="N241" i="6"/>
  <c r="O241" i="6" s="1"/>
  <c r="N1742" i="6"/>
  <c r="O1742" i="6" s="1"/>
  <c r="N756" i="6"/>
  <c r="O756" i="6" s="1"/>
  <c r="N478" i="6"/>
  <c r="O478" i="6" s="1"/>
  <c r="N1340" i="6"/>
  <c r="O1340" i="6" s="1"/>
  <c r="N944" i="6"/>
  <c r="O944" i="6" s="1"/>
  <c r="N511" i="6"/>
  <c r="O511" i="6" s="1"/>
  <c r="N81" i="6"/>
  <c r="O81" i="6" s="1"/>
  <c r="N153" i="6"/>
  <c r="O153" i="6" s="1"/>
  <c r="N421" i="6"/>
  <c r="O421" i="6" s="1"/>
  <c r="N32" i="6"/>
  <c r="O32" i="6" s="1"/>
  <c r="N459" i="6"/>
  <c r="O459" i="6" s="1"/>
  <c r="N621" i="6"/>
  <c r="O621" i="6" s="1"/>
  <c r="N1279" i="6"/>
  <c r="O1279" i="6" s="1"/>
  <c r="N990" i="6"/>
  <c r="O990" i="6" s="1"/>
  <c r="N169" i="6"/>
  <c r="O169" i="6" s="1"/>
  <c r="N600" i="6"/>
  <c r="O600" i="6" s="1"/>
  <c r="N627" i="6"/>
  <c r="O627" i="6" s="1"/>
  <c r="N1471" i="6"/>
  <c r="O1471" i="6" s="1"/>
  <c r="N279" i="6"/>
  <c r="O279" i="6" s="1"/>
  <c r="N820" i="6"/>
  <c r="O820" i="6" s="1"/>
  <c r="N285" i="6"/>
  <c r="O285" i="6" s="1"/>
  <c r="N145" i="6"/>
  <c r="O145" i="6" s="1"/>
  <c r="N814" i="6"/>
  <c r="O814" i="6" s="1"/>
  <c r="N1845" i="6"/>
  <c r="O1845" i="6" s="1"/>
  <c r="N1711" i="6"/>
  <c r="O1711" i="6" s="1"/>
  <c r="N483" i="6"/>
  <c r="O483" i="6" s="1"/>
  <c r="N256" i="6"/>
  <c r="O256" i="6" s="1"/>
  <c r="N162" i="6"/>
  <c r="O162" i="6" s="1"/>
  <c r="N1109" i="6"/>
  <c r="O1109" i="6" s="1"/>
  <c r="N1094" i="6"/>
  <c r="O1094" i="6" s="1"/>
  <c r="N462" i="6"/>
  <c r="O462" i="6" s="1"/>
  <c r="N1389" i="6"/>
  <c r="O1389" i="6" s="1"/>
  <c r="N308" i="6"/>
  <c r="O308" i="6" s="1"/>
  <c r="N1348" i="6"/>
  <c r="O1348" i="6" s="1"/>
  <c r="N562" i="6"/>
  <c r="O562" i="6" s="1"/>
  <c r="N995" i="6"/>
  <c r="O995" i="6" s="1"/>
  <c r="N564" i="6"/>
  <c r="O564" i="6" s="1"/>
  <c r="N240" i="6"/>
  <c r="O240" i="6" s="1"/>
  <c r="N1848" i="6"/>
  <c r="O1848" i="6" s="1"/>
  <c r="N12" i="6"/>
  <c r="O12" i="6" s="1"/>
  <c r="N328" i="6"/>
  <c r="O328" i="6" s="1"/>
  <c r="N1215" i="6"/>
  <c r="O1215" i="6" s="1"/>
  <c r="N911" i="6"/>
  <c r="O911" i="6" s="1"/>
  <c r="N136" i="6"/>
  <c r="O136" i="6" s="1"/>
  <c r="N365" i="6"/>
  <c r="O365" i="6" s="1"/>
  <c r="N642" i="6"/>
  <c r="O642" i="6" s="1"/>
  <c r="N1540" i="6"/>
  <c r="O1540" i="6" s="1"/>
  <c r="N225" i="6"/>
  <c r="O225" i="6" s="1"/>
  <c r="N1146" i="6"/>
  <c r="O1146" i="6" s="1"/>
  <c r="N1154" i="6"/>
  <c r="O1154" i="6" s="1"/>
  <c r="N1612" i="6"/>
  <c r="O1612" i="6" s="1"/>
  <c r="N1456" i="6"/>
  <c r="O1456" i="6" s="1"/>
  <c r="N297" i="6"/>
  <c r="O297" i="6" s="1"/>
  <c r="N1152" i="6"/>
  <c r="O1152" i="6" s="1"/>
  <c r="N887" i="6"/>
  <c r="O887" i="6" s="1"/>
  <c r="N1717" i="6"/>
  <c r="O1717" i="6" s="1"/>
  <c r="N780" i="6"/>
  <c r="O780" i="6" s="1"/>
  <c r="N1044" i="6"/>
  <c r="O1044" i="6" s="1"/>
  <c r="N210" i="6"/>
  <c r="O210" i="6" s="1"/>
  <c r="N53" i="6"/>
  <c r="O53" i="6" s="1"/>
  <c r="N1178" i="6"/>
  <c r="O1178" i="6" s="1"/>
  <c r="N1757" i="6"/>
  <c r="O1757" i="6" s="1"/>
  <c r="N812" i="6"/>
  <c r="O812" i="6" s="1"/>
  <c r="N537" i="6"/>
  <c r="O537" i="6" s="1"/>
  <c r="N546" i="6"/>
  <c r="O546" i="6" s="1"/>
  <c r="N368" i="6"/>
  <c r="O368" i="6" s="1"/>
  <c r="N22" i="6"/>
  <c r="O22" i="6" s="1"/>
  <c r="N588" i="6"/>
  <c r="O588" i="6" s="1"/>
  <c r="N139" i="6"/>
  <c r="O139" i="6" s="1"/>
  <c r="N131" i="6"/>
  <c r="O131" i="6" s="1"/>
  <c r="N159" i="6"/>
  <c r="O159" i="6" s="1"/>
  <c r="N1528" i="6"/>
  <c r="O1528" i="6" s="1"/>
  <c r="N149" i="6"/>
  <c r="O149" i="6" s="1"/>
  <c r="N826" i="6"/>
  <c r="O826" i="6" s="1"/>
  <c r="N438" i="6"/>
  <c r="O438" i="6" s="1"/>
  <c r="N952" i="6"/>
  <c r="O952" i="6" s="1"/>
  <c r="N1069" i="6"/>
  <c r="O1069" i="6" s="1"/>
  <c r="N499" i="6"/>
  <c r="O499" i="6" s="1"/>
  <c r="N2218" i="6"/>
  <c r="O2218" i="6" s="1"/>
  <c r="N475" i="6"/>
  <c r="O475" i="6" s="1"/>
  <c r="N972" i="6"/>
  <c r="O972" i="6" s="1"/>
  <c r="N815" i="6"/>
  <c r="O815" i="6" s="1"/>
  <c r="N844" i="6"/>
  <c r="O844" i="6" s="1"/>
  <c r="N57" i="6"/>
  <c r="O57" i="6" s="1"/>
  <c r="N1646" i="6"/>
  <c r="O1646" i="6" s="1"/>
  <c r="N429" i="6"/>
  <c r="O429" i="6" s="1"/>
  <c r="N1255" i="6"/>
  <c r="O1255" i="6" s="1"/>
  <c r="N1257" i="6"/>
  <c r="O1257" i="6" s="1"/>
  <c r="N785" i="6"/>
  <c r="O785" i="6" s="1"/>
  <c r="N641" i="6"/>
  <c r="O641" i="6" s="1"/>
  <c r="N68" i="6"/>
  <c r="O68" i="6" s="1"/>
  <c r="N1835" i="6"/>
  <c r="O1835" i="6" s="1"/>
  <c r="N1657" i="6"/>
  <c r="O1657" i="6" s="1"/>
  <c r="N230" i="6"/>
  <c r="O230" i="6" s="1"/>
  <c r="N1212" i="6"/>
  <c r="O1212" i="6" s="1"/>
  <c r="N1085" i="6"/>
  <c r="O1085" i="6" s="1"/>
  <c r="N93" i="6"/>
  <c r="O93" i="6" s="1"/>
  <c r="N2624" i="6"/>
  <c r="O2624" i="6" s="1"/>
  <c r="N810" i="6"/>
  <c r="O810" i="6" s="1"/>
  <c r="N847" i="6"/>
  <c r="O847" i="6" s="1"/>
  <c r="N203" i="6"/>
  <c r="O203" i="6" s="1"/>
  <c r="N312" i="6"/>
  <c r="O312" i="6" s="1"/>
  <c r="N388" i="6"/>
  <c r="O388" i="6" s="1"/>
  <c r="N2325" i="6"/>
  <c r="O2325" i="6" s="1"/>
  <c r="N830" i="6"/>
  <c r="O830" i="6" s="1"/>
  <c r="N2604" i="6"/>
  <c r="O2604" i="6" s="1"/>
  <c r="N650" i="6"/>
  <c r="O650" i="6" s="1"/>
  <c r="N1330" i="6"/>
  <c r="O1330" i="6" s="1"/>
  <c r="N242" i="6"/>
  <c r="O242" i="6" s="1"/>
  <c r="N17" i="6"/>
  <c r="O17" i="6" s="1"/>
  <c r="N215" i="6"/>
  <c r="O215" i="6" s="1"/>
  <c r="N254" i="6"/>
  <c r="O254" i="6" s="1"/>
  <c r="N592" i="6"/>
  <c r="O592" i="6" s="1"/>
  <c r="N1241" i="6"/>
  <c r="O1241" i="6" s="1"/>
  <c r="N556" i="6"/>
  <c r="O556" i="6" s="1"/>
  <c r="N179" i="6"/>
  <c r="O179" i="6" s="1"/>
  <c r="N2456" i="6"/>
  <c r="O2456" i="6" s="1"/>
  <c r="N1363" i="6"/>
  <c r="O1363" i="6" s="1"/>
  <c r="N1910" i="6"/>
  <c r="O1910" i="6" s="1"/>
  <c r="N550" i="6"/>
  <c r="O550" i="6" s="1"/>
  <c r="N1930" i="6"/>
  <c r="O1930" i="6" s="1"/>
  <c r="N353" i="6"/>
  <c r="O353" i="6" s="1"/>
  <c r="N484" i="6"/>
  <c r="O484" i="6" s="1"/>
  <c r="N1548" i="6"/>
  <c r="O1548" i="6" s="1"/>
  <c r="N604" i="6"/>
  <c r="O604" i="6" s="1"/>
  <c r="N872" i="6"/>
  <c r="O872" i="6" s="1"/>
  <c r="N1645" i="6"/>
  <c r="O1645" i="6" s="1"/>
  <c r="N1144" i="6"/>
  <c r="O1144" i="6" s="1"/>
  <c r="N902" i="6"/>
  <c r="O902" i="6" s="1"/>
  <c r="N602" i="6"/>
  <c r="O602" i="6" s="1"/>
  <c r="N83" i="6"/>
  <c r="O83" i="6" s="1"/>
  <c r="N1472" i="6"/>
  <c r="O1472" i="6" s="1"/>
  <c r="N703" i="6"/>
  <c r="O703" i="6" s="1"/>
  <c r="N315" i="6"/>
  <c r="O315" i="6" s="1"/>
  <c r="N1088" i="6"/>
  <c r="O1088" i="6" s="1"/>
  <c r="N126" i="6"/>
  <c r="O126" i="6" s="1"/>
  <c r="N458" i="6"/>
  <c r="O458" i="6" s="1"/>
  <c r="N835" i="6"/>
  <c r="O835" i="6" s="1"/>
  <c r="N489" i="6"/>
  <c r="O489" i="6" s="1"/>
  <c r="N1056" i="6"/>
  <c r="O1056" i="6" s="1"/>
  <c r="N408" i="6"/>
  <c r="O408" i="6" s="1"/>
  <c r="N336" i="6"/>
  <c r="O336" i="6" s="1"/>
  <c r="N235" i="6"/>
  <c r="O235" i="6" s="1"/>
  <c r="N1465" i="6"/>
  <c r="O1465" i="6" s="1"/>
  <c r="N181" i="6"/>
  <c r="O181" i="6" s="1"/>
  <c r="N432" i="6"/>
  <c r="O432" i="6" s="1"/>
  <c r="N1432" i="6"/>
  <c r="O1432" i="6" s="1"/>
  <c r="N1120" i="6"/>
  <c r="O1120" i="6" s="1"/>
  <c r="N322" i="6"/>
  <c r="O322" i="6" s="1"/>
  <c r="N165" i="6"/>
  <c r="O165" i="6" s="1"/>
  <c r="N965" i="6"/>
  <c r="O965" i="6" s="1"/>
  <c r="N1091" i="6"/>
  <c r="O1091" i="6" s="1"/>
  <c r="N61" i="6"/>
  <c r="O61" i="6" s="1"/>
  <c r="N2859" i="6"/>
  <c r="O2859" i="6" s="1"/>
  <c r="N1075" i="6"/>
  <c r="O1075" i="6" s="1"/>
  <c r="N1413" i="6"/>
  <c r="O1413" i="6" s="1"/>
  <c r="N672" i="6"/>
  <c r="O672" i="6" s="1"/>
  <c r="N566" i="6"/>
  <c r="O566" i="6" s="1"/>
  <c r="N2090" i="6"/>
  <c r="O2090" i="6" s="1"/>
  <c r="N741" i="6"/>
  <c r="O741" i="6" s="1"/>
  <c r="N1508" i="6"/>
  <c r="O1508" i="6" s="1"/>
  <c r="N1636" i="6"/>
  <c r="O1636" i="6" s="1"/>
  <c r="N1383" i="6"/>
  <c r="O1383" i="6" s="1"/>
  <c r="N766" i="6"/>
  <c r="O766" i="6" s="1"/>
  <c r="N1202" i="6"/>
  <c r="O1202" i="6" s="1"/>
  <c r="N443" i="6"/>
  <c r="O443" i="6" s="1"/>
  <c r="N729" i="6"/>
  <c r="O729" i="6" s="1"/>
  <c r="N1600" i="6"/>
  <c r="O1600" i="6" s="1"/>
  <c r="N1995" i="6"/>
  <c r="O1995" i="6" s="1"/>
  <c r="N924" i="6"/>
  <c r="O924" i="6" s="1"/>
  <c r="N161" i="6"/>
  <c r="O161" i="6" s="1"/>
  <c r="N656" i="6"/>
  <c r="O656" i="6" s="1"/>
  <c r="N2119" i="6"/>
  <c r="O2119" i="6" s="1"/>
  <c r="N373" i="6"/>
  <c r="O373" i="6" s="1"/>
  <c r="N67" i="6"/>
  <c r="O67" i="6" s="1"/>
  <c r="N1756" i="6"/>
  <c r="O1756" i="6" s="1"/>
  <c r="N2618" i="6"/>
  <c r="O2618" i="6" s="1"/>
  <c r="N897" i="6"/>
  <c r="O897" i="6" s="1"/>
  <c r="N1743" i="6"/>
  <c r="O1743" i="6" s="1"/>
  <c r="N1300" i="6"/>
  <c r="O1300" i="6" s="1"/>
  <c r="N1533" i="6"/>
  <c r="O1533" i="6" s="1"/>
  <c r="N2399" i="6"/>
  <c r="O2399" i="6" s="1"/>
  <c r="N599" i="6"/>
  <c r="O599" i="6" s="1"/>
  <c r="N1249" i="6"/>
  <c r="O1249" i="6" s="1"/>
  <c r="N673" i="6"/>
  <c r="O673" i="6" s="1"/>
  <c r="N1923" i="6"/>
  <c r="O1923" i="6" s="1"/>
  <c r="N623" i="6"/>
  <c r="O623" i="6" s="1"/>
  <c r="N833" i="6"/>
  <c r="O833" i="6" s="1"/>
  <c r="N762" i="6"/>
  <c r="O762" i="6" s="1"/>
  <c r="N651" i="6"/>
  <c r="O651" i="6" s="1"/>
  <c r="N392" i="6"/>
  <c r="O392" i="6" s="1"/>
  <c r="N193" i="6"/>
  <c r="O193" i="6" s="1"/>
  <c r="N1125" i="6"/>
  <c r="O1125" i="6" s="1"/>
  <c r="N848" i="6"/>
  <c r="O848" i="6" s="1"/>
  <c r="N467" i="6"/>
  <c r="O467" i="6" s="1"/>
  <c r="N759" i="6"/>
  <c r="O759" i="6" s="1"/>
  <c r="N1934" i="6"/>
  <c r="O1934" i="6" s="1"/>
  <c r="N454" i="6"/>
  <c r="O454" i="6" s="1"/>
  <c r="N345" i="6"/>
  <c r="O345" i="6" s="1"/>
  <c r="N1063" i="6"/>
  <c r="O1063" i="6" s="1"/>
  <c r="N725" i="6"/>
  <c r="O725" i="6" s="1"/>
  <c r="N576" i="6"/>
  <c r="O576" i="6" s="1"/>
  <c r="N793" i="6"/>
  <c r="O793" i="6" s="1"/>
  <c r="N1953" i="6"/>
  <c r="O1953" i="6" s="1"/>
  <c r="N496" i="6"/>
  <c r="O496" i="6" s="1"/>
  <c r="N431" i="6"/>
  <c r="O431" i="6" s="1"/>
  <c r="N964" i="6"/>
  <c r="O964" i="6" s="1"/>
  <c r="N257" i="6"/>
  <c r="O257" i="6" s="1"/>
  <c r="N466" i="6"/>
  <c r="O466" i="6" s="1"/>
  <c r="N805" i="6"/>
  <c r="O805" i="6" s="1"/>
  <c r="N381" i="6"/>
  <c r="O381" i="6" s="1"/>
  <c r="N1433" i="6"/>
  <c r="O1433" i="6" s="1"/>
  <c r="N1015" i="6"/>
  <c r="O1015" i="6" s="1"/>
  <c r="N2009" i="6"/>
  <c r="O2009" i="6" s="1"/>
  <c r="N742" i="6"/>
  <c r="O742" i="6" s="1"/>
  <c r="N1578" i="6"/>
  <c r="O1578" i="6" s="1"/>
  <c r="N2566" i="6"/>
  <c r="O2566" i="6" s="1"/>
  <c r="N2101" i="6"/>
  <c r="O2101" i="6" s="1"/>
  <c r="N544" i="6"/>
  <c r="O544" i="6" s="1"/>
  <c r="N105" i="6"/>
  <c r="O105" i="6" s="1"/>
  <c r="N1834" i="6"/>
  <c r="O1834" i="6" s="1"/>
  <c r="N120" i="6"/>
  <c r="O120" i="6" s="1"/>
  <c r="N1990" i="6"/>
  <c r="O1990" i="6" s="1"/>
  <c r="N1342" i="6"/>
  <c r="O1342" i="6" s="1"/>
  <c r="N1781" i="6"/>
  <c r="O1781" i="6" s="1"/>
  <c r="N1137" i="6"/>
  <c r="O1137" i="6" s="1"/>
  <c r="N1104" i="6"/>
  <c r="O1104" i="6" s="1"/>
  <c r="N2276" i="6"/>
  <c r="O2276" i="6" s="1"/>
  <c r="N800" i="6"/>
  <c r="O800" i="6" s="1"/>
  <c r="N11" i="6"/>
  <c r="O11" i="6" s="1"/>
  <c r="N1350" i="6"/>
  <c r="O1350" i="6" s="1"/>
  <c r="N1135" i="6"/>
  <c r="O1135" i="6" s="1"/>
  <c r="N791" i="6"/>
  <c r="O791" i="6" s="1"/>
  <c r="N249" i="6"/>
  <c r="O249" i="6" s="1"/>
  <c r="N1174" i="6"/>
  <c r="O1174" i="6" s="1"/>
  <c r="N1220" i="6"/>
  <c r="O1220" i="6" s="1"/>
  <c r="N1480" i="6"/>
  <c r="O1480" i="6" s="1"/>
  <c r="N45" i="6"/>
  <c r="O45" i="6" s="1"/>
  <c r="N668" i="6"/>
  <c r="O668" i="6" s="1"/>
  <c r="N295" i="6"/>
  <c r="O295" i="6" s="1"/>
  <c r="N51" i="6"/>
  <c r="O51" i="6" s="1"/>
  <c r="N185" i="6"/>
  <c r="O185" i="6" s="1"/>
  <c r="N936" i="6"/>
  <c r="O936" i="6" s="1"/>
  <c r="N858" i="6"/>
  <c r="O858" i="6" s="1"/>
  <c r="N1825" i="6"/>
  <c r="O1825" i="6" s="1"/>
  <c r="N226" i="6"/>
  <c r="O226" i="6" s="1"/>
  <c r="N1453" i="6"/>
  <c r="O1453" i="6" s="1"/>
  <c r="N1060" i="6"/>
  <c r="O1060" i="6" s="1"/>
  <c r="N154" i="6"/>
  <c r="O154" i="6" s="1"/>
  <c r="N1352" i="6"/>
  <c r="O1352" i="6" s="1"/>
  <c r="N259" i="6"/>
  <c r="O259" i="6" s="1"/>
  <c r="N118" i="6"/>
  <c r="O118" i="6" s="1"/>
  <c r="N1586" i="6"/>
  <c r="O1586" i="6" s="1"/>
  <c r="N1821" i="6"/>
  <c r="O1821" i="6" s="1"/>
  <c r="N1999" i="6"/>
  <c r="O1999" i="6" s="1"/>
  <c r="N1844" i="6"/>
  <c r="O1844" i="6" s="1"/>
  <c r="N522" i="6"/>
  <c r="O522" i="6" s="1"/>
  <c r="N1035" i="6"/>
  <c r="O1035" i="6" s="1"/>
  <c r="N1656" i="6"/>
  <c r="O1656" i="6" s="1"/>
  <c r="N296" i="6"/>
  <c r="O296" i="6" s="1"/>
  <c r="N680" i="6"/>
  <c r="O680" i="6" s="1"/>
  <c r="N319" i="6"/>
  <c r="O319" i="6" s="1"/>
  <c r="N1385" i="6"/>
  <c r="O1385" i="6" s="1"/>
  <c r="N503" i="6"/>
  <c r="O503" i="6" s="1"/>
  <c r="N1226" i="6"/>
  <c r="O1226" i="6" s="1"/>
  <c r="N219" i="6"/>
  <c r="O219" i="6" s="1"/>
  <c r="N1458" i="6"/>
  <c r="O1458" i="6" s="1"/>
  <c r="N2296" i="6"/>
  <c r="O2296" i="6" s="1"/>
  <c r="N1076" i="6"/>
  <c r="O1076" i="6" s="1"/>
  <c r="N1402" i="6"/>
  <c r="O1402" i="6" s="1"/>
  <c r="N505" i="6"/>
  <c r="O505" i="6" s="1"/>
  <c r="N1581" i="6"/>
  <c r="O1581" i="6" s="1"/>
  <c r="N880" i="6"/>
  <c r="O880" i="6" s="1"/>
  <c r="N1256" i="6"/>
  <c r="O1256" i="6" s="1"/>
  <c r="N2227" i="6"/>
  <c r="O2227" i="6" s="1"/>
  <c r="N1200" i="6"/>
  <c r="O1200" i="6" s="1"/>
  <c r="N2161" i="6"/>
  <c r="O2161" i="6" s="1"/>
  <c r="N1288" i="6"/>
  <c r="O1288" i="6" s="1"/>
  <c r="N1614" i="6"/>
  <c r="O1614" i="6" s="1"/>
  <c r="N1296" i="6"/>
  <c r="O1296" i="6" s="1"/>
  <c r="N1739" i="6"/>
  <c r="O1739" i="6" s="1"/>
  <c r="N1416" i="6"/>
  <c r="O1416" i="6" s="1"/>
  <c r="N109" i="6"/>
  <c r="O109" i="6" s="1"/>
  <c r="N1223" i="6"/>
  <c r="O1223" i="6" s="1"/>
  <c r="N1043" i="6"/>
  <c r="O1043" i="6" s="1"/>
  <c r="N91" i="6"/>
  <c r="O91" i="6" s="1"/>
  <c r="N2228" i="6"/>
  <c r="O2228" i="6" s="1"/>
  <c r="N212" i="6"/>
  <c r="O212" i="6" s="1"/>
  <c r="N1359" i="6"/>
  <c r="O1359" i="6" s="1"/>
  <c r="N422" i="6"/>
  <c r="O422" i="6" s="1"/>
  <c r="N682" i="6"/>
  <c r="O682" i="6" s="1"/>
  <c r="N1804" i="6"/>
  <c r="O1804" i="6" s="1"/>
  <c r="N1686" i="6"/>
  <c r="O1686" i="6" s="1"/>
  <c r="N117" i="6"/>
  <c r="O117" i="6" s="1"/>
  <c r="N321" i="6"/>
  <c r="O321" i="6" s="1"/>
  <c r="N386" i="6"/>
  <c r="O386" i="6" s="1"/>
  <c r="N299" i="6"/>
  <c r="O299" i="6" s="1"/>
  <c r="N292" i="6"/>
  <c r="O292" i="6" s="1"/>
  <c r="N1333" i="6"/>
  <c r="O1333" i="6" s="1"/>
  <c r="N243" i="6"/>
  <c r="O243" i="6" s="1"/>
  <c r="N1921" i="6"/>
  <c r="O1921" i="6" s="1"/>
  <c r="N648" i="6"/>
  <c r="O648" i="6" s="1"/>
  <c r="N281" i="6"/>
  <c r="O281" i="6" s="1"/>
  <c r="N1513" i="6"/>
  <c r="O1513" i="6" s="1"/>
  <c r="N39" i="6"/>
  <c r="O39" i="6" s="1"/>
  <c r="N685" i="6"/>
  <c r="O685" i="6" s="1"/>
  <c r="N959" i="6"/>
  <c r="O959" i="6" s="1"/>
  <c r="N1038" i="6"/>
  <c r="O1038" i="6" s="1"/>
  <c r="N1737" i="6"/>
  <c r="O1737" i="6" s="1"/>
  <c r="N447" i="6"/>
  <c r="O447" i="6" s="1"/>
  <c r="N1754" i="6"/>
  <c r="O1754" i="6" s="1"/>
  <c r="N1216" i="6"/>
  <c r="O1216" i="6" s="1"/>
  <c r="N1036" i="6"/>
  <c r="O1036" i="6" s="1"/>
  <c r="N1089" i="6"/>
  <c r="O1089" i="6" s="1"/>
  <c r="N1828" i="6"/>
  <c r="O1828" i="6" s="1"/>
  <c r="N2058" i="6"/>
  <c r="O2058" i="6" s="1"/>
  <c r="N1443" i="6"/>
  <c r="O1443" i="6" s="1"/>
  <c r="N194" i="6"/>
  <c r="O194" i="6" s="1"/>
  <c r="N606" i="6"/>
  <c r="O606" i="6" s="1"/>
  <c r="N1799" i="6"/>
  <c r="O1799" i="6" s="1"/>
  <c r="N1292" i="6"/>
  <c r="O1292" i="6" s="1"/>
  <c r="N2107" i="6"/>
  <c r="O2107" i="6" s="1"/>
  <c r="N1797" i="6"/>
  <c r="O1797" i="6" s="1"/>
  <c r="N733" i="6"/>
  <c r="O733" i="6" s="1"/>
  <c r="N1179" i="6"/>
  <c r="O1179" i="6" s="1"/>
  <c r="N1468" i="6"/>
  <c r="O1468" i="6" s="1"/>
  <c r="N1572" i="6"/>
  <c r="O1572" i="6" s="1"/>
  <c r="N183" i="6"/>
  <c r="O183" i="6" s="1"/>
  <c r="N325" i="6"/>
  <c r="O325" i="6" s="1"/>
  <c r="N391" i="6"/>
  <c r="O391" i="6" s="1"/>
  <c r="N329" i="6"/>
  <c r="O329" i="6" s="1"/>
  <c r="N878" i="6"/>
  <c r="O878" i="6" s="1"/>
  <c r="N935" i="6"/>
  <c r="O935" i="6" s="1"/>
  <c r="N186" i="6"/>
  <c r="O186" i="6" s="1"/>
  <c r="N233" i="6"/>
  <c r="O233" i="6" s="1"/>
  <c r="N204" i="6"/>
  <c r="O204" i="6" s="1"/>
  <c r="N479" i="6"/>
  <c r="O479" i="6" s="1"/>
  <c r="N1012" i="6"/>
  <c r="O1012" i="6" s="1"/>
  <c r="N366" i="6"/>
  <c r="O366" i="6" s="1"/>
  <c r="N404" i="6"/>
  <c r="O404" i="6" s="1"/>
  <c r="N852" i="6"/>
  <c r="O852" i="6" s="1"/>
  <c r="N1173" i="6"/>
  <c r="O1173" i="6" s="1"/>
  <c r="N1693" i="6"/>
  <c r="O1693" i="6" s="1"/>
  <c r="N138" i="6"/>
  <c r="O138" i="6" s="1"/>
  <c r="N508" i="6"/>
  <c r="O508" i="6" s="1"/>
  <c r="N66" i="6"/>
  <c r="O66" i="6" s="1"/>
  <c r="N950" i="6"/>
  <c r="O950" i="6" s="1"/>
  <c r="N572" i="6"/>
  <c r="O572" i="6" s="1"/>
  <c r="N82" i="6"/>
  <c r="O82" i="6" s="1"/>
  <c r="N1562" i="6"/>
  <c r="O1562" i="6" s="1"/>
  <c r="N23" i="6"/>
  <c r="O23" i="6" s="1"/>
  <c r="N2148" i="6"/>
  <c r="O2148" i="6" s="1"/>
  <c r="N760" i="6"/>
  <c r="O760" i="6" s="1"/>
  <c r="N940" i="6"/>
  <c r="O940" i="6" s="1"/>
  <c r="N1156" i="6"/>
  <c r="O1156" i="6" s="1"/>
  <c r="N752" i="6"/>
  <c r="O752" i="6" s="1"/>
  <c r="N43" i="6"/>
  <c r="O43" i="6" s="1"/>
  <c r="N434" i="6"/>
  <c r="O434" i="6" s="1"/>
  <c r="N59" i="6"/>
  <c r="O59" i="6" s="1"/>
  <c r="N130" i="6"/>
  <c r="O130" i="6" s="1"/>
  <c r="N2167" i="6"/>
  <c r="O2167" i="6" s="1"/>
  <c r="N98" i="6"/>
  <c r="O98" i="6" s="1"/>
  <c r="N700" i="6"/>
  <c r="O700" i="6" s="1"/>
  <c r="N172" i="6"/>
  <c r="O172" i="6" s="1"/>
  <c r="N1218" i="6"/>
  <c r="O1218" i="6" s="1"/>
  <c r="N1709" i="6"/>
  <c r="O1709" i="6" s="1"/>
  <c r="N1199" i="6"/>
  <c r="O1199" i="6" s="1"/>
  <c r="N2554" i="6"/>
  <c r="O2554" i="6" s="1"/>
  <c r="N349" i="6"/>
  <c r="O349" i="6" s="1"/>
  <c r="N652" i="6"/>
  <c r="O652" i="6" s="1"/>
  <c r="N893" i="6"/>
  <c r="O893" i="6" s="1"/>
  <c r="N180" i="6"/>
  <c r="O180" i="6" s="1"/>
  <c r="N768" i="6"/>
  <c r="O768" i="6" s="1"/>
  <c r="N1725" i="6"/>
  <c r="O1725" i="6" s="1"/>
  <c r="N885" i="6"/>
  <c r="O885" i="6" s="1"/>
  <c r="N867" i="6"/>
  <c r="O867" i="6" s="1"/>
  <c r="N184" i="6"/>
  <c r="O184" i="6" s="1"/>
  <c r="N570" i="6"/>
  <c r="O570" i="6" s="1"/>
  <c r="N316" i="6"/>
  <c r="O316" i="6" s="1"/>
  <c r="N2084" i="6"/>
  <c r="O2084" i="6" s="1"/>
  <c r="N1304" i="6"/>
  <c r="O1304" i="6" s="1"/>
  <c r="N1984" i="6"/>
  <c r="O1984" i="6" s="1"/>
  <c r="N150" i="6"/>
  <c r="O150" i="6" s="1"/>
  <c r="N584" i="6"/>
  <c r="O584" i="6" s="1"/>
  <c r="N1040" i="6"/>
  <c r="O1040" i="6" s="1"/>
  <c r="N662" i="6"/>
  <c r="O662" i="6" s="1"/>
  <c r="N611" i="6"/>
  <c r="O611" i="6" s="1"/>
  <c r="N1331" i="6"/>
  <c r="O1331" i="6" s="1"/>
  <c r="N1802" i="6"/>
  <c r="O1802" i="6" s="1"/>
  <c r="N2724" i="6"/>
  <c r="O2724" i="6" s="1"/>
  <c r="N403" i="6"/>
  <c r="O403" i="6" s="1"/>
  <c r="N697" i="6"/>
  <c r="O697" i="6" s="1"/>
  <c r="N1163" i="6"/>
  <c r="O1163" i="6" s="1"/>
  <c r="N1303" i="6"/>
  <c r="O1303" i="6" s="1"/>
  <c r="N327" i="6"/>
  <c r="O327" i="6" s="1"/>
  <c r="N1665" i="6"/>
  <c r="O1665" i="6" s="1"/>
  <c r="N2424" i="6"/>
  <c r="O2424" i="6" s="1"/>
  <c r="N2152" i="6"/>
  <c r="O2152" i="6" s="1"/>
  <c r="N1263" i="6"/>
  <c r="O1263" i="6" s="1"/>
  <c r="N410" i="6"/>
  <c r="O410" i="6" s="1"/>
  <c r="N634" i="6"/>
  <c r="O634" i="6" s="1"/>
  <c r="N1593" i="6"/>
  <c r="O1593" i="6" s="1"/>
  <c r="N1034" i="6"/>
  <c r="O1034" i="6" s="1"/>
  <c r="N618" i="6"/>
  <c r="O618" i="6" s="1"/>
  <c r="N1907" i="6"/>
  <c r="O1907" i="6" s="1"/>
  <c r="N1315" i="6"/>
  <c r="O1315" i="6" s="1"/>
  <c r="N1817" i="6"/>
  <c r="O1817" i="6" s="1"/>
  <c r="N412" i="6"/>
  <c r="O412" i="6" s="1"/>
  <c r="N912" i="6"/>
  <c r="O912" i="6" s="1"/>
  <c r="N615" i="6"/>
  <c r="O615" i="6" s="1"/>
  <c r="N107" i="6"/>
  <c r="O107" i="6" s="1"/>
  <c r="N516" i="6"/>
  <c r="O516" i="6" s="1"/>
  <c r="N1366" i="6"/>
  <c r="O1366" i="6" s="1"/>
  <c r="N2626" i="6"/>
  <c r="O2626" i="6" s="1"/>
  <c r="N1608" i="6"/>
  <c r="O1608" i="6" s="1"/>
  <c r="N175" i="6"/>
  <c r="O175" i="6" s="1"/>
  <c r="N301" i="6"/>
  <c r="O301" i="6" s="1"/>
  <c r="N696" i="6"/>
  <c r="O696" i="6" s="1"/>
  <c r="N14" i="6"/>
  <c r="O14" i="6" s="1"/>
  <c r="N1277" i="6"/>
  <c r="O1277" i="6" s="1"/>
  <c r="N1022" i="6"/>
  <c r="O1022" i="6" s="1"/>
  <c r="N1502" i="6"/>
  <c r="O1502" i="6" s="1"/>
  <c r="N1381" i="6"/>
  <c r="O1381" i="6" s="1"/>
  <c r="N1770" i="6"/>
  <c r="O1770" i="6" s="1"/>
  <c r="N1192" i="6"/>
  <c r="O1192" i="6" s="1"/>
  <c r="N1983" i="6"/>
  <c r="O1983" i="6" s="1"/>
  <c r="N823" i="6"/>
  <c r="O823" i="6" s="1"/>
  <c r="N1700" i="6"/>
  <c r="O1700" i="6" s="1"/>
  <c r="N1833" i="6"/>
  <c r="O1833" i="6" s="1"/>
  <c r="N2448" i="6"/>
  <c r="O2448" i="6" s="1"/>
  <c r="N1690" i="6"/>
  <c r="O1690" i="6" s="1"/>
  <c r="N448" i="6"/>
  <c r="O448" i="6" s="1"/>
  <c r="N1284" i="6"/>
  <c r="O1284" i="6" s="1"/>
  <c r="N597" i="6"/>
  <c r="O597" i="6" s="1"/>
  <c r="N956" i="6"/>
  <c r="O956" i="6" s="1"/>
  <c r="N1121" i="6"/>
  <c r="O1121" i="6" s="1"/>
  <c r="N802" i="6"/>
  <c r="O802" i="6" s="1"/>
  <c r="N1194" i="6"/>
  <c r="O1194" i="6" s="1"/>
  <c r="N1011" i="6"/>
  <c r="O1011" i="6" s="1"/>
  <c r="N1815" i="6"/>
  <c r="O1815" i="6" s="1"/>
  <c r="N1509" i="6"/>
  <c r="O1509" i="6" s="1"/>
  <c r="N1664" i="6"/>
  <c r="O1664" i="6" s="1"/>
  <c r="N463" i="6"/>
  <c r="O463" i="6" s="1"/>
  <c r="N69" i="6"/>
  <c r="O69" i="6" s="1"/>
  <c r="N176" i="6"/>
  <c r="O176" i="6" s="1"/>
  <c r="N1503" i="6"/>
  <c r="O1503" i="6" s="1"/>
  <c r="N601" i="6"/>
  <c r="O601" i="6" s="1"/>
  <c r="N214" i="6"/>
  <c r="O214" i="6" s="1"/>
  <c r="N1126" i="6"/>
  <c r="O1126" i="6" s="1"/>
  <c r="N1092" i="6"/>
  <c r="O1092" i="6" s="1"/>
  <c r="N1114" i="6"/>
  <c r="O1114" i="6" s="1"/>
  <c r="N608" i="6"/>
  <c r="O608" i="6" s="1"/>
  <c r="N803" i="6"/>
  <c r="O803" i="6" s="1"/>
  <c r="N331" i="6"/>
  <c r="O331" i="6" s="1"/>
  <c r="N2312" i="6"/>
  <c r="O2312" i="6" s="1"/>
  <c r="N344" i="6"/>
  <c r="O344" i="6" s="1"/>
  <c r="N310" i="6"/>
  <c r="O310" i="6" s="1"/>
  <c r="N439" i="6"/>
  <c r="O439" i="6" s="1"/>
  <c r="N970" i="6"/>
  <c r="O970" i="6" s="1"/>
  <c r="N1501" i="6"/>
  <c r="O1501" i="6" s="1"/>
  <c r="N781" i="6"/>
  <c r="O781" i="6" s="1"/>
  <c r="N845" i="6"/>
  <c r="O845" i="6" s="1"/>
  <c r="N1067" i="6"/>
  <c r="O1067" i="6" s="1"/>
  <c r="N132" i="6"/>
  <c r="O132" i="6" s="1"/>
  <c r="N294" i="6"/>
  <c r="O294" i="6" s="1"/>
  <c r="N1265" i="6"/>
  <c r="O1265" i="6" s="1"/>
  <c r="N1688" i="6"/>
  <c r="O1688" i="6" s="1"/>
  <c r="N425" i="6"/>
  <c r="O425" i="6" s="1"/>
  <c r="N1405" i="6"/>
  <c r="O1405" i="6" s="1"/>
  <c r="N1203" i="6"/>
  <c r="O1203" i="6" s="1"/>
  <c r="N2644" i="6"/>
  <c r="O2644" i="6" s="1"/>
  <c r="N445" i="6"/>
  <c r="O445" i="6" s="1"/>
  <c r="N1671" i="6"/>
  <c r="O1671" i="6" s="1"/>
  <c r="N1726" i="6"/>
  <c r="O1726" i="6" s="1"/>
  <c r="N1486" i="6"/>
  <c r="O1486" i="6" s="1"/>
  <c r="N1522" i="6"/>
  <c r="O1522" i="6" s="1"/>
  <c r="N1466" i="6"/>
  <c r="O1466" i="6" s="1"/>
  <c r="N1492" i="6"/>
  <c r="O1492" i="6" s="1"/>
  <c r="N1602" i="6"/>
  <c r="O1602" i="6" s="1"/>
  <c r="N1087" i="6"/>
  <c r="O1087" i="6" s="1"/>
  <c r="N1133" i="6"/>
  <c r="O1133" i="6" s="1"/>
  <c r="N1463" i="6"/>
  <c r="O1463" i="6" s="1"/>
  <c r="N1950" i="6"/>
  <c r="O1950" i="6" s="1"/>
  <c r="N1117" i="6"/>
  <c r="O1117" i="6" s="1"/>
  <c r="N520" i="6"/>
  <c r="O520" i="6" s="1"/>
  <c r="N100" i="6"/>
  <c r="O100" i="6" s="1"/>
  <c r="N307" i="6"/>
  <c r="O307" i="6" s="1"/>
  <c r="N333" i="6"/>
  <c r="O333" i="6" s="1"/>
  <c r="N341" i="6"/>
  <c r="O341" i="6" s="1"/>
  <c r="N1824" i="6"/>
  <c r="O1824" i="6" s="1"/>
  <c r="N1785" i="6"/>
  <c r="O1785" i="6" s="1"/>
  <c r="N282" i="6"/>
  <c r="O282" i="6" s="1"/>
  <c r="N647" i="6"/>
  <c r="O647" i="6" s="1"/>
  <c r="N884" i="6"/>
  <c r="O884" i="6" s="1"/>
  <c r="N657" i="6"/>
  <c r="O657" i="6" s="1"/>
  <c r="N695" i="6"/>
  <c r="O695" i="6" s="1"/>
  <c r="N1028" i="6"/>
  <c r="O1028" i="6" s="1"/>
  <c r="N1949" i="6"/>
  <c r="O1949" i="6" s="1"/>
  <c r="N646" i="6"/>
  <c r="O646" i="6" s="1"/>
  <c r="N1735" i="6"/>
  <c r="O1735" i="6" s="1"/>
  <c r="N2082" i="6"/>
  <c r="O2082" i="6" s="1"/>
  <c r="N1276" i="6"/>
  <c r="O1276" i="6" s="1"/>
  <c r="N88" i="6"/>
  <c r="O88" i="6" s="1"/>
  <c r="N706" i="6"/>
  <c r="O706" i="6" s="1"/>
  <c r="N1592" i="6"/>
  <c r="O1592" i="6" s="1"/>
  <c r="N1206" i="6"/>
  <c r="O1206" i="6" s="1"/>
  <c r="N861" i="6"/>
  <c r="O861" i="6" s="1"/>
  <c r="N870" i="6"/>
  <c r="O870" i="6" s="1"/>
  <c r="N705" i="6"/>
  <c r="O705" i="6" s="1"/>
  <c r="N721" i="6"/>
  <c r="O721" i="6" s="1"/>
  <c r="N1142" i="6"/>
  <c r="O1142" i="6" s="1"/>
  <c r="N424" i="6"/>
  <c r="O424" i="6" s="1"/>
  <c r="N498" i="6"/>
  <c r="O498" i="6" s="1"/>
  <c r="N453" i="6"/>
  <c r="O453" i="6" s="1"/>
  <c r="N639" i="6"/>
  <c r="O639" i="6" s="1"/>
  <c r="N1032" i="6"/>
  <c r="O1032" i="6" s="1"/>
  <c r="N930" i="6"/>
  <c r="O930" i="6" s="1"/>
  <c r="N991" i="6"/>
  <c r="O991" i="6" s="1"/>
  <c r="N1399" i="6"/>
  <c r="O1399" i="6" s="1"/>
  <c r="N750" i="6"/>
  <c r="O750" i="6" s="1"/>
  <c r="N530" i="6"/>
  <c r="O530" i="6" s="1"/>
  <c r="N1446" i="6"/>
  <c r="O1446" i="6" s="1"/>
  <c r="N1196" i="6"/>
  <c r="O1196" i="6" s="1"/>
  <c r="N2614" i="6"/>
  <c r="O2614" i="6" s="1"/>
  <c r="N104" i="6"/>
  <c r="O104" i="6" s="1"/>
  <c r="N343" i="6"/>
  <c r="O343" i="6" s="1"/>
  <c r="N2264" i="6"/>
  <c r="O2264" i="6" s="1"/>
  <c r="N1260" i="6"/>
  <c r="O1260" i="6" s="1"/>
  <c r="N1345" i="6"/>
  <c r="O1345" i="6" s="1"/>
  <c r="N1339" i="6"/>
  <c r="O1339" i="6" s="1"/>
  <c r="N1425" i="6"/>
  <c r="O1425" i="6" s="1"/>
  <c r="N1123" i="6"/>
  <c r="O1123" i="6" s="1"/>
  <c r="N1170" i="6"/>
  <c r="O1170" i="6" s="1"/>
  <c r="N871" i="6"/>
  <c r="O871" i="6" s="1"/>
  <c r="N487" i="6"/>
  <c r="O487" i="6" s="1"/>
  <c r="N502" i="6"/>
  <c r="O502" i="6" s="1"/>
  <c r="N140" i="6"/>
  <c r="O140" i="6" s="1"/>
  <c r="N1935" i="6"/>
  <c r="O1935" i="6" s="1"/>
  <c r="N798" i="6"/>
  <c r="O798" i="6" s="1"/>
  <c r="N1560" i="6"/>
  <c r="O1560" i="6" s="1"/>
  <c r="N1384" i="6"/>
  <c r="O1384" i="6" s="1"/>
  <c r="N974" i="6"/>
  <c r="O974" i="6" s="1"/>
  <c r="N1227" i="6"/>
  <c r="O1227" i="6" s="1"/>
  <c r="N1594" i="6"/>
  <c r="O1594" i="6" s="1"/>
  <c r="N2578" i="6"/>
  <c r="O2578" i="6" s="1"/>
  <c r="N1244" i="6"/>
  <c r="O1244" i="6" s="1"/>
  <c r="N2586" i="6"/>
  <c r="O2586" i="6" s="1"/>
  <c r="N714" i="6"/>
  <c r="O714" i="6" s="1"/>
  <c r="N1685" i="6"/>
  <c r="O1685" i="6" s="1"/>
  <c r="N1404" i="6"/>
  <c r="O1404" i="6" s="1"/>
  <c r="N1517" i="6"/>
  <c r="O1517" i="6" s="1"/>
  <c r="N1347" i="6"/>
  <c r="O1347" i="6" s="1"/>
  <c r="N665" i="6"/>
  <c r="O665" i="6" s="1"/>
  <c r="N1033" i="6"/>
  <c r="O1033" i="6" s="1"/>
  <c r="N1184" i="6"/>
  <c r="O1184" i="6" s="1"/>
  <c r="N1526" i="6"/>
  <c r="O1526" i="6" s="1"/>
  <c r="N87" i="6"/>
  <c r="O87" i="6" s="1"/>
  <c r="N1552" i="6"/>
  <c r="O1552" i="6" s="1"/>
  <c r="N2234" i="6"/>
  <c r="O2234" i="6" s="1"/>
  <c r="N699" i="6"/>
  <c r="O699" i="6" s="1"/>
  <c r="N809" i="6"/>
  <c r="O809" i="6" s="1"/>
  <c r="N1838" i="6"/>
  <c r="O1838" i="6" s="1"/>
  <c r="N1987" i="6"/>
  <c r="O1987" i="6" s="1"/>
  <c r="N405" i="6"/>
  <c r="O405" i="6" s="1"/>
  <c r="N1597" i="6"/>
  <c r="O1597" i="6" s="1"/>
  <c r="N1832" i="6"/>
  <c r="O1832" i="6" s="1"/>
  <c r="N927" i="6"/>
  <c r="O927" i="6" s="1"/>
  <c r="N631" i="6"/>
  <c r="O631" i="6" s="1"/>
  <c r="N1510" i="6"/>
  <c r="O1510" i="6" s="1"/>
  <c r="N1171" i="6"/>
  <c r="O1171" i="6" s="1"/>
  <c r="N1375" i="6"/>
  <c r="O1375" i="6" s="1"/>
  <c r="N2153" i="6"/>
  <c r="O2153" i="6" s="1"/>
  <c r="N1933" i="6"/>
  <c r="O1933" i="6" s="1"/>
  <c r="N984" i="6"/>
  <c r="O984" i="6" s="1"/>
  <c r="N122" i="6"/>
  <c r="O122" i="6" s="1"/>
  <c r="N939" i="6"/>
  <c r="O939" i="6" s="1"/>
  <c r="N1680" i="6"/>
  <c r="O1680" i="6" s="1"/>
  <c r="N948" i="6"/>
  <c r="O948" i="6" s="1"/>
  <c r="N976" i="6"/>
  <c r="O976" i="6" s="1"/>
  <c r="N1929" i="6"/>
  <c r="O1929" i="6" s="1"/>
  <c r="N1590" i="6"/>
  <c r="O1590" i="6" s="1"/>
  <c r="N1140" i="6"/>
  <c r="O1140" i="6" s="1"/>
  <c r="N834" i="6"/>
  <c r="O834" i="6" s="1"/>
  <c r="N898" i="6"/>
  <c r="O898" i="6" s="1"/>
  <c r="N1141" i="6"/>
  <c r="O1141" i="6" s="1"/>
  <c r="N578" i="6"/>
  <c r="O578" i="6" s="1"/>
  <c r="N178" i="6"/>
  <c r="O178" i="6" s="1"/>
  <c r="N35" i="6"/>
  <c r="O35" i="6" s="1"/>
  <c r="N531" i="6"/>
  <c r="O531" i="6" s="1"/>
  <c r="N274" i="6"/>
  <c r="O274" i="6" s="1"/>
  <c r="N108" i="6"/>
  <c r="O108" i="6" s="1"/>
  <c r="N2304" i="6"/>
  <c r="O2304" i="6" s="1"/>
  <c r="N1969" i="6"/>
  <c r="O1969" i="6" s="1"/>
  <c r="N1778" i="6"/>
  <c r="O1778" i="6" s="1"/>
  <c r="N1057" i="6"/>
  <c r="O1057" i="6" s="1"/>
  <c r="N790" i="6"/>
  <c r="O790" i="6" s="1"/>
  <c r="N1243" i="6"/>
  <c r="O1243" i="6" s="1"/>
  <c r="N1428" i="6"/>
  <c r="O1428" i="6" s="1"/>
  <c r="N1424" i="6"/>
  <c r="O1424" i="6" s="1"/>
  <c r="N1053" i="6"/>
  <c r="O1053" i="6" s="1"/>
  <c r="N1391" i="6"/>
  <c r="O1391" i="6" s="1"/>
  <c r="N1445" i="6"/>
  <c r="O1445" i="6" s="1"/>
  <c r="N1398" i="6"/>
  <c r="O1398" i="6" s="1"/>
  <c r="N1005" i="6"/>
  <c r="O1005" i="6" s="1"/>
  <c r="N2440" i="6"/>
  <c r="O2440" i="6" s="1"/>
  <c r="N808" i="6"/>
  <c r="O808" i="6" s="1"/>
  <c r="N75" i="6"/>
  <c r="O75" i="6" s="1"/>
  <c r="N1102" i="6"/>
  <c r="O1102" i="6" s="1"/>
  <c r="N1080" i="6"/>
  <c r="O1080" i="6" s="1"/>
  <c r="N1839" i="6"/>
  <c r="O1839" i="6" s="1"/>
  <c r="N2139" i="6"/>
  <c r="O2139" i="6" s="1"/>
  <c r="N1025" i="6"/>
  <c r="O1025" i="6" s="1"/>
  <c r="N1908" i="6"/>
  <c r="O1908" i="6" s="1"/>
  <c r="N1659" i="6"/>
  <c r="O1659" i="6" s="1"/>
  <c r="N406" i="6"/>
  <c r="O406" i="6" s="1"/>
  <c r="N1972" i="6"/>
  <c r="O1972" i="6" s="1"/>
  <c r="N901" i="6"/>
  <c r="O901" i="6" s="1"/>
  <c r="N1001" i="6"/>
  <c r="O1001" i="6" s="1"/>
  <c r="N613" i="6"/>
  <c r="O613" i="6" s="1"/>
  <c r="N985" i="6"/>
  <c r="O985" i="6" s="1"/>
  <c r="N318" i="6"/>
  <c r="O318" i="6" s="1"/>
  <c r="N342" i="6"/>
  <c r="O342" i="6" s="1"/>
  <c r="N2246" i="6"/>
  <c r="O2246" i="6" s="1"/>
  <c r="N170" i="6"/>
  <c r="O170" i="6" s="1"/>
  <c r="N1252" i="6"/>
  <c r="O1252" i="6" s="1"/>
  <c r="N2716" i="6"/>
  <c r="O2716" i="6" s="1"/>
  <c r="N1258" i="6"/>
  <c r="O1258" i="6" s="1"/>
  <c r="N786" i="6"/>
  <c r="O786" i="6" s="1"/>
  <c r="N2121" i="6"/>
  <c r="O2121" i="6" s="1"/>
  <c r="N1410" i="6"/>
  <c r="O1410" i="6" s="1"/>
  <c r="N1992" i="6"/>
  <c r="O1992" i="6" s="1"/>
  <c r="N1325" i="6"/>
  <c r="O1325" i="6" s="1"/>
  <c r="N2914" i="6"/>
  <c r="O2914" i="6" s="1"/>
  <c r="N2223" i="6"/>
  <c r="O2223" i="6" s="1"/>
  <c r="N1324" i="6"/>
  <c r="O1324" i="6" s="1"/>
  <c r="N1554" i="6"/>
  <c r="O1554" i="6" s="1"/>
  <c r="N64" i="6"/>
  <c r="O64" i="6" s="1"/>
  <c r="N1761" i="6"/>
  <c r="O1761" i="6" s="1"/>
  <c r="N485" i="6"/>
  <c r="O485" i="6" s="1"/>
  <c r="N1417" i="6"/>
  <c r="O1417" i="6" s="1"/>
  <c r="N983" i="6"/>
  <c r="O983" i="6" s="1"/>
  <c r="N1605" i="6"/>
  <c r="O1605" i="6" s="1"/>
  <c r="N825" i="6"/>
  <c r="O825" i="6" s="1"/>
  <c r="N1831" i="6"/>
  <c r="O1831" i="6" s="1"/>
  <c r="N918" i="6"/>
  <c r="O918" i="6" s="1"/>
  <c r="N2120" i="6"/>
  <c r="O2120" i="6" s="1"/>
  <c r="N607" i="6"/>
  <c r="O607" i="6" s="1"/>
  <c r="N1233" i="6"/>
  <c r="O1233" i="6" s="1"/>
  <c r="N1648" i="6"/>
  <c r="O1648" i="6" s="1"/>
  <c r="N626" i="6"/>
  <c r="O626" i="6" s="1"/>
  <c r="N1055" i="6"/>
  <c r="O1055" i="6" s="1"/>
  <c r="N2538" i="6"/>
  <c r="O2538" i="6" s="1"/>
  <c r="N730" i="6"/>
  <c r="O730" i="6" s="1"/>
  <c r="N1407" i="6"/>
  <c r="O1407" i="6" s="1"/>
  <c r="N1494" i="6"/>
  <c r="O1494" i="6" s="1"/>
  <c r="N2163" i="6"/>
  <c r="O2163" i="6" s="1"/>
  <c r="N317" i="6"/>
  <c r="O317" i="6" s="1"/>
  <c r="N1145" i="6"/>
  <c r="O1145" i="6" s="1"/>
  <c r="N1931" i="6"/>
  <c r="O1931" i="6" s="1"/>
  <c r="N2960" i="6"/>
  <c r="O2960" i="6" s="1"/>
  <c r="N224" i="6"/>
  <c r="O224" i="6" s="1"/>
  <c r="N719" i="6"/>
  <c r="O719" i="6" s="1"/>
  <c r="N137" i="6"/>
  <c r="O137" i="6" s="1"/>
  <c r="N987" i="6"/>
  <c r="O987" i="6" s="1"/>
  <c r="N1794" i="6"/>
  <c r="O1794" i="6" s="1"/>
  <c r="N2638" i="6"/>
  <c r="O2638" i="6" s="1"/>
  <c r="N1579" i="6"/>
  <c r="O1579" i="6" s="1"/>
  <c r="N2577" i="6"/>
  <c r="O2577" i="6" s="1"/>
  <c r="N955" i="6"/>
  <c r="O955" i="6" s="1"/>
  <c r="N2484" i="6"/>
  <c r="O2484" i="6" s="1"/>
  <c r="N528" i="6"/>
  <c r="O528" i="6" s="1"/>
  <c r="N2081" i="6"/>
  <c r="O2081" i="6" s="1"/>
  <c r="N504" i="6"/>
  <c r="O504" i="6" s="1"/>
  <c r="N1149" i="6"/>
  <c r="O1149" i="6" s="1"/>
  <c r="N1378" i="6"/>
  <c r="O1378" i="6" s="1"/>
  <c r="N625" i="6"/>
  <c r="O625" i="6" s="1"/>
  <c r="N1305" i="6"/>
  <c r="O1305" i="6" s="1"/>
  <c r="N1561" i="6"/>
  <c r="O1561" i="6" s="1"/>
  <c r="N1808" i="6"/>
  <c r="O1808" i="6" s="1"/>
  <c r="N1672" i="6"/>
  <c r="O1672" i="6" s="1"/>
  <c r="N1765" i="6"/>
  <c r="O1765" i="6" s="1"/>
  <c r="N2389" i="6"/>
  <c r="O2389" i="6" s="1"/>
  <c r="N409" i="6"/>
  <c r="O409" i="6" s="1"/>
  <c r="N1332" i="6"/>
  <c r="O1332" i="6" s="1"/>
  <c r="N277" i="6"/>
  <c r="O277" i="6" s="1"/>
  <c r="N949" i="6"/>
  <c r="O949" i="6" s="1"/>
  <c r="N1369" i="6"/>
  <c r="O1369" i="6" s="1"/>
  <c r="N2295" i="6"/>
  <c r="O2295" i="6" s="1"/>
  <c r="N1975" i="6"/>
  <c r="O1975" i="6" s="1"/>
  <c r="N237" i="6"/>
  <c r="O237" i="6" s="1"/>
  <c r="N1312" i="6"/>
  <c r="O1312" i="6" s="1"/>
  <c r="N80" i="6"/>
  <c r="O80" i="6" s="1"/>
  <c r="N374" i="6"/>
  <c r="O374" i="6" s="1"/>
  <c r="N968" i="6"/>
  <c r="O968" i="6" s="1"/>
  <c r="N441" i="6"/>
  <c r="O441" i="6" s="1"/>
  <c r="N933" i="6"/>
  <c r="O933" i="6" s="1"/>
  <c r="N390" i="6"/>
  <c r="O390" i="6" s="1"/>
  <c r="N846" i="6"/>
  <c r="O846" i="6" s="1"/>
  <c r="N2088" i="6"/>
  <c r="O2088" i="6" s="1"/>
  <c r="N1095" i="6"/>
  <c r="O1095" i="6" s="1"/>
  <c r="N2239" i="6"/>
  <c r="O2239" i="6" s="1"/>
  <c r="N2127" i="6"/>
  <c r="O2127" i="6" s="1"/>
  <c r="N1177" i="6"/>
  <c r="O1177" i="6" s="1"/>
  <c r="N1293" i="6"/>
  <c r="O1293" i="6" s="1"/>
  <c r="N1741" i="6"/>
  <c r="O1741" i="6" s="1"/>
  <c r="N2321" i="6"/>
  <c r="O2321" i="6" s="1"/>
  <c r="N541" i="6"/>
  <c r="O541" i="6" s="1"/>
  <c r="N1148" i="6"/>
  <c r="O1148" i="6" s="1"/>
  <c r="N1228" i="6"/>
  <c r="O1228" i="6" s="1"/>
  <c r="N33" i="6"/>
  <c r="O33" i="6" s="1"/>
  <c r="N932" i="6"/>
  <c r="O932" i="6" s="1"/>
  <c r="N538" i="6"/>
  <c r="O538" i="6" s="1"/>
  <c r="N2780" i="6"/>
  <c r="O2780" i="6" s="1"/>
  <c r="N231" i="6"/>
  <c r="O231" i="6" s="1"/>
  <c r="N1613" i="6"/>
  <c r="O1613" i="6" s="1"/>
  <c r="N2462" i="6"/>
  <c r="O2462" i="6" s="1"/>
  <c r="N1013" i="6"/>
  <c r="O1013" i="6" s="1"/>
  <c r="N892" i="6"/>
  <c r="O892" i="6" s="1"/>
  <c r="N784" i="6"/>
  <c r="O784" i="6" s="1"/>
  <c r="N829" i="6"/>
  <c r="O829" i="6" s="1"/>
  <c r="N1534" i="6"/>
  <c r="O1534" i="6" s="1"/>
  <c r="N2869" i="6"/>
  <c r="O2869" i="6" s="1"/>
  <c r="N960" i="6"/>
  <c r="O960" i="6" s="1"/>
  <c r="N1556" i="6"/>
  <c r="O1556" i="6" s="1"/>
  <c r="N102" i="6"/>
  <c r="O102" i="6" s="1"/>
  <c r="N2434" i="6"/>
  <c r="O2434" i="6" s="1"/>
  <c r="N838" i="6"/>
  <c r="O838" i="6" s="1"/>
  <c r="N1298" i="6"/>
  <c r="O1298" i="6" s="1"/>
  <c r="N1775" i="6"/>
  <c r="O1775" i="6" s="1"/>
  <c r="N2224" i="6"/>
  <c r="O2224" i="6" s="1"/>
  <c r="N1900" i="6"/>
  <c r="O1900" i="6" s="1"/>
  <c r="N2096" i="6"/>
  <c r="O2096" i="6" s="1"/>
  <c r="N758" i="6"/>
  <c r="O758" i="6" s="1"/>
  <c r="N2073" i="6"/>
  <c r="O2073" i="6" s="1"/>
  <c r="N1481" i="6"/>
  <c r="O1481" i="6" s="1"/>
  <c r="N1774" i="6"/>
  <c r="O1774" i="6" s="1"/>
  <c r="N1476" i="6"/>
  <c r="O1476" i="6" s="1"/>
  <c r="N713" i="6"/>
  <c r="O713" i="6" s="1"/>
  <c r="N1326" i="6"/>
  <c r="O1326" i="6" s="1"/>
  <c r="N1926" i="6"/>
  <c r="O1926" i="6" s="1"/>
  <c r="N1673" i="6"/>
  <c r="O1673" i="6" s="1"/>
  <c r="N817" i="6"/>
  <c r="O817" i="6" s="1"/>
  <c r="N2391" i="6"/>
  <c r="O2391" i="6" s="1"/>
  <c r="N745" i="6"/>
  <c r="O745" i="6" s="1"/>
  <c r="N221" i="6"/>
  <c r="O221" i="6" s="1"/>
  <c r="N853" i="6"/>
  <c r="O853" i="6" s="1"/>
  <c r="N1830" i="6"/>
  <c r="O1830" i="6" s="1"/>
  <c r="N2078" i="6"/>
  <c r="O2078" i="6" s="1"/>
  <c r="N1207" i="6"/>
  <c r="O1207" i="6" s="1"/>
  <c r="N19" i="6"/>
  <c r="O19" i="6" s="1"/>
  <c r="N1397" i="6"/>
  <c r="O1397" i="6" s="1"/>
  <c r="N2478" i="6"/>
  <c r="O2478" i="6" s="1"/>
  <c r="N450" i="6"/>
  <c r="O450" i="6" s="1"/>
  <c r="N1064" i="6"/>
  <c r="O1064" i="6" s="1"/>
  <c r="N2886" i="6"/>
  <c r="O2886" i="6" s="1"/>
  <c r="N1691" i="6"/>
  <c r="O1691" i="6" s="1"/>
  <c r="N2452" i="6"/>
  <c r="O2452" i="6" s="1"/>
  <c r="N945" i="6"/>
  <c r="O945" i="6" s="1"/>
  <c r="N1793" i="6"/>
  <c r="O1793" i="6" s="1"/>
  <c r="N238" i="6"/>
  <c r="O238" i="6" s="1"/>
  <c r="N1450" i="6"/>
  <c r="O1450" i="6" s="1"/>
  <c r="N2059" i="6"/>
  <c r="O2059" i="6" s="1"/>
  <c r="N1740" i="6"/>
  <c r="O1740" i="6" s="1"/>
  <c r="N1018" i="6"/>
  <c r="O1018" i="6" s="1"/>
  <c r="N338" i="6"/>
  <c r="O338" i="6" s="1"/>
  <c r="N1942" i="6"/>
  <c r="O1942" i="6" s="1"/>
  <c r="N2159" i="6"/>
  <c r="O2159" i="6" s="1"/>
  <c r="N2109" i="6"/>
  <c r="O2109" i="6" s="1"/>
  <c r="N1408" i="6"/>
  <c r="O1408" i="6" s="1"/>
  <c r="N1041" i="6"/>
  <c r="O1041" i="6" s="1"/>
  <c r="N2293" i="6"/>
  <c r="O2293" i="6" s="1"/>
  <c r="N1108" i="6"/>
  <c r="O1108" i="6" s="1"/>
  <c r="N1705" i="6"/>
  <c r="O1705" i="6" s="1"/>
  <c r="N2475" i="6"/>
  <c r="O2475" i="6" s="1"/>
  <c r="N1396" i="6"/>
  <c r="O1396" i="6" s="1"/>
  <c r="N804" i="6"/>
  <c r="O804" i="6" s="1"/>
  <c r="N888" i="6"/>
  <c r="O888" i="6" s="1"/>
  <c r="N1493" i="6"/>
  <c r="O1493" i="6" s="1"/>
  <c r="N2269" i="6"/>
  <c r="O2269" i="6" s="1"/>
  <c r="N1286" i="6"/>
  <c r="O1286" i="6" s="1"/>
  <c r="N437" i="6"/>
  <c r="O437" i="6" s="1"/>
  <c r="N2248" i="6"/>
  <c r="O2248" i="6" s="1"/>
  <c r="N772" i="6"/>
  <c r="O772" i="6" s="1"/>
  <c r="N1915" i="6"/>
  <c r="O1915" i="6" s="1"/>
  <c r="N1485" i="6"/>
  <c r="O1485" i="6" s="1"/>
  <c r="N1392" i="6"/>
  <c r="O1392" i="6" s="1"/>
  <c r="N2760" i="6"/>
  <c r="O2760" i="6" s="1"/>
  <c r="N866" i="6"/>
  <c r="O866" i="6" s="1"/>
  <c r="N832" i="6"/>
  <c r="O832" i="6" s="1"/>
  <c r="N1376" i="6"/>
  <c r="O1376" i="6" s="1"/>
  <c r="N1136" i="6"/>
  <c r="O1136" i="6" s="1"/>
  <c r="N1530" i="6"/>
  <c r="O1530" i="6" s="1"/>
  <c r="N1650" i="6"/>
  <c r="O1650" i="6" s="1"/>
  <c r="N518" i="6"/>
  <c r="O518" i="6" s="1"/>
  <c r="N1473" i="6"/>
  <c r="O1473" i="6" s="1"/>
  <c r="N2866" i="6"/>
  <c r="O2866" i="6" s="1"/>
  <c r="N2558" i="6"/>
  <c r="O2558" i="6" s="1"/>
  <c r="N904" i="6"/>
  <c r="O904" i="6" s="1"/>
  <c r="N1783" i="6"/>
  <c r="O1783" i="6" s="1"/>
  <c r="N1967" i="6"/>
  <c r="O1967" i="6" s="1"/>
  <c r="N2623" i="6"/>
  <c r="O2623" i="6" s="1"/>
  <c r="N60" i="6"/>
  <c r="O60" i="6" s="1"/>
  <c r="N1231" i="6"/>
  <c r="O1231" i="6" s="1"/>
  <c r="N1704" i="6"/>
  <c r="O1704" i="6" s="1"/>
  <c r="N2328" i="6"/>
  <c r="O2328" i="6" s="1"/>
  <c r="N293" i="6"/>
  <c r="O293" i="6" s="1"/>
  <c r="N394" i="6"/>
  <c r="O394" i="6" s="1"/>
  <c r="N402" i="6"/>
  <c r="O402" i="6" s="1"/>
  <c r="N1051" i="6"/>
  <c r="O1051" i="6" s="1"/>
  <c r="N1097" i="6"/>
  <c r="O1097" i="6" s="1"/>
  <c r="N765" i="6"/>
  <c r="O765" i="6" s="1"/>
  <c r="N253" i="6"/>
  <c r="O253" i="6" s="1"/>
  <c r="N1172" i="6"/>
  <c r="O1172" i="6" s="1"/>
  <c r="N2098" i="6"/>
  <c r="O2098" i="6" s="1"/>
  <c r="N979" i="6"/>
  <c r="O979" i="6" s="1"/>
  <c r="N1570" i="6"/>
  <c r="O1570" i="6" s="1"/>
  <c r="N1083" i="6"/>
  <c r="O1083" i="6" s="1"/>
  <c r="N769" i="6"/>
  <c r="O769" i="6" s="1"/>
  <c r="N283" i="6"/>
  <c r="O283" i="6" s="1"/>
  <c r="N1355" i="6"/>
  <c r="O1355" i="6" s="1"/>
  <c r="N856" i="6"/>
  <c r="O856" i="6" s="1"/>
  <c r="N1240" i="6"/>
  <c r="O1240" i="6" s="1"/>
  <c r="N1558" i="6"/>
  <c r="O1558" i="6" s="1"/>
  <c r="N49" i="6"/>
  <c r="O49" i="6" s="1"/>
  <c r="N757" i="6"/>
  <c r="O757" i="6" s="1"/>
  <c r="N966" i="6"/>
  <c r="O966" i="6" s="1"/>
  <c r="N1169" i="6"/>
  <c r="O1169" i="6" s="1"/>
  <c r="N822" i="6"/>
  <c r="O822" i="6" s="1"/>
  <c r="N1514" i="6"/>
  <c r="O1514" i="6" s="1"/>
  <c r="N1278" i="6"/>
  <c r="O1278" i="6" s="1"/>
  <c r="N1747" i="6"/>
  <c r="O1747" i="6" s="1"/>
  <c r="N582" i="6"/>
  <c r="O582" i="6" s="1"/>
  <c r="M2650" i="6"/>
  <c r="N2650" i="6" s="1"/>
  <c r="O2650" i="6" s="1"/>
  <c r="M2666" i="6"/>
  <c r="N2666" i="6" s="1"/>
  <c r="O2666" i="6" s="1"/>
  <c r="M2656" i="6"/>
  <c r="N2656" i="6" s="1"/>
  <c r="O2656" i="6" s="1"/>
  <c r="M2654" i="6"/>
  <c r="N2654" i="6" s="1"/>
  <c r="O2654" i="6" s="1"/>
  <c r="M2672" i="6"/>
  <c r="N2672" i="6" s="1"/>
  <c r="O2672" i="6" s="1"/>
  <c r="M2668" i="6"/>
  <c r="N2668" i="6" s="1"/>
  <c r="O2668" i="6" s="1"/>
  <c r="M2655" i="6"/>
  <c r="N2655" i="6" s="1"/>
  <c r="O2655" i="6" s="1"/>
  <c r="M2658" i="6"/>
  <c r="N2658" i="6" s="1"/>
  <c r="O2658" i="6" s="1"/>
  <c r="M2663" i="6"/>
  <c r="N2663" i="6" s="1"/>
  <c r="O2663" i="6" s="1"/>
  <c r="M2670" i="6"/>
  <c r="N2670" i="6" s="1"/>
  <c r="O2670" i="6" s="1"/>
  <c r="M2660" i="6"/>
  <c r="N2660" i="6" s="1"/>
  <c r="O2660" i="6" s="1"/>
  <c r="M2661" i="6"/>
  <c r="N2661" i="6" s="1"/>
  <c r="O2661" i="6" s="1"/>
  <c r="M2665" i="6"/>
  <c r="N2665" i="6" s="1"/>
  <c r="O2665" i="6" s="1"/>
  <c r="M2671" i="6"/>
  <c r="N2671" i="6" s="1"/>
  <c r="O2671" i="6" s="1"/>
  <c r="M2659" i="6"/>
  <c r="N2659" i="6" s="1"/>
  <c r="O2659" i="6" s="1"/>
  <c r="M2669" i="6"/>
  <c r="N2669" i="6" s="1"/>
  <c r="O2669" i="6" s="1"/>
  <c r="M2652" i="6"/>
  <c r="N2652" i="6" s="1"/>
  <c r="O2652" i="6" s="1"/>
  <c r="M2664" i="6"/>
  <c r="N2664" i="6" s="1"/>
  <c r="O2664" i="6" s="1"/>
  <c r="M2653" i="6"/>
  <c r="N2653" i="6" s="1"/>
  <c r="O2653" i="6" s="1"/>
  <c r="M2667" i="6"/>
  <c r="N2667" i="6" s="1"/>
  <c r="O2667" i="6" s="1"/>
  <c r="M2662" i="6"/>
  <c r="N2662" i="6" s="1"/>
  <c r="O2662" i="6" s="1"/>
  <c r="M2657" i="6"/>
  <c r="N2657" i="6" s="1"/>
  <c r="O2657" i="6" s="1"/>
  <c r="M2651" i="6"/>
  <c r="N2651" i="6" s="1"/>
  <c r="O2651" i="6" s="1"/>
  <c r="M2673" i="6"/>
  <c r="N2673" i="6" s="1"/>
  <c r="O2673" i="6" s="1"/>
  <c r="N1634" i="6"/>
  <c r="O1634" i="6" s="1"/>
  <c r="N2166" i="6"/>
  <c r="O2166" i="6" s="1"/>
  <c r="N246" i="6"/>
  <c r="O246" i="6" s="1"/>
  <c r="N1431" i="6"/>
  <c r="O1431" i="6" s="1"/>
  <c r="N789" i="6"/>
  <c r="O789" i="6" s="1"/>
  <c r="N2288" i="6"/>
  <c r="O2288" i="6" s="1"/>
  <c r="N1422" i="6"/>
  <c r="O1422" i="6" s="1"/>
  <c r="N1362" i="6"/>
  <c r="O1362" i="6" s="1"/>
  <c r="N767" i="6"/>
  <c r="O767" i="6" s="1"/>
  <c r="N468" i="6"/>
  <c r="O468" i="6" s="1"/>
  <c r="N1647" i="6"/>
  <c r="O1647" i="6" s="1"/>
  <c r="N2263" i="6"/>
  <c r="O2263" i="6" s="1"/>
  <c r="N1962" i="6"/>
  <c r="O1962" i="6" s="1"/>
  <c r="N2232" i="6"/>
  <c r="O2232" i="6" s="1"/>
  <c r="N761" i="6"/>
  <c r="O761" i="6" s="1"/>
  <c r="N1623" i="6"/>
  <c r="O1623" i="6" s="1"/>
  <c r="N1951" i="6"/>
  <c r="O1951" i="6" s="1"/>
  <c r="N1589" i="6"/>
  <c r="O1589" i="6" s="1"/>
  <c r="N1490" i="6"/>
  <c r="O1490" i="6" s="1"/>
  <c r="N1549" i="6"/>
  <c r="O1549" i="6" s="1"/>
  <c r="N2110" i="6"/>
  <c r="O2110" i="6" s="1"/>
  <c r="N79" i="6"/>
  <c r="O79" i="6" s="1"/>
  <c r="N1826" i="6"/>
  <c r="O1826" i="6" s="1"/>
  <c r="N2262" i="6"/>
  <c r="O2262" i="6" s="1"/>
  <c r="N1448" i="6"/>
  <c r="O1448" i="6" s="1"/>
  <c r="N2083" i="6"/>
  <c r="O2083" i="6" s="1"/>
  <c r="N1706" i="6"/>
  <c r="O1706" i="6" s="1"/>
  <c r="N961" i="6"/>
  <c r="O961" i="6" s="1"/>
  <c r="N2270" i="6"/>
  <c r="O2270" i="6" s="1"/>
  <c r="N1598" i="6"/>
  <c r="O1598" i="6" s="1"/>
  <c r="N1767" i="6"/>
  <c r="O1767" i="6" s="1"/>
  <c r="N1773" i="6"/>
  <c r="O1773" i="6" s="1"/>
  <c r="N2254" i="6"/>
  <c r="O2254" i="6" s="1"/>
  <c r="N1272" i="6"/>
  <c r="O1272" i="6" s="1"/>
  <c r="N749" i="6"/>
  <c r="O749" i="6" s="1"/>
  <c r="N99" i="6"/>
  <c r="O99" i="6" s="1"/>
  <c r="N1899" i="6"/>
  <c r="O1899" i="6" s="1"/>
  <c r="N919" i="6"/>
  <c r="O919" i="6" s="1"/>
  <c r="N2414" i="6"/>
  <c r="O2414" i="6" s="1"/>
  <c r="N1221" i="6"/>
  <c r="O1221" i="6" s="1"/>
  <c r="N1676" i="6"/>
  <c r="O1676" i="6" s="1"/>
  <c r="N2065" i="6"/>
  <c r="O2065" i="6" s="1"/>
  <c r="N1805" i="6"/>
  <c r="O1805" i="6" s="1"/>
  <c r="N946" i="6"/>
  <c r="O946" i="6" s="1"/>
  <c r="N289" i="6"/>
  <c r="O289" i="6" s="1"/>
  <c r="N1008" i="6"/>
  <c r="O1008" i="6" s="1"/>
  <c r="N1155" i="6"/>
  <c r="O1155" i="6" s="1"/>
  <c r="N635" i="6"/>
  <c r="O635" i="6" s="1"/>
  <c r="N2097" i="6"/>
  <c r="O2097" i="6" s="1"/>
  <c r="N1103" i="6"/>
  <c r="O1103" i="6" s="1"/>
  <c r="N1047" i="6"/>
  <c r="O1047" i="6" s="1"/>
  <c r="N1515" i="6"/>
  <c r="O1515" i="6" s="1"/>
  <c r="N906" i="6"/>
  <c r="O906" i="6" s="1"/>
  <c r="N558" i="6"/>
  <c r="O558" i="6" s="1"/>
  <c r="N2470" i="6"/>
  <c r="O2470" i="6" s="1"/>
  <c r="N937" i="6"/>
  <c r="O937" i="6" s="1"/>
  <c r="N1311" i="6"/>
  <c r="O1311" i="6" s="1"/>
  <c r="N1019" i="6"/>
  <c r="O1019" i="6" s="1"/>
  <c r="N1777" i="6"/>
  <c r="O1777" i="6" s="1"/>
  <c r="N1547" i="6"/>
  <c r="O1547" i="6" s="1"/>
  <c r="N526" i="6"/>
  <c r="O526" i="6" s="1"/>
  <c r="N2438" i="6"/>
  <c r="O2438" i="6" s="1"/>
  <c r="N1358" i="6"/>
  <c r="O1358" i="6" s="1"/>
  <c r="N1457" i="6"/>
  <c r="O1457" i="6" s="1"/>
  <c r="N490" i="6"/>
  <c r="O490" i="6" s="1"/>
  <c r="N2757" i="6"/>
  <c r="O2757" i="6" s="1"/>
  <c r="N1187" i="6"/>
  <c r="O1187" i="6" s="1"/>
  <c r="N1337" i="6"/>
  <c r="O1337" i="6" s="1"/>
  <c r="N1716" i="6"/>
  <c r="O1716" i="6" s="1"/>
  <c r="N1344" i="6"/>
  <c r="O1344" i="6" s="1"/>
  <c r="N34" i="6"/>
  <c r="O34" i="6" s="1"/>
  <c r="N1335" i="6"/>
  <c r="O1335" i="6" s="1"/>
  <c r="N1287" i="6"/>
  <c r="O1287" i="6" s="1"/>
  <c r="N1961" i="6"/>
  <c r="O1961" i="6" s="1"/>
  <c r="N1565" i="6"/>
  <c r="O1565" i="6" s="1"/>
  <c r="N1728" i="6"/>
  <c r="O1728" i="6" s="1"/>
  <c r="N2001" i="6"/>
  <c r="O2001" i="6" s="1"/>
  <c r="N1098" i="6"/>
  <c r="O1098" i="6" s="1"/>
  <c r="N1901" i="6"/>
  <c r="O1901" i="6" s="1"/>
  <c r="N234" i="6"/>
  <c r="O234" i="6" s="1"/>
  <c r="T27" i="6" s="1"/>
  <c r="N311" i="6"/>
  <c r="O311" i="6" s="1"/>
  <c r="N771" i="6"/>
  <c r="O771" i="6" s="1"/>
  <c r="N1188" i="6"/>
  <c r="O1188" i="6" s="1"/>
  <c r="N2464" i="6"/>
  <c r="O2464" i="6" s="1"/>
  <c r="N1291" i="6"/>
  <c r="O1291" i="6" s="1"/>
  <c r="N2226" i="6"/>
  <c r="O2226" i="6" s="1"/>
  <c r="N532" i="6"/>
  <c r="O532" i="6" s="1"/>
  <c r="N2416" i="6"/>
  <c r="O2416" i="6" s="1"/>
  <c r="N1668" i="6"/>
  <c r="O1668" i="6" s="1"/>
  <c r="N1842" i="6"/>
  <c r="O1842" i="6" s="1"/>
  <c r="N1217" i="6"/>
  <c r="O1217" i="6" s="1"/>
  <c r="N2453" i="6"/>
  <c r="O2453" i="6" s="1"/>
  <c r="N1208" i="6"/>
  <c r="O1208" i="6" s="1"/>
  <c r="N1925" i="6"/>
  <c r="O1925" i="6" s="1"/>
  <c r="N1615" i="6"/>
  <c r="O1615" i="6" s="1"/>
  <c r="N1367" i="6"/>
  <c r="O1367" i="6" s="1"/>
  <c r="N2594" i="6"/>
  <c r="O2594" i="6" s="1"/>
  <c r="N1827" i="6"/>
  <c r="O1827" i="6" s="1"/>
  <c r="N1269" i="6"/>
  <c r="O1269" i="6" s="1"/>
  <c r="N1478" i="6"/>
  <c r="O1478" i="6" s="1"/>
  <c r="N1412" i="6"/>
  <c r="O1412" i="6" s="1"/>
  <c r="N31" i="6"/>
  <c r="O31" i="6" s="1"/>
  <c r="N1591" i="6"/>
  <c r="O1591" i="6" s="1"/>
  <c r="N1542" i="6"/>
  <c r="O1542" i="6" s="1"/>
  <c r="N1695" i="6"/>
  <c r="O1695" i="6" s="1"/>
  <c r="N1380" i="6"/>
  <c r="O1380" i="6" s="1"/>
  <c r="N818" i="6"/>
  <c r="O818" i="6" s="1"/>
  <c r="N2257" i="6"/>
  <c r="O2257" i="6" s="1"/>
  <c r="N666" i="6"/>
  <c r="O666" i="6" s="1"/>
  <c r="N1100" i="6"/>
  <c r="O1100" i="6" s="1"/>
  <c r="N1414" i="6"/>
  <c r="O1414" i="6" s="1"/>
  <c r="N1702" i="6"/>
  <c r="O1702" i="6" s="1"/>
  <c r="N2550" i="6"/>
  <c r="O2550" i="6" s="1"/>
  <c r="N2320" i="6"/>
  <c r="O2320" i="6" s="1"/>
  <c r="N905" i="6"/>
  <c r="O905" i="6" s="1"/>
  <c r="N1585" i="6"/>
  <c r="O1585" i="6" s="1"/>
  <c r="N1978" i="6"/>
  <c r="O1978" i="6" s="1"/>
  <c r="N2436" i="6"/>
  <c r="O2436" i="6" s="1"/>
  <c r="N1721" i="6"/>
  <c r="O1721" i="6" s="1"/>
  <c r="N2605" i="6"/>
  <c r="O2605" i="6" s="1"/>
  <c r="N202" i="6"/>
  <c r="O202" i="6" s="1"/>
  <c r="N2102" i="6"/>
  <c r="O2102" i="6" s="1"/>
  <c r="N2219" i="6"/>
  <c r="O2219" i="6" s="1"/>
  <c r="N2384" i="6"/>
  <c r="O2384" i="6" s="1"/>
  <c r="N389" i="6"/>
  <c r="O389" i="6" s="1"/>
  <c r="N1301" i="6"/>
  <c r="O1301" i="6" s="1"/>
  <c r="N1390" i="6"/>
  <c r="O1390" i="6" s="1"/>
  <c r="N1280" i="6"/>
  <c r="O1280" i="6" s="1"/>
  <c r="N2164" i="6"/>
  <c r="O2164" i="6" s="1"/>
  <c r="N747" i="6"/>
  <c r="O747" i="6" s="1"/>
  <c r="N2236" i="6"/>
  <c r="O2236" i="6" s="1"/>
  <c r="N1681" i="6"/>
  <c r="O1681" i="6" s="1"/>
  <c r="N2756" i="6"/>
  <c r="O2756" i="6" s="1"/>
  <c r="N2301" i="6"/>
  <c r="O2301" i="6" s="1"/>
  <c r="N1635" i="6"/>
  <c r="O1635" i="6" s="1"/>
  <c r="N2281" i="6"/>
  <c r="O2281" i="6" s="1"/>
  <c r="N1353" i="6"/>
  <c r="O1353" i="6" s="1"/>
  <c r="N1523" i="6"/>
  <c r="O1523" i="6" s="1"/>
  <c r="N2129" i="6"/>
  <c r="O2129" i="6" s="1"/>
  <c r="N669" i="6"/>
  <c r="O669" i="6" s="1"/>
  <c r="N2143" i="6"/>
  <c r="O2143" i="6" s="1"/>
  <c r="N971" i="6"/>
  <c r="O971" i="6" s="1"/>
  <c r="N1724" i="6"/>
  <c r="O1724" i="6" s="1"/>
  <c r="N2077" i="6"/>
  <c r="O2077" i="6" s="1"/>
  <c r="N998" i="6"/>
  <c r="O998" i="6" s="1"/>
  <c r="N664" i="6"/>
  <c r="O664" i="6" s="1"/>
  <c r="N121" i="6"/>
  <c r="O121" i="6" s="1"/>
  <c r="N1966" i="6"/>
  <c r="O1966" i="6" s="1"/>
  <c r="N1819" i="6"/>
  <c r="O1819" i="6" s="1"/>
  <c r="N1847" i="6"/>
  <c r="O1847" i="6" s="1"/>
  <c r="N2251" i="6"/>
  <c r="O2251" i="6" s="1"/>
  <c r="N302" i="6"/>
  <c r="O302" i="6" s="1"/>
  <c r="N415" i="6"/>
  <c r="O415" i="6" s="1"/>
  <c r="N2303" i="6"/>
  <c r="O2303" i="6" s="1"/>
  <c r="N1780" i="6"/>
  <c r="O1780" i="6" s="1"/>
  <c r="N119" i="6"/>
  <c r="O119" i="6" s="1"/>
  <c r="N2316" i="6"/>
  <c r="O2316" i="6" s="1"/>
  <c r="N261" i="6"/>
  <c r="O261" i="6" s="1"/>
  <c r="N2128" i="6"/>
  <c r="O2128" i="6" s="1"/>
  <c r="N2327" i="6"/>
  <c r="O2327" i="6" s="1"/>
  <c r="N1319" i="6"/>
  <c r="O1319" i="6" s="1"/>
  <c r="N1439" i="6"/>
  <c r="O1439" i="6" s="1"/>
  <c r="N510" i="6"/>
  <c r="O510" i="6" s="1"/>
  <c r="N501" i="6"/>
  <c r="O501" i="6" s="1"/>
  <c r="N1454" i="6"/>
  <c r="O1454" i="6" s="1"/>
  <c r="N1633" i="6"/>
  <c r="O1633" i="6" s="1"/>
  <c r="N2063" i="6"/>
  <c r="O2063" i="6" s="1"/>
  <c r="N1936" i="6"/>
  <c r="O1936" i="6" s="1"/>
  <c r="N1484" i="6"/>
  <c r="O1484" i="6" s="1"/>
  <c r="N973" i="6"/>
  <c r="O973" i="6" s="1"/>
  <c r="N1282" i="6"/>
  <c r="O1282" i="6" s="1"/>
  <c r="N324" i="6"/>
  <c r="O324" i="6" s="1"/>
  <c r="N726" i="6"/>
  <c r="O726" i="6" s="1"/>
  <c r="N1520" i="6"/>
  <c r="O1520" i="6" s="1"/>
  <c r="N1511" i="6"/>
  <c r="O1511" i="6" s="1"/>
  <c r="N2089" i="6"/>
  <c r="O2089" i="6" s="1"/>
  <c r="N1701" i="6"/>
  <c r="O1701" i="6" s="1"/>
  <c r="N1829" i="6"/>
  <c r="O1829" i="6" s="1"/>
  <c r="N1609" i="6"/>
  <c r="O1609" i="6" s="1"/>
  <c r="N2311" i="6"/>
  <c r="O2311" i="6" s="1"/>
  <c r="N3230" i="6"/>
  <c r="O3230" i="6" s="1"/>
  <c r="N883" i="6"/>
  <c r="O883" i="6" s="1"/>
  <c r="N1498" i="6"/>
  <c r="O1498" i="6" s="1"/>
  <c r="N1232" i="6"/>
  <c r="O1232" i="6" s="1"/>
  <c r="N1132" i="6"/>
  <c r="O1132" i="6" s="1"/>
  <c r="N894" i="6"/>
  <c r="O894" i="6" s="1"/>
  <c r="N776" i="6"/>
  <c r="O776" i="6" s="1"/>
  <c r="N128" i="6"/>
  <c r="O128" i="6" s="1"/>
  <c r="N1955" i="6"/>
  <c r="O1955" i="6" s="1"/>
  <c r="N2060" i="6"/>
  <c r="O2060" i="6" s="1"/>
  <c r="N1295" i="6"/>
  <c r="O1295" i="6" s="1"/>
  <c r="N2071" i="6"/>
  <c r="O2071" i="6" s="1"/>
  <c r="N1266" i="6"/>
  <c r="O1266" i="6" s="1"/>
  <c r="N843" i="6"/>
  <c r="O843" i="6" s="1"/>
  <c r="N2411" i="6"/>
  <c r="O2411" i="6" s="1"/>
  <c r="N1507" i="6"/>
  <c r="O1507" i="6" s="1"/>
  <c r="N2892" i="6"/>
  <c r="O2892" i="6" s="1"/>
  <c r="N1474" i="6"/>
  <c r="O1474" i="6" s="1"/>
  <c r="N982" i="6"/>
  <c r="O982" i="6" s="1"/>
  <c r="N1813" i="6"/>
  <c r="O1813" i="6" s="1"/>
  <c r="N2428" i="6"/>
  <c r="O2428" i="6" s="1"/>
  <c r="N248" i="6"/>
  <c r="O248" i="6" s="1"/>
  <c r="N1569" i="6"/>
  <c r="O1569" i="6" s="1"/>
  <c r="N1653" i="6"/>
  <c r="O1653" i="6" s="1"/>
  <c r="N1603" i="6"/>
  <c r="O1603" i="6" s="1"/>
  <c r="N2252" i="6"/>
  <c r="O2252" i="6" s="1"/>
  <c r="N30" i="6"/>
  <c r="O30" i="6" s="1"/>
  <c r="N1519" i="6"/>
  <c r="O1519" i="6" s="1"/>
  <c r="N1434" i="6"/>
  <c r="O1434" i="6" s="1"/>
  <c r="N1986" i="6"/>
  <c r="O1986" i="6" s="1"/>
  <c r="N1294" i="6"/>
  <c r="O1294" i="6" s="1"/>
  <c r="N1734" i="6"/>
  <c r="O1734" i="6" s="1"/>
  <c r="N2874" i="6"/>
  <c r="O2874" i="6" s="1"/>
  <c r="N2142" i="6"/>
  <c r="O2142" i="6" s="1"/>
  <c r="N813" i="6"/>
  <c r="O813" i="6" s="1"/>
  <c r="N2147" i="6"/>
  <c r="O2147" i="6" s="1"/>
  <c r="N2250" i="6"/>
  <c r="O2250" i="6" s="1"/>
  <c r="N1968" i="6"/>
  <c r="O1968" i="6" s="1"/>
  <c r="N857" i="6"/>
  <c r="O857" i="6" s="1"/>
  <c r="N1539" i="6"/>
  <c r="O1539" i="6" s="1"/>
  <c r="N1183" i="6"/>
  <c r="O1183" i="6" s="1"/>
  <c r="N707" i="6"/>
  <c r="O707" i="6" s="1"/>
  <c r="N1630" i="6"/>
  <c r="O1630" i="6" s="1"/>
  <c r="N1535" i="6"/>
  <c r="O1535" i="6" s="1"/>
  <c r="N1180" i="6"/>
  <c r="O1180" i="6" s="1"/>
  <c r="N2409" i="6"/>
  <c r="O2409" i="6" s="1"/>
  <c r="N1663" i="6"/>
  <c r="O1663" i="6" s="1"/>
  <c r="N143" i="6"/>
  <c r="O143" i="6" s="1"/>
  <c r="N1963" i="6"/>
  <c r="O1963" i="6" s="1"/>
  <c r="N1322" i="6"/>
  <c r="O1322" i="6" s="1"/>
  <c r="N1090" i="6"/>
  <c r="O1090" i="6" s="1"/>
  <c r="N1956" i="6"/>
  <c r="O1956" i="6" s="1"/>
  <c r="N659" i="6"/>
  <c r="O659" i="6" s="1"/>
  <c r="N1059" i="6"/>
  <c r="O1059" i="6" s="1"/>
  <c r="N1738" i="6"/>
  <c r="O1738" i="6" s="1"/>
  <c r="N1084" i="6"/>
  <c r="O1084" i="6" s="1"/>
  <c r="N1248" i="6"/>
  <c r="O1248" i="6" s="1"/>
  <c r="N1112" i="6"/>
  <c r="O1112" i="6" s="1"/>
  <c r="N1442" i="6"/>
  <c r="O1442" i="6" s="1"/>
  <c r="N1068" i="6"/>
  <c r="O1068" i="6" s="1"/>
  <c r="N1745" i="6"/>
  <c r="O1745" i="6" s="1"/>
  <c r="N2300" i="6"/>
  <c r="O2300" i="6" s="1"/>
  <c r="N1787" i="6"/>
  <c r="O1787" i="6" s="1"/>
  <c r="N272" i="6"/>
  <c r="O272" i="6" s="1"/>
  <c r="N1801" i="6"/>
  <c r="O1801" i="6" s="1"/>
  <c r="N1071" i="6"/>
  <c r="O1071" i="6" s="1"/>
  <c r="N1625" i="6"/>
  <c r="O1625" i="6" s="1"/>
  <c r="N1846" i="6"/>
  <c r="O1846" i="6" s="1"/>
  <c r="N1487" i="6"/>
  <c r="O1487" i="6" s="1"/>
  <c r="N2735" i="6"/>
  <c r="O2735" i="6" s="1"/>
  <c r="N1779" i="6"/>
  <c r="O1779" i="6" s="1"/>
  <c r="N1527" i="6"/>
  <c r="O1527" i="6" s="1"/>
  <c r="N2719" i="6"/>
  <c r="O2719" i="6" s="1"/>
  <c r="N731" i="6"/>
  <c r="O731" i="6" s="1"/>
  <c r="N1697" i="6"/>
  <c r="O1697" i="6" s="1"/>
  <c r="N1435" i="6"/>
  <c r="O1435" i="6" s="1"/>
  <c r="N2072" i="6"/>
  <c r="O2072" i="6" s="1"/>
  <c r="N1677" i="6"/>
  <c r="O1677" i="6" s="1"/>
  <c r="N1662" i="6"/>
  <c r="O1662" i="6" s="1"/>
  <c r="N1710" i="6"/>
  <c r="O1710" i="6" s="1"/>
  <c r="N1160" i="6"/>
  <c r="O1160" i="6" s="1"/>
  <c r="N1444" i="6"/>
  <c r="O1444" i="6" s="1"/>
  <c r="N1557" i="6"/>
  <c r="O1557" i="6" s="1"/>
  <c r="N1275" i="6"/>
  <c r="O1275" i="6" s="1"/>
  <c r="N2067" i="6"/>
  <c r="O2067" i="6" s="1"/>
  <c r="N1354" i="6"/>
  <c r="O1354" i="6" s="1"/>
  <c r="N886" i="6"/>
  <c r="O886" i="6" s="1"/>
  <c r="N957" i="6"/>
  <c r="O957" i="6" s="1"/>
  <c r="N1944" i="6"/>
  <c r="O1944" i="6" s="1"/>
  <c r="N1308" i="6"/>
  <c r="O1308" i="6" s="1"/>
  <c r="N1225" i="6"/>
  <c r="O1225" i="6" s="1"/>
  <c r="N2292" i="6"/>
  <c r="O2292" i="6" s="1"/>
  <c r="N1917" i="6"/>
  <c r="O1917" i="6" s="1"/>
  <c r="N1960" i="6"/>
  <c r="O1960" i="6" s="1"/>
  <c r="N1285" i="6"/>
  <c r="O1285" i="6" s="1"/>
  <c r="N1406" i="6"/>
  <c r="O1406" i="6" s="1"/>
  <c r="N2322" i="6"/>
  <c r="O2322" i="6" s="1"/>
  <c r="N2468" i="6"/>
  <c r="O2468" i="6" s="1"/>
  <c r="N782" i="6"/>
  <c r="O782" i="6" s="1"/>
  <c r="N205" i="6"/>
  <c r="O205" i="6" s="1"/>
  <c r="N1912" i="6"/>
  <c r="O1912" i="6" s="1"/>
  <c r="N1061" i="6"/>
  <c r="O1061" i="6" s="1"/>
  <c r="N2069" i="6"/>
  <c r="O2069" i="6" s="1"/>
  <c r="N1489" i="6"/>
  <c r="O1489" i="6" s="1"/>
  <c r="N477" i="6"/>
  <c r="O477" i="6" s="1"/>
  <c r="N788" i="6"/>
  <c r="O788" i="6" s="1"/>
  <c r="N1810" i="6"/>
  <c r="O1810" i="6" s="1"/>
  <c r="N1571" i="6"/>
  <c r="O1571" i="6" s="1"/>
  <c r="N2131" i="6"/>
  <c r="O2131" i="6" s="1"/>
  <c r="N42" i="6"/>
  <c r="O42" i="6" s="1"/>
  <c r="N1111" i="6"/>
  <c r="O1111" i="6" s="1"/>
  <c r="N1730" i="6"/>
  <c r="O1730" i="6" s="1"/>
  <c r="N1010" i="6"/>
  <c r="O1010" i="6" s="1"/>
  <c r="N2279" i="6"/>
  <c r="O2279" i="6" s="1"/>
  <c r="N1674" i="6"/>
  <c r="O1674" i="6" s="1"/>
  <c r="N1748" i="6"/>
  <c r="O1748" i="6" s="1"/>
  <c r="N1073" i="6"/>
  <c r="O1073" i="6" s="1"/>
  <c r="N1993" i="6"/>
  <c r="O1993" i="6" s="1"/>
  <c r="N1537" i="6"/>
  <c r="O1537" i="6" s="1"/>
  <c r="N981" i="6"/>
  <c r="O981" i="6" s="1"/>
  <c r="N1938" i="6"/>
  <c r="O1938" i="6" s="1"/>
  <c r="N2146" i="6"/>
  <c r="O2146" i="6" s="1"/>
  <c r="N1139" i="6"/>
  <c r="O1139" i="6" s="1"/>
  <c r="N1566" i="6"/>
  <c r="O1566" i="6" s="1"/>
  <c r="N1290" i="6"/>
  <c r="O1290" i="6" s="1"/>
  <c r="N1023" i="6"/>
  <c r="O1023" i="6" s="1"/>
  <c r="N925" i="6"/>
  <c r="O925" i="6" s="1"/>
  <c r="N2407" i="6"/>
  <c r="O2407" i="6" s="1"/>
  <c r="N1957" i="6"/>
  <c r="O1957" i="6" s="1"/>
  <c r="N1462" i="6"/>
  <c r="O1462" i="6" s="1"/>
  <c r="N605" i="6"/>
  <c r="O605" i="6" s="1"/>
  <c r="N2289" i="6"/>
  <c r="O2289" i="6" s="1"/>
  <c r="N1338" i="6"/>
  <c r="O1338" i="6" s="1"/>
  <c r="N1379" i="6"/>
  <c r="O1379" i="6" s="1"/>
  <c r="N1395" i="6"/>
  <c r="O1395" i="6" s="1"/>
  <c r="N1321" i="6"/>
  <c r="O1321" i="6" s="1"/>
  <c r="N2646" i="6"/>
  <c r="O2646" i="6" s="1"/>
  <c r="N2157" i="6"/>
  <c r="O2157" i="6" s="1"/>
  <c r="N1151" i="6"/>
  <c r="O1151" i="6" s="1"/>
  <c r="N1822" i="6"/>
  <c r="O1822" i="6" s="1"/>
  <c r="N1729" i="6"/>
  <c r="O1729" i="6" s="1"/>
  <c r="N1619" i="6"/>
  <c r="O1619" i="6" s="1"/>
  <c r="N2590" i="6"/>
  <c r="O2590" i="6" s="1"/>
  <c r="N1447" i="6"/>
  <c r="O1447" i="6" s="1"/>
  <c r="N2000" i="6"/>
  <c r="O2000" i="6" s="1"/>
  <c r="N1940" i="6"/>
  <c r="O1940" i="6" s="1"/>
  <c r="N1758" i="6"/>
  <c r="O1758" i="6" s="1"/>
  <c r="N969" i="6"/>
  <c r="O969" i="6" s="1"/>
  <c r="N1049" i="6"/>
  <c r="O1049" i="6" s="1"/>
  <c r="N2564" i="6"/>
  <c r="O2564" i="6" s="1"/>
  <c r="N2444" i="6"/>
  <c r="O2444" i="6" s="1"/>
  <c r="N1421" i="6"/>
  <c r="O1421" i="6" s="1"/>
  <c r="N1576" i="6"/>
  <c r="O1576" i="6" s="1"/>
  <c r="N2880" i="6"/>
  <c r="O2880" i="6" s="1"/>
  <c r="N2306" i="6"/>
  <c r="O2306" i="6" s="1"/>
  <c r="N1985" i="6"/>
  <c r="O1985" i="6" s="1"/>
  <c r="N334" i="6"/>
  <c r="O334" i="6" s="1"/>
  <c r="N1387" i="6"/>
  <c r="O1387" i="6" s="1"/>
  <c r="N2412" i="6"/>
  <c r="O2412" i="6" s="1"/>
  <c r="N2889" i="6"/>
  <c r="O2889" i="6" s="1"/>
  <c r="N2611" i="6"/>
  <c r="O2611" i="6" s="1"/>
  <c r="N2783" i="6"/>
  <c r="O2783" i="6" s="1"/>
  <c r="N1803" i="6"/>
  <c r="O1803" i="6" s="1"/>
  <c r="N54" i="6"/>
  <c r="O54" i="6" s="1"/>
  <c r="N1270" i="6"/>
  <c r="O1270" i="6" s="1"/>
  <c r="N2402" i="6"/>
  <c r="O2402" i="6" s="1"/>
  <c r="N2563" i="6"/>
  <c r="O2563" i="6" s="1"/>
  <c r="N218" i="6"/>
  <c r="O218" i="6" s="1"/>
  <c r="N269" i="6"/>
  <c r="O269" i="6" s="1"/>
  <c r="N1749" i="6"/>
  <c r="O1749" i="6" s="1"/>
  <c r="N1584" i="6"/>
  <c r="O1584" i="6" s="1"/>
  <c r="N1415" i="6"/>
  <c r="O1415" i="6" s="1"/>
  <c r="N2725" i="6"/>
  <c r="O2725" i="6" s="1"/>
  <c r="N523" i="6"/>
  <c r="O523" i="6" s="1"/>
  <c r="N2865" i="6"/>
  <c r="O2865" i="6" s="1"/>
  <c r="N2882" i="6"/>
  <c r="O2882" i="6" s="1"/>
  <c r="N1079" i="6"/>
  <c r="O1079" i="6" s="1"/>
  <c r="N2064" i="6"/>
  <c r="O2064" i="6" s="1"/>
  <c r="N2105" i="6"/>
  <c r="O2105" i="6" s="1"/>
  <c r="N740" i="6"/>
  <c r="O740" i="6" s="1"/>
  <c r="N1161" i="6"/>
  <c r="O1161" i="6" s="1"/>
  <c r="N2123" i="6"/>
  <c r="O2123" i="6" s="1"/>
  <c r="N2260" i="6"/>
  <c r="O2260" i="6" s="1"/>
  <c r="N1336" i="6"/>
  <c r="O1336" i="6" s="1"/>
  <c r="N1437" i="6"/>
  <c r="O1437" i="6" s="1"/>
  <c r="N146" i="6"/>
  <c r="O146" i="6" s="1"/>
  <c r="N678" i="6"/>
  <c r="O678" i="6" s="1"/>
  <c r="N2284" i="6"/>
  <c r="O2284" i="6" s="1"/>
  <c r="N2379" i="6"/>
  <c r="O2379" i="6" s="1"/>
  <c r="N1529" i="6"/>
  <c r="O1529" i="6" s="1"/>
  <c r="N3200" i="6"/>
  <c r="O3200" i="6" s="1"/>
  <c r="N1553" i="6"/>
  <c r="O1553" i="6" s="1"/>
  <c r="N1418" i="6"/>
  <c r="O1418" i="6" s="1"/>
  <c r="N873" i="6"/>
  <c r="O873" i="6" s="1"/>
  <c r="N1488" i="6"/>
  <c r="O1488" i="6" s="1"/>
  <c r="N2603" i="6"/>
  <c r="O2603" i="6" s="1"/>
  <c r="N1009" i="6"/>
  <c r="O1009" i="6" s="1"/>
  <c r="N27" i="6"/>
  <c r="O27" i="6" s="1"/>
  <c r="N1346" i="6"/>
  <c r="O1346" i="6" s="1"/>
  <c r="N1559" i="6"/>
  <c r="O1559" i="6" s="1"/>
  <c r="N1449" i="6"/>
  <c r="O1449" i="6" s="1"/>
  <c r="N2313" i="6"/>
  <c r="O2313" i="6" s="1"/>
  <c r="N1932" i="6"/>
  <c r="O1932" i="6" s="1"/>
  <c r="N1030" i="6"/>
  <c r="O1030" i="6" s="1"/>
  <c r="N1977" i="6"/>
  <c r="O1977" i="6" s="1"/>
  <c r="N573" i="6"/>
  <c r="O573" i="6" s="1"/>
  <c r="N837" i="6"/>
  <c r="O837" i="6" s="1"/>
  <c r="N1181" i="6"/>
  <c r="O1181" i="6" s="1"/>
  <c r="N90" i="6"/>
  <c r="O90" i="6" s="1"/>
  <c r="N2165" i="6"/>
  <c r="O2165" i="6" s="1"/>
  <c r="N1538" i="6"/>
  <c r="O1538" i="6" s="1"/>
  <c r="N206" i="6"/>
  <c r="O206" i="6" s="1"/>
  <c r="N1583" i="6"/>
  <c r="O1583" i="6" s="1"/>
  <c r="N1644" i="6"/>
  <c r="O1644" i="6" s="1"/>
  <c r="N2466" i="6"/>
  <c r="O2466" i="6" s="1"/>
  <c r="N1426" i="6"/>
  <c r="O1426" i="6" s="1"/>
  <c r="N2740" i="6"/>
  <c r="O2740" i="6" s="1"/>
  <c r="N1998" i="6"/>
  <c r="O1998" i="6" s="1"/>
  <c r="N1334" i="6"/>
  <c r="O1334" i="6" s="1"/>
  <c r="N2008" i="6"/>
  <c r="O2008" i="6" s="1"/>
  <c r="N25" i="6"/>
  <c r="O25" i="6" s="1"/>
  <c r="N2582" i="6"/>
  <c r="O2582" i="6" s="1"/>
  <c r="N917" i="6"/>
  <c r="O917" i="6" s="1"/>
  <c r="N1678" i="6"/>
  <c r="O1678" i="6" s="1"/>
  <c r="N2946" i="6"/>
  <c r="O2946" i="6" s="1"/>
  <c r="N1273" i="6"/>
  <c r="O1273" i="6" s="1"/>
  <c r="N1924" i="6"/>
  <c r="O1924" i="6" s="1"/>
  <c r="N2588" i="6"/>
  <c r="O2588" i="6" s="1"/>
  <c r="N1323" i="6"/>
  <c r="O1323" i="6" s="1"/>
  <c r="N1341" i="6"/>
  <c r="O1341" i="6" s="1"/>
  <c r="N2386" i="6"/>
  <c r="O2386" i="6" s="1"/>
  <c r="N2066" i="6"/>
  <c r="O2066" i="6" s="1"/>
  <c r="N1302" i="6"/>
  <c r="O1302" i="6" s="1"/>
  <c r="N2149" i="6"/>
  <c r="O2149" i="6" s="1"/>
  <c r="N1130" i="6"/>
  <c r="O1130" i="6" s="1"/>
  <c r="N773" i="6"/>
  <c r="O773" i="6" s="1"/>
  <c r="N2138" i="6"/>
  <c r="O2138" i="6" s="1"/>
  <c r="N2158" i="6"/>
  <c r="O2158" i="6" s="1"/>
  <c r="N1153" i="6"/>
  <c r="O1153" i="6" s="1"/>
  <c r="N1268" i="6"/>
  <c r="O1268" i="6" s="1"/>
  <c r="N913" i="6"/>
  <c r="O913" i="6" s="1"/>
  <c r="N2441" i="6"/>
  <c r="O2441" i="6" s="1"/>
  <c r="N2259" i="6"/>
  <c r="O2259" i="6" s="1"/>
  <c r="N2610" i="6"/>
  <c r="O2610" i="6" s="1"/>
  <c r="N1299" i="6"/>
  <c r="O1299" i="6" s="1"/>
  <c r="N862" i="6"/>
  <c r="O862" i="6" s="1"/>
  <c r="N1026" i="6"/>
  <c r="O1026" i="6" s="1"/>
  <c r="N2132" i="6"/>
  <c r="O2132" i="6" s="1"/>
  <c r="N2075" i="6"/>
  <c r="O2075" i="6" s="1"/>
  <c r="N2061" i="6"/>
  <c r="O2061" i="6" s="1"/>
  <c r="N2267" i="6"/>
  <c r="O2267" i="6" s="1"/>
  <c r="N2122" i="6"/>
  <c r="O2122" i="6" s="1"/>
  <c r="N1617" i="6"/>
  <c r="O1617" i="6" s="1"/>
  <c r="N2893" i="6"/>
  <c r="O2893" i="6" s="1"/>
  <c r="N1906" i="6"/>
  <c r="O1906" i="6" s="1"/>
  <c r="N1714" i="6"/>
  <c r="O1714" i="6" s="1"/>
  <c r="N1235" i="6"/>
  <c r="O1235" i="6" s="1"/>
  <c r="N456" i="6"/>
  <c r="O456" i="6" s="1"/>
  <c r="N2547" i="6"/>
  <c r="O2547" i="6" s="1"/>
  <c r="N2439" i="6"/>
  <c r="O2439" i="6" s="1"/>
  <c r="N2294" i="6"/>
  <c r="O2294" i="6" s="1"/>
  <c r="N1642" i="6"/>
  <c r="O1642" i="6" s="1"/>
  <c r="N2388" i="6"/>
  <c r="O2388" i="6" s="1"/>
  <c r="N2323" i="6"/>
  <c r="O2323" i="6" s="1"/>
  <c r="N1823" i="6"/>
  <c r="O1823" i="6" s="1"/>
  <c r="N2602" i="6"/>
  <c r="O2602" i="6" s="1"/>
  <c r="N377" i="6"/>
  <c r="O377" i="6" s="1"/>
  <c r="N1164" i="6"/>
  <c r="O1164" i="6" s="1"/>
  <c r="N1789" i="6"/>
  <c r="O1789" i="6" s="1"/>
  <c r="N2385" i="6"/>
  <c r="O2385" i="6" s="1"/>
  <c r="N1430" i="6"/>
  <c r="O1430" i="6" s="1"/>
  <c r="N1550" i="6"/>
  <c r="O1550" i="6" s="1"/>
  <c r="N1641" i="6"/>
  <c r="O1641" i="6" s="1"/>
  <c r="N1365" i="6"/>
  <c r="O1365" i="6" s="1"/>
  <c r="N1219" i="6"/>
  <c r="O1219" i="6" s="1"/>
  <c r="N877" i="6"/>
  <c r="O877" i="6" s="1"/>
  <c r="N2136" i="6"/>
  <c r="O2136" i="6" s="1"/>
  <c r="N1147" i="6"/>
  <c r="O1147" i="6" s="1"/>
  <c r="N2553" i="6"/>
  <c r="O2553" i="6" s="1"/>
  <c r="N1715" i="6"/>
  <c r="O1715" i="6" s="1"/>
  <c r="N916" i="6"/>
  <c r="O916" i="6" s="1"/>
  <c r="N806" i="6"/>
  <c r="O806" i="6" s="1"/>
  <c r="N1639" i="6"/>
  <c r="O1639" i="6" s="1"/>
  <c r="N718" i="6"/>
  <c r="O718" i="6" s="1"/>
  <c r="N2002" i="6"/>
  <c r="O2002" i="6" s="1"/>
  <c r="N398" i="6"/>
  <c r="O398" i="6" s="1"/>
  <c r="N2151" i="6"/>
  <c r="O2151" i="6" s="1"/>
  <c r="N189" i="6"/>
  <c r="O189" i="6" s="1"/>
  <c r="N2579" i="6"/>
  <c r="O2579" i="6" s="1"/>
  <c r="N1441" i="6"/>
  <c r="O1441" i="6" s="1"/>
  <c r="N1521" i="6"/>
  <c r="O1521" i="6" s="1"/>
  <c r="N1610" i="6"/>
  <c r="O1610" i="6" s="1"/>
  <c r="N1577" i="6"/>
  <c r="O1577" i="6" s="1"/>
  <c r="N3043" i="6"/>
  <c r="O3043" i="6" s="1"/>
  <c r="N1994" i="6"/>
  <c r="O1994" i="6" s="1"/>
  <c r="N1607" i="6"/>
  <c r="O1607" i="6" s="1"/>
  <c r="N1236" i="6"/>
  <c r="O1236" i="6" s="1"/>
  <c r="N1411" i="6"/>
  <c r="O1411" i="6" s="1"/>
  <c r="N2480" i="6"/>
  <c r="O2480" i="6" s="1"/>
  <c r="N1318" i="6"/>
  <c r="O1318" i="6" s="1"/>
  <c r="N1105" i="6"/>
  <c r="O1105" i="6" s="1"/>
  <c r="N1229" i="6"/>
  <c r="O1229" i="6" s="1"/>
  <c r="N2408" i="6"/>
  <c r="O2408" i="6" s="1"/>
  <c r="N2804" i="6"/>
  <c r="O2804" i="6" s="1"/>
  <c r="N1703" i="6"/>
  <c r="O1703" i="6" s="1"/>
  <c r="N2612" i="6"/>
  <c r="O2612" i="6" s="1"/>
  <c r="N2168" i="6"/>
  <c r="O2168" i="6" s="1"/>
  <c r="N2461" i="6"/>
  <c r="O2461" i="6" s="1"/>
  <c r="N2099" i="6"/>
  <c r="O2099" i="6" s="1"/>
  <c r="N702" i="6"/>
  <c r="O702" i="6" s="1"/>
  <c r="N2140" i="6"/>
  <c r="O2140" i="6" s="1"/>
  <c r="N2068" i="6"/>
  <c r="O2068" i="6" s="1"/>
  <c r="N1989" i="6"/>
  <c r="O1989" i="6" s="1"/>
  <c r="N2283" i="6"/>
  <c r="O2283" i="6" s="1"/>
  <c r="N2415" i="6"/>
  <c r="O2415" i="6" s="1"/>
  <c r="N3107" i="6"/>
  <c r="O3107" i="6" s="1"/>
  <c r="N1029" i="6"/>
  <c r="O1029" i="6" s="1"/>
  <c r="N1626" i="6"/>
  <c r="O1626" i="6" s="1"/>
  <c r="N3194" i="6"/>
  <c r="O3194" i="6" s="1"/>
  <c r="N2571" i="6"/>
  <c r="O2571" i="6" s="1"/>
  <c r="N3058" i="6"/>
  <c r="O3058" i="6" s="1"/>
  <c r="N1564" i="6"/>
  <c r="O1564" i="6" s="1"/>
  <c r="N2329" i="6"/>
  <c r="O2329" i="6" s="1"/>
  <c r="N1261" i="6"/>
  <c r="O1261" i="6" s="1"/>
  <c r="N2079" i="6"/>
  <c r="O2079" i="6" s="1"/>
  <c r="N1297" i="6"/>
  <c r="O1297" i="6" s="1"/>
  <c r="N2155" i="6"/>
  <c r="O2155" i="6" s="1"/>
  <c r="N2709" i="6"/>
  <c r="O2709" i="6" s="1"/>
  <c r="N474" i="6"/>
  <c r="O474" i="6" s="1"/>
  <c r="N1360" i="6"/>
  <c r="O1360" i="6" s="1"/>
  <c r="N1809" i="6"/>
  <c r="O1809" i="6" s="1"/>
  <c r="N2454" i="6"/>
  <c r="O2454" i="6" s="1"/>
  <c r="N354" i="6"/>
  <c r="O354" i="6" s="1"/>
  <c r="N654" i="6"/>
  <c r="O654" i="6" s="1"/>
  <c r="N2732" i="6"/>
  <c r="O2732" i="6" s="1"/>
  <c r="N1204" i="6"/>
  <c r="O1204" i="6" s="1"/>
  <c r="N509" i="6"/>
  <c r="O509" i="6" s="1"/>
  <c r="N1806" i="6"/>
  <c r="O1806" i="6" s="1"/>
  <c r="N1816" i="6"/>
  <c r="O1816" i="6" s="1"/>
  <c r="N393" i="6"/>
  <c r="O393" i="6" s="1"/>
  <c r="N1107" i="6"/>
  <c r="O1107" i="6" s="1"/>
  <c r="N2397" i="6"/>
  <c r="O2397" i="6" s="1"/>
  <c r="N2808" i="6"/>
  <c r="O2808" i="6" s="1"/>
  <c r="N1281" i="6"/>
  <c r="O1281" i="6" s="1"/>
  <c r="N1928" i="6"/>
  <c r="O1928" i="6" s="1"/>
  <c r="N2062" i="6"/>
  <c r="O2062" i="6" s="1"/>
  <c r="N1620" i="6"/>
  <c r="O1620" i="6" s="1"/>
  <c r="N1980" i="6"/>
  <c r="O1980" i="6" s="1"/>
  <c r="N1651" i="6"/>
  <c r="O1651" i="6" s="1"/>
  <c r="N977" i="6"/>
  <c r="O977" i="6" s="1"/>
  <c r="N1027" i="6"/>
  <c r="O1027" i="6" s="1"/>
  <c r="N430" i="6"/>
  <c r="O430" i="6" s="1"/>
  <c r="N1546" i="6"/>
  <c r="O1546" i="6" s="1"/>
  <c r="N1669" i="6"/>
  <c r="O1669" i="6" s="1"/>
  <c r="N1531" i="6"/>
  <c r="O1531" i="6" s="1"/>
  <c r="N849" i="6"/>
  <c r="O849" i="6" s="1"/>
  <c r="N1195" i="6"/>
  <c r="O1195" i="6" s="1"/>
  <c r="N1763" i="6"/>
  <c r="O1763" i="6" s="1"/>
  <c r="N1694" i="6"/>
  <c r="O1694" i="6" s="1"/>
  <c r="N2923" i="6"/>
  <c r="O2923" i="6" s="1"/>
  <c r="N1606" i="6"/>
  <c r="O1606" i="6" s="1"/>
  <c r="N1643" i="6"/>
  <c r="O1643" i="6" s="1"/>
  <c r="N2406" i="6"/>
  <c r="O2406" i="6" s="1"/>
  <c r="N2233" i="6"/>
  <c r="O2233" i="6" s="1"/>
  <c r="N1911" i="6"/>
  <c r="O1911" i="6" s="1"/>
  <c r="N3049" i="6"/>
  <c r="O3049" i="6" s="1"/>
  <c r="N2482" i="6"/>
  <c r="O2482" i="6" s="1"/>
  <c r="N975" i="6"/>
  <c r="O975" i="6" s="1"/>
  <c r="N929" i="6"/>
  <c r="O929" i="6" s="1"/>
  <c r="N934" i="6"/>
  <c r="O934" i="6" s="1"/>
  <c r="N106" i="6"/>
  <c r="O106" i="6" s="1"/>
  <c r="N1524" i="6"/>
  <c r="O1524" i="6" s="1"/>
  <c r="N2875" i="6"/>
  <c r="O2875" i="6" s="1"/>
  <c r="N1919" i="6"/>
  <c r="O1919" i="6" s="1"/>
  <c r="N2378" i="6"/>
  <c r="O2378" i="6" s="1"/>
  <c r="N2324" i="6"/>
  <c r="O2324" i="6" s="1"/>
  <c r="N1766" i="6"/>
  <c r="O1766" i="6" s="1"/>
  <c r="N670" i="6"/>
  <c r="O670" i="6" s="1"/>
  <c r="N1997" i="6"/>
  <c r="O1997" i="6" s="1"/>
  <c r="N2169" i="6"/>
  <c r="O2169" i="6" s="1"/>
  <c r="N2803" i="6"/>
  <c r="O2803" i="6" s="1"/>
  <c r="N1185" i="6"/>
  <c r="O1185" i="6" s="1"/>
  <c r="N1052" i="6"/>
  <c r="O1052" i="6" s="1"/>
  <c r="N2572" i="6"/>
  <c r="O2572" i="6" s="1"/>
  <c r="N1713" i="6"/>
  <c r="O1713" i="6" s="1"/>
  <c r="N583" i="6"/>
  <c r="O583" i="6" s="1"/>
  <c r="N2763" i="6"/>
  <c r="O2763" i="6" s="1"/>
  <c r="N1168" i="6"/>
  <c r="O1168" i="6" s="1"/>
  <c r="N1157" i="6"/>
  <c r="O1157" i="6" s="1"/>
  <c r="N1309" i="6"/>
  <c r="O1309" i="6" s="1"/>
  <c r="N174" i="6"/>
  <c r="O174" i="6" s="1"/>
  <c r="N1751" i="6"/>
  <c r="O1751" i="6" s="1"/>
  <c r="N694" i="6"/>
  <c r="O694" i="6" s="1"/>
  <c r="N2729" i="6"/>
  <c r="O2729" i="6" s="1"/>
  <c r="N674" i="6"/>
  <c r="O674" i="6" s="1"/>
  <c r="N2104" i="6"/>
  <c r="O2104" i="6" s="1"/>
  <c r="N1903" i="6"/>
  <c r="O1903" i="6" s="1"/>
  <c r="N1563" i="6"/>
  <c r="O1563" i="6" s="1"/>
  <c r="N1687" i="6"/>
  <c r="O1687" i="6" s="1"/>
  <c r="N2225" i="6"/>
  <c r="O2225" i="6" s="1"/>
  <c r="N1841" i="6"/>
  <c r="O1841" i="6" s="1"/>
  <c r="N2637" i="6"/>
  <c r="O2637" i="6" s="1"/>
  <c r="N1483" i="6"/>
  <c r="O1483" i="6" s="1"/>
  <c r="N1947" i="6"/>
  <c r="O1947" i="6" s="1"/>
  <c r="N590" i="6"/>
  <c r="O590" i="6" s="1"/>
  <c r="N1328" i="6"/>
  <c r="O1328" i="6" s="1"/>
  <c r="N2221" i="6"/>
  <c r="O2221" i="6" s="1"/>
  <c r="N1964" i="6"/>
  <c r="O1964" i="6" s="1"/>
  <c r="N2932" i="6"/>
  <c r="O2932" i="6" s="1"/>
  <c r="N1491" i="6"/>
  <c r="O1491" i="6" s="1"/>
  <c r="N2447" i="6"/>
  <c r="O2447" i="6" s="1"/>
  <c r="N1505" i="6"/>
  <c r="O1505" i="6" s="1"/>
  <c r="N2268" i="6"/>
  <c r="O2268" i="6" s="1"/>
  <c r="N1988" i="6"/>
  <c r="O1988" i="6" s="1"/>
  <c r="N2417" i="6"/>
  <c r="O2417" i="6" s="1"/>
  <c r="N1698" i="6"/>
  <c r="O1698" i="6" s="1"/>
  <c r="N111" i="6"/>
  <c r="O111" i="6" s="1"/>
  <c r="N1652" i="6"/>
  <c r="O1652" i="6" s="1"/>
  <c r="N2545" i="6"/>
  <c r="O2545" i="6" s="1"/>
  <c r="N2426" i="6"/>
  <c r="O2426" i="6" s="1"/>
  <c r="N1750" i="6"/>
  <c r="O1750" i="6" s="1"/>
  <c r="N2619" i="6"/>
  <c r="O2619" i="6" s="1"/>
  <c r="N2795" i="6"/>
  <c r="O2795" i="6" s="1"/>
  <c r="N2380" i="6"/>
  <c r="O2380" i="6" s="1"/>
  <c r="N1551" i="6"/>
  <c r="O1551" i="6" s="1"/>
  <c r="N1939" i="6"/>
  <c r="O1939" i="6" s="1"/>
  <c r="N2405" i="6"/>
  <c r="O2405" i="6" s="1"/>
  <c r="N2286" i="6"/>
  <c r="O2286" i="6" s="1"/>
  <c r="N2310" i="6"/>
  <c r="O2310" i="6" s="1"/>
  <c r="N2779" i="6"/>
  <c r="O2779" i="6" s="1"/>
  <c r="N2231" i="6"/>
  <c r="O2231" i="6" s="1"/>
  <c r="N2005" i="6"/>
  <c r="O2005" i="6" s="1"/>
  <c r="N1811" i="6"/>
  <c r="O1811" i="6" s="1"/>
  <c r="N1807" i="6"/>
  <c r="O1807" i="6" s="1"/>
  <c r="N1314" i="6"/>
  <c r="O1314" i="6" s="1"/>
  <c r="N2715" i="6"/>
  <c r="O2715" i="6" s="1"/>
  <c r="N881" i="6"/>
  <c r="O881" i="6" s="1"/>
  <c r="N2540" i="6"/>
  <c r="O2540" i="6" s="1"/>
  <c r="N1679" i="6"/>
  <c r="O1679" i="6" s="1"/>
  <c r="N1759" i="6"/>
  <c r="O1759" i="6" s="1"/>
  <c r="N1909" i="6"/>
  <c r="O1909" i="6" s="1"/>
  <c r="N1902" i="6"/>
  <c r="O1902" i="6" s="1"/>
  <c r="N1506" i="6"/>
  <c r="O1506" i="6" s="1"/>
  <c r="N1213" i="6"/>
  <c r="O1213" i="6" s="1"/>
  <c r="N1361" i="6"/>
  <c r="O1361" i="6" s="1"/>
  <c r="N2445" i="6"/>
  <c r="O2445" i="6" s="1"/>
  <c r="N2308" i="6"/>
  <c r="O2308" i="6" s="1"/>
  <c r="N2488" i="6"/>
  <c r="O2488" i="6" s="1"/>
  <c r="N2124" i="6"/>
  <c r="O2124" i="6" s="1"/>
  <c r="N1790" i="6"/>
  <c r="O1790" i="6" s="1"/>
  <c r="N2007" i="6"/>
  <c r="O2007" i="6" s="1"/>
  <c r="N1981" i="6"/>
  <c r="O1981" i="6" s="1"/>
  <c r="N2141" i="6"/>
  <c r="O2141" i="6" s="1"/>
  <c r="N2862" i="6"/>
  <c r="O2862" i="6" s="1"/>
  <c r="N2085" i="6"/>
  <c r="O2085" i="6" s="1"/>
  <c r="N2744" i="6"/>
  <c r="O2744" i="6" s="1"/>
  <c r="N3203" i="6"/>
  <c r="O3203" i="6" s="1"/>
  <c r="N1254" i="6"/>
  <c r="O1254" i="6" s="1"/>
  <c r="N1954" i="6"/>
  <c r="O1954" i="6" s="1"/>
  <c r="N1948" i="6"/>
  <c r="O1948" i="6" s="1"/>
  <c r="N2443" i="6"/>
  <c r="O2443" i="6" s="1"/>
  <c r="N1922" i="6"/>
  <c r="O1922" i="6" s="1"/>
  <c r="N1567" i="6"/>
  <c r="O1567" i="6" s="1"/>
  <c r="N2965" i="6"/>
  <c r="O2965" i="6" s="1"/>
  <c r="N2764" i="6"/>
  <c r="O2764" i="6" s="1"/>
  <c r="N2398" i="6"/>
  <c r="O2398" i="6" s="1"/>
  <c r="N1776" i="6"/>
  <c r="O1776" i="6" s="1"/>
  <c r="N2114" i="6"/>
  <c r="O2114" i="6" s="1"/>
  <c r="N2465" i="6"/>
  <c r="O2465" i="6" s="1"/>
  <c r="N1372" i="6"/>
  <c r="O1372" i="6" s="1"/>
  <c r="N3189" i="6"/>
  <c r="O3189" i="6" s="1"/>
  <c r="N2249" i="6"/>
  <c r="O2249" i="6" s="1"/>
  <c r="N2091" i="6"/>
  <c r="O2091" i="6" s="1"/>
  <c r="N2600" i="6"/>
  <c r="O2600" i="6" s="1"/>
  <c r="N1573" i="6"/>
  <c r="O1573" i="6" s="1"/>
  <c r="N2455" i="6"/>
  <c r="O2455" i="6" s="1"/>
  <c r="N1518" i="6"/>
  <c r="O1518" i="6" s="1"/>
  <c r="N1629" i="6"/>
  <c r="O1629" i="6" s="1"/>
  <c r="N1723" i="6"/>
  <c r="O1723" i="6" s="1"/>
  <c r="N2423" i="6"/>
  <c r="O2423" i="6" s="1"/>
  <c r="N701" i="6"/>
  <c r="O701" i="6" s="1"/>
  <c r="N2070" i="6"/>
  <c r="O2070" i="6" s="1"/>
  <c r="N610" i="6"/>
  <c r="O610" i="6" s="1"/>
  <c r="N777" i="6"/>
  <c r="O777" i="6" s="1"/>
  <c r="N200" i="6"/>
  <c r="O200" i="6" s="1"/>
  <c r="N1423" i="6"/>
  <c r="O1423" i="6" s="1"/>
  <c r="N1101" i="6"/>
  <c r="O1101" i="6" s="1"/>
  <c r="N1798" i="6"/>
  <c r="O1798" i="6" s="1"/>
  <c r="N1193" i="6"/>
  <c r="O1193" i="6" s="1"/>
  <c r="N1310" i="6"/>
  <c r="O1310" i="6" s="1"/>
  <c r="N909" i="6"/>
  <c r="O909" i="6" s="1"/>
  <c r="N1374" i="6"/>
  <c r="O1374" i="6" s="1"/>
  <c r="N1601" i="6"/>
  <c r="O1601" i="6" s="1"/>
  <c r="N638" i="6"/>
  <c r="O638" i="6" s="1"/>
  <c r="N2144" i="6"/>
  <c r="O2144" i="6" s="1"/>
  <c r="N1313" i="6"/>
  <c r="O1313" i="6" s="1"/>
  <c r="N1113" i="6"/>
  <c r="O1113" i="6" s="1"/>
  <c r="N2872" i="6"/>
  <c r="O2872" i="6" s="1"/>
  <c r="N2580" i="6"/>
  <c r="O2580" i="6" s="1"/>
  <c r="N2237" i="6"/>
  <c r="O2237" i="6" s="1"/>
  <c r="N2427" i="6"/>
  <c r="O2427" i="6" s="1"/>
  <c r="N3182" i="6"/>
  <c r="O3182" i="6" s="1"/>
  <c r="N2265" i="6"/>
  <c r="O2265" i="6" s="1"/>
  <c r="N1274" i="6"/>
  <c r="O1274" i="6" s="1"/>
  <c r="N2095" i="6"/>
  <c r="O2095" i="6" s="1"/>
  <c r="N1727" i="6"/>
  <c r="O1727" i="6" s="1"/>
  <c r="N2238" i="6"/>
  <c r="O2238" i="6" s="1"/>
  <c r="N1429" i="6"/>
  <c r="O1429" i="6" s="1"/>
  <c r="N586" i="6"/>
  <c r="O586" i="6" s="1"/>
  <c r="N3089" i="6"/>
  <c r="O3089" i="6" s="1"/>
  <c r="N3036" i="6"/>
  <c r="O3036" i="6" s="1"/>
  <c r="N2807" i="6"/>
  <c r="O2807" i="6" s="1"/>
  <c r="N2076" i="6"/>
  <c r="O2076" i="6" s="1"/>
  <c r="M1858" i="6"/>
  <c r="N1858" i="6" s="1"/>
  <c r="O1858" i="6" s="1"/>
  <c r="M1872" i="6"/>
  <c r="N1872" i="6" s="1"/>
  <c r="O1872" i="6" s="1"/>
  <c r="M1863" i="6"/>
  <c r="N1863" i="6" s="1"/>
  <c r="O1863" i="6" s="1"/>
  <c r="M1862" i="6"/>
  <c r="N1862" i="6" s="1"/>
  <c r="O1862" i="6" s="1"/>
  <c r="M1853" i="6"/>
  <c r="N1853" i="6" s="1"/>
  <c r="O1853" i="6" s="1"/>
  <c r="M1873" i="6"/>
  <c r="N1873" i="6" s="1"/>
  <c r="O1873" i="6" s="1"/>
  <c r="M1854" i="6"/>
  <c r="N1854" i="6" s="1"/>
  <c r="O1854" i="6" s="1"/>
  <c r="M1867" i="6"/>
  <c r="N1867" i="6" s="1"/>
  <c r="O1867" i="6" s="1"/>
  <c r="M1866" i="6"/>
  <c r="N1866" i="6" s="1"/>
  <c r="O1866" i="6" s="1"/>
  <c r="M1851" i="6"/>
  <c r="N1851" i="6" s="1"/>
  <c r="O1851" i="6" s="1"/>
  <c r="M1856" i="6"/>
  <c r="N1856" i="6" s="1"/>
  <c r="O1856" i="6" s="1"/>
  <c r="M1871" i="6"/>
  <c r="N1871" i="6" s="1"/>
  <c r="O1871" i="6" s="1"/>
  <c r="M1857" i="6"/>
  <c r="N1857" i="6" s="1"/>
  <c r="O1857" i="6" s="1"/>
  <c r="M1852" i="6"/>
  <c r="N1852" i="6" s="1"/>
  <c r="O1852" i="6" s="1"/>
  <c r="M1859" i="6"/>
  <c r="N1859" i="6" s="1"/>
  <c r="O1859" i="6" s="1"/>
  <c r="M1870" i="6"/>
  <c r="N1870" i="6" s="1"/>
  <c r="O1870" i="6" s="1"/>
  <c r="M1865" i="6"/>
  <c r="N1865" i="6" s="1"/>
  <c r="O1865" i="6" s="1"/>
  <c r="M1860" i="6"/>
  <c r="N1860" i="6" s="1"/>
  <c r="O1860" i="6" s="1"/>
  <c r="M1864" i="6"/>
  <c r="N1864" i="6" s="1"/>
  <c r="O1864" i="6" s="1"/>
  <c r="M1850" i="6"/>
  <c r="N1850" i="6" s="1"/>
  <c r="O1850" i="6" s="1"/>
  <c r="M1868" i="6"/>
  <c r="N1868" i="6" s="1"/>
  <c r="O1868" i="6" s="1"/>
  <c r="M1869" i="6"/>
  <c r="N1869" i="6" s="1"/>
  <c r="O1869" i="6" s="1"/>
  <c r="M1855" i="6"/>
  <c r="N1855" i="6" s="1"/>
  <c r="O1855" i="6" s="1"/>
  <c r="M1861" i="6"/>
  <c r="N1861" i="6" s="1"/>
  <c r="O1861" i="6" s="1"/>
  <c r="N2887" i="6"/>
  <c r="O2887" i="6" s="1"/>
  <c r="N1974" i="6"/>
  <c r="O1974" i="6" s="1"/>
  <c r="N1722" i="6"/>
  <c r="O1722" i="6" s="1"/>
  <c r="N2298" i="6"/>
  <c r="O2298" i="6" s="1"/>
  <c r="N2319" i="6"/>
  <c r="O2319" i="6" s="1"/>
  <c r="N3091" i="6"/>
  <c r="O3091" i="6" s="1"/>
  <c r="N1545" i="6"/>
  <c r="O1545" i="6" s="1"/>
  <c r="N2539" i="6"/>
  <c r="O2539" i="6" s="1"/>
  <c r="N1427" i="6"/>
  <c r="O1427" i="6" s="1"/>
  <c r="N2620" i="6"/>
  <c r="O2620" i="6" s="1"/>
  <c r="N3080" i="6"/>
  <c r="O3080" i="6" s="1"/>
  <c r="N989" i="6"/>
  <c r="O989" i="6" s="1"/>
  <c r="N3075" i="6"/>
  <c r="O3075" i="6" s="1"/>
  <c r="N2134" i="6"/>
  <c r="O2134" i="6" s="1"/>
  <c r="N1965" i="6"/>
  <c r="O1965" i="6" s="1"/>
  <c r="N1382" i="6"/>
  <c r="O1382" i="6" s="1"/>
  <c r="N869" i="6"/>
  <c r="O869" i="6" s="1"/>
  <c r="N1479" i="6"/>
  <c r="O1479" i="6" s="1"/>
  <c r="N1436" i="6"/>
  <c r="O1436" i="6" s="1"/>
  <c r="N1386" i="6"/>
  <c r="O1386" i="6" s="1"/>
  <c r="N2549" i="6"/>
  <c r="O2549" i="6" s="1"/>
  <c r="N1769" i="6"/>
  <c r="O1769" i="6" s="1"/>
  <c r="N2449" i="6"/>
  <c r="O2449" i="6" s="1"/>
  <c r="N2877" i="6"/>
  <c r="O2877" i="6" s="1"/>
  <c r="N2278" i="6"/>
  <c r="O2278" i="6" s="1"/>
  <c r="N2784" i="6"/>
  <c r="O2784" i="6" s="1"/>
  <c r="N801" i="6"/>
  <c r="O801" i="6" s="1"/>
  <c r="N1467" i="6"/>
  <c r="O1467" i="6" s="1"/>
  <c r="N3079" i="6"/>
  <c r="O3079" i="6" s="1"/>
  <c r="N2616" i="6"/>
  <c r="O2616" i="6" s="1"/>
  <c r="N2606" i="6"/>
  <c r="O2606" i="6" s="1"/>
  <c r="N2570" i="6"/>
  <c r="O2570" i="6" s="1"/>
  <c r="N1409" i="6"/>
  <c r="O1409" i="6" s="1"/>
  <c r="N2463" i="6"/>
  <c r="O2463" i="6" s="1"/>
  <c r="N2931" i="6"/>
  <c r="O2931" i="6" s="1"/>
  <c r="N2608" i="6"/>
  <c r="O2608" i="6" s="1"/>
  <c r="N1782" i="6"/>
  <c r="O1782" i="6" s="1"/>
  <c r="N2393" i="6"/>
  <c r="O2393" i="6" s="1"/>
  <c r="N1251" i="6"/>
  <c r="O1251" i="6" s="1"/>
  <c r="N2421" i="6"/>
  <c r="O2421" i="6" s="1"/>
  <c r="N2220" i="6"/>
  <c r="O2220" i="6" s="1"/>
  <c r="N1683" i="6"/>
  <c r="O1683" i="6" s="1"/>
  <c r="N2247" i="6"/>
  <c r="O2247" i="6" s="1"/>
  <c r="N1707" i="6"/>
  <c r="O1707" i="6" s="1"/>
  <c r="N1482" i="6"/>
  <c r="O1482" i="6" s="1"/>
  <c r="N2258" i="6"/>
  <c r="O2258" i="6" s="1"/>
  <c r="N2326" i="6"/>
  <c r="O2326" i="6" s="1"/>
  <c r="N2581" i="6"/>
  <c r="O2581" i="6" s="1"/>
  <c r="N2108" i="6"/>
  <c r="O2108" i="6" s="1"/>
  <c r="N2435" i="6"/>
  <c r="O2435" i="6" s="1"/>
  <c r="N3099" i="6"/>
  <c r="O3099" i="6" s="1"/>
  <c r="N3202" i="6"/>
  <c r="O3202" i="6" s="1"/>
  <c r="N2318" i="6"/>
  <c r="O2318" i="6" s="1"/>
  <c r="N2133" i="6"/>
  <c r="O2133" i="6" s="1"/>
  <c r="N2576" i="6"/>
  <c r="O2576" i="6" s="1"/>
  <c r="N2004" i="6"/>
  <c r="O2004" i="6" s="1"/>
  <c r="N1475" i="6"/>
  <c r="O1475" i="6" s="1"/>
  <c r="N1599" i="6"/>
  <c r="O1599" i="6" s="1"/>
  <c r="N2437" i="6"/>
  <c r="O2437" i="6" s="1"/>
  <c r="N1459" i="6"/>
  <c r="O1459" i="6" s="1"/>
  <c r="N2940" i="6"/>
  <c r="O2940" i="6" s="1"/>
  <c r="N2750" i="6"/>
  <c r="O2750" i="6" s="1"/>
  <c r="N3021" i="6"/>
  <c r="O3021" i="6" s="1"/>
  <c r="N2476" i="6"/>
  <c r="O2476" i="6" s="1"/>
  <c r="N2698" i="6"/>
  <c r="O2698" i="6" s="1"/>
  <c r="N2431" i="6"/>
  <c r="O2431" i="6" s="1"/>
  <c r="N1582" i="6"/>
  <c r="O1582" i="6" s="1"/>
  <c r="N2939" i="6"/>
  <c r="O2939" i="6" s="1"/>
  <c r="N1604" i="6"/>
  <c r="O1604" i="6" s="1"/>
  <c r="N2274" i="6"/>
  <c r="O2274" i="6" s="1"/>
  <c r="N2560" i="6"/>
  <c r="O2560" i="6" s="1"/>
  <c r="N1045" i="6"/>
  <c r="O1045" i="6" s="1"/>
  <c r="N1771" i="6"/>
  <c r="O1771" i="6" s="1"/>
  <c r="N2633" i="6"/>
  <c r="O2633" i="6" s="1"/>
  <c r="N2775" i="6"/>
  <c r="O2775" i="6" s="1"/>
  <c r="N2106" i="6"/>
  <c r="O2106" i="6" s="1"/>
  <c r="N2317" i="6"/>
  <c r="O2317" i="6" s="1"/>
  <c r="N2911" i="6"/>
  <c r="O2911" i="6" s="1"/>
  <c r="N2878" i="6"/>
  <c r="O2878" i="6" s="1"/>
  <c r="N2789" i="6"/>
  <c r="O2789" i="6" s="1"/>
  <c r="N3018" i="6"/>
  <c r="O3018" i="6" s="1"/>
  <c r="N1622" i="6"/>
  <c r="O1622" i="6" s="1"/>
  <c r="N2888" i="6"/>
  <c r="O2888" i="6" s="1"/>
  <c r="N2643" i="6"/>
  <c r="O2643" i="6" s="1"/>
  <c r="N1731" i="6"/>
  <c r="O1731" i="6" s="1"/>
  <c r="N2941" i="6"/>
  <c r="O2941" i="6" s="1"/>
  <c r="N2599" i="6"/>
  <c r="O2599" i="6" s="1"/>
  <c r="N2908" i="6"/>
  <c r="O2908" i="6" s="1"/>
  <c r="N2745" i="6"/>
  <c r="O2745" i="6" s="1"/>
  <c r="N2919" i="6"/>
  <c r="O2919" i="6" s="1"/>
  <c r="N2730" i="6"/>
  <c r="O2730" i="6" s="1"/>
  <c r="N2118" i="6"/>
  <c r="O2118" i="6" s="1"/>
  <c r="N2771" i="6"/>
  <c r="O2771" i="6" s="1"/>
  <c r="N941" i="6"/>
  <c r="O941" i="6" s="1"/>
  <c r="N2401" i="6"/>
  <c r="O2401" i="6" s="1"/>
  <c r="N3044" i="6"/>
  <c r="O3044" i="6" s="1"/>
  <c r="N2548" i="6"/>
  <c r="O2548" i="6" s="1"/>
  <c r="N2287" i="6"/>
  <c r="O2287" i="6" s="1"/>
  <c r="N3228" i="6"/>
  <c r="O3228" i="6" s="1"/>
  <c r="N2881" i="6"/>
  <c r="O2881" i="6" s="1"/>
  <c r="N2896" i="6"/>
  <c r="O2896" i="6" s="1"/>
  <c r="N1627" i="6"/>
  <c r="O1627" i="6" s="1"/>
  <c r="T95" i="6" s="1"/>
  <c r="N2753" i="6"/>
  <c r="O2753" i="6" s="1"/>
  <c r="N2285" i="6"/>
  <c r="O2285" i="6" s="1"/>
  <c r="N2561" i="6"/>
  <c r="O2561" i="6" s="1"/>
  <c r="N1201" i="6"/>
  <c r="O1201" i="6" s="1"/>
  <c r="N2894" i="6"/>
  <c r="O2894" i="6" s="1"/>
  <c r="N1205" i="6"/>
  <c r="O1205" i="6" s="1"/>
  <c r="N2648" i="6"/>
  <c r="O2648" i="6" s="1"/>
  <c r="N1971" i="6"/>
  <c r="O1971" i="6" s="1"/>
  <c r="N2565" i="6"/>
  <c r="O2565" i="6" s="1"/>
  <c r="N2736" i="6"/>
  <c r="O2736" i="6" s="1"/>
  <c r="N3023" i="6"/>
  <c r="O3023" i="6" s="1"/>
  <c r="N1699" i="6"/>
  <c r="O1699" i="6" s="1"/>
  <c r="N2791" i="6"/>
  <c r="O2791" i="6" s="1"/>
  <c r="N3065" i="6"/>
  <c r="O3065" i="6" s="1"/>
  <c r="N753" i="6"/>
  <c r="O753" i="6" s="1"/>
  <c r="N2704" i="6"/>
  <c r="O2704" i="6" s="1"/>
  <c r="N3225" i="6"/>
  <c r="O3225" i="6" s="1"/>
  <c r="N2891" i="6"/>
  <c r="O2891" i="6" s="1"/>
  <c r="N1587" i="6"/>
  <c r="O1587" i="6" s="1"/>
  <c r="N2474" i="6"/>
  <c r="O2474" i="6" s="1"/>
  <c r="N2381" i="6"/>
  <c r="O2381" i="6" s="1"/>
  <c r="N2471" i="6"/>
  <c r="O2471" i="6" s="1"/>
  <c r="N2442" i="6"/>
  <c r="O2442" i="6" s="1"/>
  <c r="M2358" i="6"/>
  <c r="N2358" i="6" s="1"/>
  <c r="O2358" i="6" s="1"/>
  <c r="M2359" i="6"/>
  <c r="N2359" i="6" s="1"/>
  <c r="O2359" i="6" s="1"/>
  <c r="M2372" i="6"/>
  <c r="N2372" i="6" s="1"/>
  <c r="O2372" i="6" s="1"/>
  <c r="M2355" i="6"/>
  <c r="N2355" i="6" s="1"/>
  <c r="O2355" i="6" s="1"/>
  <c r="M2364" i="6"/>
  <c r="N2364" i="6" s="1"/>
  <c r="O2364" i="6" s="1"/>
  <c r="M2375" i="6"/>
  <c r="N2375" i="6" s="1"/>
  <c r="O2375" i="6" s="1"/>
  <c r="M2360" i="6"/>
  <c r="N2360" i="6" s="1"/>
  <c r="O2360" i="6" s="1"/>
  <c r="M2363" i="6"/>
  <c r="N2363" i="6" s="1"/>
  <c r="O2363" i="6" s="1"/>
  <c r="M2371" i="6"/>
  <c r="N2371" i="6" s="1"/>
  <c r="O2371" i="6" s="1"/>
  <c r="M2368" i="6"/>
  <c r="N2368" i="6" s="1"/>
  <c r="O2368" i="6" s="1"/>
  <c r="M2356" i="6"/>
  <c r="N2356" i="6" s="1"/>
  <c r="O2356" i="6" s="1"/>
  <c r="M2361" i="6"/>
  <c r="N2361" i="6" s="1"/>
  <c r="O2361" i="6" s="1"/>
  <c r="M2374" i="6"/>
  <c r="N2374" i="6" s="1"/>
  <c r="O2374" i="6" s="1"/>
  <c r="M2376" i="6"/>
  <c r="N2376" i="6" s="1"/>
  <c r="O2376" i="6" s="1"/>
  <c r="M2377" i="6"/>
  <c r="N2377" i="6" s="1"/>
  <c r="O2377" i="6" s="1"/>
  <c r="M2357" i="6"/>
  <c r="N2357" i="6" s="1"/>
  <c r="O2357" i="6" s="1"/>
  <c r="M2362" i="6"/>
  <c r="N2362" i="6" s="1"/>
  <c r="O2362" i="6" s="1"/>
  <c r="M2354" i="6"/>
  <c r="N2354" i="6" s="1"/>
  <c r="O2354" i="6" s="1"/>
  <c r="M2369" i="6"/>
  <c r="N2369" i="6" s="1"/>
  <c r="O2369" i="6" s="1"/>
  <c r="M2370" i="6"/>
  <c r="N2370" i="6" s="1"/>
  <c r="O2370" i="6" s="1"/>
  <c r="M2365" i="6"/>
  <c r="N2365" i="6" s="1"/>
  <c r="O2365" i="6" s="1"/>
  <c r="M2373" i="6"/>
  <c r="N2373" i="6" s="1"/>
  <c r="O2373" i="6" s="1"/>
  <c r="M2366" i="6"/>
  <c r="N2366" i="6" s="1"/>
  <c r="O2366" i="6" s="1"/>
  <c r="M2367" i="6"/>
  <c r="N2367" i="6" s="1"/>
  <c r="O2367" i="6" s="1"/>
  <c r="N2413" i="6"/>
  <c r="O2413" i="6" s="1"/>
  <c r="N2781" i="6"/>
  <c r="O2781" i="6" s="1"/>
  <c r="N2933" i="6"/>
  <c r="O2933" i="6" s="1"/>
  <c r="N2601" i="6"/>
  <c r="O2601" i="6" s="1"/>
  <c r="N2607" i="6"/>
  <c r="O2607" i="6" s="1"/>
  <c r="N2755" i="6"/>
  <c r="O2755" i="6" s="1"/>
  <c r="N2751" i="6"/>
  <c r="O2751" i="6" s="1"/>
  <c r="N1973" i="6"/>
  <c r="O1973" i="6" s="1"/>
  <c r="N1843" i="6"/>
  <c r="O1843" i="6" s="1"/>
  <c r="N2879" i="6"/>
  <c r="O2879" i="6" s="1"/>
  <c r="N2767" i="6"/>
  <c r="O2767" i="6" s="1"/>
  <c r="N2255" i="6"/>
  <c r="O2255" i="6" s="1"/>
  <c r="N2589" i="6"/>
  <c r="O2589" i="6" s="1"/>
  <c r="N2596" i="6"/>
  <c r="O2596" i="6" s="1"/>
  <c r="N1419" i="6"/>
  <c r="O1419" i="6" s="1"/>
  <c r="N3094" i="6"/>
  <c r="O3094" i="6" s="1"/>
  <c r="N2912" i="6"/>
  <c r="O2912" i="6" s="1"/>
  <c r="N3220" i="6"/>
  <c r="O3220" i="6" s="1"/>
  <c r="N2487" i="6"/>
  <c r="O2487" i="6" s="1"/>
  <c r="N3095" i="6"/>
  <c r="O3095" i="6" s="1"/>
  <c r="N1262" i="6"/>
  <c r="O1262" i="6" s="1"/>
  <c r="N2154" i="6"/>
  <c r="O2154" i="6" s="1"/>
  <c r="N1077" i="6"/>
  <c r="O1077" i="6" s="1"/>
  <c r="N2924" i="6"/>
  <c r="O2924" i="6" s="1"/>
  <c r="N2956" i="6"/>
  <c r="O2956" i="6" s="1"/>
  <c r="N1755" i="6"/>
  <c r="O1755" i="6" s="1"/>
  <c r="N3223" i="6"/>
  <c r="O3223" i="6" s="1"/>
  <c r="N2150" i="6"/>
  <c r="O2150" i="6" s="1"/>
  <c r="N2898" i="6"/>
  <c r="O2898" i="6" s="1"/>
  <c r="N2241" i="6"/>
  <c r="O2241" i="6" s="1"/>
  <c r="N2768" i="6"/>
  <c r="O2768" i="6" s="1"/>
  <c r="N2244" i="6"/>
  <c r="O2244" i="6" s="1"/>
  <c r="N26" i="6"/>
  <c r="O26" i="6" s="1"/>
  <c r="N2741" i="6"/>
  <c r="O2741" i="6" s="1"/>
  <c r="N2597" i="6"/>
  <c r="O2597" i="6" s="1"/>
  <c r="N2006" i="6"/>
  <c r="O2006" i="6" s="1"/>
  <c r="N2799" i="6"/>
  <c r="O2799" i="6" s="1"/>
  <c r="N1595" i="6"/>
  <c r="O1595" i="6" s="1"/>
  <c r="N1611" i="6"/>
  <c r="O1611" i="6" s="1"/>
  <c r="N2726" i="6"/>
  <c r="O2726" i="6" s="1"/>
  <c r="N1958" i="6"/>
  <c r="O1958" i="6" s="1"/>
  <c r="N2718" i="6"/>
  <c r="O2718" i="6" s="1"/>
  <c r="N2479" i="6"/>
  <c r="O2479" i="6" s="1"/>
  <c r="N2544" i="6"/>
  <c r="O2544" i="6" s="1"/>
  <c r="N2951" i="6"/>
  <c r="O2951" i="6" s="1"/>
  <c r="N3191" i="6"/>
  <c r="O3191" i="6" s="1"/>
  <c r="N2955" i="6"/>
  <c r="O2955" i="6" s="1"/>
  <c r="N2394" i="6"/>
  <c r="O2394" i="6" s="1"/>
  <c r="N2727" i="6"/>
  <c r="O2727" i="6" s="1"/>
  <c r="N2967" i="6"/>
  <c r="O2967" i="6" s="1"/>
  <c r="N3180" i="6"/>
  <c r="O3180" i="6" s="1"/>
  <c r="N2631" i="6"/>
  <c r="O2631" i="6" s="1"/>
  <c r="N2100" i="6"/>
  <c r="O2100" i="6" s="1"/>
  <c r="N2962" i="6"/>
  <c r="O2962" i="6" s="1"/>
  <c r="N2938" i="6"/>
  <c r="O2938" i="6" s="1"/>
  <c r="N2926" i="6"/>
  <c r="O2926" i="6" s="1"/>
  <c r="N2273" i="6"/>
  <c r="O2273" i="6" s="1"/>
  <c r="N2722" i="6"/>
  <c r="O2722" i="6" s="1"/>
  <c r="N2266" i="6"/>
  <c r="O2266" i="6" s="1"/>
  <c r="N3183" i="6"/>
  <c r="O3183" i="6" s="1"/>
  <c r="N2752" i="6"/>
  <c r="O2752" i="6" s="1"/>
  <c r="N3025" i="6"/>
  <c r="O3025" i="6" s="1"/>
  <c r="N2290" i="6"/>
  <c r="O2290" i="6" s="1"/>
  <c r="N3195" i="6"/>
  <c r="O3195" i="6" s="1"/>
  <c r="N2925" i="6"/>
  <c r="O2925" i="6" s="1"/>
  <c r="N1916" i="6"/>
  <c r="O1916" i="6" s="1"/>
  <c r="N3056" i="6"/>
  <c r="O3056" i="6" s="1"/>
  <c r="N1574" i="6"/>
  <c r="O1574" i="6" s="1"/>
  <c r="N3061" i="6"/>
  <c r="O3061" i="6" s="1"/>
  <c r="N2632" i="6"/>
  <c r="O2632" i="6" s="1"/>
  <c r="N2712" i="6"/>
  <c r="O2712" i="6" s="1"/>
  <c r="N3028" i="6"/>
  <c r="O3028" i="6" s="1"/>
  <c r="N1719" i="6"/>
  <c r="O1719" i="6" s="1"/>
  <c r="N2469" i="6"/>
  <c r="O2469" i="6" s="1"/>
  <c r="N1536" i="6"/>
  <c r="O1536" i="6" s="1"/>
  <c r="N1451" i="6"/>
  <c r="O1451" i="6" s="1"/>
  <c r="N1245" i="6"/>
  <c r="O1245" i="6" s="1"/>
  <c r="N2261" i="6"/>
  <c r="O2261" i="6" s="1"/>
  <c r="N2649" i="6"/>
  <c r="O2649" i="6" s="1"/>
  <c r="N2790" i="6"/>
  <c r="O2790" i="6" s="1"/>
  <c r="N1670" i="6"/>
  <c r="O1670" i="6" s="1"/>
  <c r="N1927" i="6"/>
  <c r="O1927" i="6" s="1"/>
  <c r="N2309" i="6"/>
  <c r="O2309" i="6" s="1"/>
  <c r="N1065" i="6"/>
  <c r="O1065" i="6" s="1"/>
  <c r="N2870" i="6"/>
  <c r="O2870" i="6" s="1"/>
  <c r="N3055" i="6"/>
  <c r="O3055" i="6" s="1"/>
  <c r="N2555" i="6"/>
  <c r="O2555" i="6" s="1"/>
  <c r="N3066" i="6"/>
  <c r="O3066" i="6" s="1"/>
  <c r="N3100" i="6"/>
  <c r="O3100" i="6" s="1"/>
  <c r="N2420" i="6"/>
  <c r="O2420" i="6" s="1"/>
  <c r="N2615" i="6"/>
  <c r="O2615" i="6" s="1"/>
  <c r="N2701" i="6"/>
  <c r="O2701" i="6" s="1"/>
  <c r="N2627" i="6"/>
  <c r="O2627" i="6" s="1"/>
  <c r="N1119" i="6"/>
  <c r="O1119" i="6" s="1"/>
  <c r="N2137" i="6"/>
  <c r="O2137" i="6" s="1"/>
  <c r="N2430" i="6"/>
  <c r="O2430" i="6" s="1"/>
  <c r="N2731" i="6"/>
  <c r="O2731" i="6" s="1"/>
  <c r="N2240" i="6"/>
  <c r="O2240" i="6" s="1"/>
  <c r="N2419" i="6"/>
  <c r="O2419" i="6" s="1"/>
  <c r="N3027" i="6"/>
  <c r="O3027" i="6" s="1"/>
  <c r="N1037" i="6"/>
  <c r="O1037" i="6" s="1"/>
  <c r="N2922" i="6"/>
  <c r="O2922" i="6" s="1"/>
  <c r="N2245" i="6"/>
  <c r="O2245" i="6" s="1"/>
  <c r="N1795" i="6"/>
  <c r="O1795" i="6" s="1"/>
  <c r="N2086" i="6"/>
  <c r="O2086" i="6" s="1"/>
  <c r="N3185" i="6"/>
  <c r="O3185" i="6" s="1"/>
  <c r="N2229" i="6"/>
  <c r="O2229" i="6" s="1"/>
  <c r="N2092" i="6"/>
  <c r="O2092" i="6" s="1"/>
  <c r="N2541" i="6"/>
  <c r="O2541" i="6" s="1"/>
  <c r="N2489" i="6"/>
  <c r="O2489" i="6" s="1"/>
  <c r="N3050" i="6"/>
  <c r="O3050" i="6" s="1"/>
  <c r="N2093" i="6"/>
  <c r="O2093" i="6" s="1"/>
  <c r="N2910" i="6"/>
  <c r="O2910" i="6" s="1"/>
  <c r="N2592" i="6"/>
  <c r="O2592" i="6" s="1"/>
  <c r="N2766" i="6"/>
  <c r="O2766" i="6" s="1"/>
  <c r="N2145" i="6"/>
  <c r="O2145" i="6" s="1"/>
  <c r="N3192" i="6"/>
  <c r="O3192" i="6" s="1"/>
  <c r="M1881" i="6"/>
  <c r="N1881" i="6" s="1"/>
  <c r="O1881" i="6" s="1"/>
  <c r="M1894" i="6"/>
  <c r="N1894" i="6" s="1"/>
  <c r="O1894" i="6" s="1"/>
  <c r="M1877" i="6"/>
  <c r="N1877" i="6" s="1"/>
  <c r="O1877" i="6" s="1"/>
  <c r="M1884" i="6"/>
  <c r="N1884" i="6" s="1"/>
  <c r="O1884" i="6" s="1"/>
  <c r="M1897" i="6"/>
  <c r="N1897" i="6" s="1"/>
  <c r="O1897" i="6" s="1"/>
  <c r="M1888" i="6"/>
  <c r="N1888" i="6" s="1"/>
  <c r="O1888" i="6" s="1"/>
  <c r="M1895" i="6"/>
  <c r="N1895" i="6" s="1"/>
  <c r="O1895" i="6" s="1"/>
  <c r="M1883" i="6"/>
  <c r="N1883" i="6" s="1"/>
  <c r="O1883" i="6" s="1"/>
  <c r="M1875" i="6"/>
  <c r="N1875" i="6" s="1"/>
  <c r="O1875" i="6" s="1"/>
  <c r="M1882" i="6"/>
  <c r="N1882" i="6" s="1"/>
  <c r="O1882" i="6" s="1"/>
  <c r="M1876" i="6"/>
  <c r="N1876" i="6" s="1"/>
  <c r="O1876" i="6" s="1"/>
  <c r="M1893" i="6"/>
  <c r="N1893" i="6" s="1"/>
  <c r="O1893" i="6" s="1"/>
  <c r="M1892" i="6"/>
  <c r="N1892" i="6" s="1"/>
  <c r="O1892" i="6" s="1"/>
  <c r="M1890" i="6"/>
  <c r="N1890" i="6" s="1"/>
  <c r="O1890" i="6" s="1"/>
  <c r="M1891" i="6"/>
  <c r="N1891" i="6" s="1"/>
  <c r="O1891" i="6" s="1"/>
  <c r="M1880" i="6"/>
  <c r="N1880" i="6" s="1"/>
  <c r="O1880" i="6" s="1"/>
  <c r="M1885" i="6"/>
  <c r="N1885" i="6" s="1"/>
  <c r="O1885" i="6" s="1"/>
  <c r="M1874" i="6"/>
  <c r="N1874" i="6" s="1"/>
  <c r="O1874" i="6" s="1"/>
  <c r="M1886" i="6"/>
  <c r="N1886" i="6" s="1"/>
  <c r="O1886" i="6" s="1"/>
  <c r="M1879" i="6"/>
  <c r="N1879" i="6" s="1"/>
  <c r="O1879" i="6" s="1"/>
  <c r="M1887" i="6"/>
  <c r="N1887" i="6" s="1"/>
  <c r="O1887" i="6" s="1"/>
  <c r="M1878" i="6"/>
  <c r="N1878" i="6" s="1"/>
  <c r="O1878" i="6" s="1"/>
  <c r="M1896" i="6"/>
  <c r="N1896" i="6" s="1"/>
  <c r="O1896" i="6" s="1"/>
  <c r="M1889" i="6"/>
  <c r="N1889" i="6" s="1"/>
  <c r="O1889" i="6" s="1"/>
  <c r="N3093" i="6"/>
  <c r="O3093" i="6" s="1"/>
  <c r="N2635" i="6"/>
  <c r="O2635" i="6" s="1"/>
  <c r="N2636" i="6"/>
  <c r="O2636" i="6" s="1"/>
  <c r="N2900" i="6"/>
  <c r="O2900" i="6" s="1"/>
  <c r="N3187" i="6"/>
  <c r="O3187" i="6" s="1"/>
  <c r="N2758" i="6"/>
  <c r="O2758" i="6" s="1"/>
  <c r="N2630" i="6"/>
  <c r="O2630" i="6" s="1"/>
  <c r="N2116" i="6"/>
  <c r="O2116" i="6" s="1"/>
  <c r="N3039" i="6"/>
  <c r="O3039" i="6" s="1"/>
  <c r="N3082" i="6"/>
  <c r="O3082" i="6" s="1"/>
  <c r="N1388" i="6"/>
  <c r="O1388" i="6" s="1"/>
  <c r="N2396" i="6"/>
  <c r="O2396" i="6" s="1"/>
  <c r="N2425" i="6"/>
  <c r="O2425" i="6" s="1"/>
  <c r="N3103" i="6"/>
  <c r="O3103" i="6" s="1"/>
  <c r="N3190" i="6"/>
  <c r="O3190" i="6" s="1"/>
  <c r="N3034" i="6"/>
  <c r="O3034" i="6" s="1"/>
  <c r="N2929" i="6"/>
  <c r="O2929" i="6" s="1"/>
  <c r="N3022" i="6"/>
  <c r="O3022" i="6" s="1"/>
  <c r="N3076" i="6"/>
  <c r="O3076" i="6" s="1"/>
  <c r="N3221" i="6"/>
  <c r="O3221" i="6" s="1"/>
  <c r="N2477" i="6"/>
  <c r="O2477" i="6" s="1"/>
  <c r="N3101" i="6"/>
  <c r="O3101" i="6" s="1"/>
  <c r="M2679" i="6"/>
  <c r="N2679" i="6" s="1"/>
  <c r="O2679" i="6" s="1"/>
  <c r="M2689" i="6"/>
  <c r="N2689" i="6" s="1"/>
  <c r="O2689" i="6" s="1"/>
  <c r="M2695" i="6"/>
  <c r="N2695" i="6" s="1"/>
  <c r="O2695" i="6" s="1"/>
  <c r="M2681" i="6"/>
  <c r="N2681" i="6" s="1"/>
  <c r="O2681" i="6" s="1"/>
  <c r="M2686" i="6"/>
  <c r="N2686" i="6" s="1"/>
  <c r="O2686" i="6" s="1"/>
  <c r="M2678" i="6"/>
  <c r="N2678" i="6" s="1"/>
  <c r="O2678" i="6" s="1"/>
  <c r="M2683" i="6"/>
  <c r="N2683" i="6" s="1"/>
  <c r="O2683" i="6" s="1"/>
  <c r="M2696" i="6"/>
  <c r="N2696" i="6" s="1"/>
  <c r="O2696" i="6" s="1"/>
  <c r="M2692" i="6"/>
  <c r="N2692" i="6" s="1"/>
  <c r="O2692" i="6" s="1"/>
  <c r="M2697" i="6"/>
  <c r="N2697" i="6" s="1"/>
  <c r="O2697" i="6" s="1"/>
  <c r="M2685" i="6"/>
  <c r="N2685" i="6" s="1"/>
  <c r="O2685" i="6" s="1"/>
  <c r="M2693" i="6"/>
  <c r="N2693" i="6" s="1"/>
  <c r="O2693" i="6" s="1"/>
  <c r="M2688" i="6"/>
  <c r="N2688" i="6" s="1"/>
  <c r="O2688" i="6" s="1"/>
  <c r="M2682" i="6"/>
  <c r="N2682" i="6" s="1"/>
  <c r="O2682" i="6" s="1"/>
  <c r="M2680" i="6"/>
  <c r="N2680" i="6" s="1"/>
  <c r="O2680" i="6" s="1"/>
  <c r="M2687" i="6"/>
  <c r="N2687" i="6" s="1"/>
  <c r="O2687" i="6" s="1"/>
  <c r="M2694" i="6"/>
  <c r="N2694" i="6" s="1"/>
  <c r="O2694" i="6" s="1"/>
  <c r="M2674" i="6"/>
  <c r="N2674" i="6" s="1"/>
  <c r="O2674" i="6" s="1"/>
  <c r="M2690" i="6"/>
  <c r="N2690" i="6" s="1"/>
  <c r="O2690" i="6" s="1"/>
  <c r="M2691" i="6"/>
  <c r="N2691" i="6" s="1"/>
  <c r="O2691" i="6" s="1"/>
  <c r="M2676" i="6"/>
  <c r="N2676" i="6" s="1"/>
  <c r="O2676" i="6" s="1"/>
  <c r="M2675" i="6"/>
  <c r="N2675" i="6" s="1"/>
  <c r="O2675" i="6" s="1"/>
  <c r="M2677" i="6"/>
  <c r="N2677" i="6" s="1"/>
  <c r="O2677" i="6" s="1"/>
  <c r="M2684" i="6"/>
  <c r="N2684" i="6" s="1"/>
  <c r="O2684" i="6" s="1"/>
  <c r="N2957" i="6"/>
  <c r="O2957" i="6" s="1"/>
  <c r="N2256" i="6"/>
  <c r="O2256" i="6" s="1"/>
  <c r="N3070" i="6"/>
  <c r="O3070" i="6" s="1"/>
  <c r="N3181" i="6"/>
  <c r="O3181" i="6" s="1"/>
  <c r="N2707" i="6"/>
  <c r="O2707" i="6" s="1"/>
  <c r="N2873" i="6"/>
  <c r="O2873" i="6" s="1"/>
  <c r="N3229" i="6"/>
  <c r="O3229" i="6" s="1"/>
  <c r="N3087" i="6"/>
  <c r="O3087" i="6" s="1"/>
  <c r="N3186" i="6"/>
  <c r="O3186" i="6" s="1"/>
  <c r="N2641" i="6"/>
  <c r="O2641" i="6" s="1"/>
  <c r="N2796" i="6"/>
  <c r="O2796" i="6" s="1"/>
  <c r="N2156" i="6"/>
  <c r="O2156" i="6" s="1"/>
  <c r="N2645" i="6"/>
  <c r="O2645" i="6" s="1"/>
  <c r="N3214" i="6"/>
  <c r="O3214" i="6" s="1"/>
  <c r="N3059" i="6"/>
  <c r="O3059" i="6" s="1"/>
  <c r="N2647" i="6"/>
  <c r="O2647" i="6" s="1"/>
  <c r="N2282" i="6"/>
  <c r="O2282" i="6" s="1"/>
  <c r="N2785" i="6"/>
  <c r="O2785" i="6" s="1"/>
  <c r="N2743" i="6"/>
  <c r="O2743" i="6" s="1"/>
  <c r="N2551" i="6"/>
  <c r="O2551" i="6" s="1"/>
  <c r="N2942" i="6"/>
  <c r="O2942" i="6" s="1"/>
  <c r="N2126" i="6"/>
  <c r="O2126" i="6" s="1"/>
  <c r="S123" i="6" s="1"/>
  <c r="N3090" i="6"/>
  <c r="O3090" i="6" s="1"/>
  <c r="N2952" i="6"/>
  <c r="O2952" i="6" s="1"/>
  <c r="N2738" i="6"/>
  <c r="O2738" i="6" s="1"/>
  <c r="N2305" i="6"/>
  <c r="O2305" i="6" s="1"/>
  <c r="N3125" i="6"/>
  <c r="O3125" i="6" s="1"/>
  <c r="N2705" i="6"/>
  <c r="O2705" i="6" s="1"/>
  <c r="N2739" i="6"/>
  <c r="O2739" i="6" s="1"/>
  <c r="N3102" i="6"/>
  <c r="O3102" i="6" s="1"/>
  <c r="N2587" i="6"/>
  <c r="O2587" i="6" s="1"/>
  <c r="N2481" i="6"/>
  <c r="O2481" i="6" s="1"/>
  <c r="N2622" i="6"/>
  <c r="O2622" i="6" s="1"/>
  <c r="N2242" i="6"/>
  <c r="O2242" i="6" s="1"/>
  <c r="N2598" i="6"/>
  <c r="O2598" i="6" s="1"/>
  <c r="N1377" i="6"/>
  <c r="O1377" i="6" s="1"/>
  <c r="N3060" i="6"/>
  <c r="O3060" i="6" s="1"/>
  <c r="N2774" i="6"/>
  <c r="O2774" i="6" s="1"/>
  <c r="N1970" i="6"/>
  <c r="O1970" i="6" s="1"/>
  <c r="N2772" i="6"/>
  <c r="O2772" i="6" s="1"/>
  <c r="N2700" i="6"/>
  <c r="O2700" i="6" s="1"/>
  <c r="N1675" i="6"/>
  <c r="O1675" i="6" s="1"/>
  <c r="M2017" i="6"/>
  <c r="N2017" i="6" s="1"/>
  <c r="O2017" i="6" s="1"/>
  <c r="M2020" i="6"/>
  <c r="N2020" i="6" s="1"/>
  <c r="O2020" i="6" s="1"/>
  <c r="M2018" i="6"/>
  <c r="N2018" i="6" s="1"/>
  <c r="O2018" i="6" s="1"/>
  <c r="M2025" i="6"/>
  <c r="N2025" i="6" s="1"/>
  <c r="O2025" i="6" s="1"/>
  <c r="M2027" i="6"/>
  <c r="N2027" i="6" s="1"/>
  <c r="O2027" i="6" s="1"/>
  <c r="M2012" i="6"/>
  <c r="N2012" i="6" s="1"/>
  <c r="O2012" i="6" s="1"/>
  <c r="M2033" i="6"/>
  <c r="N2033" i="6" s="1"/>
  <c r="O2033" i="6" s="1"/>
  <c r="M2010" i="6"/>
  <c r="N2010" i="6" s="1"/>
  <c r="O2010" i="6" s="1"/>
  <c r="M2015" i="6"/>
  <c r="N2015" i="6" s="1"/>
  <c r="O2015" i="6" s="1"/>
  <c r="M2019" i="6"/>
  <c r="N2019" i="6" s="1"/>
  <c r="O2019" i="6" s="1"/>
  <c r="M2023" i="6"/>
  <c r="N2023" i="6" s="1"/>
  <c r="O2023" i="6" s="1"/>
  <c r="M2016" i="6"/>
  <c r="N2016" i="6" s="1"/>
  <c r="O2016" i="6" s="1"/>
  <c r="M2030" i="6"/>
  <c r="N2030" i="6" s="1"/>
  <c r="O2030" i="6" s="1"/>
  <c r="M2028" i="6"/>
  <c r="N2028" i="6" s="1"/>
  <c r="O2028" i="6" s="1"/>
  <c r="M2032" i="6"/>
  <c r="N2032" i="6" s="1"/>
  <c r="O2032" i="6" s="1"/>
  <c r="M2026" i="6"/>
  <c r="N2026" i="6" s="1"/>
  <c r="O2026" i="6" s="1"/>
  <c r="M2013" i="6"/>
  <c r="N2013" i="6" s="1"/>
  <c r="O2013" i="6" s="1"/>
  <c r="M2029" i="6"/>
  <c r="N2029" i="6" s="1"/>
  <c r="O2029" i="6" s="1"/>
  <c r="M2022" i="6"/>
  <c r="N2022" i="6" s="1"/>
  <c r="O2022" i="6" s="1"/>
  <c r="M2024" i="6"/>
  <c r="N2024" i="6" s="1"/>
  <c r="O2024" i="6" s="1"/>
  <c r="M2031" i="6"/>
  <c r="N2031" i="6" s="1"/>
  <c r="O2031" i="6" s="1"/>
  <c r="M2011" i="6"/>
  <c r="N2011" i="6" s="1"/>
  <c r="O2011" i="6" s="1"/>
  <c r="M2014" i="6"/>
  <c r="N2014" i="6" s="1"/>
  <c r="O2014" i="6" s="1"/>
  <c r="M2021" i="6"/>
  <c r="N2021" i="6" s="1"/>
  <c r="O2021" i="6" s="1"/>
  <c r="N3231" i="6"/>
  <c r="O3231" i="6" s="1"/>
  <c r="N1996" i="6"/>
  <c r="O1996" i="6" s="1"/>
  <c r="N2805" i="6"/>
  <c r="O2805" i="6" s="1"/>
  <c r="N1814" i="6"/>
  <c r="O1814" i="6" s="1"/>
  <c r="N2792" i="6"/>
  <c r="O2792" i="6" s="1"/>
  <c r="N2958" i="6"/>
  <c r="O2958" i="6" s="1"/>
  <c r="N2749" i="6"/>
  <c r="O2749" i="6" s="1"/>
  <c r="N2640" i="6"/>
  <c r="O2640" i="6" s="1"/>
  <c r="N3205" i="6"/>
  <c r="O3205" i="6" s="1"/>
  <c r="N3128" i="6"/>
  <c r="O3128" i="6" s="1"/>
  <c r="N3211" i="6"/>
  <c r="O3211" i="6" s="1"/>
  <c r="N2573" i="6"/>
  <c r="O2573" i="6" s="1"/>
  <c r="N2747" i="6"/>
  <c r="O2747" i="6" s="1"/>
  <c r="N2937" i="6"/>
  <c r="O2937" i="6" s="1"/>
  <c r="N2583" i="6"/>
  <c r="O2583" i="6" s="1"/>
  <c r="N1165" i="6"/>
  <c r="O1165" i="6" s="1"/>
  <c r="N3179" i="6"/>
  <c r="O3179" i="6" s="1"/>
  <c r="N3115" i="6"/>
  <c r="O3115" i="6" s="1"/>
  <c r="N3124" i="6"/>
  <c r="O3124" i="6" s="1"/>
  <c r="N3207" i="6"/>
  <c r="O3207" i="6" s="1"/>
  <c r="N2621" i="6"/>
  <c r="O2621" i="6" s="1"/>
  <c r="N1555" i="6"/>
  <c r="O1555" i="6" s="1"/>
  <c r="N2944" i="6"/>
  <c r="O2944" i="6" s="1"/>
  <c r="N3104" i="6"/>
  <c r="O3104" i="6" s="1"/>
  <c r="M2497" i="6"/>
  <c r="N2497" i="6" s="1"/>
  <c r="O2497" i="6" s="1"/>
  <c r="M2503" i="6"/>
  <c r="N2503" i="6" s="1"/>
  <c r="O2503" i="6" s="1"/>
  <c r="M2499" i="6"/>
  <c r="N2499" i="6" s="1"/>
  <c r="O2499" i="6" s="1"/>
  <c r="M2498" i="6"/>
  <c r="N2498" i="6" s="1"/>
  <c r="O2498" i="6" s="1"/>
  <c r="M2506" i="6"/>
  <c r="N2506" i="6" s="1"/>
  <c r="O2506" i="6" s="1"/>
  <c r="M2513" i="6"/>
  <c r="N2513" i="6" s="1"/>
  <c r="O2513" i="6" s="1"/>
  <c r="M2496" i="6"/>
  <c r="N2496" i="6" s="1"/>
  <c r="O2496" i="6" s="1"/>
  <c r="M2494" i="6"/>
  <c r="N2494" i="6" s="1"/>
  <c r="O2494" i="6" s="1"/>
  <c r="M2500" i="6"/>
  <c r="N2500" i="6" s="1"/>
  <c r="O2500" i="6" s="1"/>
  <c r="M2505" i="6"/>
  <c r="N2505" i="6" s="1"/>
  <c r="O2505" i="6" s="1"/>
  <c r="M2492" i="6"/>
  <c r="N2492" i="6" s="1"/>
  <c r="O2492" i="6" s="1"/>
  <c r="M2507" i="6"/>
  <c r="N2507" i="6" s="1"/>
  <c r="O2507" i="6" s="1"/>
  <c r="M2491" i="6"/>
  <c r="N2491" i="6" s="1"/>
  <c r="O2491" i="6" s="1"/>
  <c r="M2493" i="6"/>
  <c r="N2493" i="6" s="1"/>
  <c r="O2493" i="6" s="1"/>
  <c r="M2512" i="6"/>
  <c r="N2512" i="6" s="1"/>
  <c r="O2512" i="6" s="1"/>
  <c r="M2490" i="6"/>
  <c r="N2490" i="6" s="1"/>
  <c r="O2490" i="6" s="1"/>
  <c r="M2502" i="6"/>
  <c r="N2502" i="6" s="1"/>
  <c r="O2502" i="6" s="1"/>
  <c r="M2495" i="6"/>
  <c r="N2495" i="6" s="1"/>
  <c r="O2495" i="6" s="1"/>
  <c r="M2501" i="6"/>
  <c r="N2501" i="6" s="1"/>
  <c r="O2501" i="6" s="1"/>
  <c r="M2504" i="6"/>
  <c r="N2504" i="6" s="1"/>
  <c r="O2504" i="6" s="1"/>
  <c r="M2508" i="6"/>
  <c r="N2508" i="6" s="1"/>
  <c r="O2508" i="6" s="1"/>
  <c r="M2510" i="6"/>
  <c r="N2510" i="6" s="1"/>
  <c r="O2510" i="6" s="1"/>
  <c r="M2511" i="6"/>
  <c r="N2511" i="6" s="1"/>
  <c r="O2511" i="6" s="1"/>
  <c r="M2509" i="6"/>
  <c r="N2509" i="6" s="1"/>
  <c r="O2509" i="6" s="1"/>
  <c r="N2860" i="6"/>
  <c r="O2860" i="6" s="1"/>
  <c r="N2642" i="6"/>
  <c r="O2642" i="6" s="1"/>
  <c r="N2569" i="6"/>
  <c r="O2569" i="6" s="1"/>
  <c r="N2609" i="6"/>
  <c r="O2609" i="6" s="1"/>
  <c r="N2629" i="6"/>
  <c r="O2629" i="6" s="1"/>
  <c r="N2776" i="6"/>
  <c r="O2776" i="6" s="1"/>
  <c r="N3085" i="6"/>
  <c r="O3085" i="6" s="1"/>
  <c r="N3047" i="6"/>
  <c r="O3047" i="6" s="1"/>
  <c r="N2754" i="6"/>
  <c r="O2754" i="6" s="1"/>
  <c r="N2734" i="6"/>
  <c r="O2734" i="6" s="1"/>
  <c r="N1991" i="6"/>
  <c r="O1991" i="6" s="1"/>
  <c r="N2613" i="6"/>
  <c r="O2613" i="6" s="1"/>
  <c r="N3026" i="6"/>
  <c r="O3026" i="6" s="1"/>
  <c r="N2703" i="6"/>
  <c r="O2703" i="6" s="1"/>
  <c r="N2302" i="6"/>
  <c r="O2302" i="6" s="1"/>
  <c r="N2222" i="6"/>
  <c r="O2222" i="6" s="1"/>
  <c r="N1667" i="6"/>
  <c r="O1667" i="6" s="1"/>
  <c r="N1371" i="6"/>
  <c r="O1371" i="6" s="1"/>
  <c r="N2460" i="6"/>
  <c r="O2460" i="6" s="1"/>
  <c r="N3110" i="6"/>
  <c r="O3110" i="6" s="1"/>
  <c r="N2782" i="6"/>
  <c r="O2782" i="6" s="1"/>
  <c r="N2395" i="6"/>
  <c r="O2395" i="6" s="1"/>
  <c r="N2769" i="6"/>
  <c r="O2769" i="6" s="1"/>
  <c r="N2457" i="6"/>
  <c r="O2457" i="6" s="1"/>
  <c r="N2117" i="6"/>
  <c r="O2117" i="6" s="1"/>
  <c r="N2639" i="6"/>
  <c r="O2639" i="6" s="1"/>
  <c r="N3069" i="6"/>
  <c r="O3069" i="6" s="1"/>
  <c r="N2591" i="6"/>
  <c r="O2591" i="6" s="1"/>
  <c r="N3063" i="6"/>
  <c r="O3063" i="6" s="1"/>
  <c r="N3119" i="6"/>
  <c r="O3119" i="6" s="1"/>
  <c r="M2997" i="6"/>
  <c r="N2997" i="6" s="1"/>
  <c r="O2997" i="6" s="1"/>
  <c r="M2995" i="6"/>
  <c r="N2995" i="6" s="1"/>
  <c r="O2995" i="6" s="1"/>
  <c r="M3010" i="6"/>
  <c r="N3010" i="6" s="1"/>
  <c r="O3010" i="6" s="1"/>
  <c r="M3016" i="6"/>
  <c r="N3016" i="6" s="1"/>
  <c r="O3016" i="6" s="1"/>
  <c r="M3009" i="6"/>
  <c r="N3009" i="6" s="1"/>
  <c r="O3009" i="6" s="1"/>
  <c r="M3004" i="6"/>
  <c r="N3004" i="6" s="1"/>
  <c r="O3004" i="6" s="1"/>
  <c r="M2999" i="6"/>
  <c r="N2999" i="6" s="1"/>
  <c r="O2999" i="6" s="1"/>
  <c r="M3017" i="6"/>
  <c r="N3017" i="6" s="1"/>
  <c r="O3017" i="6" s="1"/>
  <c r="M3006" i="6"/>
  <c r="N3006" i="6" s="1"/>
  <c r="O3006" i="6" s="1"/>
  <c r="M3013" i="6"/>
  <c r="N3013" i="6" s="1"/>
  <c r="O3013" i="6" s="1"/>
  <c r="M3005" i="6"/>
  <c r="N3005" i="6" s="1"/>
  <c r="O3005" i="6" s="1"/>
  <c r="M3002" i="6"/>
  <c r="N3002" i="6" s="1"/>
  <c r="O3002" i="6" s="1"/>
  <c r="M3014" i="6"/>
  <c r="N3014" i="6" s="1"/>
  <c r="O3014" i="6" s="1"/>
  <c r="M2996" i="6"/>
  <c r="N2996" i="6" s="1"/>
  <c r="O2996" i="6" s="1"/>
  <c r="M3012" i="6"/>
  <c r="N3012" i="6" s="1"/>
  <c r="O3012" i="6" s="1"/>
  <c r="M3011" i="6"/>
  <c r="N3011" i="6" s="1"/>
  <c r="O3011" i="6" s="1"/>
  <c r="M3003" i="6"/>
  <c r="N3003" i="6" s="1"/>
  <c r="O3003" i="6" s="1"/>
  <c r="M3000" i="6"/>
  <c r="N3000" i="6" s="1"/>
  <c r="O3000" i="6" s="1"/>
  <c r="M3001" i="6"/>
  <c r="N3001" i="6" s="1"/>
  <c r="O3001" i="6" s="1"/>
  <c r="M2994" i="6"/>
  <c r="N2994" i="6" s="1"/>
  <c r="O2994" i="6" s="1"/>
  <c r="M3008" i="6"/>
  <c r="N3008" i="6" s="1"/>
  <c r="O3008" i="6" s="1"/>
  <c r="M3015" i="6"/>
  <c r="N3015" i="6" s="1"/>
  <c r="O3015" i="6" s="1"/>
  <c r="M2998" i="6"/>
  <c r="N2998" i="6" s="1"/>
  <c r="O2998" i="6" s="1"/>
  <c r="M3007" i="6"/>
  <c r="N3007" i="6" s="1"/>
  <c r="O3007" i="6" s="1"/>
  <c r="N3053" i="6"/>
  <c r="O3053" i="6" s="1"/>
  <c r="N2899" i="6"/>
  <c r="O2899" i="6" s="1"/>
  <c r="N3052" i="6"/>
  <c r="O3052" i="6" s="1"/>
  <c r="N2617" i="6"/>
  <c r="O2617" i="6" s="1"/>
  <c r="N1718" i="6"/>
  <c r="O1718" i="6" s="1"/>
  <c r="N3123" i="6"/>
  <c r="O3123" i="6" s="1"/>
  <c r="N2883" i="6"/>
  <c r="O2883" i="6" s="1"/>
  <c r="N3019" i="6"/>
  <c r="O3019" i="6" s="1"/>
  <c r="N3199" i="6"/>
  <c r="O3199" i="6" s="1"/>
  <c r="N3218" i="6"/>
  <c r="O3218" i="6" s="1"/>
  <c r="N2913" i="6"/>
  <c r="O2913" i="6" s="1"/>
  <c r="N3196" i="6"/>
  <c r="O3196" i="6" s="1"/>
  <c r="N3062" i="6"/>
  <c r="O3062" i="6" s="1"/>
  <c r="N2575" i="6"/>
  <c r="O2575" i="6" s="1"/>
  <c r="N2125" i="6"/>
  <c r="O2125" i="6" s="1"/>
  <c r="N3029" i="6"/>
  <c r="O3029" i="6" s="1"/>
  <c r="N2253" i="6"/>
  <c r="O2253" i="6" s="1"/>
  <c r="N2800" i="6"/>
  <c r="O2800" i="6" s="1"/>
  <c r="N2625" i="6"/>
  <c r="O2625" i="6" s="1"/>
  <c r="N2557" i="6"/>
  <c r="O2557" i="6" s="1"/>
  <c r="N2486" i="6"/>
  <c r="O2486" i="6" s="1"/>
  <c r="N2314" i="6"/>
  <c r="O2314" i="6" s="1"/>
  <c r="N2595" i="6"/>
  <c r="O2595" i="6" s="1"/>
  <c r="N3074" i="6"/>
  <c r="O3074" i="6" s="1"/>
  <c r="N2963" i="6"/>
  <c r="O2963" i="6" s="1"/>
  <c r="N2585" i="6"/>
  <c r="O2585" i="6" s="1"/>
  <c r="N3072" i="6"/>
  <c r="O3072" i="6" s="1"/>
  <c r="N3040" i="6"/>
  <c r="O3040" i="6" s="1"/>
  <c r="N1654" i="6"/>
  <c r="O1654" i="6" s="1"/>
  <c r="N1941" i="6"/>
  <c r="O1941" i="6" s="1"/>
  <c r="N2964" i="6"/>
  <c r="O2964" i="6" s="1"/>
  <c r="N2291" i="6"/>
  <c r="O2291" i="6" s="1"/>
  <c r="N3113" i="6"/>
  <c r="O3113" i="6" s="1"/>
  <c r="N1786" i="6"/>
  <c r="O1786" i="6" s="1"/>
  <c r="N2890" i="6"/>
  <c r="O2890" i="6" s="1"/>
  <c r="N2858" i="6"/>
  <c r="O2858" i="6" s="1"/>
  <c r="N2634" i="6"/>
  <c r="O2634" i="6" s="1"/>
  <c r="N2485" i="6"/>
  <c r="O2485" i="6" s="1"/>
  <c r="N2773" i="6"/>
  <c r="O2773" i="6" s="1"/>
  <c r="N3201" i="6"/>
  <c r="O3201" i="6" s="1"/>
  <c r="N2433" i="6"/>
  <c r="O2433" i="6" s="1"/>
  <c r="N3084" i="6"/>
  <c r="O3084" i="6" s="1"/>
  <c r="N2713" i="6"/>
  <c r="O2713" i="6" s="1"/>
  <c r="N2472" i="6"/>
  <c r="O2472" i="6" s="1"/>
  <c r="N2467" i="6"/>
  <c r="O2467" i="6" s="1"/>
  <c r="N2272" i="6"/>
  <c r="O2272" i="6" s="1"/>
  <c r="N2762" i="6"/>
  <c r="O2762" i="6" s="1"/>
  <c r="N2130" i="6"/>
  <c r="O2130" i="6" s="1"/>
  <c r="N2230" i="6"/>
  <c r="O2230" i="6" s="1"/>
  <c r="N2568" i="6"/>
  <c r="O2568" i="6" s="1"/>
  <c r="N2383" i="6"/>
  <c r="O2383" i="6" s="1"/>
  <c r="N2446" i="6"/>
  <c r="O2446" i="6" s="1"/>
  <c r="N3126" i="6"/>
  <c r="O3126" i="6" s="1"/>
  <c r="N3112" i="6"/>
  <c r="O3112" i="6" s="1"/>
  <c r="N2915" i="6"/>
  <c r="O2915" i="6" s="1"/>
  <c r="N3236" i="6"/>
  <c r="O3236" i="6" s="1"/>
  <c r="N2897" i="6"/>
  <c r="O2897" i="6" s="1"/>
  <c r="M3177" i="6"/>
  <c r="N3177" i="6" s="1"/>
  <c r="O3177" i="6" s="1"/>
  <c r="M3175" i="6"/>
  <c r="N3175" i="6" s="1"/>
  <c r="O3175" i="6" s="1"/>
  <c r="M3167" i="6"/>
  <c r="N3167" i="6" s="1"/>
  <c r="O3167" i="6" s="1"/>
  <c r="M3156" i="6"/>
  <c r="N3156" i="6" s="1"/>
  <c r="O3156" i="6" s="1"/>
  <c r="M3158" i="6"/>
  <c r="N3158" i="6" s="1"/>
  <c r="O3158" i="6" s="1"/>
  <c r="M3162" i="6"/>
  <c r="N3162" i="6" s="1"/>
  <c r="O3162" i="6" s="1"/>
  <c r="M3172" i="6"/>
  <c r="N3172" i="6" s="1"/>
  <c r="O3172" i="6" s="1"/>
  <c r="M3155" i="6"/>
  <c r="N3155" i="6" s="1"/>
  <c r="O3155" i="6" s="1"/>
  <c r="M3174" i="6"/>
  <c r="N3174" i="6" s="1"/>
  <c r="O3174" i="6" s="1"/>
  <c r="M3160" i="6"/>
  <c r="N3160" i="6" s="1"/>
  <c r="O3160" i="6" s="1"/>
  <c r="M3169" i="6"/>
  <c r="N3169" i="6" s="1"/>
  <c r="O3169" i="6" s="1"/>
  <c r="M3154" i="6"/>
  <c r="N3154" i="6" s="1"/>
  <c r="O3154" i="6" s="1"/>
  <c r="M3173" i="6"/>
  <c r="N3173" i="6" s="1"/>
  <c r="O3173" i="6" s="1"/>
  <c r="M3165" i="6"/>
  <c r="N3165" i="6" s="1"/>
  <c r="O3165" i="6" s="1"/>
  <c r="M3163" i="6"/>
  <c r="N3163" i="6" s="1"/>
  <c r="O3163" i="6" s="1"/>
  <c r="M3166" i="6"/>
  <c r="N3166" i="6" s="1"/>
  <c r="O3166" i="6" s="1"/>
  <c r="M3157" i="6"/>
  <c r="N3157" i="6" s="1"/>
  <c r="O3157" i="6" s="1"/>
  <c r="M3168" i="6"/>
  <c r="N3168" i="6" s="1"/>
  <c r="O3168" i="6" s="1"/>
  <c r="M3176" i="6"/>
  <c r="N3176" i="6" s="1"/>
  <c r="O3176" i="6" s="1"/>
  <c r="M3161" i="6"/>
  <c r="N3161" i="6" s="1"/>
  <c r="O3161" i="6" s="1"/>
  <c r="M3159" i="6"/>
  <c r="N3159" i="6" s="1"/>
  <c r="O3159" i="6" s="1"/>
  <c r="M3164" i="6"/>
  <c r="N3164" i="6" s="1"/>
  <c r="O3164" i="6" s="1"/>
  <c r="M3170" i="6"/>
  <c r="N3170" i="6" s="1"/>
  <c r="O3170" i="6" s="1"/>
  <c r="M3171" i="6"/>
  <c r="N3171" i="6" s="1"/>
  <c r="O3171" i="6" s="1"/>
  <c r="N3088" i="6"/>
  <c r="O3088" i="6" s="1"/>
  <c r="N2861" i="6"/>
  <c r="O2861" i="6" s="1"/>
  <c r="N3198" i="6"/>
  <c r="O3198" i="6" s="1"/>
  <c r="N2162" i="6"/>
  <c r="O2162" i="6" s="1"/>
  <c r="N2867" i="6"/>
  <c r="O2867" i="6" s="1"/>
  <c r="N2593" i="6"/>
  <c r="O2593" i="6" s="1"/>
  <c r="N2798" i="6"/>
  <c r="O2798" i="6" s="1"/>
  <c r="N2275" i="6"/>
  <c r="O2275" i="6" s="1"/>
  <c r="N3235" i="6"/>
  <c r="O3235" i="6" s="1"/>
  <c r="N2277" i="6"/>
  <c r="O2277" i="6" s="1"/>
  <c r="N2916" i="6"/>
  <c r="O2916" i="6" s="1"/>
  <c r="N2748" i="6"/>
  <c r="O2748" i="6" s="1"/>
  <c r="N3073" i="6"/>
  <c r="O3073" i="6" s="1"/>
  <c r="N3116" i="6"/>
  <c r="O3116" i="6" s="1"/>
  <c r="N3083" i="6"/>
  <c r="O3083" i="6" s="1"/>
  <c r="N2765" i="6"/>
  <c r="O2765" i="6" s="1"/>
  <c r="N1403" i="6"/>
  <c r="O1403" i="6" s="1"/>
  <c r="N2721" i="6"/>
  <c r="O2721" i="6" s="1"/>
  <c r="N2584" i="6"/>
  <c r="O2584" i="6" s="1"/>
  <c r="M2837" i="6"/>
  <c r="N2837" i="6" s="1"/>
  <c r="O2837" i="6" s="1"/>
  <c r="M2839" i="6"/>
  <c r="N2839" i="6" s="1"/>
  <c r="O2839" i="6" s="1"/>
  <c r="M2856" i="6"/>
  <c r="N2856" i="6" s="1"/>
  <c r="O2856" i="6" s="1"/>
  <c r="M2843" i="6"/>
  <c r="N2843" i="6" s="1"/>
  <c r="O2843" i="6" s="1"/>
  <c r="M2846" i="6"/>
  <c r="N2846" i="6" s="1"/>
  <c r="O2846" i="6" s="1"/>
  <c r="M2851" i="6"/>
  <c r="N2851" i="6" s="1"/>
  <c r="O2851" i="6" s="1"/>
  <c r="M2852" i="6"/>
  <c r="N2852" i="6" s="1"/>
  <c r="O2852" i="6" s="1"/>
  <c r="M2835" i="6"/>
  <c r="N2835" i="6" s="1"/>
  <c r="O2835" i="6" s="1"/>
  <c r="M2841" i="6"/>
  <c r="N2841" i="6" s="1"/>
  <c r="O2841" i="6" s="1"/>
  <c r="M2842" i="6"/>
  <c r="N2842" i="6" s="1"/>
  <c r="O2842" i="6" s="1"/>
  <c r="M2850" i="6"/>
  <c r="N2850" i="6" s="1"/>
  <c r="O2850" i="6" s="1"/>
  <c r="M2847" i="6"/>
  <c r="N2847" i="6" s="1"/>
  <c r="O2847" i="6" s="1"/>
  <c r="M2838" i="6"/>
  <c r="N2838" i="6" s="1"/>
  <c r="O2838" i="6" s="1"/>
  <c r="M2848" i="6"/>
  <c r="N2848" i="6" s="1"/>
  <c r="O2848" i="6" s="1"/>
  <c r="M2845" i="6"/>
  <c r="N2845" i="6" s="1"/>
  <c r="O2845" i="6" s="1"/>
  <c r="M2857" i="6"/>
  <c r="N2857" i="6" s="1"/>
  <c r="O2857" i="6" s="1"/>
  <c r="M2840" i="6"/>
  <c r="N2840" i="6" s="1"/>
  <c r="O2840" i="6" s="1"/>
  <c r="M2853" i="6"/>
  <c r="N2853" i="6" s="1"/>
  <c r="O2853" i="6" s="1"/>
  <c r="M2836" i="6"/>
  <c r="N2836" i="6" s="1"/>
  <c r="O2836" i="6" s="1"/>
  <c r="M2844" i="6"/>
  <c r="N2844" i="6" s="1"/>
  <c r="O2844" i="6" s="1"/>
  <c r="M2855" i="6"/>
  <c r="N2855" i="6" s="1"/>
  <c r="O2855" i="6" s="1"/>
  <c r="M2854" i="6"/>
  <c r="N2854" i="6" s="1"/>
  <c r="O2854" i="6" s="1"/>
  <c r="M2834" i="6"/>
  <c r="N2834" i="6" s="1"/>
  <c r="O2834" i="6" s="1"/>
  <c r="M2849" i="6"/>
  <c r="N2849" i="6" s="1"/>
  <c r="O2849" i="6" s="1"/>
  <c r="N3204" i="6"/>
  <c r="O3204" i="6" s="1"/>
  <c r="N2802" i="6"/>
  <c r="O2802" i="6" s="1"/>
  <c r="N2895" i="6"/>
  <c r="O2895" i="6" s="1"/>
  <c r="N2450" i="6"/>
  <c r="O2450" i="6" s="1"/>
  <c r="N2959" i="6"/>
  <c r="O2959" i="6" s="1"/>
  <c r="N2567" i="6"/>
  <c r="O2567" i="6" s="1"/>
  <c r="N3109" i="6"/>
  <c r="O3109" i="6" s="1"/>
  <c r="N2483" i="6"/>
  <c r="O2483" i="6" s="1"/>
  <c r="N2786" i="6"/>
  <c r="O2786" i="6" s="1"/>
  <c r="N2864" i="6"/>
  <c r="O2864" i="6" s="1"/>
  <c r="N2921" i="6"/>
  <c r="O2921" i="6" s="1"/>
  <c r="N3096" i="6"/>
  <c r="O3096" i="6" s="1"/>
  <c r="N3217" i="6"/>
  <c r="O3217" i="6" s="1"/>
  <c r="N3037" i="6"/>
  <c r="O3037" i="6" s="1"/>
  <c r="N2699" i="6"/>
  <c r="O2699" i="6" s="1"/>
  <c r="N3121" i="6"/>
  <c r="O3121" i="6" s="1"/>
  <c r="N2297" i="6"/>
  <c r="O2297" i="6" s="1"/>
  <c r="N3081" i="6"/>
  <c r="O3081" i="6" s="1"/>
  <c r="N3226" i="6"/>
  <c r="O3226" i="6" s="1"/>
  <c r="N3078" i="6"/>
  <c r="O3078" i="6" s="1"/>
  <c r="N2968" i="6"/>
  <c r="O2968" i="6" s="1"/>
  <c r="N3033" i="6"/>
  <c r="O3033" i="6" s="1"/>
  <c r="N3111" i="6"/>
  <c r="O3111" i="6" s="1"/>
  <c r="N3038" i="6"/>
  <c r="O3038" i="6" s="1"/>
  <c r="N2953" i="6"/>
  <c r="O2953" i="6" s="1"/>
  <c r="N2702" i="6"/>
  <c r="O2702" i="6" s="1"/>
  <c r="N3227" i="6"/>
  <c r="O3227" i="6" s="1"/>
  <c r="N2904" i="6"/>
  <c r="O2904" i="6" s="1"/>
  <c r="N3208" i="6"/>
  <c r="O3208" i="6" s="1"/>
  <c r="N2948" i="6"/>
  <c r="O2948" i="6" s="1"/>
  <c r="N3129" i="6"/>
  <c r="O3129" i="6" s="1"/>
  <c r="N3067" i="6"/>
  <c r="O3067" i="6" s="1"/>
  <c r="N2742" i="6"/>
  <c r="O2742" i="6" s="1"/>
  <c r="M2182" i="6"/>
  <c r="N2182" i="6" s="1"/>
  <c r="O2182" i="6" s="1"/>
  <c r="M2184" i="6"/>
  <c r="N2184" i="6" s="1"/>
  <c r="O2184" i="6" s="1"/>
  <c r="M2172" i="6"/>
  <c r="N2172" i="6" s="1"/>
  <c r="O2172" i="6" s="1"/>
  <c r="M2188" i="6"/>
  <c r="N2188" i="6" s="1"/>
  <c r="O2188" i="6" s="1"/>
  <c r="M2178" i="6"/>
  <c r="N2178" i="6" s="1"/>
  <c r="O2178" i="6" s="1"/>
  <c r="M2175" i="6"/>
  <c r="N2175" i="6" s="1"/>
  <c r="O2175" i="6" s="1"/>
  <c r="M2179" i="6"/>
  <c r="N2179" i="6" s="1"/>
  <c r="O2179" i="6" s="1"/>
  <c r="M2176" i="6"/>
  <c r="N2176" i="6" s="1"/>
  <c r="O2176" i="6" s="1"/>
  <c r="M2174" i="6"/>
  <c r="N2174" i="6" s="1"/>
  <c r="O2174" i="6" s="1"/>
  <c r="M2185" i="6"/>
  <c r="N2185" i="6" s="1"/>
  <c r="O2185" i="6" s="1"/>
  <c r="M2193" i="6"/>
  <c r="N2193" i="6" s="1"/>
  <c r="O2193" i="6" s="1"/>
  <c r="M2186" i="6"/>
  <c r="N2186" i="6" s="1"/>
  <c r="O2186" i="6" s="1"/>
  <c r="M2181" i="6"/>
  <c r="N2181" i="6" s="1"/>
  <c r="O2181" i="6" s="1"/>
  <c r="M2192" i="6"/>
  <c r="N2192" i="6" s="1"/>
  <c r="O2192" i="6" s="1"/>
  <c r="M2173" i="6"/>
  <c r="N2173" i="6" s="1"/>
  <c r="O2173" i="6" s="1"/>
  <c r="M2189" i="6"/>
  <c r="N2189" i="6" s="1"/>
  <c r="O2189" i="6" s="1"/>
  <c r="M2170" i="6"/>
  <c r="N2170" i="6" s="1"/>
  <c r="O2170" i="6" s="1"/>
  <c r="M2171" i="6"/>
  <c r="N2171" i="6" s="1"/>
  <c r="O2171" i="6" s="1"/>
  <c r="M2177" i="6"/>
  <c r="N2177" i="6" s="1"/>
  <c r="O2177" i="6" s="1"/>
  <c r="M2190" i="6"/>
  <c r="N2190" i="6" s="1"/>
  <c r="O2190" i="6" s="1"/>
  <c r="M2180" i="6"/>
  <c r="N2180" i="6" s="1"/>
  <c r="O2180" i="6" s="1"/>
  <c r="M2187" i="6"/>
  <c r="N2187" i="6" s="1"/>
  <c r="O2187" i="6" s="1"/>
  <c r="M2183" i="6"/>
  <c r="N2183" i="6" s="1"/>
  <c r="O2183" i="6" s="1"/>
  <c r="M2191" i="6"/>
  <c r="N2191" i="6" s="1"/>
  <c r="O2191" i="6" s="1"/>
  <c r="N2801" i="6"/>
  <c r="O2801" i="6" s="1"/>
  <c r="N3071" i="6"/>
  <c r="O3071" i="6" s="1"/>
  <c r="N3045" i="6"/>
  <c r="O3045" i="6" s="1"/>
  <c r="N3032" i="6"/>
  <c r="O3032" i="6" s="1"/>
  <c r="N3048" i="6"/>
  <c r="O3048" i="6" s="1"/>
  <c r="N2307" i="6"/>
  <c r="O2307" i="6" s="1"/>
  <c r="N2788" i="6"/>
  <c r="O2788" i="6" s="1"/>
  <c r="N3046" i="6"/>
  <c r="O3046" i="6" s="1"/>
  <c r="N2299" i="6"/>
  <c r="O2299" i="6" s="1"/>
  <c r="N2909" i="6"/>
  <c r="O2909" i="6" s="1"/>
  <c r="N3188" i="6"/>
  <c r="O3188" i="6" s="1"/>
  <c r="N2711" i="6"/>
  <c r="O2711" i="6" s="1"/>
  <c r="N2950" i="6"/>
  <c r="O2950" i="6" s="1"/>
  <c r="N2418" i="6"/>
  <c r="O2418" i="6" s="1"/>
  <c r="M2976" i="6"/>
  <c r="N2976" i="6" s="1"/>
  <c r="O2976" i="6" s="1"/>
  <c r="M2974" i="6"/>
  <c r="N2974" i="6" s="1"/>
  <c r="O2974" i="6" s="1"/>
  <c r="M2982" i="6"/>
  <c r="N2982" i="6" s="1"/>
  <c r="O2982" i="6" s="1"/>
  <c r="M2978" i="6"/>
  <c r="N2978" i="6" s="1"/>
  <c r="O2978" i="6" s="1"/>
  <c r="M2973" i="6"/>
  <c r="N2973" i="6" s="1"/>
  <c r="O2973" i="6" s="1"/>
  <c r="M2981" i="6"/>
  <c r="N2981" i="6" s="1"/>
  <c r="O2981" i="6" s="1"/>
  <c r="M2987" i="6"/>
  <c r="N2987" i="6" s="1"/>
  <c r="O2987" i="6" s="1"/>
  <c r="M2971" i="6"/>
  <c r="N2971" i="6" s="1"/>
  <c r="O2971" i="6" s="1"/>
  <c r="M2990" i="6"/>
  <c r="N2990" i="6" s="1"/>
  <c r="O2990" i="6" s="1"/>
  <c r="M2989" i="6"/>
  <c r="N2989" i="6" s="1"/>
  <c r="O2989" i="6" s="1"/>
  <c r="M2984" i="6"/>
  <c r="N2984" i="6" s="1"/>
  <c r="O2984" i="6" s="1"/>
  <c r="M2986" i="6"/>
  <c r="N2986" i="6" s="1"/>
  <c r="O2986" i="6" s="1"/>
  <c r="M2992" i="6"/>
  <c r="N2992" i="6" s="1"/>
  <c r="O2992" i="6" s="1"/>
  <c r="M2993" i="6"/>
  <c r="N2993" i="6" s="1"/>
  <c r="O2993" i="6" s="1"/>
  <c r="M2983" i="6"/>
  <c r="N2983" i="6" s="1"/>
  <c r="O2983" i="6" s="1"/>
  <c r="M2975" i="6"/>
  <c r="N2975" i="6" s="1"/>
  <c r="O2975" i="6" s="1"/>
  <c r="M2988" i="6"/>
  <c r="N2988" i="6" s="1"/>
  <c r="O2988" i="6" s="1"/>
  <c r="M2991" i="6"/>
  <c r="N2991" i="6" s="1"/>
  <c r="O2991" i="6" s="1"/>
  <c r="M2985" i="6"/>
  <c r="N2985" i="6" s="1"/>
  <c r="O2985" i="6" s="1"/>
  <c r="M2970" i="6"/>
  <c r="N2970" i="6" s="1"/>
  <c r="O2970" i="6" s="1"/>
  <c r="M2977" i="6"/>
  <c r="N2977" i="6" s="1"/>
  <c r="O2977" i="6" s="1"/>
  <c r="M2972" i="6"/>
  <c r="N2972" i="6" s="1"/>
  <c r="O2972" i="6" s="1"/>
  <c r="M2979" i="6"/>
  <c r="N2979" i="6" s="1"/>
  <c r="O2979" i="6" s="1"/>
  <c r="M2980" i="6"/>
  <c r="N2980" i="6" s="1"/>
  <c r="O2980" i="6" s="1"/>
  <c r="N3108" i="6"/>
  <c r="O3108" i="6" s="1"/>
  <c r="N2787" i="6"/>
  <c r="O2787" i="6" s="1"/>
  <c r="N3193" i="6"/>
  <c r="O3193" i="6" s="1"/>
  <c r="N3222" i="6"/>
  <c r="O3222" i="6" s="1"/>
  <c r="N3197" i="6"/>
  <c r="O3197" i="6" s="1"/>
  <c r="N2903" i="6"/>
  <c r="O2903" i="6" s="1"/>
  <c r="N2935" i="6"/>
  <c r="O2935" i="6" s="1"/>
  <c r="N3206" i="6"/>
  <c r="O3206" i="6" s="1"/>
  <c r="N2706" i="6"/>
  <c r="O2706" i="6" s="1"/>
  <c r="N3031" i="6"/>
  <c r="O3031" i="6" s="1"/>
  <c r="M2823" i="6"/>
  <c r="N2823" i="6" s="1"/>
  <c r="O2823" i="6" s="1"/>
  <c r="M2810" i="6"/>
  <c r="N2810" i="6" s="1"/>
  <c r="O2810" i="6" s="1"/>
  <c r="M2818" i="6"/>
  <c r="N2818" i="6" s="1"/>
  <c r="O2818" i="6" s="1"/>
  <c r="M2830" i="6"/>
  <c r="N2830" i="6" s="1"/>
  <c r="O2830" i="6" s="1"/>
  <c r="M2829" i="6"/>
  <c r="N2829" i="6" s="1"/>
  <c r="O2829" i="6" s="1"/>
  <c r="M2832" i="6"/>
  <c r="N2832" i="6" s="1"/>
  <c r="O2832" i="6" s="1"/>
  <c r="M2826" i="6"/>
  <c r="N2826" i="6" s="1"/>
  <c r="O2826" i="6" s="1"/>
  <c r="M2828" i="6"/>
  <c r="N2828" i="6" s="1"/>
  <c r="O2828" i="6" s="1"/>
  <c r="M2819" i="6"/>
  <c r="N2819" i="6" s="1"/>
  <c r="O2819" i="6" s="1"/>
  <c r="M2827" i="6"/>
  <c r="N2827" i="6" s="1"/>
  <c r="O2827" i="6" s="1"/>
  <c r="M2814" i="6"/>
  <c r="N2814" i="6" s="1"/>
  <c r="O2814" i="6" s="1"/>
  <c r="M2824" i="6"/>
  <c r="N2824" i="6" s="1"/>
  <c r="O2824" i="6" s="1"/>
  <c r="M2816" i="6"/>
  <c r="N2816" i="6" s="1"/>
  <c r="O2816" i="6" s="1"/>
  <c r="M2811" i="6"/>
  <c r="N2811" i="6" s="1"/>
  <c r="O2811" i="6" s="1"/>
  <c r="M2815" i="6"/>
  <c r="N2815" i="6" s="1"/>
  <c r="O2815" i="6" s="1"/>
  <c r="M2817" i="6"/>
  <c r="N2817" i="6" s="1"/>
  <c r="O2817" i="6" s="1"/>
  <c r="M2822" i="6"/>
  <c r="N2822" i="6" s="1"/>
  <c r="O2822" i="6" s="1"/>
  <c r="M2812" i="6"/>
  <c r="N2812" i="6" s="1"/>
  <c r="O2812" i="6" s="1"/>
  <c r="M2833" i="6"/>
  <c r="N2833" i="6" s="1"/>
  <c r="O2833" i="6" s="1"/>
  <c r="M2825" i="6"/>
  <c r="N2825" i="6" s="1"/>
  <c r="O2825" i="6" s="1"/>
  <c r="M2820" i="6"/>
  <c r="N2820" i="6" s="1"/>
  <c r="O2820" i="6" s="1"/>
  <c r="M2831" i="6"/>
  <c r="N2831" i="6" s="1"/>
  <c r="O2831" i="6" s="1"/>
  <c r="M2821" i="6"/>
  <c r="N2821" i="6" s="1"/>
  <c r="O2821" i="6" s="1"/>
  <c r="M2813" i="6"/>
  <c r="N2813" i="6" s="1"/>
  <c r="O2813" i="6" s="1"/>
  <c r="N2907" i="6"/>
  <c r="O2907" i="6" s="1"/>
  <c r="N3237" i="6"/>
  <c r="O3237" i="6" s="1"/>
  <c r="N3077" i="6"/>
  <c r="O3077" i="6" s="1"/>
  <c r="N2720" i="6"/>
  <c r="O2720" i="6" s="1"/>
  <c r="N2723" i="6"/>
  <c r="O2723" i="6" s="1"/>
  <c r="N2382" i="6"/>
  <c r="O2382" i="6" s="1"/>
  <c r="N3184" i="6"/>
  <c r="O3184" i="6" s="1"/>
  <c r="N3219" i="6"/>
  <c r="O3219" i="6" s="1"/>
  <c r="N3024" i="6"/>
  <c r="O3024" i="6" s="1"/>
  <c r="N2778" i="6"/>
  <c r="O2778" i="6" s="1"/>
  <c r="N2728" i="6"/>
  <c r="O2728" i="6" s="1"/>
  <c r="N3210" i="6"/>
  <c r="O3210" i="6" s="1"/>
  <c r="N2969" i="6"/>
  <c r="O2969" i="6" s="1"/>
  <c r="N3120" i="6"/>
  <c r="O3120" i="6" s="1"/>
  <c r="N3122" i="6"/>
  <c r="O3122" i="6" s="1"/>
  <c r="N3042" i="6"/>
  <c r="O3042" i="6" s="1"/>
  <c r="N2947" i="6"/>
  <c r="O2947" i="6" s="1"/>
  <c r="N2928" i="6"/>
  <c r="O2928" i="6" s="1"/>
  <c r="N2954" i="6"/>
  <c r="O2954" i="6" s="1"/>
  <c r="N2552" i="6"/>
  <c r="O2552" i="6" s="1"/>
  <c r="N3064" i="6"/>
  <c r="O3064" i="6" s="1"/>
  <c r="N2761" i="6"/>
  <c r="O2761" i="6" s="1"/>
  <c r="N2868" i="6"/>
  <c r="O2868" i="6" s="1"/>
  <c r="N2917" i="6"/>
  <c r="O2917" i="6" s="1"/>
  <c r="N2710" i="6"/>
  <c r="O2710" i="6" s="1"/>
  <c r="N2628" i="6"/>
  <c r="O2628" i="6" s="1"/>
  <c r="N3241" i="6"/>
  <c r="O3241" i="6" s="1"/>
  <c r="N3239" i="6"/>
  <c r="O3239" i="6" s="1"/>
  <c r="N2714" i="6"/>
  <c r="O2714" i="6" s="1"/>
  <c r="N2403" i="6"/>
  <c r="O2403" i="6" s="1"/>
  <c r="N2945" i="6"/>
  <c r="O2945" i="6" s="1"/>
  <c r="M2331" i="6"/>
  <c r="N2331" i="6" s="1"/>
  <c r="O2331" i="6" s="1"/>
  <c r="M2345" i="6"/>
  <c r="N2345" i="6" s="1"/>
  <c r="O2345" i="6" s="1"/>
  <c r="M2348" i="6"/>
  <c r="N2348" i="6" s="1"/>
  <c r="O2348" i="6" s="1"/>
  <c r="M2338" i="6"/>
  <c r="N2338" i="6" s="1"/>
  <c r="O2338" i="6" s="1"/>
  <c r="M2350" i="6"/>
  <c r="N2350" i="6" s="1"/>
  <c r="O2350" i="6" s="1"/>
  <c r="M2339" i="6"/>
  <c r="N2339" i="6" s="1"/>
  <c r="O2339" i="6" s="1"/>
  <c r="M2352" i="6"/>
  <c r="N2352" i="6" s="1"/>
  <c r="O2352" i="6" s="1"/>
  <c r="M2341" i="6"/>
  <c r="N2341" i="6" s="1"/>
  <c r="O2341" i="6" s="1"/>
  <c r="M2347" i="6"/>
  <c r="N2347" i="6" s="1"/>
  <c r="O2347" i="6" s="1"/>
  <c r="M2330" i="6"/>
  <c r="N2330" i="6" s="1"/>
  <c r="O2330" i="6" s="1"/>
  <c r="M2332" i="6"/>
  <c r="N2332" i="6" s="1"/>
  <c r="O2332" i="6" s="1"/>
  <c r="M2353" i="6"/>
  <c r="N2353" i="6" s="1"/>
  <c r="O2353" i="6" s="1"/>
  <c r="M2351" i="6"/>
  <c r="N2351" i="6" s="1"/>
  <c r="O2351" i="6" s="1"/>
  <c r="M2337" i="6"/>
  <c r="N2337" i="6" s="1"/>
  <c r="O2337" i="6" s="1"/>
  <c r="M2344" i="6"/>
  <c r="N2344" i="6" s="1"/>
  <c r="O2344" i="6" s="1"/>
  <c r="M2343" i="6"/>
  <c r="N2343" i="6" s="1"/>
  <c r="O2343" i="6" s="1"/>
  <c r="M2336" i="6"/>
  <c r="N2336" i="6" s="1"/>
  <c r="O2336" i="6" s="1"/>
  <c r="M2346" i="6"/>
  <c r="N2346" i="6" s="1"/>
  <c r="O2346" i="6" s="1"/>
  <c r="M2333" i="6"/>
  <c r="N2333" i="6" s="1"/>
  <c r="O2333" i="6" s="1"/>
  <c r="M2334" i="6"/>
  <c r="N2334" i="6" s="1"/>
  <c r="O2334" i="6" s="1"/>
  <c r="M2342" i="6"/>
  <c r="N2342" i="6" s="1"/>
  <c r="O2342" i="6" s="1"/>
  <c r="M2349" i="6"/>
  <c r="N2349" i="6" s="1"/>
  <c r="O2349" i="6" s="1"/>
  <c r="M2340" i="6"/>
  <c r="N2340" i="6" s="1"/>
  <c r="O2340" i="6" s="1"/>
  <c r="M2335" i="6"/>
  <c r="N2335" i="6" s="1"/>
  <c r="O2335" i="6" s="1"/>
  <c r="N2902" i="6"/>
  <c r="O2902" i="6" s="1"/>
  <c r="N2559" i="6"/>
  <c r="O2559" i="6" s="1"/>
  <c r="N2876" i="6"/>
  <c r="O2876" i="6" s="1"/>
  <c r="N3213" i="6"/>
  <c r="O3213" i="6" s="1"/>
  <c r="N2949" i="6"/>
  <c r="O2949" i="6" s="1"/>
  <c r="N2733" i="6"/>
  <c r="O2733" i="6" s="1"/>
  <c r="N3209" i="6"/>
  <c r="O3209" i="6" s="1"/>
  <c r="N2459" i="6"/>
  <c r="O2459" i="6" s="1"/>
  <c r="N3127" i="6"/>
  <c r="O3127" i="6" s="1"/>
  <c r="N1943" i="6"/>
  <c r="O1943" i="6" s="1"/>
  <c r="N3092" i="6"/>
  <c r="O3092" i="6" s="1"/>
  <c r="N3117" i="6"/>
  <c r="O3117" i="6" s="1"/>
  <c r="N2794" i="6"/>
  <c r="O2794" i="6" s="1"/>
  <c r="N3234" i="6"/>
  <c r="O3234" i="6" s="1"/>
  <c r="N2793" i="6"/>
  <c r="O2793" i="6" s="1"/>
  <c r="N2543" i="6"/>
  <c r="O2543" i="6" s="1"/>
  <c r="N2708" i="6"/>
  <c r="O2708" i="6" s="1"/>
  <c r="N3106" i="6"/>
  <c r="O3106" i="6" s="1"/>
  <c r="N2920" i="6"/>
  <c r="O2920" i="6" s="1"/>
  <c r="N3212" i="6"/>
  <c r="O3212" i="6" s="1"/>
  <c r="N2422" i="6"/>
  <c r="O2422" i="6" s="1"/>
  <c r="N3068" i="6"/>
  <c r="O3068" i="6" s="1"/>
  <c r="N2809" i="6"/>
  <c r="O2809" i="6" s="1"/>
  <c r="N2905" i="6"/>
  <c r="O2905" i="6" s="1"/>
  <c r="N3035" i="6"/>
  <c r="O3035" i="6" s="1"/>
  <c r="N2387" i="6"/>
  <c r="O2387" i="6" s="1"/>
  <c r="N2961" i="6"/>
  <c r="O2961" i="6" s="1"/>
  <c r="N3054" i="6"/>
  <c r="O3054" i="6" s="1"/>
  <c r="N2934" i="6"/>
  <c r="O2934" i="6" s="1"/>
  <c r="N3114" i="6"/>
  <c r="O3114" i="6" s="1"/>
  <c r="N2936" i="6"/>
  <c r="O2936" i="6" s="1"/>
  <c r="N2927" i="6"/>
  <c r="O2927" i="6" s="1"/>
  <c r="N3215" i="6"/>
  <c r="O3215" i="6" s="1"/>
  <c r="N3105" i="6"/>
  <c r="O3105" i="6" s="1"/>
  <c r="N3097" i="6"/>
  <c r="O3097" i="6" s="1"/>
  <c r="N2806" i="6"/>
  <c r="O2806" i="6" s="1"/>
  <c r="N3030" i="6"/>
  <c r="O3030" i="6" s="1"/>
  <c r="N2546" i="6"/>
  <c r="O2546" i="6" s="1"/>
  <c r="N3240" i="6"/>
  <c r="O3240" i="6" s="1"/>
  <c r="N2390" i="6"/>
  <c r="O2390" i="6" s="1"/>
  <c r="N2930" i="6"/>
  <c r="O2930" i="6" s="1"/>
  <c r="N3041" i="6"/>
  <c r="O3041" i="6" s="1"/>
  <c r="N2717" i="6"/>
  <c r="O2717" i="6" s="1"/>
  <c r="N2797" i="6"/>
  <c r="O2797" i="6" s="1"/>
  <c r="N3238" i="6"/>
  <c r="O3238" i="6" s="1"/>
  <c r="N2885" i="6"/>
  <c r="O2885" i="6" s="1"/>
  <c r="N3216" i="6"/>
  <c r="O3216" i="6" s="1"/>
  <c r="N3020" i="6"/>
  <c r="O3020" i="6" s="1"/>
  <c r="N2863" i="6"/>
  <c r="O2863" i="6" s="1"/>
  <c r="N3051" i="6"/>
  <c r="O3051" i="6" s="1"/>
  <c r="N3086" i="6"/>
  <c r="O3086" i="6" s="1"/>
  <c r="N1959" i="6"/>
  <c r="O1959" i="6" s="1"/>
  <c r="N2451" i="6"/>
  <c r="O2451" i="6" s="1"/>
  <c r="M2529" i="6"/>
  <c r="N2529" i="6" s="1"/>
  <c r="O2529" i="6" s="1"/>
  <c r="M2532" i="6"/>
  <c r="N2532" i="6" s="1"/>
  <c r="O2532" i="6" s="1"/>
  <c r="M2519" i="6"/>
  <c r="N2519" i="6" s="1"/>
  <c r="O2519" i="6" s="1"/>
  <c r="M2516" i="6"/>
  <c r="N2516" i="6" s="1"/>
  <c r="O2516" i="6" s="1"/>
  <c r="M2526" i="6"/>
  <c r="N2526" i="6" s="1"/>
  <c r="O2526" i="6" s="1"/>
  <c r="M2533" i="6"/>
  <c r="N2533" i="6" s="1"/>
  <c r="O2533" i="6" s="1"/>
  <c r="M2521" i="6"/>
  <c r="N2521" i="6" s="1"/>
  <c r="O2521" i="6" s="1"/>
  <c r="M2537" i="6"/>
  <c r="N2537" i="6" s="1"/>
  <c r="O2537" i="6" s="1"/>
  <c r="M2527" i="6"/>
  <c r="N2527" i="6" s="1"/>
  <c r="O2527" i="6" s="1"/>
  <c r="M2515" i="6"/>
  <c r="N2515" i="6" s="1"/>
  <c r="O2515" i="6" s="1"/>
  <c r="M2528" i="6"/>
  <c r="N2528" i="6" s="1"/>
  <c r="O2528" i="6" s="1"/>
  <c r="M2518" i="6"/>
  <c r="N2518" i="6" s="1"/>
  <c r="O2518" i="6" s="1"/>
  <c r="M2536" i="6"/>
  <c r="N2536" i="6" s="1"/>
  <c r="O2536" i="6" s="1"/>
  <c r="M2525" i="6"/>
  <c r="N2525" i="6" s="1"/>
  <c r="O2525" i="6" s="1"/>
  <c r="M2514" i="6"/>
  <c r="N2514" i="6" s="1"/>
  <c r="O2514" i="6" s="1"/>
  <c r="M2523" i="6"/>
  <c r="N2523" i="6" s="1"/>
  <c r="O2523" i="6" s="1"/>
  <c r="M2534" i="6"/>
  <c r="N2534" i="6" s="1"/>
  <c r="O2534" i="6" s="1"/>
  <c r="M2535" i="6"/>
  <c r="N2535" i="6" s="1"/>
  <c r="O2535" i="6" s="1"/>
  <c r="M2522" i="6"/>
  <c r="N2522" i="6" s="1"/>
  <c r="O2522" i="6" s="1"/>
  <c r="M2530" i="6"/>
  <c r="N2530" i="6" s="1"/>
  <c r="O2530" i="6" s="1"/>
  <c r="M2531" i="6"/>
  <c r="N2531" i="6" s="1"/>
  <c r="O2531" i="6" s="1"/>
  <c r="M2520" i="6"/>
  <c r="N2520" i="6" s="1"/>
  <c r="O2520" i="6" s="1"/>
  <c r="M2517" i="6"/>
  <c r="N2517" i="6" s="1"/>
  <c r="O2517" i="6" s="1"/>
  <c r="M2524" i="6"/>
  <c r="N2524" i="6" s="1"/>
  <c r="O2524" i="6" s="1"/>
  <c r="N2871" i="6"/>
  <c r="O2871" i="6" s="1"/>
  <c r="M3137" i="6"/>
  <c r="N3137" i="6" s="1"/>
  <c r="O3137" i="6" s="1"/>
  <c r="M3153" i="6"/>
  <c r="N3153" i="6" s="1"/>
  <c r="O3153" i="6" s="1"/>
  <c r="M3133" i="6"/>
  <c r="N3133" i="6" s="1"/>
  <c r="O3133" i="6" s="1"/>
  <c r="M3152" i="6"/>
  <c r="N3152" i="6" s="1"/>
  <c r="O3152" i="6" s="1"/>
  <c r="M3132" i="6"/>
  <c r="N3132" i="6" s="1"/>
  <c r="O3132" i="6" s="1"/>
  <c r="M3131" i="6"/>
  <c r="N3131" i="6" s="1"/>
  <c r="O3131" i="6" s="1"/>
  <c r="M3138" i="6"/>
  <c r="N3138" i="6" s="1"/>
  <c r="O3138" i="6" s="1"/>
  <c r="M3135" i="6"/>
  <c r="N3135" i="6" s="1"/>
  <c r="O3135" i="6" s="1"/>
  <c r="M3140" i="6"/>
  <c r="N3140" i="6" s="1"/>
  <c r="O3140" i="6" s="1"/>
  <c r="M3147" i="6"/>
  <c r="N3147" i="6" s="1"/>
  <c r="O3147" i="6" s="1"/>
  <c r="M3139" i="6"/>
  <c r="N3139" i="6" s="1"/>
  <c r="O3139" i="6" s="1"/>
  <c r="M3142" i="6"/>
  <c r="N3142" i="6" s="1"/>
  <c r="O3142" i="6" s="1"/>
  <c r="M3146" i="6"/>
  <c r="N3146" i="6" s="1"/>
  <c r="O3146" i="6" s="1"/>
  <c r="M3141" i="6"/>
  <c r="N3141" i="6" s="1"/>
  <c r="O3141" i="6" s="1"/>
  <c r="M3136" i="6"/>
  <c r="N3136" i="6" s="1"/>
  <c r="O3136" i="6" s="1"/>
  <c r="M3144" i="6"/>
  <c r="N3144" i="6" s="1"/>
  <c r="O3144" i="6" s="1"/>
  <c r="M3143" i="6"/>
  <c r="N3143" i="6" s="1"/>
  <c r="O3143" i="6" s="1"/>
  <c r="M3130" i="6"/>
  <c r="N3130" i="6" s="1"/>
  <c r="O3130" i="6" s="1"/>
  <c r="M3151" i="6"/>
  <c r="N3151" i="6" s="1"/>
  <c r="O3151" i="6" s="1"/>
  <c r="M3148" i="6"/>
  <c r="N3148" i="6" s="1"/>
  <c r="O3148" i="6" s="1"/>
  <c r="M3150" i="6"/>
  <c r="N3150" i="6" s="1"/>
  <c r="O3150" i="6" s="1"/>
  <c r="M3145" i="6"/>
  <c r="N3145" i="6" s="1"/>
  <c r="O3145" i="6" s="1"/>
  <c r="M3149" i="6"/>
  <c r="N3149" i="6" s="1"/>
  <c r="O3149" i="6" s="1"/>
  <c r="M3134" i="6"/>
  <c r="N3134" i="6" s="1"/>
  <c r="O3134" i="6" s="1"/>
  <c r="N2759" i="6"/>
  <c r="O2759" i="6" s="1"/>
  <c r="N2410" i="6"/>
  <c r="O2410" i="6" s="1"/>
  <c r="N2943" i="6"/>
  <c r="O2943" i="6" s="1"/>
  <c r="N2906" i="6"/>
  <c r="O2906" i="6" s="1"/>
  <c r="N3224" i="6"/>
  <c r="O3224" i="6" s="1"/>
  <c r="N2473" i="6"/>
  <c r="O2473" i="6" s="1"/>
  <c r="N2777" i="6"/>
  <c r="O2777" i="6" s="1"/>
  <c r="N2884" i="6"/>
  <c r="O2884" i="6" s="1"/>
  <c r="N2770" i="6"/>
  <c r="O2770" i="6" s="1"/>
  <c r="N2901" i="6"/>
  <c r="O2901" i="6" s="1"/>
  <c r="N3057" i="6"/>
  <c r="O3057" i="6" s="1"/>
  <c r="N3232" i="6"/>
  <c r="O3232" i="6" s="1"/>
  <c r="N3233" i="6"/>
  <c r="O3233" i="6" s="1"/>
  <c r="N3178" i="6"/>
  <c r="O3178" i="6" s="1"/>
  <c r="N2966" i="6"/>
  <c r="O2966" i="6" s="1"/>
  <c r="N3098" i="6"/>
  <c r="O3098" i="6" s="1"/>
  <c r="N2746" i="6"/>
  <c r="O2746" i="6" s="1"/>
  <c r="N3118" i="6"/>
  <c r="O3118" i="6" s="1"/>
  <c r="M2045" i="6"/>
  <c r="N2045" i="6" s="1"/>
  <c r="O2045" i="6" s="1"/>
  <c r="M2050" i="6"/>
  <c r="N2050" i="6" s="1"/>
  <c r="O2050" i="6" s="1"/>
  <c r="M2056" i="6"/>
  <c r="N2056" i="6" s="1"/>
  <c r="O2056" i="6" s="1"/>
  <c r="M2051" i="6"/>
  <c r="N2051" i="6" s="1"/>
  <c r="O2051" i="6" s="1"/>
  <c r="M2049" i="6"/>
  <c r="N2049" i="6" s="1"/>
  <c r="O2049" i="6" s="1"/>
  <c r="M2055" i="6"/>
  <c r="N2055" i="6" s="1"/>
  <c r="O2055" i="6" s="1"/>
  <c r="M2057" i="6"/>
  <c r="N2057" i="6" s="1"/>
  <c r="O2057" i="6" s="1"/>
  <c r="M2035" i="6"/>
  <c r="N2035" i="6" s="1"/>
  <c r="O2035" i="6" s="1"/>
  <c r="M2039" i="6"/>
  <c r="N2039" i="6" s="1"/>
  <c r="O2039" i="6" s="1"/>
  <c r="M2046" i="6"/>
  <c r="N2046" i="6" s="1"/>
  <c r="O2046" i="6" s="1"/>
  <c r="M2042" i="6"/>
  <c r="N2042" i="6" s="1"/>
  <c r="O2042" i="6" s="1"/>
  <c r="M2043" i="6"/>
  <c r="N2043" i="6" s="1"/>
  <c r="O2043" i="6" s="1"/>
  <c r="M2038" i="6"/>
  <c r="N2038" i="6" s="1"/>
  <c r="O2038" i="6" s="1"/>
  <c r="M2034" i="6"/>
  <c r="N2034" i="6" s="1"/>
  <c r="O2034" i="6" s="1"/>
  <c r="M2052" i="6"/>
  <c r="N2052" i="6" s="1"/>
  <c r="O2052" i="6" s="1"/>
  <c r="M2054" i="6"/>
  <c r="N2054" i="6" s="1"/>
  <c r="O2054" i="6" s="1"/>
  <c r="M2040" i="6"/>
  <c r="N2040" i="6" s="1"/>
  <c r="O2040" i="6" s="1"/>
  <c r="M2053" i="6"/>
  <c r="N2053" i="6" s="1"/>
  <c r="O2053" i="6" s="1"/>
  <c r="M2041" i="6"/>
  <c r="N2041" i="6" s="1"/>
  <c r="O2041" i="6" s="1"/>
  <c r="M2044" i="6"/>
  <c r="N2044" i="6" s="1"/>
  <c r="O2044" i="6" s="1"/>
  <c r="M2036" i="6"/>
  <c r="N2036" i="6" s="1"/>
  <c r="O2036" i="6" s="1"/>
  <c r="M2047" i="6"/>
  <c r="N2047" i="6" s="1"/>
  <c r="O2047" i="6" s="1"/>
  <c r="M2037" i="6"/>
  <c r="N2037" i="6" s="1"/>
  <c r="O2037" i="6" s="1"/>
  <c r="M2048" i="6"/>
  <c r="N2048" i="6" s="1"/>
  <c r="O2048" i="6" s="1"/>
  <c r="N2556" i="6"/>
  <c r="O2556" i="6" s="1"/>
  <c r="N2918" i="6"/>
  <c r="O2918" i="6" s="1"/>
  <c r="N2737" i="6"/>
  <c r="O2737" i="6" s="1"/>
  <c r="M2213" i="6"/>
  <c r="N2213" i="6" s="1"/>
  <c r="O2213" i="6" s="1"/>
  <c r="M2214" i="6"/>
  <c r="N2214" i="6" s="1"/>
  <c r="O2214" i="6" s="1"/>
  <c r="M2215" i="6"/>
  <c r="N2215" i="6" s="1"/>
  <c r="O2215" i="6" s="1"/>
  <c r="M2206" i="6"/>
  <c r="N2206" i="6" s="1"/>
  <c r="O2206" i="6" s="1"/>
  <c r="M2207" i="6"/>
  <c r="N2207" i="6" s="1"/>
  <c r="O2207" i="6" s="1"/>
  <c r="M2196" i="6"/>
  <c r="N2196" i="6" s="1"/>
  <c r="O2196" i="6" s="1"/>
  <c r="M2198" i="6"/>
  <c r="N2198" i="6" s="1"/>
  <c r="O2198" i="6" s="1"/>
  <c r="M2194" i="6"/>
  <c r="N2194" i="6" s="1"/>
  <c r="O2194" i="6" s="1"/>
  <c r="M2202" i="6"/>
  <c r="N2202" i="6" s="1"/>
  <c r="O2202" i="6" s="1"/>
  <c r="M2197" i="6"/>
  <c r="N2197" i="6" s="1"/>
  <c r="O2197" i="6" s="1"/>
  <c r="M2212" i="6"/>
  <c r="N2212" i="6" s="1"/>
  <c r="O2212" i="6" s="1"/>
  <c r="M2200" i="6"/>
  <c r="N2200" i="6" s="1"/>
  <c r="O2200" i="6" s="1"/>
  <c r="M2204" i="6"/>
  <c r="N2204" i="6" s="1"/>
  <c r="O2204" i="6" s="1"/>
  <c r="M2210" i="6"/>
  <c r="N2210" i="6" s="1"/>
  <c r="O2210" i="6" s="1"/>
  <c r="M2209" i="6"/>
  <c r="N2209" i="6" s="1"/>
  <c r="O2209" i="6" s="1"/>
  <c r="M2205" i="6"/>
  <c r="N2205" i="6" s="1"/>
  <c r="O2205" i="6" s="1"/>
  <c r="M2217" i="6"/>
  <c r="N2217" i="6" s="1"/>
  <c r="O2217" i="6" s="1"/>
  <c r="M2201" i="6"/>
  <c r="N2201" i="6" s="1"/>
  <c r="O2201" i="6" s="1"/>
  <c r="M2216" i="6"/>
  <c r="N2216" i="6" s="1"/>
  <c r="O2216" i="6" s="1"/>
  <c r="M2195" i="6"/>
  <c r="N2195" i="6" s="1"/>
  <c r="O2195" i="6" s="1"/>
  <c r="M2199" i="6"/>
  <c r="N2199" i="6" s="1"/>
  <c r="O2199" i="6" s="1"/>
  <c r="M2211" i="6"/>
  <c r="N2211" i="6" s="1"/>
  <c r="O2211" i="6" s="1"/>
  <c r="M2203" i="6"/>
  <c r="N2203" i="6" s="1"/>
  <c r="O2203" i="6" s="1"/>
  <c r="M2208" i="6"/>
  <c r="N2208" i="6" s="1"/>
  <c r="O2208" i="6" s="1"/>
  <c r="T114" i="6" l="1"/>
  <c r="S148" i="6"/>
  <c r="S154" i="6"/>
  <c r="T122" i="6"/>
  <c r="T138" i="6"/>
  <c r="T69" i="6"/>
  <c r="T106" i="6"/>
  <c r="S105" i="6"/>
  <c r="T75" i="6"/>
  <c r="T101" i="6"/>
  <c r="S77" i="6"/>
  <c r="S62" i="6"/>
  <c r="S35" i="6"/>
  <c r="T10" i="6"/>
  <c r="T29" i="6"/>
  <c r="S16" i="6"/>
  <c r="S157" i="6"/>
  <c r="T121" i="6"/>
  <c r="S116" i="6"/>
  <c r="S126" i="6"/>
  <c r="T80" i="6"/>
  <c r="S17" i="6"/>
  <c r="S86" i="6"/>
  <c r="S47" i="6"/>
  <c r="S58" i="6"/>
  <c r="T16" i="6"/>
  <c r="T154" i="6"/>
  <c r="S121" i="6"/>
  <c r="S119" i="6"/>
  <c r="S111" i="6"/>
  <c r="S95" i="6"/>
  <c r="S28" i="6"/>
  <c r="T65" i="6"/>
  <c r="T51" i="6"/>
  <c r="T33" i="6"/>
  <c r="S82" i="6"/>
  <c r="T62" i="6"/>
  <c r="T115" i="6"/>
  <c r="S120" i="6"/>
  <c r="V148" i="6"/>
  <c r="U148" i="6"/>
  <c r="S137" i="6"/>
  <c r="S156" i="6"/>
  <c r="U111" i="6"/>
  <c r="V111" i="6"/>
  <c r="S138" i="6"/>
  <c r="T125" i="6"/>
  <c r="S114" i="6"/>
  <c r="T157" i="6"/>
  <c r="S145" i="6"/>
  <c r="T143" i="6"/>
  <c r="S130" i="6"/>
  <c r="T159" i="6"/>
  <c r="T108" i="6"/>
  <c r="T120" i="6"/>
  <c r="S159" i="6"/>
  <c r="S125" i="6"/>
  <c r="T145" i="6"/>
  <c r="S158" i="6"/>
  <c r="T151" i="6"/>
  <c r="T144" i="6"/>
  <c r="T147" i="6"/>
  <c r="S150" i="6"/>
  <c r="T153" i="6"/>
  <c r="T140" i="6"/>
  <c r="T99" i="6"/>
  <c r="T126" i="6"/>
  <c r="S99" i="6"/>
  <c r="S141" i="6"/>
  <c r="S109" i="6"/>
  <c r="S129" i="6"/>
  <c r="S80" i="6"/>
  <c r="T100" i="6"/>
  <c r="T123" i="6"/>
  <c r="T86" i="6"/>
  <c r="T146" i="6"/>
  <c r="S83" i="6"/>
  <c r="S117" i="6"/>
  <c r="S92" i="6"/>
  <c r="S139" i="6"/>
  <c r="S52" i="6"/>
  <c r="T56" i="6"/>
  <c r="S27" i="6"/>
  <c r="S110" i="6"/>
  <c r="T131" i="6"/>
  <c r="T17" i="6"/>
  <c r="S56" i="6"/>
  <c r="T46" i="6"/>
  <c r="T23" i="6"/>
  <c r="T41" i="6"/>
  <c r="T113" i="6"/>
  <c r="S21" i="6"/>
  <c r="S23" i="6"/>
  <c r="S59" i="6"/>
  <c r="T26" i="6"/>
  <c r="T81" i="6"/>
  <c r="S93" i="6"/>
  <c r="T28" i="6"/>
  <c r="T22" i="6"/>
  <c r="S22" i="6"/>
  <c r="S81" i="6"/>
  <c r="S65" i="6"/>
  <c r="T32" i="6"/>
  <c r="T15" i="6"/>
  <c r="T134" i="6"/>
  <c r="S10" i="6"/>
  <c r="S20" i="6"/>
  <c r="T34" i="6"/>
  <c r="T127" i="6"/>
  <c r="V95" i="6"/>
  <c r="W95" i="6" s="1"/>
  <c r="U95" i="6"/>
  <c r="U86" i="6"/>
  <c r="V86" i="6"/>
  <c r="U28" i="6"/>
  <c r="V28" i="6"/>
  <c r="T130" i="6"/>
  <c r="T92" i="6"/>
  <c r="T124" i="6"/>
  <c r="T68" i="6"/>
  <c r="U77" i="6"/>
  <c r="V77" i="6"/>
  <c r="U62" i="6"/>
  <c r="V62" i="6"/>
  <c r="V35" i="6"/>
  <c r="U35" i="6"/>
  <c r="T52" i="6"/>
  <c r="S87" i="6"/>
  <c r="T88" i="6"/>
  <c r="S146" i="6"/>
  <c r="S106" i="6"/>
  <c r="T82" i="6"/>
  <c r="S88" i="6"/>
  <c r="S122" i="6"/>
  <c r="T21" i="6"/>
  <c r="S57" i="6"/>
  <c r="S44" i="6"/>
  <c r="T94" i="6"/>
  <c r="T105" i="6"/>
  <c r="S15" i="6"/>
  <c r="U16" i="6"/>
  <c r="V16" i="6"/>
  <c r="S112" i="6"/>
  <c r="T119" i="6"/>
  <c r="S39" i="6"/>
  <c r="T50" i="6"/>
  <c r="T40" i="6"/>
  <c r="S40" i="6"/>
  <c r="T53" i="6"/>
  <c r="S63" i="6"/>
  <c r="S64" i="6"/>
  <c r="S71" i="6"/>
  <c r="S75" i="6"/>
  <c r="V119" i="6"/>
  <c r="U119" i="6"/>
  <c r="W119" i="6" s="1"/>
  <c r="U123" i="6"/>
  <c r="V123" i="6"/>
  <c r="V105" i="6"/>
  <c r="U105" i="6"/>
  <c r="W105" i="6" s="1"/>
  <c r="S132" i="6"/>
  <c r="P3127" i="6"/>
  <c r="T152" i="6"/>
  <c r="S151" i="6"/>
  <c r="S152" i="6"/>
  <c r="T142" i="6"/>
  <c r="S144" i="6"/>
  <c r="T156" i="6"/>
  <c r="S98" i="6"/>
  <c r="S100" i="6"/>
  <c r="S115" i="6"/>
  <c r="T129" i="6"/>
  <c r="S136" i="6"/>
  <c r="S142" i="6"/>
  <c r="S153" i="6"/>
  <c r="S140" i="6"/>
  <c r="S118" i="6"/>
  <c r="T135" i="6"/>
  <c r="V47" i="6"/>
  <c r="U47" i="6"/>
  <c r="T149" i="6"/>
  <c r="T137" i="6"/>
  <c r="S155" i="6"/>
  <c r="T87" i="6"/>
  <c r="T110" i="6"/>
  <c r="S143" i="6"/>
  <c r="S107" i="6"/>
  <c r="V58" i="6"/>
  <c r="U58" i="6"/>
  <c r="S113" i="6"/>
  <c r="S29" i="6"/>
  <c r="T141" i="6"/>
  <c r="T128" i="6"/>
  <c r="T118" i="6"/>
  <c r="T112" i="6"/>
  <c r="S53" i="6"/>
  <c r="S74" i="6"/>
  <c r="T136" i="6"/>
  <c r="T45" i="6"/>
  <c r="T20" i="6"/>
  <c r="S32" i="6"/>
  <c r="T70" i="6"/>
  <c r="T44" i="6"/>
  <c r="S68" i="6"/>
  <c r="S131" i="6"/>
  <c r="T59" i="6"/>
  <c r="S38" i="6"/>
  <c r="T11" i="6"/>
  <c r="S46" i="6"/>
  <c r="T35" i="6"/>
  <c r="S33" i="6"/>
  <c r="S45" i="6"/>
  <c r="V157" i="6"/>
  <c r="U157" i="6"/>
  <c r="V121" i="6"/>
  <c r="U121" i="6"/>
  <c r="W121" i="6" s="1"/>
  <c r="V154" i="6"/>
  <c r="U154" i="6"/>
  <c r="T133" i="6"/>
  <c r="S133" i="6"/>
  <c r="U116" i="6"/>
  <c r="V116" i="6"/>
  <c r="U126" i="6"/>
  <c r="V126" i="6"/>
  <c r="W126" i="6" s="1"/>
  <c r="U17" i="6"/>
  <c r="V17" i="6"/>
  <c r="S128" i="6"/>
  <c r="T155" i="6"/>
  <c r="T132" i="6"/>
  <c r="S127" i="6"/>
  <c r="S135" i="6"/>
  <c r="T150" i="6"/>
  <c r="S149" i="6"/>
  <c r="S108" i="6"/>
  <c r="S147" i="6"/>
  <c r="T83" i="6"/>
  <c r="T158" i="6"/>
  <c r="U82" i="6"/>
  <c r="V82" i="6"/>
  <c r="T109" i="6"/>
  <c r="S89" i="6"/>
  <c r="S124" i="6"/>
  <c r="S104" i="6"/>
  <c r="S94" i="6"/>
  <c r="T148" i="6"/>
  <c r="S76" i="6"/>
  <c r="T77" i="6"/>
  <c r="T76" i="6"/>
  <c r="T63" i="6"/>
  <c r="T117" i="6"/>
  <c r="T139" i="6"/>
  <c r="T89" i="6"/>
  <c r="T98" i="6"/>
  <c r="S50" i="6"/>
  <c r="T47" i="6"/>
  <c r="T38" i="6"/>
  <c r="T58" i="6"/>
  <c r="T116" i="6"/>
  <c r="T93" i="6"/>
  <c r="S26" i="6"/>
  <c r="S69" i="6"/>
  <c r="T111" i="6"/>
  <c r="T14" i="6"/>
  <c r="S134" i="6"/>
  <c r="T74" i="6"/>
  <c r="T39" i="6"/>
  <c r="T71" i="6"/>
  <c r="S101" i="6"/>
  <c r="S14" i="6"/>
  <c r="T64" i="6"/>
  <c r="S11" i="6"/>
  <c r="S70" i="6"/>
  <c r="T104" i="6"/>
  <c r="S41" i="6"/>
  <c r="S34" i="6"/>
  <c r="S51" i="6"/>
  <c r="T107" i="6"/>
  <c r="T57" i="6"/>
  <c r="W148" i="6" l="1"/>
  <c r="U51" i="6"/>
  <c r="V51" i="6"/>
  <c r="V101" i="6"/>
  <c r="U101" i="6"/>
  <c r="V26" i="6"/>
  <c r="U26" i="6"/>
  <c r="V94" i="6"/>
  <c r="U94" i="6"/>
  <c r="V133" i="6"/>
  <c r="U133" i="6"/>
  <c r="V45" i="6"/>
  <c r="U45" i="6"/>
  <c r="V68" i="6"/>
  <c r="U68" i="6"/>
  <c r="V53" i="6"/>
  <c r="U53" i="6"/>
  <c r="U140" i="6"/>
  <c r="V140" i="6"/>
  <c r="V151" i="6"/>
  <c r="U151" i="6"/>
  <c r="U64" i="6"/>
  <c r="V64" i="6"/>
  <c r="U112" i="6"/>
  <c r="V112" i="6"/>
  <c r="V106" i="6"/>
  <c r="U106" i="6"/>
  <c r="V10" i="6"/>
  <c r="U10" i="6"/>
  <c r="V65" i="6"/>
  <c r="U65" i="6"/>
  <c r="V59" i="6"/>
  <c r="U59" i="6"/>
  <c r="U117" i="6"/>
  <c r="V117" i="6"/>
  <c r="U109" i="6"/>
  <c r="V109" i="6"/>
  <c r="U145" i="6"/>
  <c r="V145" i="6"/>
  <c r="V138" i="6"/>
  <c r="U138" i="6"/>
  <c r="V137" i="6"/>
  <c r="U137" i="6"/>
  <c r="U70" i="6"/>
  <c r="V70" i="6"/>
  <c r="V134" i="6"/>
  <c r="U134" i="6"/>
  <c r="V34" i="6"/>
  <c r="U34" i="6"/>
  <c r="V11" i="6"/>
  <c r="U11" i="6"/>
  <c r="V104" i="6"/>
  <c r="U104" i="6"/>
  <c r="W82" i="6"/>
  <c r="V147" i="6"/>
  <c r="U147" i="6"/>
  <c r="V135" i="6"/>
  <c r="U135" i="6"/>
  <c r="U128" i="6"/>
  <c r="V128" i="6"/>
  <c r="V33" i="6"/>
  <c r="U33" i="6"/>
  <c r="V38" i="6"/>
  <c r="U38" i="6"/>
  <c r="V29" i="6"/>
  <c r="U29" i="6"/>
  <c r="U107" i="6"/>
  <c r="V107" i="6"/>
  <c r="U155" i="6"/>
  <c r="V155" i="6"/>
  <c r="W47" i="6"/>
  <c r="V153" i="6"/>
  <c r="U153" i="6"/>
  <c r="U115" i="6"/>
  <c r="V115" i="6"/>
  <c r="U144" i="6"/>
  <c r="V144" i="6"/>
  <c r="V63" i="6"/>
  <c r="U63" i="6"/>
  <c r="W16" i="6"/>
  <c r="V122" i="6"/>
  <c r="U122" i="6"/>
  <c r="U146" i="6"/>
  <c r="V146" i="6"/>
  <c r="W35" i="6"/>
  <c r="W77" i="6"/>
  <c r="W86" i="6"/>
  <c r="U81" i="6"/>
  <c r="V81" i="6"/>
  <c r="V93" i="6"/>
  <c r="U93" i="6"/>
  <c r="U23" i="6"/>
  <c r="V23" i="6"/>
  <c r="U52" i="6"/>
  <c r="V52" i="6"/>
  <c r="V83" i="6"/>
  <c r="U83" i="6"/>
  <c r="U141" i="6"/>
  <c r="V141" i="6"/>
  <c r="V125" i="6"/>
  <c r="U125" i="6"/>
  <c r="W111" i="6"/>
  <c r="U41" i="6"/>
  <c r="V41" i="6"/>
  <c r="V50" i="6"/>
  <c r="U50" i="6"/>
  <c r="V76" i="6"/>
  <c r="U76" i="6"/>
  <c r="U124" i="6"/>
  <c r="V124" i="6"/>
  <c r="V108" i="6"/>
  <c r="U108" i="6"/>
  <c r="V127" i="6"/>
  <c r="U127" i="6"/>
  <c r="W17" i="6"/>
  <c r="W116" i="6"/>
  <c r="W154" i="6"/>
  <c r="W157" i="6"/>
  <c r="V113" i="6"/>
  <c r="U113" i="6"/>
  <c r="U143" i="6"/>
  <c r="V143" i="6"/>
  <c r="V142" i="6"/>
  <c r="U142" i="6"/>
  <c r="U100" i="6"/>
  <c r="V100" i="6"/>
  <c r="W123" i="6"/>
  <c r="V75" i="6"/>
  <c r="U75" i="6"/>
  <c r="V39" i="6"/>
  <c r="U39" i="6"/>
  <c r="V44" i="6"/>
  <c r="U44" i="6"/>
  <c r="V88" i="6"/>
  <c r="U88" i="6"/>
  <c r="V22" i="6"/>
  <c r="U22" i="6"/>
  <c r="U21" i="6"/>
  <c r="V21" i="6"/>
  <c r="U110" i="6"/>
  <c r="V110" i="6"/>
  <c r="V139" i="6"/>
  <c r="U139" i="6"/>
  <c r="V80" i="6"/>
  <c r="U80" i="6"/>
  <c r="V99" i="6"/>
  <c r="U99" i="6"/>
  <c r="U159" i="6"/>
  <c r="V159" i="6"/>
  <c r="U130" i="6"/>
  <c r="V130" i="6"/>
  <c r="U114" i="6"/>
  <c r="V114" i="6"/>
  <c r="V14" i="6"/>
  <c r="U14" i="6"/>
  <c r="U69" i="6"/>
  <c r="V69" i="6"/>
  <c r="U89" i="6"/>
  <c r="V89" i="6"/>
  <c r="V149" i="6"/>
  <c r="U149" i="6"/>
  <c r="V46" i="6"/>
  <c r="U46" i="6"/>
  <c r="V131" i="6"/>
  <c r="U131" i="6"/>
  <c r="U32" i="6"/>
  <c r="V32" i="6"/>
  <c r="U74" i="6"/>
  <c r="V74" i="6"/>
  <c r="W58" i="6"/>
  <c r="V118" i="6"/>
  <c r="U118" i="6"/>
  <c r="V136" i="6"/>
  <c r="U136" i="6"/>
  <c r="W136" i="6" s="1"/>
  <c r="V98" i="6"/>
  <c r="U98" i="6"/>
  <c r="U152" i="6"/>
  <c r="V152" i="6"/>
  <c r="W152" i="6" s="1"/>
  <c r="U132" i="6"/>
  <c r="V132" i="6"/>
  <c r="V71" i="6"/>
  <c r="U71" i="6"/>
  <c r="W71" i="6" s="1"/>
  <c r="V40" i="6"/>
  <c r="U40" i="6"/>
  <c r="V15" i="6"/>
  <c r="U15" i="6"/>
  <c r="V57" i="6"/>
  <c r="U57" i="6"/>
  <c r="V87" i="6"/>
  <c r="U87" i="6"/>
  <c r="W62" i="6"/>
  <c r="W28" i="6"/>
  <c r="V20" i="6"/>
  <c r="U20" i="6"/>
  <c r="V56" i="6"/>
  <c r="U56" i="6"/>
  <c r="V27" i="6"/>
  <c r="U27" i="6"/>
  <c r="U92" i="6"/>
  <c r="V92" i="6"/>
  <c r="U129" i="6"/>
  <c r="V129" i="6"/>
  <c r="W129" i="6" s="1"/>
  <c r="V150" i="6"/>
  <c r="U150" i="6"/>
  <c r="V158" i="6"/>
  <c r="U158" i="6"/>
  <c r="W158" i="6" s="1"/>
  <c r="V156" i="6"/>
  <c r="U156" i="6"/>
  <c r="V120" i="6"/>
  <c r="U120" i="6"/>
  <c r="W120" i="6" s="1"/>
  <c r="W156" i="6" l="1"/>
  <c r="W150" i="6"/>
  <c r="W92" i="6"/>
  <c r="W132" i="6"/>
  <c r="W98" i="6"/>
  <c r="W80" i="6"/>
  <c r="W22" i="6"/>
  <c r="W44" i="6"/>
  <c r="W75" i="6"/>
  <c r="W142" i="6"/>
  <c r="W108" i="6"/>
  <c r="W76" i="6"/>
  <c r="W41" i="6"/>
  <c r="W146" i="6"/>
  <c r="W107" i="6"/>
  <c r="W128" i="6"/>
  <c r="W147" i="6"/>
  <c r="W50" i="6"/>
  <c r="W122" i="6"/>
  <c r="W46" i="6"/>
  <c r="W14" i="6"/>
  <c r="W99" i="6"/>
  <c r="W139" i="6"/>
  <c r="W88" i="6"/>
  <c r="W39" i="6"/>
  <c r="W100" i="6"/>
  <c r="W143" i="6"/>
  <c r="W127" i="6"/>
  <c r="W93" i="6"/>
  <c r="W63" i="6"/>
  <c r="W11" i="6"/>
  <c r="W134" i="6"/>
  <c r="W137" i="6"/>
  <c r="W65" i="6"/>
  <c r="W106" i="6"/>
  <c r="W68" i="6"/>
  <c r="W26" i="6"/>
  <c r="W23" i="6"/>
  <c r="W81" i="6"/>
  <c r="W144" i="6"/>
  <c r="W153" i="6"/>
  <c r="W29" i="6"/>
  <c r="W33" i="6"/>
  <c r="W104" i="6"/>
  <c r="W34" i="6"/>
  <c r="W70" i="6"/>
  <c r="W138" i="6"/>
  <c r="W109" i="6"/>
  <c r="W112" i="6"/>
  <c r="W151" i="6"/>
  <c r="W27" i="6"/>
  <c r="W20" i="6"/>
  <c r="W87" i="6"/>
  <c r="W15" i="6"/>
  <c r="W74" i="6"/>
  <c r="W131" i="6"/>
  <c r="W149" i="6"/>
  <c r="W69" i="6"/>
  <c r="W114" i="6"/>
  <c r="W159" i="6"/>
  <c r="W110" i="6"/>
  <c r="W125" i="6"/>
  <c r="W83" i="6"/>
  <c r="W59" i="6"/>
  <c r="W10" i="6"/>
  <c r="W53" i="6"/>
  <c r="W45" i="6"/>
  <c r="W94" i="6"/>
  <c r="W101" i="6"/>
  <c r="W56" i="6"/>
  <c r="W57" i="6"/>
  <c r="W40" i="6"/>
  <c r="W118" i="6"/>
  <c r="W32" i="6"/>
  <c r="W89" i="6"/>
  <c r="W130" i="6"/>
  <c r="W21" i="6"/>
  <c r="W113" i="6"/>
  <c r="W141" i="6"/>
  <c r="W52" i="6"/>
  <c r="W115" i="6"/>
  <c r="W38" i="6"/>
  <c r="W145" i="6"/>
  <c r="W117" i="6"/>
  <c r="W64" i="6"/>
  <c r="W140" i="6"/>
  <c r="W133" i="6"/>
  <c r="W51" i="6"/>
  <c r="W124" i="6"/>
  <c r="W155" i="6"/>
  <c r="W135" i="6"/>
</calcChain>
</file>

<file path=xl/sharedStrings.xml><?xml version="1.0" encoding="utf-8"?>
<sst xmlns="http://schemas.openxmlformats.org/spreadsheetml/2006/main" count="27671" uniqueCount="493">
  <si>
    <t>Vehicle class</t>
  </si>
  <si>
    <t>Buses &amp; Coaches</t>
  </si>
  <si>
    <t>Cars</t>
  </si>
  <si>
    <t>Motorcycles</t>
  </si>
  <si>
    <t>kg</t>
  </si>
  <si>
    <t>nr</t>
  </si>
  <si>
    <t>Number registered in Scotland</t>
  </si>
  <si>
    <t>Scottish Transport Statistics No 39 - 2020 Edition - PDF only</t>
  </si>
  <si>
    <t>Chapter 01 - Road Transport Vehicles 2020</t>
  </si>
  <si>
    <t>HGV</t>
  </si>
  <si>
    <t>Subcategory</t>
  </si>
  <si>
    <t>nr.</t>
  </si>
  <si>
    <t>Number of axles</t>
  </si>
  <si>
    <t>Reference weight / axle</t>
  </si>
  <si>
    <t xml:space="preserve">g = </t>
  </si>
  <si>
    <t>N/kg</t>
  </si>
  <si>
    <t>kN</t>
  </si>
  <si>
    <t>data as at end 2019</t>
  </si>
  <si>
    <t>NB.  Data discrepancy</t>
  </si>
  <si>
    <t>Scottish gov dataset (table 1.8) shows breakdown of Goods vehicle tax class by weight as a percentage of total, with an overall total of 28,100 vehicles at end 2019</t>
  </si>
  <si>
    <t>Scottish Gov dataset shows elsewhere (table 1.2) total number of Goods vehicle body type = 37,000.</t>
  </si>
  <si>
    <t>There are over 200,000 'Crown and exempt' tax class vehicles, with undefined body types.</t>
  </si>
  <si>
    <t>We assume:</t>
  </si>
  <si>
    <t xml:space="preserve">The difference between Goods body type and Goods tax class is taken up by the Crown and Exempt tax class. </t>
  </si>
  <si>
    <t>The percentages of Goods vehicles by weight raneg will be applkied to the total number of Goods vehicle body types, to achieve a better indiaction of the numebr of vehicles actually in use</t>
  </si>
  <si>
    <t>%</t>
  </si>
  <si>
    <t>from kg</t>
  </si>
  <si>
    <t>to kg</t>
  </si>
  <si>
    <t>LR979.tif (trl.co.uk)</t>
  </si>
  <si>
    <t>* TRRL report 979.  R R Addis and R A Whitmarsh.  RELATIVE DAMAGING POWER OF WHEEL LOADS IN MIXED TRAFFIC.  TRRL 1981</t>
  </si>
  <si>
    <t>"A convenient indication of the damaging power of a given spectrum is that number of 80 kN axles that are equivalent to 100 axles of the traffic spectrum considered"</t>
  </si>
  <si>
    <t>km</t>
  </si>
  <si>
    <t>Average annual distance driven, per vehicle</t>
  </si>
  <si>
    <t>This table calculates a number of emission related properties and characteristics of vehciles by class.  Sources and calculations as shown.</t>
  </si>
  <si>
    <t>Data was intially available broken down as petrol and diesel for cars and vans, but more recent data sets are based around vehicle type only</t>
  </si>
  <si>
    <t>large vehs emissions</t>
  </si>
  <si>
    <t>Combined cars</t>
  </si>
  <si>
    <t>Combined LGV</t>
  </si>
  <si>
    <t>Field</t>
  </si>
  <si>
    <t>Unit</t>
  </si>
  <si>
    <t>Note</t>
  </si>
  <si>
    <t>Buses and Coaches</t>
  </si>
  <si>
    <t>Petrol Cars</t>
  </si>
  <si>
    <t>Diesel Cars</t>
  </si>
  <si>
    <t>Goods</t>
  </si>
  <si>
    <t>Petrol LGV</t>
  </si>
  <si>
    <t>Diesel LGV</t>
  </si>
  <si>
    <t>Light Goods</t>
  </si>
  <si>
    <t>Total</t>
  </si>
  <si>
    <t>Source</t>
  </si>
  <si>
    <t>Total CO2 emitted (UK)</t>
  </si>
  <si>
    <t>kilotonnes/year **</t>
  </si>
  <si>
    <t>As Carbon</t>
  </si>
  <si>
    <t>a</t>
  </si>
  <si>
    <t>http://naei.beis.gov.uk/data/data-selector</t>
  </si>
  <si>
    <t>No. of vehicles (Scotland)</t>
  </si>
  <si>
    <t>no. (2018)</t>
  </si>
  <si>
    <t>b</t>
  </si>
  <si>
    <t>https://www.gov.uk/government/statistical-data-sets/all-vehicles-veh01</t>
  </si>
  <si>
    <t>petrol/diesel split calculated pro-rata by UK 2017 data</t>
  </si>
  <si>
    <t>No. of vehicles (UK)</t>
  </si>
  <si>
    <t>c</t>
  </si>
  <si>
    <t>no. (2017)</t>
  </si>
  <si>
    <t>d</t>
  </si>
  <si>
    <t>https://www.gov.uk/government/collections/vehicles-statistics</t>
  </si>
  <si>
    <t>No. of vehicles (GB)</t>
  </si>
  <si>
    <t>Total vehicle-km (GB)</t>
  </si>
  <si>
    <t>bn veh-km</t>
  </si>
  <si>
    <t>DTP rept TRA 0206</t>
  </si>
  <si>
    <t>e</t>
  </si>
  <si>
    <t>Total vehicle-km (UK)</t>
  </si>
  <si>
    <t>calculated, pro rata based on fuel consumed</t>
  </si>
  <si>
    <t>Average km/vehicle (UK)</t>
  </si>
  <si>
    <t>Calculated.</t>
  </si>
  <si>
    <t>Total veh-km (Scotland)</t>
  </si>
  <si>
    <t>From source to right.  2018 figures used.  Motorcycle figure is scaled from data for England.</t>
  </si>
  <si>
    <t>Motorcycle figures from https://assets.publishing.service.gov.uk/government/uploads/system/uploads/attachment_data/file/694965/motorcycle-use-in-england.pdf - assumed to be similar for Scotland</t>
  </si>
  <si>
    <t>Average km/veh (Scotland)</t>
  </si>
  <si>
    <t>Calculated</t>
  </si>
  <si>
    <t>Traffic (www.gov.uk/government/organisations/department-for-transport/series/road-traffic-statistics)</t>
  </si>
  <si>
    <t>Reprot TRA 0206, accessed 26/2/20</t>
  </si>
  <si>
    <t>Total fuel consumed (Scotland)</t>
  </si>
  <si>
    <t>tonnes oil equivalent (2016)</t>
  </si>
  <si>
    <t>f</t>
  </si>
  <si>
    <t>https://www.gov.uk/government/statistical-data-sets/road-transport-energy-consumption-at-regional-and-local-authority-level</t>
  </si>
  <si>
    <t>Total fuel consumed (GB)</t>
  </si>
  <si>
    <t>Total fuel consumed (UK)</t>
  </si>
  <si>
    <t>GWh</t>
  </si>
  <si>
    <t>calculated = toe x 11630 / 1x10^6</t>
  </si>
  <si>
    <t>GWh/kT H2</t>
  </si>
  <si>
    <t>Total CO2 emitted (Scotland)</t>
  </si>
  <si>
    <t>kt/yr as Carbon</t>
  </si>
  <si>
    <t>calculated pro rata from UK value based on fuel consumed.  As Carbon.</t>
  </si>
  <si>
    <t>kT H2</t>
  </si>
  <si>
    <t>Average CO2/vehicle  (Scotland)</t>
  </si>
  <si>
    <t>tonnes/veh/year</t>
  </si>
  <si>
    <t>kTwater /kTH2</t>
  </si>
  <si>
    <t>Average rated CO2/vehicle (Scotland)</t>
  </si>
  <si>
    <t>g/km</t>
  </si>
  <si>
    <t>kT water</t>
  </si>
  <si>
    <t>As CO2</t>
  </si>
  <si>
    <t>m3 water</t>
  </si>
  <si>
    <t>Fuel type</t>
  </si>
  <si>
    <t>diesel</t>
  </si>
  <si>
    <t>petrol</t>
  </si>
  <si>
    <t>efficiency improvement</t>
  </si>
  <si>
    <t>fuel density</t>
  </si>
  <si>
    <t>kg/l</t>
  </si>
  <si>
    <t>Actual requirement</t>
  </si>
  <si>
    <t>fuel used per veh per year</t>
  </si>
  <si>
    <t>kWh</t>
  </si>
  <si>
    <t>fuel specific energy</t>
  </si>
  <si>
    <t>kWh/l</t>
  </si>
  <si>
    <t>l</t>
  </si>
  <si>
    <t>average fuel consumption</t>
  </si>
  <si>
    <t>l/100km</t>
  </si>
  <si>
    <t xml:space="preserve">mpg x l/100km = </t>
  </si>
  <si>
    <t>mpg</t>
  </si>
  <si>
    <t>Fuel used per veh class per year</t>
  </si>
  <si>
    <t>kt/yr</t>
  </si>
  <si>
    <t xml:space="preserve">1 tonne oil equivalent = </t>
  </si>
  <si>
    <t>Diesel/petrol specific energy</t>
  </si>
  <si>
    <t>GWh/kT</t>
  </si>
  <si>
    <t>Annual sales</t>
  </si>
  <si>
    <t>thousands (2016)</t>
  </si>
  <si>
    <t>Scottish government statistics</t>
  </si>
  <si>
    <t>Number, pro rata by fuel for car &amp; LGV</t>
  </si>
  <si>
    <t>Average emissions Scotland</t>
  </si>
  <si>
    <t>Averge emissions UK</t>
  </si>
  <si>
    <t>Existing number of ZEVs (end Q3 2019)</t>
  </si>
  <si>
    <t>Only PiG eligible vehicles - ie excludes plug in hybrids, which might be ZEV depending in how they are used.</t>
  </si>
  <si>
    <t>DTP statistics veh0130 Licensed ultra low emission vehicles (ULEVs) to Q3 2019</t>
  </si>
  <si>
    <t>percentage of HC fuel consumed, on energy basis</t>
  </si>
  <si>
    <t>All fuel</t>
  </si>
  <si>
    <t>Diesel</t>
  </si>
  <si>
    <t>Petrol</t>
  </si>
  <si>
    <t xml:space="preserve">Note guidance on UK gov statistuics AT </t>
  </si>
  <si>
    <t>https://assets.publishing.service.gov.uk/government/uploads/system/uploads/attachment_data/file/771895/Sub-national_Methology_and_Guidance_Booklet_2018.pdf</t>
  </si>
  <si>
    <t>incl confimation that data is in toe.</t>
  </si>
  <si>
    <t xml:space="preserve">C/CO2 = </t>
  </si>
  <si>
    <t>From tab 'consumption and Emissions calcs'</t>
  </si>
  <si>
    <t>Standard axle</t>
  </si>
  <si>
    <t>Rhodes 1983</t>
  </si>
  <si>
    <t>Standard axle, ie damage factor, is proportionate to the 4th power of axle load</t>
  </si>
  <si>
    <t>= nr. Standard axles per axle
    x nr. axles per vehicle 
    x nr vehicles registered 
    x average distance travelled per veh.</t>
  </si>
  <si>
    <t>Buses from ADL specs - single deck 13T, double deck 2 axle 18-19T, double deck 3 axle 24T.  Also includes minibuses</t>
  </si>
  <si>
    <t>Total Standard axle - km per year - proxy for damage factor</t>
  </si>
  <si>
    <t>Weight equivalences:</t>
  </si>
  <si>
    <t>Mercedes Benz GLC / EQ-C</t>
  </si>
  <si>
    <t>Hydrocarbon</t>
  </si>
  <si>
    <t>Battery</t>
  </si>
  <si>
    <t>Fuel Cell</t>
  </si>
  <si>
    <t>factor</t>
  </si>
  <si>
    <t>ADL enviro200</t>
  </si>
  <si>
    <t>SUV / large car</t>
  </si>
  <si>
    <t>Single decker bus</t>
  </si>
  <si>
    <t>Source:  Mercedes benz websites</t>
  </si>
  <si>
    <t>Source: ADL website</t>
  </si>
  <si>
    <t>ADLL Enviro400</t>
  </si>
  <si>
    <t>Double decker bus, two axles</t>
  </si>
  <si>
    <t>Source: ADL website.  HC value is based on hybrid model, reduced by weight of 32kWh battery (~250kg)</t>
  </si>
  <si>
    <t>ADL Enviro500</t>
  </si>
  <si>
    <t>Double decker bus, 3 axles</t>
  </si>
  <si>
    <t>Hyundai Xcient</t>
  </si>
  <si>
    <t>Hyundai Super Aero City</t>
  </si>
  <si>
    <t>Source: Hyundai website</t>
  </si>
  <si>
    <t>average</t>
  </si>
  <si>
    <t>4x2 rigd chassis HGV, 5.15m wheelbase</t>
  </si>
  <si>
    <t>4x2 rigd chassis HGV, 5.40m wheelbase</t>
  </si>
  <si>
    <t>See also</t>
  </si>
  <si>
    <t>Energy performance and well-to-wheel analysis of different powertrain solutions for freight transportation - ScienceDirect</t>
  </si>
  <si>
    <t>ICE</t>
  </si>
  <si>
    <t>BEV</t>
  </si>
  <si>
    <t>FCEV</t>
  </si>
  <si>
    <t>Payload</t>
  </si>
  <si>
    <t>Vehicle empty weight</t>
  </si>
  <si>
    <t>Vehicle extra weight</t>
  </si>
  <si>
    <t>New vehicle gross weight for same payload</t>
  </si>
  <si>
    <t>Weight increase factor</t>
  </si>
  <si>
    <t>NB maximum permissible weight = 44,000 kg</t>
  </si>
  <si>
    <t>Simone Lombardi, Laura Tribioli, Giulio Guandalini, Paolo Iora</t>
  </si>
  <si>
    <t>Energy performance and well-to-wheel analysis of different powertrain solutions for freight transportation</t>
  </si>
  <si>
    <t>IJHE, April 2020</t>
  </si>
  <si>
    <t>average:</t>
  </si>
  <si>
    <t>Subcategory as percentage of total</t>
  </si>
  <si>
    <t>All HGVs</t>
  </si>
  <si>
    <t>All Cars</t>
  </si>
  <si>
    <t>All LGVs</t>
  </si>
  <si>
    <t>LGV</t>
  </si>
  <si>
    <t>Petrol -&gt; battery, Diesel -&gt; Hydrogen = "like for like"</t>
  </si>
  <si>
    <t>Standard axles per axle (ICE)</t>
  </si>
  <si>
    <t>Standard axles per axle (Like for Like)</t>
  </si>
  <si>
    <t>Standard axles per axle (BEV)</t>
  </si>
  <si>
    <t>Standard axles per axle (FCEV)</t>
  </si>
  <si>
    <t>standard axle -km per year (ICE)</t>
  </si>
  <si>
    <t>standard axle -km per year (BEV)</t>
  </si>
  <si>
    <t>standard axle -km per year (Like for like)</t>
  </si>
  <si>
    <t>standard axle -km per year (FCEV)</t>
  </si>
  <si>
    <t>2 to 6</t>
  </si>
  <si>
    <t>Tyre wear (kg/veh/yr) = 0.000012.w^4 + 0.14.w + 0.6</t>
  </si>
  <si>
    <t>k</t>
  </si>
  <si>
    <t>x</t>
  </si>
  <si>
    <t>kg/yr</t>
  </si>
  <si>
    <t>Empirically found form</t>
  </si>
  <si>
    <t>F(w) = k.w^x + m.w + n</t>
  </si>
  <si>
    <t>(where w is in tonnes)</t>
  </si>
  <si>
    <t>Sheet X-ref:</t>
  </si>
  <si>
    <t>Vehicle numbers</t>
  </si>
  <si>
    <t>m</t>
  </si>
  <si>
    <t>Emission factors - NAEI, UK (beis.gov.uk)</t>
  </si>
  <si>
    <t>Accessed 20/4/21</t>
  </si>
  <si>
    <t>Looked up from table in "Vehicle Numbers"</t>
  </si>
  <si>
    <t>Summary table</t>
  </si>
  <si>
    <t>Total per vehicle per year</t>
  </si>
  <si>
    <t>n</t>
  </si>
  <si>
    <t>Pollutant</t>
  </si>
  <si>
    <t>Sector</t>
  </si>
  <si>
    <t>NFR Code</t>
  </si>
  <si>
    <t>Fuel Name</t>
  </si>
  <si>
    <t>Year</t>
  </si>
  <si>
    <t>Emission Factor</t>
  </si>
  <si>
    <t>Units</t>
  </si>
  <si>
    <t>Activity Units</t>
  </si>
  <si>
    <t>Number (GB)</t>
  </si>
  <si>
    <t>Number (UK)</t>
  </si>
  <si>
    <t>GB fleet annual distance covered</t>
  </si>
  <si>
    <t>Gross UK fleet emissions</t>
  </si>
  <si>
    <t>Emissions per vehicle per year</t>
  </si>
  <si>
    <t>Tyre wear</t>
  </si>
  <si>
    <t>Brake wear</t>
  </si>
  <si>
    <t>Typical vehicle weight (min)</t>
  </si>
  <si>
    <t>Typical vehicle weight (max)</t>
  </si>
  <si>
    <t>Typical vehicle weight (mid point)</t>
  </si>
  <si>
    <t xml:space="preserve">Calculated Tyre wear </t>
  </si>
  <si>
    <t>Vehicle weight, kg</t>
  </si>
  <si>
    <t>Tyre wear, kg/yr/veh</t>
  </si>
  <si>
    <t>PM10 (Particulate Matter &lt; 10&amp;micro;m)</t>
  </si>
  <si>
    <t>Energy</t>
  </si>
  <si>
    <t>Road transport: Automobile tyre and brake wear</t>
  </si>
  <si>
    <t>Road transport - buses and coaches - motorway driving</t>
  </si>
  <si>
    <t>kilotonne</t>
  </si>
  <si>
    <t>billion vehicle kilometers</t>
  </si>
  <si>
    <t>buses and coaches</t>
  </si>
  <si>
    <t>PM2.5 (Particulate Matter &lt; 2.5&amp;micro;m)</t>
  </si>
  <si>
    <t>PM1 (Particulate Matter &lt; 1&amp;micro;m)</t>
  </si>
  <si>
    <t>HGV (Rigid)</t>
  </si>
  <si>
    <t>PM0.1 (Particulate Matter &lt; 0.1&amp;micro;m)</t>
  </si>
  <si>
    <t>HGV (Articulated)</t>
  </si>
  <si>
    <t>Road transport - buses and coaches - rural driving</t>
  </si>
  <si>
    <t>Road transport - buses and coaches - urban driving</t>
  </si>
  <si>
    <t>Road transport - cars - motorway driving</t>
  </si>
  <si>
    <t>I propose to use the 4th power relationship.</t>
  </si>
  <si>
    <t xml:space="preserve"> </t>
  </si>
  <si>
    <t>Slightly overstates the wear due to motorbikes and cars, but captures the higher impact large vehciels well.</t>
  </si>
  <si>
    <t>This is of course a simplificiation; the era e many other factors involved than just vehicle weight.</t>
  </si>
  <si>
    <t>Road transport - cars - rural driving</t>
  </si>
  <si>
    <t>Road transport - cars - urban driving</t>
  </si>
  <si>
    <t>Road transport - LGVs - motorway driving</t>
  </si>
  <si>
    <t>Road transport - LGVs - rural driving</t>
  </si>
  <si>
    <t>Road transport - LGVs - urban driving</t>
  </si>
  <si>
    <t>Road transport - mopeds (&lt;50cc 2st) - urban driving</t>
  </si>
  <si>
    <t>Road transport - motorcycle (&gt;50cc  2st) - urban driving</t>
  </si>
  <si>
    <t>Road transport - motorcycle (&gt;50cc  4st) - motorway driving</t>
  </si>
  <si>
    <t>Road transport - motorcycle (&gt;50cc  4st) - rural driving</t>
  </si>
  <si>
    <t>Road transport - motorcycle (&gt;50cc  4st) - urban driving</t>
  </si>
  <si>
    <t>Road transport - HGV articulated - motorway driving</t>
  </si>
  <si>
    <t>Road transport - HGV articulated - rural driving</t>
  </si>
  <si>
    <t>Road transport - HGV articulated - urban driving</t>
  </si>
  <si>
    <t>Road transport - HGV rigid - motorway driving</t>
  </si>
  <si>
    <t>Road transport - HGV rigid - rural driving</t>
  </si>
  <si>
    <t>Road transport - HGV rigid - urban driving</t>
  </si>
  <si>
    <t>General link to data:</t>
  </si>
  <si>
    <t>Vehicles statistics - GOV.UK (www.gov.uk)</t>
  </si>
  <si>
    <t>Numbers in thousands</t>
  </si>
  <si>
    <t>by weight (GB)</t>
  </si>
  <si>
    <t>by weight (UK)</t>
  </si>
  <si>
    <t>Class</t>
  </si>
  <si>
    <t>Up to 7.5t</t>
  </si>
  <si>
    <t>Over 7.5t to 15t</t>
  </si>
  <si>
    <t>Over 15t to 18t</t>
  </si>
  <si>
    <t>Over 18t to 26t</t>
  </si>
  <si>
    <t>Over 26t</t>
  </si>
  <si>
    <t>Heavy Goods Vehicles (VEH05) - GOV.UK (www.gov.uk)</t>
  </si>
  <si>
    <t>doucment veh0521</t>
  </si>
  <si>
    <t>accessed 20/4/21</t>
  </si>
  <si>
    <t>Cars (VEH02) - GOV.UK (www.gov.uk)</t>
  </si>
  <si>
    <t>document veh0203</t>
  </si>
  <si>
    <t>Motorcycles (VEH03) - GOV.UK (www.gov.uk)</t>
  </si>
  <si>
    <t>documnet veh0303</t>
  </si>
  <si>
    <t>Light Goods Vehicles (VEH04) - GOV.UK (www.gov.uk)</t>
  </si>
  <si>
    <t>Document veh0403</t>
  </si>
  <si>
    <t>Bus and coach breakdown, GB</t>
  </si>
  <si>
    <t>Bus and coach breakdown, UK</t>
  </si>
  <si>
    <t>Single deck bus/ coach</t>
  </si>
  <si>
    <t>Double deck bus/ coach</t>
  </si>
  <si>
    <t>Minibus</t>
  </si>
  <si>
    <t>Other</t>
  </si>
  <si>
    <t>Buses and coaches</t>
  </si>
  <si>
    <t>Buses and coaches (VEH06) - GOV.UK (www.gov.uk)</t>
  </si>
  <si>
    <t>documnet veh0601</t>
  </si>
  <si>
    <t>Road traffic statistics (TRA) - GOV.UK (www.gov.uk)</t>
  </si>
  <si>
    <t>HGV data from tab 'Extraction of HGV annual dist'</t>
  </si>
  <si>
    <t>Document TRA0201</t>
  </si>
  <si>
    <t>Extraction of HGV annual dist</t>
  </si>
  <si>
    <t>All roads (billion vehicle kilometres)</t>
  </si>
  <si>
    <t>(All)</t>
  </si>
  <si>
    <t>Billion vehicle kilometres</t>
  </si>
  <si>
    <t>All motor vehicles</t>
  </si>
  <si>
    <t>document TRA3015</t>
  </si>
  <si>
    <t>Accessed 22/04/21</t>
  </si>
  <si>
    <t>Note data applies to Great Britain</t>
  </si>
  <si>
    <t>Heavy goods vehicle traffic by axle configuration and road category in Great Britain</t>
  </si>
  <si>
    <r>
      <t xml:space="preserve">Per cent / </t>
    </r>
    <r>
      <rPr>
        <sz val="10"/>
        <color rgb="FF000000"/>
        <rFont val="Arial"/>
        <family val="2"/>
      </rPr>
      <t>billion vehicle miles/kilometres</t>
    </r>
  </si>
  <si>
    <t>Rigid (number of axles)</t>
  </si>
  <si>
    <t>Articulated (number of axles)</t>
  </si>
  <si>
    <t>4 or more</t>
  </si>
  <si>
    <t>3 or 4</t>
  </si>
  <si>
    <t>6 or more</t>
  </si>
  <si>
    <t>Motorways</t>
  </si>
  <si>
    <t>Rural 'A' roads:</t>
  </si>
  <si>
    <t>Trunk</t>
  </si>
  <si>
    <t>Principal</t>
  </si>
  <si>
    <t>All rural 'A' roads</t>
  </si>
  <si>
    <t>Urban 'A' roads:</t>
  </si>
  <si>
    <t>All urban 'A' roads</t>
  </si>
  <si>
    <t>All major roads</t>
  </si>
  <si>
    <t>Minor roads:</t>
  </si>
  <si>
    <t>Minor rural roads</t>
  </si>
  <si>
    <t>Minor urban roads</t>
  </si>
  <si>
    <t>All minor roads</t>
  </si>
  <si>
    <t>All roads (billion vehicle miles)</t>
  </si>
  <si>
    <t>Weight min</t>
  </si>
  <si>
    <t>Weight max</t>
  </si>
  <si>
    <t>Road wear</t>
  </si>
  <si>
    <t>Weighted historical averages</t>
  </si>
  <si>
    <t>Gross weight.</t>
  </si>
  <si>
    <t>So a table …</t>
  </si>
  <si>
    <t>ICE weight</t>
  </si>
  <si>
    <t>BEV weight</t>
  </si>
  <si>
    <t>Axle numbers from UK Government. Guidance HGV maximum weights. In: Transport Df, editor. 2010.</t>
  </si>
  <si>
    <t>HGV maximum weights - GOV.UK (www.gov.uk)</t>
  </si>
  <si>
    <t>FCEV weight</t>
  </si>
  <si>
    <t>weight range</t>
  </si>
  <si>
    <t>Reference weight (ICE)</t>
  </si>
  <si>
    <t>Reference weight (BEV)</t>
  </si>
  <si>
    <t>Reference weight (FCEV)</t>
  </si>
  <si>
    <t>Reference weight (Like for Like)</t>
  </si>
  <si>
    <t>Impact of additional vehicle weight on road maintenance expenditure</t>
  </si>
  <si>
    <t>* Reference weight limited to 44,000kg by regulation; annual distance driven increased so that aggregate payload is the same.</t>
  </si>
  <si>
    <t>Total Standard axle - km per year, as proxy for damage factor</t>
  </si>
  <si>
    <t>Internal combustion engine vehicles</t>
  </si>
  <si>
    <t>Battery drivetrain weight formula</t>
  </si>
  <si>
    <t>Fuel cell drive train weight formula</t>
  </si>
  <si>
    <t>FCEV weight = 1.014 x ICE weight</t>
  </si>
  <si>
    <t>BEV weight = 1.0744 x ICE weight + 430.17</t>
  </si>
  <si>
    <t>FCEV at 1.015 x ICE</t>
  </si>
  <si>
    <t>million</t>
  </si>
  <si>
    <t>Class tonne-Mm</t>
  </si>
  <si>
    <t>Impact</t>
  </si>
  <si>
    <t>Total standard axle - km, as a proxy for road wear.</t>
  </si>
  <si>
    <t>L4L</t>
  </si>
  <si>
    <t>Overall</t>
  </si>
  <si>
    <t>3.5t to 7.5t</t>
  </si>
  <si>
    <t>28t to 32t</t>
  </si>
  <si>
    <t>32t to 38t</t>
  </si>
  <si>
    <t>Buses &amp;
 Coaches</t>
  </si>
  <si>
    <t>Motor-
cycles</t>
  </si>
  <si>
    <t>Light
Goods</t>
  </si>
  <si>
    <t>Heavy
Goods</t>
  </si>
  <si>
    <t>Road Wear Potential (ICE)</t>
  </si>
  <si>
    <t>Road Wear Potential (BEV)</t>
  </si>
  <si>
    <t>Road Wear Potential (FCEV)</t>
  </si>
  <si>
    <t>Road Wear Potential (Like for Like)</t>
  </si>
  <si>
    <t>What if the vehicles are unevenly loaded?</t>
  </si>
  <si>
    <t>Consider a scenario where one axle carries a percentage higher than the other/s, the other/s being equal.</t>
  </si>
  <si>
    <t>Load on heavy axle</t>
  </si>
  <si>
    <t>Higher load %</t>
  </si>
  <si>
    <t>Standard axles per heavy axle (ICE)</t>
  </si>
  <si>
    <t>Load on light axle/s (each)</t>
  </si>
  <si>
    <t>Average Reference weight / axle</t>
  </si>
  <si>
    <t>Standard axles per light axle (ICE)</t>
  </si>
  <si>
    <t>Road Wear Potential per vehicle (ICE)</t>
  </si>
  <si>
    <t>Class Road Wear Factor, as standard axle -km per year (ICE)</t>
  </si>
  <si>
    <t>Heavy Goods</t>
  </si>
  <si>
    <t>Axles</t>
  </si>
  <si>
    <t>over 40t</t>
  </si>
  <si>
    <t>rigid</t>
  </si>
  <si>
    <t>artic</t>
  </si>
  <si>
    <t>assumed config</t>
  </si>
  <si>
    <t>TRA 8902</t>
  </si>
  <si>
    <t>DVLA stats</t>
  </si>
  <si>
    <t>km per vehicle</t>
  </si>
  <si>
    <t>TRA 3105</t>
  </si>
  <si>
    <t>GB Aggregate bn veh-km / yr 2019</t>
  </si>
  <si>
    <t>Gross billion veh-km Great Britain 2019</t>
  </si>
  <si>
    <t>km/mi</t>
  </si>
  <si>
    <t>Data supplied in miles</t>
  </si>
  <si>
    <t>Gross billion veh-km Scotland 2019</t>
  </si>
  <si>
    <t>TRA 0106</t>
  </si>
  <si>
    <t xml:space="preserve"> (data given in miles, FFS)</t>
  </si>
  <si>
    <t>veh0104</t>
  </si>
  <si>
    <t>veh 0104</t>
  </si>
  <si>
    <t>Number of vehicles Great Britain end Q3 2019</t>
  </si>
  <si>
    <t>TRA 3105 / TRA 0106</t>
  </si>
  <si>
    <t>veh 0504</t>
  </si>
  <si>
    <t>Number of vehicles Scotland 2019</t>
  </si>
  <si>
    <t>Up to 7t</t>
  </si>
  <si>
    <t>7+ to 8t</t>
  </si>
  <si>
    <t>8+ to 18t</t>
  </si>
  <si>
    <t>18+ to 31t</t>
  </si>
  <si>
    <t>31+ to 41t</t>
  </si>
  <si>
    <t>41+</t>
  </si>
  <si>
    <t>GB HGVs by weight range, 2019</t>
  </si>
  <si>
    <t>VEH 0506</t>
  </si>
  <si>
    <t>**</t>
  </si>
  <si>
    <t>veh 0203</t>
  </si>
  <si>
    <t>veh0203</t>
  </si>
  <si>
    <t>Petrol (inc all hybrid)</t>
  </si>
  <si>
    <t>Percentage of cars by fuel type, GB</t>
  </si>
  <si>
    <t>Cars incl taxis</t>
  </si>
  <si>
    <t>https://www.transport.gov.scot/publication/scottish-transport-statistics-no-39-2020-edition/chapter-1-road-transport-vehicles</t>
  </si>
  <si>
    <t>UK gov stats show 36,800 vehicles, with no local breakdown by weight.  Scot Gov percentages applied to UK gov gross numbers for this column</t>
  </si>
  <si>
    <t>*  Scotish gov statistics show 28,100 HGVs, with percentages in each weight group.  Another group is "crown &amp; exempt vehicles" or similar, which may include extra vehicles of each type.</t>
  </si>
  <si>
    <t xml:space="preserve">** by tax class </t>
  </si>
  <si>
    <t>** by body type</t>
  </si>
  <si>
    <t>t. 1.2</t>
  </si>
  <si>
    <t>I thnaI thin</t>
  </si>
  <si>
    <t>Values used*</t>
  </si>
  <si>
    <t>Values used</t>
  </si>
  <si>
    <t>*(($P$2*$I23+$P$3)/P23)</t>
  </si>
  <si>
    <t>What if the average weight per vehcile is higher or lower than the mid point?</t>
  </si>
  <si>
    <t>This will depend on how heavily loaded a commercial vehicle is.</t>
  </si>
  <si>
    <t xml:space="preserve">So lets vary the reference weight by a factor: </t>
  </si>
  <si>
    <t>Case</t>
  </si>
  <si>
    <t>Scaling factor</t>
  </si>
  <si>
    <t>(If factor &gt; ~1.07, ICE reference weight starts to exceed maximum permitted sub-class weight)</t>
  </si>
  <si>
    <t>BEV RWF</t>
  </si>
  <si>
    <t>FCEV RWF</t>
  </si>
  <si>
    <t>L4L RWF</t>
  </si>
  <si>
    <t>(looked up in table below)</t>
  </si>
  <si>
    <t>7.5t to 18t</t>
  </si>
  <si>
    <t>18t to 26t</t>
  </si>
  <si>
    <t>38t-40t</t>
  </si>
  <si>
    <t>Articulated</t>
  </si>
  <si>
    <t>Rigid</t>
  </si>
  <si>
    <t>40t - 44t</t>
  </si>
  <si>
    <t>3.5t - 7.5t</t>
  </si>
  <si>
    <t>7.5t - 12t</t>
  </si>
  <si>
    <t>12t - 16t</t>
  </si>
  <si>
    <t>16t - 20t</t>
  </si>
  <si>
    <t>20t - 24t</t>
  </si>
  <si>
    <t>24t - 28t</t>
  </si>
  <si>
    <t>28t - 32t</t>
  </si>
  <si>
    <t>32t - 38t</t>
  </si>
  <si>
    <t>38t - 40t</t>
  </si>
  <si>
    <t>Two axle rigid</t>
  </si>
  <si>
    <t>Three axle rigid</t>
  </si>
  <si>
    <t>Four axle rigid</t>
  </si>
  <si>
    <t>Four axle articulated</t>
  </si>
  <si>
    <t>Five axle articulated</t>
  </si>
  <si>
    <t>Six axle articulated</t>
  </si>
  <si>
    <t>Goods**</t>
  </si>
  <si>
    <t>** Reference weight limited by regulation; annual distance driven increased so that aggregate payload is the same.</t>
  </si>
  <si>
    <t>Standard axles per heavy axle (BEV)</t>
  </si>
  <si>
    <t>Standard axles per light axle (BEV)</t>
  </si>
  <si>
    <t>Class Road Wear Factor, as standard axle -km per year (BEV)</t>
  </si>
  <si>
    <t>Road Wear Potential per vehicle (BEV)</t>
  </si>
  <si>
    <t>Standard axles per heavy axle (FCEV)</t>
  </si>
  <si>
    <t>Standard axles per light axle (FCEV)</t>
  </si>
  <si>
    <t>Class Road Wear Factor, as standard axle -km per year (FCEV)</t>
  </si>
  <si>
    <t>Road Wear Potential per vehicle (FCEV)</t>
  </si>
  <si>
    <t>Standard axles per heavy axle (L4L)</t>
  </si>
  <si>
    <t>Standard axles per light axle (L4L)</t>
  </si>
  <si>
    <t>Class Road Wear Factor, as standard axle -km per year (L4L)</t>
  </si>
  <si>
    <t>Road Wear Potential per vehicle (L4L)</t>
  </si>
  <si>
    <t>Checks …</t>
  </si>
  <si>
    <t>At evens</t>
  </si>
  <si>
    <t>At 20%</t>
  </si>
  <si>
    <t>At evens cf main table</t>
  </si>
  <si>
    <t>difference</t>
  </si>
  <si>
    <t>Check RWP against Main Table for factor = 1</t>
  </si>
  <si>
    <t>* The tax class is up to 20t and 28t.  However, vehciles over 18t (ICE and 19t (BEV), or 26t (ICE) and 27t(BEV), are required to have 3 and 4  axles respectively.</t>
  </si>
  <si>
    <t>If the maximum allowable weight for the number of axles is exceeded, the weight is kept at the maximum for the axle count and the distance travelled is increased to provide the same gross carrying capacity.</t>
  </si>
  <si>
    <t>(This is the default method used in the main table)</t>
  </si>
  <si>
    <t>What if we group vehicles by axle number instead of tax class?</t>
  </si>
  <si>
    <t>Figure 1</t>
  </si>
  <si>
    <t>Figure 2</t>
  </si>
  <si>
    <t>Figure 3</t>
  </si>
  <si>
    <t>Figure 4</t>
  </si>
  <si>
    <t>Increase multiple:</t>
  </si>
  <si>
    <t>&lt;0.1</t>
  </si>
  <si>
    <t>neg.</t>
  </si>
  <si>
    <t>Chassis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</si>
</sst>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8">
    <numFmt numFmtId="43" formatCode="_-* #,##0.00_-;\-* #,##0.00_-;_-* &quot;-&quot;??_-;_-@_-"/>
    <numFmt numFmtId="164" formatCode="_-* #,##0_-;\-* #,##0_-;_-* &quot;-&quot;??_-;_-@_-"/>
    <numFmt numFmtId="165" formatCode="[&gt;=0.05]#,##0.0;[=0]0.0;&quot;~&quot;"/>
    <numFmt numFmtId="166" formatCode="[&gt;=0.05]#,##0.00;[=0]0.00;&quot;~&quot;"/>
    <numFmt numFmtId="167" formatCode="0.0%"/>
    <numFmt numFmtId="168" formatCode="#,##0.0"/>
    <numFmt numFmtId="169" formatCode="_-* #,##0.000_-;\-* #,##0.000_-;_-* &quot;-&quot;??_-;_-@_-"/>
    <numFmt numFmtId="170" formatCode="_-* #,##0.0000_-;\-* #,##0.0000_-;_-* &quot;-&quot;??_-;_-@_-"/>
    <numFmt numFmtId="171" formatCode="_-* #,##0.0_-;\-* #,##0.0_-;_-* &quot;-&quot;??_-;_-@_-"/>
    <numFmt numFmtId="172" formatCode="0.00000"/>
    <numFmt numFmtId="173" formatCode="0.000"/>
    <numFmt numFmtId="174" formatCode="[&gt;=0.05]#,##0;[=0]0;&quot;~&quot;"/>
    <numFmt numFmtId="175" formatCode="_-* #,##0.00000_-;\-* #,##0.00000_-;_-* &quot;-&quot;??_-;_-@_-"/>
    <numFmt numFmtId="176" formatCode="_-* #,##0.00000000_-;\-* #,##0.00000000_-;_-* &quot;-&quot;??_-;_-@_-"/>
    <numFmt numFmtId="177" formatCode="0&quot;*&quot;"/>
    <numFmt numFmtId="178" formatCode="#,##0&quot;*&quot;"/>
    <numFmt numFmtId="179" formatCode="0.0"/>
    <numFmt numFmtId="180" formatCode="&quot; &quot;General"/>
    <numFmt numFmtId="181" formatCode="[&gt;=0.05]#,##0.0;&quot;-&quot;"/>
    <numFmt numFmtId="182" formatCode="[&gt;=0.05]#,##0.0;[=0]0.0,;&quot;-&quot;"/>
    <numFmt numFmtId="183" formatCode="&quot; &quot;#,##0.00&quot; &quot;;&quot;-&quot;#,##0.00&quot; &quot;;&quot; -&quot;00&quot; &quot;;&quot; &quot;@&quot; &quot;"/>
    <numFmt numFmtId="184" formatCode="[&gt;0.5]#,##0;[&lt;-0.5]&quot;-&quot;#,##0;&quot;-&quot;"/>
    <numFmt numFmtId="185" formatCode="0&quot;**&quot;"/>
    <numFmt numFmtId="186" formatCode="0.000000000"/>
    <numFmt numFmtId="187" formatCode="#,##0.000000"/>
    <numFmt numFmtId="188" formatCode="#,##0.00000"/>
    <numFmt numFmtId="189" formatCode="#,##0.0000"/>
    <numFmt numFmtId="190" formatCode="#,##0.00000000"/>
    <numFmt numFmtId="191" formatCode="#,##0.0000000000"/>
    <numFmt numFmtId="192" formatCode="#,##0.000"/>
    <numFmt numFmtId="193" formatCode="0.0000"/>
    <numFmt numFmtId="194" formatCode="0.0000E+00"/>
    <numFmt numFmtId="195" formatCode="0.00000000"/>
    <numFmt numFmtId="196" formatCode="_-* #,##0.000000000_-;\-* #,##0.000000000_-;_-* &quot;-&quot;??_-;_-@_-"/>
    <numFmt numFmtId="197" formatCode="_-* #,##0.000000_-;\-* #,##0.000000_-;_-* &quot;-&quot;??_-;_-@_-"/>
    <numFmt numFmtId="198" formatCode="_-* #,##0.0000000_-;\-* #,##0.0000000_-;_-* &quot;-&quot;??_-;_-@_-"/>
    <numFmt numFmtId="199" formatCode="#,##0.000000000"/>
    <numFmt numFmtId="200" formatCode="#,##0,,"/>
  </numFmts>
  <fonts count="3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name val="Arial"/>
      <family val="2"/>
    </font>
    <font>
      <sz val="10"/>
      <name val="Arial"/>
      <family val="2"/>
    </font>
    <font>
      <sz val="11"/>
      <name val="Calibri"/>
      <family val="2"/>
      <scheme val="minor"/>
    </font>
    <font>
      <b/>
      <sz val="14"/>
      <color theme="1"/>
      <name val="Calibri"/>
      <family val="2"/>
      <scheme val="minor"/>
    </font>
    <font>
      <u/>
      <sz val="10"/>
      <color rgb="FF0563C1"/>
      <name val="Arial"/>
      <family val="2"/>
    </font>
    <font>
      <u/>
      <sz val="8"/>
      <color rgb="FF0000FF"/>
      <name val="Times New Roman"/>
      <family val="1"/>
    </font>
    <font>
      <u/>
      <sz val="10"/>
      <color rgb="FF0000FF"/>
      <name val="Arial"/>
      <family val="2"/>
    </font>
    <font>
      <sz val="10"/>
      <color rgb="FF000000"/>
      <name val="Verdana"/>
      <family val="2"/>
    </font>
    <font>
      <sz val="10"/>
      <color rgb="FF000000"/>
      <name val="Arial"/>
      <family val="2"/>
    </font>
    <font>
      <sz val="10"/>
      <color rgb="FF000000"/>
      <name val="Tms Rmn"/>
    </font>
    <font>
      <b/>
      <sz val="11"/>
      <color rgb="FF000000"/>
      <name val="Arial"/>
      <family val="2"/>
    </font>
    <font>
      <sz val="11"/>
      <color rgb="FF000000"/>
      <name val="Arial"/>
      <family val="2"/>
    </font>
    <font>
      <sz val="12"/>
      <color rgb="FF000000"/>
      <name val="Helv"/>
    </font>
    <font>
      <b/>
      <sz val="10"/>
      <color rgb="FF000000"/>
      <name val="Arial"/>
      <family val="2"/>
    </font>
    <font>
      <sz val="10"/>
      <color rgb="FF000000"/>
      <name val="Times New Roman"/>
      <family val="1"/>
    </font>
    <font>
      <b/>
      <sz val="12"/>
      <color rgb="FF008080"/>
      <name val="Arial"/>
      <family val="2"/>
    </font>
    <font>
      <sz val="14"/>
      <color rgb="FF000000"/>
      <name val="Arial"/>
      <family val="2"/>
    </font>
    <font>
      <sz val="12"/>
      <color rgb="FF000000"/>
      <name val="Arial"/>
      <family val="2"/>
    </font>
    <font>
      <sz val="8"/>
      <color rgb="FF000000"/>
      <name val="Arial"/>
      <family val="2"/>
    </font>
    <font>
      <i/>
      <sz val="10"/>
      <color rgb="FF000000"/>
      <name val="Arial"/>
      <family val="2"/>
    </font>
    <font>
      <vertAlign val="superscript"/>
      <sz val="10"/>
      <color rgb="FF000000"/>
      <name val="Arial"/>
      <family val="2"/>
    </font>
    <font>
      <b/>
      <i/>
      <sz val="10"/>
      <color rgb="FF000000"/>
      <name val="Arial"/>
      <family val="2"/>
    </font>
    <font>
      <b/>
      <sz val="22"/>
      <color theme="1"/>
      <name val="Calibri"/>
      <family val="2"/>
      <scheme val="minor"/>
    </font>
    <font>
      <b/>
      <sz val="14"/>
      <color rgb="FFFF0000"/>
      <name val="Calibri"/>
      <family val="2"/>
      <scheme val="minor"/>
    </font>
    <font>
      <b/>
      <sz val="8"/>
      <color theme="1"/>
      <name val="Calibri"/>
      <family val="2"/>
      <scheme val="minor"/>
    </font>
    <font>
      <sz val="8"/>
      <color theme="1"/>
      <name val="Calibri"/>
      <family val="2"/>
      <scheme val="minor"/>
    </font>
    <font>
      <sz val="8"/>
      <name val="Calibri"/>
      <family val="2"/>
      <scheme val="minor"/>
    </font>
    <font>
      <sz val="8"/>
      <name val="Arial"/>
      <family val="2"/>
    </font>
    <font>
      <b/>
      <sz val="8"/>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rgb="FFFFFFFF"/>
        <bgColor rgb="FFFFFFFF"/>
      </patternFill>
    </fill>
    <fill>
      <patternFill patternType="solid">
        <fgColor rgb="FFFFFF00"/>
        <bgColor indexed="64"/>
      </patternFill>
    </fill>
    <fill>
      <patternFill patternType="solid">
        <fgColor rgb="FFFFC000"/>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14999847407452621"/>
        <bgColor indexed="64"/>
      </patternFill>
    </fill>
  </fills>
  <borders count="25">
    <border>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rgb="FF000000"/>
      </bottom>
      <diagonal/>
    </border>
    <border>
      <left/>
      <right/>
      <top style="medium">
        <color rgb="FF000000"/>
      </top>
      <bottom/>
      <diagonal/>
    </border>
    <border>
      <left/>
      <right/>
      <top style="medium">
        <color rgb="FF000000"/>
      </top>
      <bottom style="thin">
        <color rgb="FF000000"/>
      </bottom>
      <diagonal/>
    </border>
    <border>
      <left style="thick">
        <color auto="1"/>
      </left>
      <right style="thick">
        <color auto="1"/>
      </right>
      <top style="thick">
        <color auto="1"/>
      </top>
      <bottom style="thick">
        <color auto="1"/>
      </bottom>
      <diagonal/>
    </border>
  </borders>
  <cellStyleXfs count="16">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5" fillId="0" borderId="0">
      <alignment vertical="top"/>
    </xf>
    <xf numFmtId="9" fontId="1" fillId="0" borderId="0" applyFont="0" applyFill="0" applyBorder="0" applyAlignment="0" applyProtection="0"/>
    <xf numFmtId="0" fontId="9" fillId="0" borderId="0" applyNumberFormat="0" applyFill="0" applyBorder="0" applyAlignment="0" applyProtection="0"/>
    <xf numFmtId="0" fontId="12" fillId="0" borderId="0" applyNumberFormat="0" applyFont="0" applyBorder="0" applyProtection="0"/>
    <xf numFmtId="180" fontId="13" fillId="0" borderId="0" applyBorder="0" applyProtection="0"/>
    <xf numFmtId="180" fontId="16" fillId="0" borderId="0" applyBorder="0" applyProtection="0"/>
    <xf numFmtId="180" fontId="16" fillId="0" borderId="0" applyBorder="0" applyProtection="0"/>
    <xf numFmtId="183" fontId="12" fillId="0" borderId="0" applyFont="0" applyFill="0" applyBorder="0" applyAlignment="0" applyProtection="0"/>
    <xf numFmtId="0" fontId="12" fillId="0" borderId="0"/>
    <xf numFmtId="180" fontId="16" fillId="0" borderId="0" applyBorder="0" applyProtection="0"/>
    <xf numFmtId="0" fontId="12" fillId="0" borderId="0" applyNumberFormat="0" applyBorder="0" applyProtection="0"/>
    <xf numFmtId="168" fontId="18" fillId="0" borderId="0" applyBorder="0" applyProtection="0"/>
    <xf numFmtId="184" fontId="20" fillId="0" borderId="0" applyBorder="0" applyProtection="0">
      <alignment horizontal="left" vertical="center"/>
    </xf>
  </cellStyleXfs>
  <cellXfs count="678">
    <xf numFmtId="0" fontId="0" fillId="0" borderId="0" xfId="0"/>
    <xf numFmtId="0" fontId="3" fillId="0" borderId="0" xfId="2"/>
    <xf numFmtId="164" fontId="0" fillId="0" borderId="0" xfId="1" applyNumberFormat="1" applyFont="1"/>
    <xf numFmtId="0" fontId="0" fillId="0" borderId="0" xfId="0" applyAlignment="1">
      <alignment wrapText="1"/>
    </xf>
    <xf numFmtId="0" fontId="3" fillId="0" borderId="0" xfId="2" applyAlignment="1">
      <alignment wrapText="1"/>
    </xf>
    <xf numFmtId="0" fontId="4" fillId="0" borderId="0" xfId="0" applyFont="1" applyBorder="1" applyAlignment="1"/>
    <xf numFmtId="164" fontId="0" fillId="0" borderId="0" xfId="0" applyNumberFormat="1"/>
    <xf numFmtId="0" fontId="0" fillId="0" borderId="0" xfId="0" applyAlignment="1">
      <alignment horizontal="left"/>
    </xf>
    <xf numFmtId="0" fontId="0" fillId="0" borderId="0" xfId="0" applyAlignment="1"/>
    <xf numFmtId="0" fontId="2" fillId="0" borderId="0" xfId="0" applyFont="1" applyAlignment="1"/>
    <xf numFmtId="165" fontId="6" fillId="0" borderId="0" xfId="3" applyNumberFormat="1" applyFont="1" applyFill="1" applyBorder="1" applyAlignment="1">
      <alignment horizontal="right"/>
    </xf>
    <xf numFmtId="0" fontId="0" fillId="0" borderId="0" xfId="0" applyAlignment="1">
      <alignment horizontal="center"/>
    </xf>
    <xf numFmtId="0" fontId="7" fillId="2" borderId="1" xfId="0" applyFont="1" applyFill="1" applyBorder="1"/>
    <xf numFmtId="0" fontId="0" fillId="2" borderId="2" xfId="0" applyFill="1" applyBorder="1"/>
    <xf numFmtId="164" fontId="0" fillId="2" borderId="2" xfId="0" applyNumberFormat="1" applyFill="1" applyBorder="1"/>
    <xf numFmtId="9" fontId="0" fillId="2" borderId="2" xfId="4" applyFont="1" applyFill="1" applyBorder="1"/>
    <xf numFmtId="0" fontId="0" fillId="2" borderId="3" xfId="0" applyFill="1" applyBorder="1"/>
    <xf numFmtId="43" fontId="0" fillId="0" borderId="0" xfId="0" applyNumberFormat="1"/>
    <xf numFmtId="0" fontId="2" fillId="2" borderId="4" xfId="0" applyFont="1" applyFill="1" applyBorder="1"/>
    <xf numFmtId="0" fontId="0" fillId="2" borderId="5" xfId="0" applyFill="1" applyBorder="1"/>
    <xf numFmtId="164" fontId="0" fillId="2" borderId="5" xfId="0" applyNumberFormat="1" applyFill="1" applyBorder="1"/>
    <xf numFmtId="9" fontId="0" fillId="2" borderId="5" xfId="4" applyFont="1" applyFill="1" applyBorder="1"/>
    <xf numFmtId="0" fontId="0" fillId="2" borderId="6" xfId="0" applyFill="1" applyBorder="1"/>
    <xf numFmtId="9" fontId="0" fillId="0" borderId="0" xfId="4" applyFont="1"/>
    <xf numFmtId="0" fontId="2" fillId="0" borderId="0" xfId="0" applyFont="1"/>
    <xf numFmtId="10" fontId="0" fillId="0" borderId="0" xfId="4" applyNumberFormat="1" applyFont="1"/>
    <xf numFmtId="167" fontId="0" fillId="0" borderId="0" xfId="4" applyNumberFormat="1" applyFont="1"/>
    <xf numFmtId="0" fontId="2" fillId="0" borderId="0" xfId="0" applyFont="1" applyAlignment="1">
      <alignment horizontal="left" wrapText="1"/>
    </xf>
    <xf numFmtId="0" fontId="0" fillId="0" borderId="7" xfId="0" applyBorder="1"/>
    <xf numFmtId="0" fontId="0" fillId="0" borderId="8" xfId="0" applyBorder="1"/>
    <xf numFmtId="0" fontId="0" fillId="0" borderId="9" xfId="0" applyBorder="1"/>
    <xf numFmtId="164" fontId="0" fillId="0" borderId="7" xfId="1" applyNumberFormat="1" applyFont="1" applyBorder="1"/>
    <xf numFmtId="164" fontId="0" fillId="0" borderId="8" xfId="1" applyNumberFormat="1" applyFont="1" applyBorder="1"/>
    <xf numFmtId="164" fontId="0" fillId="2" borderId="9" xfId="1" applyNumberFormat="1" applyFont="1" applyFill="1" applyBorder="1"/>
    <xf numFmtId="3" fontId="0" fillId="0" borderId="8" xfId="1" applyNumberFormat="1" applyFont="1" applyBorder="1" applyAlignment="1">
      <alignment horizontal="center"/>
    </xf>
    <xf numFmtId="0" fontId="0" fillId="0" borderId="10" xfId="0" applyBorder="1"/>
    <xf numFmtId="164" fontId="0" fillId="0" borderId="10" xfId="1" applyNumberFormat="1" applyFont="1" applyBorder="1"/>
    <xf numFmtId="3" fontId="0" fillId="2" borderId="0" xfId="1" applyNumberFormat="1" applyFont="1" applyFill="1" applyAlignment="1">
      <alignment horizontal="center"/>
    </xf>
    <xf numFmtId="164" fontId="0" fillId="2" borderId="0" xfId="1" applyNumberFormat="1" applyFont="1" applyFill="1" applyAlignment="1">
      <alignment horizontal="center"/>
    </xf>
    <xf numFmtId="164" fontId="0" fillId="2" borderId="0" xfId="1" applyNumberFormat="1" applyFont="1" applyFill="1" applyBorder="1" applyAlignment="1">
      <alignment horizontal="center"/>
    </xf>
    <xf numFmtId="164" fontId="0" fillId="2" borderId="11" xfId="1" applyNumberFormat="1" applyFont="1" applyFill="1" applyBorder="1"/>
    <xf numFmtId="3" fontId="0" fillId="0" borderId="0" xfId="1" applyNumberFormat="1" applyFont="1" applyBorder="1" applyAlignment="1">
      <alignment horizontal="center"/>
    </xf>
    <xf numFmtId="3" fontId="0" fillId="0" borderId="0" xfId="1" applyNumberFormat="1" applyFont="1" applyAlignment="1">
      <alignment horizontal="center"/>
    </xf>
    <xf numFmtId="164" fontId="0" fillId="0" borderId="0" xfId="1" applyNumberFormat="1" applyFont="1" applyAlignment="1">
      <alignment horizontal="center"/>
    </xf>
    <xf numFmtId="164" fontId="0" fillId="0" borderId="0" xfId="1" applyNumberFormat="1" applyFont="1" applyBorder="1"/>
    <xf numFmtId="164" fontId="0" fillId="0" borderId="11" xfId="1" applyNumberFormat="1" applyFont="1" applyBorder="1"/>
    <xf numFmtId="0" fontId="0" fillId="0" borderId="12" xfId="0" applyBorder="1"/>
    <xf numFmtId="0" fontId="0" fillId="0" borderId="13" xfId="0" applyBorder="1"/>
    <xf numFmtId="164" fontId="0" fillId="0" borderId="12" xfId="1" applyNumberFormat="1" applyFont="1" applyBorder="1"/>
    <xf numFmtId="3" fontId="0" fillId="0" borderId="13" xfId="1" applyNumberFormat="1" applyFont="1" applyBorder="1" applyAlignment="1">
      <alignment horizontal="center"/>
    </xf>
    <xf numFmtId="164" fontId="0" fillId="0" borderId="13" xfId="1" applyNumberFormat="1" applyFont="1" applyBorder="1" applyAlignment="1">
      <alignment horizontal="center"/>
    </xf>
    <xf numFmtId="164" fontId="0" fillId="0" borderId="13" xfId="1" applyNumberFormat="1" applyFont="1" applyBorder="1"/>
    <xf numFmtId="164" fontId="0" fillId="0" borderId="14" xfId="1" applyNumberFormat="1" applyFont="1" applyBorder="1"/>
    <xf numFmtId="43" fontId="0" fillId="2" borderId="7" xfId="1" applyFont="1" applyFill="1" applyBorder="1"/>
    <xf numFmtId="164" fontId="0" fillId="2" borderId="8" xfId="1" applyNumberFormat="1" applyFont="1" applyFill="1" applyBorder="1"/>
    <xf numFmtId="43" fontId="0" fillId="2" borderId="10" xfId="1" applyFont="1" applyFill="1" applyBorder="1"/>
    <xf numFmtId="164" fontId="0" fillId="2" borderId="0" xfId="1" applyNumberFormat="1" applyFont="1" applyFill="1" applyBorder="1"/>
    <xf numFmtId="0" fontId="0" fillId="0" borderId="0" xfId="0" applyBorder="1"/>
    <xf numFmtId="164" fontId="0" fillId="2" borderId="10" xfId="1" applyNumberFormat="1" applyFont="1" applyFill="1" applyBorder="1"/>
    <xf numFmtId="43" fontId="0" fillId="2" borderId="0" xfId="1" applyFont="1" applyFill="1" applyBorder="1"/>
    <xf numFmtId="0" fontId="0" fillId="0" borderId="0" xfId="0" applyBorder="1" applyAlignment="1">
      <alignment wrapText="1"/>
    </xf>
    <xf numFmtId="169" fontId="0" fillId="0" borderId="10" xfId="1" applyNumberFormat="1" applyFont="1" applyFill="1" applyBorder="1"/>
    <xf numFmtId="169" fontId="0" fillId="0" borderId="0" xfId="1" applyNumberFormat="1" applyFont="1" applyFill="1" applyBorder="1"/>
    <xf numFmtId="43" fontId="0" fillId="0" borderId="0" xfId="1" applyNumberFormat="1" applyFont="1" applyFill="1" applyBorder="1"/>
    <xf numFmtId="0" fontId="0" fillId="0" borderId="12" xfId="0" applyFill="1" applyBorder="1"/>
    <xf numFmtId="0" fontId="0" fillId="0" borderId="13" xfId="0" applyFill="1" applyBorder="1"/>
    <xf numFmtId="0" fontId="10" fillId="3" borderId="0" xfId="5" applyFont="1" applyFill="1" applyAlignment="1"/>
    <xf numFmtId="0" fontId="0" fillId="0" borderId="11" xfId="0" applyBorder="1"/>
    <xf numFmtId="164" fontId="0" fillId="2" borderId="0" xfId="1" applyNumberFormat="1" applyFont="1" applyFill="1"/>
    <xf numFmtId="164" fontId="0" fillId="0" borderId="0" xfId="0" quotePrefix="1" applyNumberFormat="1"/>
    <xf numFmtId="164" fontId="0" fillId="2" borderId="13" xfId="1" applyNumberFormat="1" applyFont="1" applyFill="1" applyBorder="1"/>
    <xf numFmtId="164" fontId="0" fillId="2" borderId="0" xfId="1" quotePrefix="1" applyNumberFormat="1" applyFont="1" applyFill="1"/>
    <xf numFmtId="0" fontId="0" fillId="0" borderId="10" xfId="0" applyBorder="1" applyAlignment="1">
      <alignment wrapText="1"/>
    </xf>
    <xf numFmtId="43" fontId="0" fillId="0" borderId="0" xfId="0" quotePrefix="1" applyNumberFormat="1"/>
    <xf numFmtId="0" fontId="0" fillId="0" borderId="14" xfId="0" applyBorder="1"/>
    <xf numFmtId="43" fontId="0" fillId="2" borderId="12" xfId="1" applyFont="1" applyFill="1" applyBorder="1"/>
    <xf numFmtId="43" fontId="0" fillId="2" borderId="13" xfId="1" applyNumberFormat="1" applyFont="1" applyFill="1" applyBorder="1"/>
    <xf numFmtId="9" fontId="0" fillId="0" borderId="0" xfId="0" applyNumberFormat="1"/>
    <xf numFmtId="43" fontId="0" fillId="0" borderId="11" xfId="0" applyNumberFormat="1" applyBorder="1"/>
    <xf numFmtId="170" fontId="0" fillId="0" borderId="0" xfId="1" applyNumberFormat="1" applyFont="1"/>
    <xf numFmtId="171" fontId="0" fillId="0" borderId="0" xfId="0" applyNumberFormat="1"/>
    <xf numFmtId="171" fontId="0" fillId="0" borderId="11" xfId="0" applyNumberFormat="1" applyBorder="1"/>
    <xf numFmtId="164" fontId="0" fillId="0" borderId="11" xfId="0" applyNumberFormat="1" applyBorder="1"/>
    <xf numFmtId="0" fontId="11" fillId="0" borderId="10" xfId="0" applyFont="1" applyBorder="1"/>
    <xf numFmtId="0" fontId="11" fillId="0" borderId="12" xfId="0" applyFont="1" applyBorder="1"/>
    <xf numFmtId="43" fontId="0" fillId="0" borderId="13" xfId="0" applyNumberFormat="1" applyBorder="1"/>
    <xf numFmtId="43" fontId="0" fillId="0" borderId="14" xfId="0" applyNumberFormat="1" applyBorder="1"/>
    <xf numFmtId="0" fontId="0" fillId="0" borderId="15" xfId="0" applyBorder="1"/>
    <xf numFmtId="0" fontId="0" fillId="0" borderId="16" xfId="0" applyBorder="1"/>
    <xf numFmtId="0" fontId="0" fillId="0" borderId="17" xfId="0" applyBorder="1"/>
    <xf numFmtId="43" fontId="0" fillId="0" borderId="16" xfId="0" applyNumberFormat="1" applyBorder="1"/>
    <xf numFmtId="43" fontId="0" fillId="0" borderId="17" xfId="0" applyNumberFormat="1" applyBorder="1"/>
    <xf numFmtId="3" fontId="0" fillId="0" borderId="13" xfId="0" applyNumberFormat="1" applyBorder="1"/>
    <xf numFmtId="0" fontId="11" fillId="0" borderId="7" xfId="0" applyFont="1" applyBorder="1"/>
    <xf numFmtId="0" fontId="0" fillId="0" borderId="8" xfId="0" applyFill="1" applyBorder="1"/>
    <xf numFmtId="0" fontId="0" fillId="0" borderId="8" xfId="0" applyBorder="1" applyAlignment="1">
      <alignment horizontal="center"/>
    </xf>
    <xf numFmtId="0" fontId="0" fillId="0" borderId="13" xfId="0" applyBorder="1" applyAlignment="1">
      <alignment horizontal="center"/>
    </xf>
    <xf numFmtId="1" fontId="0" fillId="0" borderId="8" xfId="0" applyNumberFormat="1" applyBorder="1" applyAlignment="1">
      <alignment horizontal="center"/>
    </xf>
    <xf numFmtId="1" fontId="0" fillId="0" borderId="13" xfId="0" applyNumberFormat="1" applyBorder="1" applyAlignment="1">
      <alignment horizontal="center"/>
    </xf>
    <xf numFmtId="0" fontId="11" fillId="0" borderId="15" xfId="0" applyFont="1" applyBorder="1" applyAlignment="1">
      <alignment wrapText="1"/>
    </xf>
    <xf numFmtId="0" fontId="0" fillId="0" borderId="16" xfId="0" applyBorder="1" applyAlignment="1">
      <alignment horizontal="center"/>
    </xf>
    <xf numFmtId="1" fontId="0" fillId="0" borderId="16" xfId="0" applyNumberFormat="1" applyBorder="1" applyAlignment="1">
      <alignment horizontal="center"/>
    </xf>
    <xf numFmtId="0" fontId="0" fillId="0" borderId="17" xfId="0" applyBorder="1" applyAlignment="1">
      <alignment horizontal="center"/>
    </xf>
    <xf numFmtId="0" fontId="11" fillId="0" borderId="0" xfId="0" applyFont="1" applyBorder="1"/>
    <xf numFmtId="0" fontId="11" fillId="0" borderId="18" xfId="0" applyFont="1" applyBorder="1"/>
    <xf numFmtId="173" fontId="11" fillId="0" borderId="19" xfId="0" applyNumberFormat="1" applyFont="1" applyBorder="1" applyAlignment="1">
      <alignment horizontal="left"/>
    </xf>
    <xf numFmtId="43" fontId="0" fillId="2" borderId="0" xfId="1" applyNumberFormat="1" applyFont="1" applyFill="1" applyBorder="1"/>
    <xf numFmtId="43" fontId="0" fillId="0" borderId="0" xfId="1" applyFont="1" applyBorder="1"/>
    <xf numFmtId="43" fontId="0" fillId="0" borderId="0" xfId="0" applyNumberFormat="1" applyBorder="1" applyAlignment="1">
      <alignment wrapText="1"/>
    </xf>
    <xf numFmtId="43" fontId="0" fillId="0" borderId="11" xfId="0" applyNumberFormat="1" applyBorder="1" applyAlignment="1">
      <alignment wrapText="1"/>
    </xf>
    <xf numFmtId="43" fontId="0" fillId="2" borderId="14" xfId="1" applyFont="1" applyFill="1" applyBorder="1"/>
    <xf numFmtId="172" fontId="6" fillId="0" borderId="0" xfId="3" applyNumberFormat="1" applyFont="1" applyFill="1" applyBorder="1" applyAlignment="1">
      <alignment horizontal="right"/>
    </xf>
    <xf numFmtId="0" fontId="0" fillId="0" borderId="0" xfId="0" applyFont="1"/>
    <xf numFmtId="0" fontId="0" fillId="0" borderId="0" xfId="0" applyFont="1" applyAlignment="1">
      <alignment wrapText="1"/>
    </xf>
    <xf numFmtId="174" fontId="6" fillId="0" borderId="0" xfId="3" applyNumberFormat="1" applyFont="1" applyFill="1" applyBorder="1" applyAlignment="1">
      <alignment horizontal="right"/>
    </xf>
    <xf numFmtId="0" fontId="0" fillId="0" borderId="0" xfId="0" quotePrefix="1" applyFont="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11" xfId="0" applyFont="1" applyBorder="1"/>
    <xf numFmtId="0" fontId="0" fillId="0" borderId="11" xfId="0" applyFont="1" applyBorder="1" applyAlignment="1">
      <alignment wrapText="1"/>
    </xf>
    <xf numFmtId="164" fontId="0" fillId="0" borderId="0" xfId="1" applyNumberFormat="1" applyFont="1" applyBorder="1" applyAlignment="1">
      <alignment vertical="center" wrapText="1"/>
    </xf>
    <xf numFmtId="174" fontId="6" fillId="0" borderId="11" xfId="3" applyNumberFormat="1" applyFont="1" applyFill="1" applyBorder="1" applyAlignment="1">
      <alignment horizontal="right"/>
    </xf>
    <xf numFmtId="164" fontId="0" fillId="0" borderId="10" xfId="0" applyNumberFormat="1" applyBorder="1"/>
    <xf numFmtId="164" fontId="0" fillId="0" borderId="0" xfId="0" applyNumberFormat="1" applyBorder="1"/>
    <xf numFmtId="0" fontId="2" fillId="0" borderId="10" xfId="0" applyFont="1" applyBorder="1" applyAlignment="1">
      <alignment horizontal="left" wrapText="1"/>
    </xf>
    <xf numFmtId="164" fontId="0" fillId="0" borderId="0" xfId="1" applyNumberFormat="1" applyFont="1" applyBorder="1" applyAlignment="1">
      <alignment wrapText="1"/>
    </xf>
    <xf numFmtId="164" fontId="0" fillId="0" borderId="11" xfId="1" applyNumberFormat="1" applyFont="1" applyBorder="1" applyAlignment="1">
      <alignment wrapText="1"/>
    </xf>
    <xf numFmtId="0" fontId="0" fillId="0" borderId="0" xfId="0" applyFill="1" applyBorder="1"/>
    <xf numFmtId="164" fontId="0" fillId="0" borderId="11" xfId="1" applyNumberFormat="1" applyFont="1" applyBorder="1" applyAlignment="1">
      <alignment vertical="center" wrapText="1"/>
    </xf>
    <xf numFmtId="0" fontId="0" fillId="0" borderId="13" xfId="0" applyBorder="1" applyAlignment="1">
      <alignment wrapText="1"/>
    </xf>
    <xf numFmtId="0" fontId="0" fillId="0" borderId="14" xfId="0" applyBorder="1" applyAlignment="1">
      <alignment wrapText="1"/>
    </xf>
    <xf numFmtId="0" fontId="0" fillId="0" borderId="0" xfId="0" applyFont="1" applyBorder="1"/>
    <xf numFmtId="0" fontId="0" fillId="0" borderId="0" xfId="0" applyFont="1" applyBorder="1" applyAlignment="1">
      <alignment wrapText="1"/>
    </xf>
    <xf numFmtId="0" fontId="0" fillId="0" borderId="10" xfId="0" applyFont="1" applyBorder="1"/>
    <xf numFmtId="0" fontId="0" fillId="0" borderId="10" xfId="0" applyFont="1" applyBorder="1" applyAlignment="1">
      <alignment wrapText="1"/>
    </xf>
    <xf numFmtId="174" fontId="6" fillId="0" borderId="10" xfId="3" applyNumberFormat="1" applyFont="1" applyFill="1" applyBorder="1" applyAlignment="1">
      <alignment horizontal="right"/>
    </xf>
    <xf numFmtId="0" fontId="0" fillId="0" borderId="12" xfId="0" applyFont="1" applyBorder="1"/>
    <xf numFmtId="0" fontId="0" fillId="0" borderId="18" xfId="0" applyBorder="1" applyAlignment="1">
      <alignment wrapText="1"/>
    </xf>
    <xf numFmtId="1" fontId="0" fillId="0" borderId="0" xfId="0" applyNumberFormat="1" applyBorder="1"/>
    <xf numFmtId="0" fontId="0" fillId="0" borderId="18" xfId="0" applyBorder="1" applyAlignment="1">
      <alignment horizontal="center"/>
    </xf>
    <xf numFmtId="0" fontId="0" fillId="0" borderId="20" xfId="0" applyBorder="1" applyAlignment="1">
      <alignment horizontal="center"/>
    </xf>
    <xf numFmtId="174" fontId="0" fillId="0" borderId="11" xfId="0" applyNumberFormat="1" applyFont="1" applyBorder="1"/>
    <xf numFmtId="0" fontId="4" fillId="0" borderId="0" xfId="0" applyFont="1" applyFill="1" applyBorder="1" applyAlignment="1"/>
    <xf numFmtId="9" fontId="0" fillId="0" borderId="0" xfId="0" applyNumberFormat="1" applyFill="1" applyBorder="1"/>
    <xf numFmtId="9" fontId="6" fillId="0" borderId="0" xfId="3" applyNumberFormat="1" applyFont="1" applyFill="1" applyBorder="1" applyAlignment="1">
      <alignment horizontal="right"/>
    </xf>
    <xf numFmtId="174" fontId="0" fillId="0" borderId="0" xfId="0" applyNumberFormat="1" applyFont="1" applyBorder="1"/>
    <xf numFmtId="2" fontId="0" fillId="0" borderId="0" xfId="0" applyNumberFormat="1" applyAlignment="1">
      <alignment horizontal="center"/>
    </xf>
    <xf numFmtId="2" fontId="0" fillId="0" borderId="0" xfId="0" applyNumberFormat="1" applyFont="1"/>
    <xf numFmtId="2" fontId="0" fillId="0" borderId="0" xfId="0" applyNumberFormat="1" applyFont="1" applyAlignment="1">
      <alignment horizontal="center"/>
    </xf>
    <xf numFmtId="0" fontId="0" fillId="0" borderId="8" xfId="0" applyFont="1" applyBorder="1"/>
    <xf numFmtId="0" fontId="0" fillId="0" borderId="9" xfId="0" applyFont="1" applyBorder="1"/>
    <xf numFmtId="0" fontId="3" fillId="0" borderId="10" xfId="2" applyBorder="1"/>
    <xf numFmtId="173" fontId="0" fillId="0" borderId="0" xfId="0" applyNumberFormat="1" applyBorder="1" applyAlignment="1">
      <alignment horizontal="center"/>
    </xf>
    <xf numFmtId="173" fontId="0" fillId="0" borderId="11" xfId="0" applyNumberFormat="1" applyBorder="1" applyAlignment="1">
      <alignment horizontal="center"/>
    </xf>
    <xf numFmtId="0" fontId="0" fillId="0" borderId="13" xfId="0" applyBorder="1" applyAlignment="1">
      <alignment horizontal="right"/>
    </xf>
    <xf numFmtId="173" fontId="0" fillId="0" borderId="13" xfId="0" applyNumberFormat="1" applyBorder="1" applyAlignment="1">
      <alignment horizontal="center"/>
    </xf>
    <xf numFmtId="173" fontId="0" fillId="0" borderId="14" xfId="0" applyNumberFormat="1" applyBorder="1" applyAlignment="1">
      <alignment horizontal="center"/>
    </xf>
    <xf numFmtId="1" fontId="0" fillId="0" borderId="0" xfId="0" applyNumberFormat="1" applyBorder="1" applyAlignment="1">
      <alignment horizontal="center"/>
    </xf>
    <xf numFmtId="1" fontId="0" fillId="0" borderId="0" xfId="0" applyNumberFormat="1" applyFill="1" applyBorder="1" applyAlignment="1">
      <alignment horizontal="center"/>
    </xf>
    <xf numFmtId="164" fontId="0" fillId="0" borderId="0" xfId="1" applyNumberFormat="1" applyFont="1" applyFill="1" applyBorder="1"/>
    <xf numFmtId="164" fontId="0" fillId="0" borderId="0" xfId="1" applyNumberFormat="1" applyFont="1" applyFill="1" applyBorder="1" applyAlignment="1">
      <alignment vertical="center" wrapText="1"/>
    </xf>
    <xf numFmtId="164" fontId="0" fillId="0" borderId="13" xfId="1" applyNumberFormat="1" applyFont="1" applyBorder="1" applyAlignment="1">
      <alignment wrapText="1"/>
    </xf>
    <xf numFmtId="164" fontId="0" fillId="0" borderId="0" xfId="0" applyNumberFormat="1" applyBorder="1" applyAlignment="1">
      <alignment wrapText="1"/>
    </xf>
    <xf numFmtId="0" fontId="0" fillId="0" borderId="12" xfId="0" applyBorder="1" applyAlignment="1">
      <alignment wrapText="1"/>
    </xf>
    <xf numFmtId="174" fontId="0" fillId="0" borderId="14" xfId="0" applyNumberFormat="1" applyFont="1" applyBorder="1"/>
    <xf numFmtId="174" fontId="0" fillId="0" borderId="0" xfId="0" applyNumberFormat="1" applyBorder="1"/>
    <xf numFmtId="166" fontId="6" fillId="0" borderId="10" xfId="3" applyNumberFormat="1" applyFont="1" applyFill="1" applyBorder="1" applyAlignment="1">
      <alignment horizontal="right"/>
    </xf>
    <xf numFmtId="174" fontId="0" fillId="0" borderId="10" xfId="0" applyNumberFormat="1" applyFont="1" applyBorder="1"/>
    <xf numFmtId="16" fontId="0" fillId="0" borderId="0" xfId="0" applyNumberFormat="1" applyBorder="1" applyAlignment="1">
      <alignment horizontal="center"/>
    </xf>
    <xf numFmtId="175" fontId="0" fillId="0" borderId="0" xfId="0" applyNumberFormat="1" applyBorder="1"/>
    <xf numFmtId="175" fontId="0" fillId="0" borderId="0" xfId="1" applyNumberFormat="1" applyFont="1" applyBorder="1" applyAlignment="1">
      <alignment wrapText="1"/>
    </xf>
    <xf numFmtId="175" fontId="0" fillId="0" borderId="11" xfId="1" applyNumberFormat="1" applyFont="1" applyBorder="1" applyAlignment="1">
      <alignment wrapText="1"/>
    </xf>
    <xf numFmtId="176" fontId="0" fillId="0" borderId="0" xfId="1" applyNumberFormat="1" applyFont="1" applyBorder="1" applyAlignment="1">
      <alignment wrapText="1"/>
    </xf>
    <xf numFmtId="0" fontId="0" fillId="0" borderId="0" xfId="0" applyFill="1" applyBorder="1" applyAlignment="1">
      <alignment horizontal="center"/>
    </xf>
    <xf numFmtId="0" fontId="0" fillId="0" borderId="0" xfId="0" applyFill="1" applyBorder="1" applyAlignment="1">
      <alignment wrapText="1"/>
    </xf>
    <xf numFmtId="3" fontId="0" fillId="0" borderId="0" xfId="0" applyNumberFormat="1"/>
    <xf numFmtId="3" fontId="2" fillId="0" borderId="18" xfId="0" quotePrefix="1" applyNumberFormat="1" applyFont="1" applyBorder="1" applyAlignment="1">
      <alignment wrapText="1"/>
    </xf>
    <xf numFmtId="49" fontId="0" fillId="0" borderId="19" xfId="0" quotePrefix="1" applyNumberFormat="1" applyFont="1" applyBorder="1"/>
    <xf numFmtId="173" fontId="0" fillId="0" borderId="0" xfId="0" applyNumberFormat="1"/>
    <xf numFmtId="0" fontId="2" fillId="0" borderId="0" xfId="0" applyFont="1" applyFill="1" applyBorder="1" applyAlignment="1">
      <alignment wrapText="1"/>
    </xf>
    <xf numFmtId="0" fontId="2" fillId="0" borderId="0" xfId="0" applyFont="1" applyAlignment="1">
      <alignment wrapText="1"/>
    </xf>
    <xf numFmtId="3" fontId="0" fillId="0" borderId="0" xfId="0" quotePrefix="1" applyNumberFormat="1" applyAlignment="1">
      <alignment wrapText="1"/>
    </xf>
    <xf numFmtId="179" fontId="0" fillId="0" borderId="0" xfId="0" applyNumberFormat="1"/>
    <xf numFmtId="1" fontId="0" fillId="0" borderId="0" xfId="0" applyNumberFormat="1"/>
    <xf numFmtId="0" fontId="12" fillId="0" borderId="0" xfId="6" applyFont="1" applyFill="1" applyBorder="1" applyAlignment="1" applyProtection="1">
      <alignment horizontal="left" wrapText="1"/>
    </xf>
    <xf numFmtId="0" fontId="0" fillId="0" borderId="0" xfId="0" applyFont="1" applyFill="1" applyBorder="1" applyAlignment="1">
      <alignment horizontal="left"/>
    </xf>
    <xf numFmtId="0" fontId="0" fillId="0" borderId="0" xfId="0" applyFont="1" applyFill="1" applyBorder="1" applyAlignment="1">
      <alignment horizontal="left" wrapText="1"/>
    </xf>
    <xf numFmtId="11" fontId="0" fillId="0" borderId="0" xfId="0" applyNumberFormat="1"/>
    <xf numFmtId="0" fontId="0" fillId="4" borderId="0" xfId="0" applyFill="1"/>
    <xf numFmtId="3" fontId="0" fillId="4" borderId="0" xfId="0" quotePrefix="1" applyNumberFormat="1" applyFill="1" applyAlignment="1">
      <alignment wrapText="1"/>
    </xf>
    <xf numFmtId="179" fontId="0" fillId="4" borderId="0" xfId="0" applyNumberFormat="1" applyFill="1"/>
    <xf numFmtId="164" fontId="0" fillId="4" borderId="0" xfId="1" applyNumberFormat="1" applyFont="1" applyFill="1"/>
    <xf numFmtId="173" fontId="0" fillId="4" borderId="0" xfId="0" applyNumberFormat="1" applyFill="1"/>
    <xf numFmtId="0" fontId="2" fillId="0" borderId="0" xfId="0" applyFont="1" applyFill="1" applyBorder="1"/>
    <xf numFmtId="0" fontId="0" fillId="0" borderId="0" xfId="0" applyFill="1"/>
    <xf numFmtId="179" fontId="14" fillId="0" borderId="0" xfId="7" applyNumberFormat="1" applyFont="1" applyFill="1" applyBorder="1" applyAlignment="1">
      <alignment horizontal="right" wrapText="1"/>
    </xf>
    <xf numFmtId="0" fontId="3" fillId="0" borderId="0" xfId="2" applyFill="1" applyBorder="1"/>
    <xf numFmtId="0" fontId="15" fillId="0" borderId="0" xfId="0" applyFont="1" applyFill="1" applyBorder="1" applyAlignment="1">
      <alignment horizontal="left"/>
    </xf>
    <xf numFmtId="181" fontId="15" fillId="0" borderId="0" xfId="8" applyNumberFormat="1" applyFont="1" applyFill="1" applyBorder="1" applyAlignment="1">
      <alignment horizontal="right"/>
    </xf>
    <xf numFmtId="179" fontId="0" fillId="0" borderId="0" xfId="0" applyNumberFormat="1" applyFill="1" applyBorder="1"/>
    <xf numFmtId="9" fontId="0" fillId="0" borderId="0" xfId="4" applyNumberFormat="1" applyFont="1" applyFill="1" applyBorder="1"/>
    <xf numFmtId="182" fontId="15" fillId="0" borderId="0" xfId="1" applyNumberFormat="1" applyFont="1" applyFill="1" applyBorder="1" applyAlignment="1">
      <alignment horizontal="right"/>
    </xf>
    <xf numFmtId="182" fontId="15" fillId="0" borderId="0" xfId="0" applyNumberFormat="1" applyFont="1" applyFill="1" applyBorder="1" applyAlignment="1"/>
    <xf numFmtId="0" fontId="15" fillId="0" borderId="0" xfId="6" applyFont="1" applyFill="1" applyBorder="1" applyAlignment="1">
      <alignment horizontal="left"/>
    </xf>
    <xf numFmtId="182" fontId="15" fillId="0" borderId="0" xfId="9" applyNumberFormat="1" applyFont="1" applyFill="1" applyBorder="1" applyAlignment="1">
      <alignment horizontal="right"/>
    </xf>
    <xf numFmtId="182" fontId="15" fillId="0" borderId="0" xfId="10" applyNumberFormat="1" applyFont="1" applyFill="1" applyBorder="1" applyAlignment="1">
      <alignment horizontal="right"/>
    </xf>
    <xf numFmtId="0" fontId="3" fillId="0" borderId="0" xfId="2" applyFill="1"/>
    <xf numFmtId="0" fontId="14" fillId="0" borderId="0" xfId="11" applyFont="1" applyFill="1" applyBorder="1" applyAlignment="1">
      <alignment horizontal="right" wrapText="1"/>
    </xf>
    <xf numFmtId="180" fontId="14" fillId="0" borderId="0" xfId="12" applyFont="1" applyFill="1" applyBorder="1" applyAlignment="1">
      <alignment horizontal="right" wrapText="1"/>
    </xf>
    <xf numFmtId="0" fontId="15" fillId="0" borderId="0" xfId="11" applyFont="1" applyFill="1" applyBorder="1" applyAlignment="1">
      <alignment horizontal="left"/>
    </xf>
    <xf numFmtId="179" fontId="0" fillId="5" borderId="0" xfId="0" applyNumberFormat="1" applyFill="1" applyBorder="1"/>
    <xf numFmtId="0" fontId="17" fillId="3" borderId="0" xfId="6" applyFont="1" applyFill="1" applyBorder="1" applyAlignment="1" applyProtection="1">
      <alignment horizontal="left"/>
    </xf>
    <xf numFmtId="0" fontId="17" fillId="0" borderId="7" xfId="13" applyFont="1" applyFill="1" applyBorder="1" applyAlignment="1" applyProtection="1">
      <alignment horizontal="left" vertical="top"/>
    </xf>
    <xf numFmtId="0" fontId="12" fillId="0" borderId="8" xfId="13" applyFont="1" applyFill="1" applyBorder="1" applyAlignment="1" applyProtection="1"/>
    <xf numFmtId="0" fontId="17" fillId="0" borderId="8" xfId="13" applyFont="1" applyFill="1" applyBorder="1" applyAlignment="1" applyProtection="1"/>
    <xf numFmtId="0" fontId="12" fillId="0" borderId="9" xfId="13" applyFont="1" applyFill="1" applyBorder="1" applyAlignment="1" applyProtection="1">
      <alignment horizontal="right"/>
    </xf>
    <xf numFmtId="0" fontId="17" fillId="0" borderId="12" xfId="13" applyFont="1" applyFill="1" applyBorder="1" applyAlignment="1" applyProtection="1">
      <alignment horizontal="left" wrapText="1"/>
    </xf>
    <xf numFmtId="0" fontId="17" fillId="0" borderId="13" xfId="6" applyFont="1" applyFill="1" applyBorder="1" applyAlignment="1" applyProtection="1">
      <alignment horizontal="right" wrapText="1"/>
    </xf>
    <xf numFmtId="0" fontId="2" fillId="0" borderId="13" xfId="0" applyFont="1" applyFill="1" applyBorder="1"/>
    <xf numFmtId="0" fontId="2" fillId="0" borderId="13" xfId="0" applyFont="1" applyFill="1" applyBorder="1" applyAlignment="1">
      <alignment wrapText="1"/>
    </xf>
    <xf numFmtId="0" fontId="17" fillId="0" borderId="14" xfId="6" applyFont="1" applyFill="1" applyBorder="1" applyAlignment="1" applyProtection="1">
      <alignment horizontal="right" wrapText="1"/>
    </xf>
    <xf numFmtId="0" fontId="17" fillId="0" borderId="0" xfId="6" applyNumberFormat="1" applyFont="1" applyFill="1" applyBorder="1" applyAlignment="1" applyProtection="1">
      <alignment horizontal="left"/>
    </xf>
    <xf numFmtId="179" fontId="12" fillId="0" borderId="0" xfId="14" applyNumberFormat="1" applyFont="1" applyFill="1" applyBorder="1" applyAlignment="1" applyProtection="1">
      <alignment horizontal="right"/>
    </xf>
    <xf numFmtId="179" fontId="17" fillId="0" borderId="0" xfId="14" applyNumberFormat="1" applyFont="1" applyFill="1" applyBorder="1" applyAlignment="1" applyProtection="1">
      <alignment horizontal="right"/>
    </xf>
    <xf numFmtId="0" fontId="17" fillId="0" borderId="0" xfId="6" applyFont="1" applyFill="1" applyBorder="1" applyAlignment="1" applyProtection="1">
      <alignment horizontal="left"/>
    </xf>
    <xf numFmtId="0" fontId="17" fillId="0" borderId="0" xfId="14" applyNumberFormat="1" applyFont="1" applyFill="1" applyBorder="1" applyAlignment="1" applyProtection="1">
      <alignment horizontal="left"/>
    </xf>
    <xf numFmtId="0" fontId="19" fillId="3" borderId="0" xfId="13" applyFont="1" applyFill="1" applyAlignment="1" applyProtection="1"/>
    <xf numFmtId="184" fontId="21" fillId="3" borderId="0" xfId="15" applyFont="1" applyFill="1" applyAlignment="1" applyProtection="1">
      <alignment horizontal="left"/>
    </xf>
    <xf numFmtId="184" fontId="22" fillId="3" borderId="0" xfId="15" applyFont="1" applyFill="1" applyAlignment="1" applyProtection="1">
      <alignment horizontal="left"/>
    </xf>
    <xf numFmtId="0" fontId="17" fillId="3" borderId="21" xfId="13" applyFont="1" applyFill="1" applyBorder="1" applyAlignment="1" applyProtection="1">
      <alignment horizontal="left" vertical="top"/>
    </xf>
    <xf numFmtId="0" fontId="12" fillId="3" borderId="21" xfId="13" applyFont="1" applyFill="1" applyBorder="1" applyAlignment="1" applyProtection="1"/>
    <xf numFmtId="0" fontId="23" fillId="3" borderId="21" xfId="6" applyFont="1" applyFill="1" applyBorder="1" applyAlignment="1" applyProtection="1">
      <alignment horizontal="right"/>
    </xf>
    <xf numFmtId="0" fontId="17" fillId="3" borderId="22" xfId="13" applyFont="1" applyFill="1" applyBorder="1" applyAlignment="1" applyProtection="1">
      <alignment horizontal="left" vertical="top"/>
    </xf>
    <xf numFmtId="0" fontId="12" fillId="3" borderId="22" xfId="13" applyFont="1" applyFill="1" applyBorder="1" applyAlignment="1" applyProtection="1"/>
    <xf numFmtId="0" fontId="12" fillId="3" borderId="22" xfId="13" applyFont="1" applyFill="1" applyBorder="1" applyAlignment="1" applyProtection="1">
      <alignment horizontal="right"/>
    </xf>
    <xf numFmtId="0" fontId="17" fillId="3" borderId="0" xfId="13" applyFont="1" applyFill="1" applyBorder="1" applyAlignment="1" applyProtection="1">
      <alignment horizontal="left" wrapText="1"/>
    </xf>
    <xf numFmtId="0" fontId="17" fillId="3" borderId="0" xfId="13" applyFont="1" applyFill="1" applyBorder="1" applyAlignment="1" applyProtection="1">
      <alignment horizontal="right" wrapText="1"/>
    </xf>
    <xf numFmtId="0" fontId="17" fillId="3" borderId="0" xfId="6" applyFont="1" applyFill="1" applyBorder="1" applyAlignment="1" applyProtection="1">
      <alignment horizontal="right" wrapText="1"/>
    </xf>
    <xf numFmtId="0" fontId="17" fillId="0" borderId="0" xfId="6" applyFont="1" applyFill="1" applyBorder="1" applyAlignment="1" applyProtection="1">
      <alignment horizontal="right" wrapText="1"/>
    </xf>
    <xf numFmtId="0" fontId="17" fillId="3" borderId="7" xfId="6" applyFont="1" applyFill="1" applyBorder="1" applyAlignment="1" applyProtection="1">
      <alignment horizontal="left"/>
    </xf>
    <xf numFmtId="0" fontId="24" fillId="3" borderId="8" xfId="14" applyNumberFormat="1" applyFont="1" applyFill="1" applyBorder="1" applyAlignment="1" applyProtection="1">
      <alignment horizontal="left"/>
    </xf>
    <xf numFmtId="179" fontId="25" fillId="3" borderId="8" xfId="14" applyNumberFormat="1" applyFont="1" applyFill="1" applyBorder="1" applyAlignment="1" applyProtection="1">
      <alignment horizontal="right"/>
    </xf>
    <xf numFmtId="179" fontId="25" fillId="3" borderId="9" xfId="14" applyNumberFormat="1" applyFont="1" applyFill="1" applyBorder="1" applyAlignment="1" applyProtection="1">
      <alignment horizontal="right"/>
    </xf>
    <xf numFmtId="0" fontId="17" fillId="3" borderId="10" xfId="6" applyFont="1" applyFill="1" applyBorder="1" applyAlignment="1" applyProtection="1">
      <alignment horizontal="left"/>
    </xf>
    <xf numFmtId="0" fontId="24" fillId="3" borderId="0" xfId="14" applyNumberFormat="1" applyFont="1" applyFill="1" applyBorder="1" applyAlignment="1" applyProtection="1">
      <alignment horizontal="left"/>
    </xf>
    <xf numFmtId="179" fontId="23" fillId="3" borderId="0" xfId="14" applyNumberFormat="1" applyFont="1" applyFill="1" applyBorder="1" applyAlignment="1" applyProtection="1">
      <alignment horizontal="right"/>
    </xf>
    <xf numFmtId="179" fontId="23" fillId="3" borderId="11" xfId="14" applyNumberFormat="1" applyFont="1" applyFill="1" applyBorder="1" applyAlignment="1" applyProtection="1">
      <alignment horizontal="right"/>
    </xf>
    <xf numFmtId="0" fontId="12" fillId="3" borderId="10" xfId="6" applyFont="1" applyFill="1" applyBorder="1" applyAlignment="1" applyProtection="1">
      <alignment horizontal="right"/>
    </xf>
    <xf numFmtId="179" fontId="25" fillId="3" borderId="11" xfId="14" applyNumberFormat="1" applyFont="1" applyFill="1" applyBorder="1" applyAlignment="1" applyProtection="1">
      <alignment horizontal="right"/>
    </xf>
    <xf numFmtId="179" fontId="25" fillId="3" borderId="0" xfId="14" applyNumberFormat="1" applyFont="1" applyFill="1" applyBorder="1" applyAlignment="1" applyProtection="1">
      <alignment horizontal="right"/>
    </xf>
    <xf numFmtId="179" fontId="17" fillId="3" borderId="0" xfId="14" applyNumberFormat="1" applyFont="1" applyFill="1" applyBorder="1" applyAlignment="1" applyProtection="1">
      <alignment horizontal="right"/>
    </xf>
    <xf numFmtId="179" fontId="17" fillId="3" borderId="11" xfId="14" applyNumberFormat="1" applyFont="1" applyFill="1" applyBorder="1" applyAlignment="1" applyProtection="1">
      <alignment horizontal="right"/>
    </xf>
    <xf numFmtId="0" fontId="17" fillId="3" borderId="12" xfId="6" applyFont="1" applyFill="1" applyBorder="1" applyAlignment="1" applyProtection="1">
      <alignment horizontal="left"/>
    </xf>
    <xf numFmtId="0" fontId="24" fillId="3" borderId="13" xfId="14" applyNumberFormat="1" applyFont="1" applyFill="1" applyBorder="1" applyAlignment="1" applyProtection="1">
      <alignment horizontal="left"/>
    </xf>
    <xf numFmtId="179" fontId="17" fillId="3" borderId="13" xfId="14" applyNumberFormat="1" applyFont="1" applyFill="1" applyBorder="1" applyAlignment="1" applyProtection="1">
      <alignment horizontal="right"/>
    </xf>
    <xf numFmtId="179" fontId="17" fillId="3" borderId="14" xfId="14" applyNumberFormat="1" applyFont="1" applyFill="1" applyBorder="1" applyAlignment="1" applyProtection="1">
      <alignment horizontal="right"/>
    </xf>
    <xf numFmtId="0" fontId="0" fillId="0" borderId="0" xfId="0" applyNumberFormat="1"/>
    <xf numFmtId="1" fontId="0" fillId="0" borderId="10" xfId="0" applyNumberFormat="1" applyBorder="1"/>
    <xf numFmtId="0" fontId="0" fillId="0" borderId="0" xfId="0" applyBorder="1" applyAlignment="1">
      <alignment horizontal="right"/>
    </xf>
    <xf numFmtId="164" fontId="0" fillId="0" borderId="8" xfId="1" applyNumberFormat="1" applyFont="1" applyBorder="1" applyAlignment="1">
      <alignment wrapText="1"/>
    </xf>
    <xf numFmtId="2" fontId="0" fillId="0" borderId="0" xfId="0" applyNumberFormat="1" applyBorder="1"/>
    <xf numFmtId="0" fontId="2" fillId="0" borderId="0" xfId="0" applyFont="1" applyAlignment="1">
      <alignment horizontal="center"/>
    </xf>
    <xf numFmtId="0" fontId="0" fillId="0" borderId="0" xfId="0" applyBorder="1" applyAlignment="1">
      <alignment horizontal="center"/>
    </xf>
    <xf numFmtId="0" fontId="0" fillId="0" borderId="0" xfId="0" applyFont="1" applyAlignment="1">
      <alignment horizontal="center"/>
    </xf>
    <xf numFmtId="0" fontId="0" fillId="0" borderId="0" xfId="0" applyBorder="1" applyAlignment="1">
      <alignment horizontal="center" wrapText="1"/>
    </xf>
    <xf numFmtId="0" fontId="0" fillId="0" borderId="8" xfId="0" applyBorder="1" applyAlignment="1">
      <alignment horizontal="center"/>
    </xf>
    <xf numFmtId="164" fontId="2" fillId="0" borderId="0" xfId="1" applyNumberFormat="1" applyFont="1" applyBorder="1" applyAlignment="1">
      <alignment wrapText="1"/>
    </xf>
    <xf numFmtId="9" fontId="2" fillId="0" borderId="0" xfId="4" applyFont="1" applyBorder="1"/>
    <xf numFmtId="0" fontId="2" fillId="0" borderId="8" xfId="0" applyFont="1" applyBorder="1" applyAlignment="1">
      <alignment horizontal="left" wrapText="1"/>
    </xf>
    <xf numFmtId="0" fontId="2" fillId="0" borderId="9" xfId="0" applyFont="1" applyBorder="1" applyAlignment="1">
      <alignment horizontal="left" wrapText="1"/>
    </xf>
    <xf numFmtId="0" fontId="0" fillId="0" borderId="8" xfId="0" applyFill="1" applyBorder="1" applyAlignment="1">
      <alignment horizontal="center"/>
    </xf>
    <xf numFmtId="164" fontId="0" fillId="0" borderId="9" xfId="1" applyNumberFormat="1" applyFont="1" applyBorder="1" applyAlignment="1">
      <alignment wrapText="1"/>
    </xf>
    <xf numFmtId="0" fontId="0" fillId="0" borderId="13" xfId="0" applyFill="1" applyBorder="1" applyAlignment="1">
      <alignment horizontal="center"/>
    </xf>
    <xf numFmtId="164" fontId="0" fillId="0" borderId="14" xfId="1" applyNumberFormat="1" applyFont="1" applyBorder="1" applyAlignment="1">
      <alignment wrapText="1"/>
    </xf>
    <xf numFmtId="175" fontId="0" fillId="0" borderId="8" xfId="1" applyNumberFormat="1" applyFont="1" applyBorder="1" applyAlignment="1">
      <alignment wrapText="1"/>
    </xf>
    <xf numFmtId="176" fontId="0" fillId="0" borderId="8" xfId="1" applyNumberFormat="1" applyFont="1" applyBorder="1" applyAlignment="1">
      <alignment wrapText="1"/>
    </xf>
    <xf numFmtId="175" fontId="0" fillId="0" borderId="9" xfId="1" applyNumberFormat="1" applyFont="1" applyBorder="1" applyAlignment="1">
      <alignment wrapText="1"/>
    </xf>
    <xf numFmtId="175" fontId="0" fillId="0" borderId="13" xfId="1" applyNumberFormat="1" applyFont="1" applyBorder="1" applyAlignment="1">
      <alignment wrapText="1"/>
    </xf>
    <xf numFmtId="176" fontId="0" fillId="0" borderId="13" xfId="1" applyNumberFormat="1" applyFont="1" applyBorder="1" applyAlignment="1">
      <alignment wrapText="1"/>
    </xf>
    <xf numFmtId="175" fontId="0" fillId="0" borderId="14" xfId="1" applyNumberFormat="1" applyFont="1" applyBorder="1" applyAlignment="1">
      <alignment wrapText="1"/>
    </xf>
    <xf numFmtId="0" fontId="0" fillId="0" borderId="0" xfId="0" applyBorder="1" applyAlignment="1">
      <alignment horizontal="left"/>
    </xf>
    <xf numFmtId="164" fontId="2" fillId="0" borderId="0" xfId="1" applyNumberFormat="1" applyFont="1" applyBorder="1" applyAlignment="1">
      <alignment horizontal="left" wrapText="1"/>
    </xf>
    <xf numFmtId="9" fontId="2" fillId="0" borderId="0" xfId="4" applyFont="1" applyBorder="1" applyAlignment="1">
      <alignment horizontal="left"/>
    </xf>
    <xf numFmtId="0" fontId="0" fillId="0" borderId="0" xfId="0" applyBorder="1" applyAlignment="1">
      <alignment horizontal="left" vertical="top" wrapText="1"/>
    </xf>
    <xf numFmtId="164" fontId="0" fillId="0" borderId="0" xfId="0" applyNumberFormat="1" applyBorder="1" applyAlignment="1">
      <alignment horizontal="left" vertical="top" wrapText="1"/>
    </xf>
    <xf numFmtId="164" fontId="0" fillId="0" borderId="0" xfId="1" applyNumberFormat="1" applyFont="1" applyBorder="1" applyAlignment="1">
      <alignment horizontal="left" vertical="top" wrapText="1"/>
    </xf>
    <xf numFmtId="0" fontId="0" fillId="0" borderId="0" xfId="0" applyFill="1" applyBorder="1" applyAlignment="1">
      <alignment horizontal="left" vertical="top"/>
    </xf>
    <xf numFmtId="2" fontId="0" fillId="0" borderId="0" xfId="0" applyNumberFormat="1" applyBorder="1" applyAlignment="1">
      <alignment horizontal="left" vertical="top"/>
    </xf>
    <xf numFmtId="164" fontId="2" fillId="0" borderId="0" xfId="1" applyNumberFormat="1" applyFont="1" applyBorder="1" applyAlignment="1">
      <alignment horizontal="left" vertical="top" wrapText="1"/>
    </xf>
    <xf numFmtId="164" fontId="0" fillId="0" borderId="0" xfId="0" applyNumberFormat="1" applyBorder="1" applyAlignment="1">
      <alignment horizontal="left" vertical="top"/>
    </xf>
    <xf numFmtId="9" fontId="2" fillId="0" borderId="0" xfId="4" applyFont="1" applyBorder="1" applyAlignment="1">
      <alignment horizontal="left" vertical="top"/>
    </xf>
    <xf numFmtId="1" fontId="0" fillId="0" borderId="0" xfId="4" applyNumberFormat="1" applyFont="1"/>
    <xf numFmtId="173" fontId="0" fillId="0" borderId="11" xfId="0" applyNumberFormat="1" applyFill="1" applyBorder="1" applyAlignment="1">
      <alignment horizontal="center"/>
    </xf>
    <xf numFmtId="10" fontId="2" fillId="0" borderId="0" xfId="4" applyNumberFormat="1" applyFont="1"/>
    <xf numFmtId="0" fontId="4" fillId="0" borderId="0" xfId="0" applyFont="1" applyBorder="1" applyAlignment="1">
      <alignment wrapText="1"/>
    </xf>
    <xf numFmtId="0" fontId="0" fillId="0" borderId="19" xfId="0" applyBorder="1" applyAlignment="1">
      <alignment horizontal="center"/>
    </xf>
    <xf numFmtId="0" fontId="0" fillId="0" borderId="20" xfId="0" applyBorder="1" applyAlignment="1">
      <alignment horizontal="center" wrapText="1"/>
    </xf>
    <xf numFmtId="186" fontId="6" fillId="0" borderId="0" xfId="3" applyNumberFormat="1" applyFont="1" applyFill="1" applyBorder="1" applyAlignment="1">
      <alignment horizontal="right"/>
    </xf>
    <xf numFmtId="172" fontId="0" fillId="0" borderId="11" xfId="0" applyNumberFormat="1" applyBorder="1"/>
    <xf numFmtId="164" fontId="0" fillId="4" borderId="0" xfId="1" applyNumberFormat="1" applyFont="1" applyFill="1" applyBorder="1" applyAlignment="1">
      <alignment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horizontal="left" vertical="top"/>
    </xf>
    <xf numFmtId="11" fontId="0" fillId="0" borderId="8" xfId="1" applyNumberFormat="1" applyFont="1" applyBorder="1" applyAlignment="1">
      <alignment wrapText="1"/>
    </xf>
    <xf numFmtId="11" fontId="0" fillId="0" borderId="0" xfId="1" applyNumberFormat="1" applyFont="1" applyBorder="1" applyAlignment="1">
      <alignment wrapText="1"/>
    </xf>
    <xf numFmtId="11" fontId="0" fillId="0" borderId="13" xfId="1" applyNumberFormat="1" applyFont="1" applyBorder="1" applyAlignment="1">
      <alignment wrapText="1"/>
    </xf>
    <xf numFmtId="0" fontId="2" fillId="0" borderId="0" xfId="0" applyFont="1" applyFill="1" applyBorder="1" applyAlignment="1">
      <alignment horizontal="left" wrapText="1"/>
    </xf>
    <xf numFmtId="0" fontId="2" fillId="0" borderId="0" xfId="0" applyFont="1" applyBorder="1"/>
    <xf numFmtId="0" fontId="2" fillId="0" borderId="0" xfId="0" applyFont="1"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wrapText="1"/>
    </xf>
    <xf numFmtId="174" fontId="0" fillId="0" borderId="13" xfId="0" applyNumberFormat="1" applyFont="1" applyBorder="1"/>
    <xf numFmtId="187" fontId="6" fillId="0" borderId="11" xfId="3" applyNumberFormat="1" applyFont="1" applyFill="1" applyBorder="1" applyAlignment="1">
      <alignment horizontal="right"/>
    </xf>
    <xf numFmtId="188" fontId="6" fillId="0" borderId="11" xfId="3" applyNumberFormat="1" applyFont="1" applyFill="1" applyBorder="1" applyAlignment="1">
      <alignment horizontal="right"/>
    </xf>
    <xf numFmtId="189" fontId="6" fillId="0" borderId="11" xfId="3" applyNumberFormat="1" applyFont="1" applyFill="1" applyBorder="1" applyAlignment="1">
      <alignment horizontal="right"/>
    </xf>
    <xf numFmtId="190" fontId="6" fillId="0" borderId="11" xfId="3" applyNumberFormat="1" applyFont="1" applyFill="1" applyBorder="1" applyAlignment="1">
      <alignment horizontal="right"/>
    </xf>
    <xf numFmtId="191" fontId="6" fillId="0" borderId="11" xfId="3" applyNumberFormat="1" applyFont="1" applyFill="1" applyBorder="1" applyAlignment="1">
      <alignment horizontal="right"/>
    </xf>
    <xf numFmtId="192" fontId="6" fillId="0" borderId="11" xfId="3" applyNumberFormat="1" applyFont="1" applyFill="1" applyBorder="1" applyAlignment="1">
      <alignment horizontal="right"/>
    </xf>
    <xf numFmtId="4" fontId="6" fillId="0" borderId="11" xfId="3" applyNumberFormat="1" applyFont="1" applyFill="1" applyBorder="1" applyAlignment="1">
      <alignment horizontal="righ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43" fontId="0" fillId="0" borderId="0" xfId="0" applyNumberFormat="1" applyAlignment="1">
      <alignment wrapText="1"/>
    </xf>
    <xf numFmtId="166" fontId="0" fillId="0" borderId="11" xfId="0" applyNumberFormat="1" applyFont="1" applyBorder="1"/>
    <xf numFmtId="193" fontId="0" fillId="0" borderId="11" xfId="0" applyNumberFormat="1" applyFont="1" applyBorder="1"/>
    <xf numFmtId="2" fontId="0" fillId="0" borderId="0" xfId="0" applyNumberFormat="1" applyBorder="1" applyAlignment="1">
      <alignment horizontal="center"/>
    </xf>
    <xf numFmtId="194" fontId="0" fillId="0" borderId="0" xfId="0" applyNumberFormat="1"/>
    <xf numFmtId="0" fontId="0" fillId="0" borderId="0" xfId="0" applyFont="1" applyAlignment="1">
      <alignment horizontal="center"/>
    </xf>
    <xf numFmtId="0" fontId="0" fillId="0" borderId="0" xfId="0" applyBorder="1" applyAlignment="1">
      <alignment horizontal="left" wrapText="1"/>
    </xf>
    <xf numFmtId="0" fontId="0" fillId="0" borderId="15" xfId="0" applyBorder="1" applyAlignment="1">
      <alignment horizontal="center"/>
    </xf>
    <xf numFmtId="0" fontId="0" fillId="0" borderId="17" xfId="0" applyBorder="1" applyAlignment="1">
      <alignment horizontal="center"/>
    </xf>
    <xf numFmtId="195" fontId="6" fillId="0" borderId="0" xfId="3" applyNumberFormat="1" applyFont="1" applyFill="1" applyBorder="1" applyAlignment="1">
      <alignment horizontal="right"/>
    </xf>
    <xf numFmtId="0" fontId="0" fillId="0" borderId="0" xfId="0" applyFont="1" applyAlignment="1">
      <alignment horizontal="center"/>
    </xf>
    <xf numFmtId="0" fontId="0" fillId="0" borderId="0" xfId="0" applyBorder="1" applyAlignment="1">
      <alignment horizontal="center"/>
    </xf>
    <xf numFmtId="0" fontId="0" fillId="0" borderId="0" xfId="0" applyFont="1" applyBorder="1" applyAlignment="1">
      <alignment horizontal="center"/>
    </xf>
    <xf numFmtId="0" fontId="0" fillId="0" borderId="0" xfId="0" applyBorder="1" applyAlignment="1">
      <alignment horizontal="center" wrapText="1"/>
    </xf>
    <xf numFmtId="164" fontId="0" fillId="0" borderId="0" xfId="1" applyNumberFormat="1" applyFont="1" applyBorder="1" applyAlignment="1">
      <alignment horizontal="center" vertical="center" wrapText="1"/>
    </xf>
    <xf numFmtId="171" fontId="0" fillId="0" borderId="0" xfId="1" applyNumberFormat="1" applyFont="1" applyBorder="1" applyAlignment="1">
      <alignment horizontal="center" wrapText="1"/>
    </xf>
    <xf numFmtId="0" fontId="0" fillId="0" borderId="10" xfId="0" applyBorder="1" applyAlignment="1">
      <alignment horizontal="center"/>
    </xf>
    <xf numFmtId="0" fontId="0" fillId="0" borderId="0" xfId="0" applyBorder="1" applyAlignment="1"/>
    <xf numFmtId="169" fontId="0" fillId="0" borderId="0" xfId="1" applyNumberFormat="1" applyFont="1" applyBorder="1" applyAlignment="1">
      <alignment wrapText="1"/>
    </xf>
    <xf numFmtId="164" fontId="0" fillId="0" borderId="0" xfId="0" applyNumberFormat="1" applyBorder="1" applyAlignment="1"/>
    <xf numFmtId="175" fontId="0" fillId="0" borderId="0" xfId="0" applyNumberFormat="1" applyBorder="1" applyAlignment="1"/>
    <xf numFmtId="0" fontId="0" fillId="0" borderId="13" xfId="0" applyBorder="1" applyAlignment="1"/>
    <xf numFmtId="0" fontId="0" fillId="0" borderId="0" xfId="0" applyFont="1" applyAlignment="1"/>
    <xf numFmtId="170" fontId="0" fillId="0" borderId="0" xfId="1" applyNumberFormat="1" applyFont="1" applyBorder="1" applyAlignment="1">
      <alignment wrapText="1"/>
    </xf>
    <xf numFmtId="43" fontId="0" fillId="0" borderId="0" xfId="1" applyNumberFormat="1" applyFont="1" applyBorder="1" applyAlignment="1">
      <alignment wrapText="1"/>
    </xf>
    <xf numFmtId="196" fontId="0" fillId="0" borderId="0" xfId="1" applyNumberFormat="1" applyFont="1" applyBorder="1" applyAlignment="1">
      <alignment wrapText="1"/>
    </xf>
    <xf numFmtId="43" fontId="0" fillId="0" borderId="11" xfId="1" applyNumberFormat="1" applyFont="1" applyBorder="1" applyAlignment="1">
      <alignment wrapText="1"/>
    </xf>
    <xf numFmtId="196" fontId="0" fillId="0" borderId="11" xfId="1" applyNumberFormat="1" applyFont="1" applyBorder="1" applyAlignment="1">
      <alignment wrapText="1"/>
    </xf>
    <xf numFmtId="170" fontId="0" fillId="0" borderId="11" xfId="1" applyNumberFormat="1" applyFont="1" applyBorder="1" applyAlignment="1">
      <alignment wrapText="1"/>
    </xf>
    <xf numFmtId="2" fontId="0" fillId="0" borderId="0" xfId="0" applyNumberFormat="1" applyBorder="1" applyAlignment="1">
      <alignment horizontal="left" wrapText="1"/>
    </xf>
    <xf numFmtId="164" fontId="0" fillId="0" borderId="0" xfId="1" applyNumberFormat="1" applyFont="1" applyBorder="1" applyAlignment="1">
      <alignment horizontal="center" wrapText="1"/>
    </xf>
    <xf numFmtId="0" fontId="15" fillId="0" borderId="0" xfId="0" applyFont="1" applyFill="1" applyAlignment="1">
      <alignment horizontal="right"/>
    </xf>
    <xf numFmtId="0" fontId="0" fillId="0" borderId="10" xfId="0" applyFill="1" applyBorder="1"/>
    <xf numFmtId="0" fontId="15" fillId="0" borderId="0" xfId="0" applyFont="1" applyFill="1" applyBorder="1" applyAlignment="1">
      <alignment horizontal="right"/>
    </xf>
    <xf numFmtId="0" fontId="0" fillId="0" borderId="11" xfId="0" applyFill="1" applyBorder="1"/>
    <xf numFmtId="14" fontId="0" fillId="0" borderId="12" xfId="0" applyNumberFormat="1" applyFill="1" applyBorder="1"/>
    <xf numFmtId="0" fontId="0" fillId="0" borderId="14" xfId="0" applyFill="1" applyBorder="1"/>
    <xf numFmtId="0" fontId="2" fillId="0" borderId="7" xfId="0" applyFont="1" applyBorder="1"/>
    <xf numFmtId="0" fontId="3" fillId="0" borderId="0" xfId="2" applyAlignment="1"/>
    <xf numFmtId="164" fontId="5" fillId="0" borderId="0" xfId="1" applyNumberFormat="1" applyFont="1" applyAlignment="1"/>
    <xf numFmtId="0" fontId="2" fillId="0" borderId="18" xfId="0" applyFont="1" applyBorder="1" applyAlignment="1">
      <alignment wrapText="1"/>
    </xf>
    <xf numFmtId="0" fontId="2" fillId="0" borderId="20" xfId="0" applyFont="1" applyBorder="1"/>
    <xf numFmtId="164" fontId="2" fillId="0" borderId="20" xfId="1" applyNumberFormat="1" applyFont="1" applyBorder="1" applyAlignment="1">
      <alignment wrapText="1"/>
    </xf>
    <xf numFmtId="164" fontId="2" fillId="0" borderId="20" xfId="1" applyNumberFormat="1" applyFont="1" applyBorder="1" applyAlignment="1">
      <alignment vertical="center" wrapText="1"/>
    </xf>
    <xf numFmtId="164" fontId="2" fillId="0" borderId="20" xfId="0" applyNumberFormat="1" applyFont="1" applyBorder="1"/>
    <xf numFmtId="0" fontId="2" fillId="0" borderId="19" xfId="0" applyFont="1" applyBorder="1"/>
    <xf numFmtId="0" fontId="2" fillId="0" borderId="10" xfId="0" applyFont="1" applyBorder="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11" xfId="0" applyFont="1" applyBorder="1" applyAlignment="1">
      <alignment horizontal="center" wrapText="1"/>
    </xf>
    <xf numFmtId="0" fontId="2" fillId="0" borderId="11" xfId="0" applyFont="1" applyBorder="1" applyAlignment="1">
      <alignment wrapText="1"/>
    </xf>
    <xf numFmtId="14" fontId="0" fillId="0" borderId="10" xfId="0" applyNumberFormat="1" applyBorder="1"/>
    <xf numFmtId="14" fontId="0" fillId="0" borderId="0" xfId="0" applyNumberFormat="1" applyBorder="1"/>
    <xf numFmtId="164" fontId="5" fillId="0" borderId="0" xfId="1" applyNumberFormat="1" applyFont="1" applyBorder="1" applyAlignment="1"/>
    <xf numFmtId="2" fontId="0" fillId="0" borderId="12" xfId="0" applyNumberFormat="1" applyBorder="1"/>
    <xf numFmtId="2" fontId="0" fillId="0" borderId="13" xfId="0" applyNumberFormat="1" applyBorder="1"/>
    <xf numFmtId="164" fontId="5" fillId="0" borderId="13" xfId="1" applyNumberFormat="1" applyFont="1" applyBorder="1" applyAlignment="1"/>
    <xf numFmtId="164" fontId="0" fillId="0" borderId="10" xfId="1" applyNumberFormat="1" applyFont="1" applyBorder="1" applyAlignment="1">
      <alignment wrapText="1"/>
    </xf>
    <xf numFmtId="0" fontId="26" fillId="0" borderId="7" xfId="0" applyFont="1" applyBorder="1"/>
    <xf numFmtId="0" fontId="2" fillId="0" borderId="10" xfId="0" applyFont="1" applyBorder="1"/>
    <xf numFmtId="2" fontId="0" fillId="0" borderId="10" xfId="0" applyNumberFormat="1" applyBorder="1" applyAlignment="1">
      <alignment horizontal="center"/>
    </xf>
    <xf numFmtId="173" fontId="0" fillId="0" borderId="0" xfId="0" applyNumberFormat="1" applyBorder="1"/>
    <xf numFmtId="179" fontId="0" fillId="0" borderId="10" xfId="0" applyNumberFormat="1" applyBorder="1" applyAlignment="1">
      <alignment horizontal="center"/>
    </xf>
    <xf numFmtId="0" fontId="0" fillId="0" borderId="10" xfId="0" applyBorder="1" applyAlignment="1">
      <alignment horizontal="center"/>
    </xf>
    <xf numFmtId="0" fontId="2" fillId="0" borderId="7" xfId="0" applyFont="1" applyBorder="1" applyAlignment="1">
      <alignment horizontal="center" wrapText="1"/>
    </xf>
    <xf numFmtId="173" fontId="0" fillId="0" borderId="10" xfId="0" applyNumberFormat="1" applyBorder="1" applyAlignment="1"/>
    <xf numFmtId="173" fontId="0" fillId="0" borderId="10" xfId="0" applyNumberFormat="1" applyBorder="1"/>
    <xf numFmtId="43" fontId="0" fillId="0" borderId="10" xfId="0" applyNumberFormat="1" applyBorder="1"/>
    <xf numFmtId="0" fontId="2" fillId="0" borderId="18" xfId="0" applyFont="1" applyFill="1" applyBorder="1" applyAlignment="1">
      <alignment wrapText="1"/>
    </xf>
    <xf numFmtId="0" fontId="2" fillId="0" borderId="20" xfId="0" applyFont="1" applyFill="1" applyBorder="1" applyAlignment="1">
      <alignment wrapText="1"/>
    </xf>
    <xf numFmtId="164" fontId="2" fillId="0" borderId="20" xfId="0" applyNumberFormat="1" applyFont="1" applyBorder="1" applyAlignment="1"/>
    <xf numFmtId="164" fontId="2" fillId="0" borderId="20" xfId="1" applyNumberFormat="1" applyFont="1" applyBorder="1"/>
    <xf numFmtId="43" fontId="0" fillId="0" borderId="0" xfId="0" applyNumberFormat="1" applyFont="1"/>
    <xf numFmtId="177" fontId="0" fillId="0" borderId="0" xfId="0" applyNumberFormat="1" applyFill="1" applyBorder="1"/>
    <xf numFmtId="0" fontId="0" fillId="0" borderId="0" xfId="0" quotePrefix="1" applyFont="1" applyBorder="1" applyAlignment="1">
      <alignment wrapText="1"/>
    </xf>
    <xf numFmtId="0" fontId="3" fillId="0" borderId="0" xfId="2" applyBorder="1" applyAlignment="1">
      <alignment wrapText="1"/>
    </xf>
    <xf numFmtId="0" fontId="2" fillId="0" borderId="0" xfId="0" applyFont="1" applyBorder="1" applyAlignment="1"/>
    <xf numFmtId="2" fontId="0" fillId="0" borderId="0" xfId="0" applyNumberFormat="1" applyFont="1" applyBorder="1" applyAlignment="1">
      <alignment horizontal="center"/>
    </xf>
    <xf numFmtId="2" fontId="0" fillId="0" borderId="0" xfId="0" applyNumberFormat="1" applyFont="1" applyBorder="1"/>
    <xf numFmtId="0" fontId="3" fillId="0" borderId="0" xfId="2" applyBorder="1"/>
    <xf numFmtId="173" fontId="0" fillId="0" borderId="0" xfId="0" applyNumberFormat="1" applyFill="1" applyBorder="1" applyAlignment="1">
      <alignment horizontal="center"/>
    </xf>
    <xf numFmtId="1" fontId="0" fillId="0" borderId="0" xfId="4" applyNumberFormat="1" applyFont="1" applyBorder="1"/>
    <xf numFmtId="0" fontId="0" fillId="0" borderId="0" xfId="0" applyFont="1" applyBorder="1" applyAlignment="1"/>
    <xf numFmtId="10" fontId="0" fillId="0" borderId="0" xfId="0" applyNumberFormat="1" applyBorder="1"/>
    <xf numFmtId="10" fontId="0" fillId="0" borderId="0" xfId="4" applyNumberFormat="1" applyFont="1" applyBorder="1"/>
    <xf numFmtId="10" fontId="0" fillId="0" borderId="0" xfId="4" applyNumberFormat="1" applyFont="1" applyBorder="1" applyAlignment="1">
      <alignment wrapText="1"/>
    </xf>
    <xf numFmtId="10" fontId="0" fillId="0" borderId="0" xfId="4" applyNumberFormat="1" applyFont="1" applyBorder="1" applyAlignment="1"/>
    <xf numFmtId="10" fontId="3" fillId="0" borderId="0" xfId="4" applyNumberFormat="1" applyFont="1" applyBorder="1" applyAlignment="1">
      <alignment wrapText="1"/>
    </xf>
    <xf numFmtId="10" fontId="3" fillId="0" borderId="0" xfId="4" applyNumberFormat="1" applyFont="1" applyBorder="1"/>
    <xf numFmtId="10" fontId="0" fillId="0" borderId="0" xfId="0" applyNumberFormat="1" applyBorder="1" applyAlignment="1">
      <alignment horizontal="right" indent="1"/>
    </xf>
    <xf numFmtId="10" fontId="0" fillId="0" borderId="0" xfId="0" applyNumberFormat="1" applyBorder="1" applyAlignment="1">
      <alignment horizontal="right" wrapText="1" indent="1"/>
    </xf>
    <xf numFmtId="164" fontId="0" fillId="0" borderId="13" xfId="1" applyNumberFormat="1" applyFont="1" applyBorder="1" applyAlignment="1">
      <alignment vertical="center" wrapText="1"/>
    </xf>
    <xf numFmtId="10" fontId="0" fillId="0" borderId="13" xfId="4" applyNumberFormat="1" applyFont="1" applyBorder="1" applyAlignment="1"/>
    <xf numFmtId="10" fontId="0" fillId="0" borderId="13" xfId="4" applyNumberFormat="1" applyFont="1" applyBorder="1" applyAlignment="1">
      <alignment wrapText="1"/>
    </xf>
    <xf numFmtId="1" fontId="0" fillId="6" borderId="0" xfId="0" applyNumberFormat="1" applyFill="1" applyBorder="1" applyAlignment="1">
      <alignment horizontal="center"/>
    </xf>
    <xf numFmtId="1" fontId="0" fillId="0" borderId="0" xfId="0" applyNumberFormat="1" applyFill="1" applyBorder="1"/>
    <xf numFmtId="0" fontId="2" fillId="6" borderId="10" xfId="0" applyFont="1" applyFill="1" applyBorder="1" applyAlignment="1">
      <alignment horizontal="left" wrapText="1"/>
    </xf>
    <xf numFmtId="0" fontId="2" fillId="6" borderId="0" xfId="0" applyFont="1" applyFill="1" applyAlignment="1">
      <alignment wrapText="1"/>
    </xf>
    <xf numFmtId="0" fontId="4" fillId="6" borderId="0" xfId="0" applyFont="1" applyFill="1" applyBorder="1" applyAlignment="1"/>
    <xf numFmtId="164" fontId="0" fillId="6" borderId="0" xfId="1" applyNumberFormat="1" applyFont="1" applyFill="1" applyBorder="1" applyAlignment="1">
      <alignment vertical="center" wrapText="1"/>
    </xf>
    <xf numFmtId="165" fontId="6" fillId="6" borderId="0" xfId="3" applyNumberFormat="1" applyFont="1" applyFill="1" applyBorder="1" applyAlignment="1">
      <alignment horizontal="right"/>
    </xf>
    <xf numFmtId="164" fontId="0" fillId="6" borderId="11" xfId="1" applyNumberFormat="1" applyFont="1" applyFill="1" applyBorder="1" applyAlignment="1">
      <alignment vertical="center" wrapText="1"/>
    </xf>
    <xf numFmtId="164" fontId="0" fillId="6" borderId="10" xfId="0" applyNumberFormat="1" applyFill="1" applyBorder="1"/>
    <xf numFmtId="164" fontId="0" fillId="6" borderId="0" xfId="1" applyNumberFormat="1" applyFont="1" applyFill="1" applyBorder="1"/>
    <xf numFmtId="172" fontId="6" fillId="6" borderId="0" xfId="3" applyNumberFormat="1" applyFont="1" applyFill="1" applyBorder="1" applyAlignment="1">
      <alignment horizontal="right"/>
    </xf>
    <xf numFmtId="174" fontId="6" fillId="6" borderId="0" xfId="3" applyNumberFormat="1" applyFont="1" applyFill="1" applyBorder="1" applyAlignment="1">
      <alignment horizontal="right"/>
    </xf>
    <xf numFmtId="4" fontId="6" fillId="6" borderId="11" xfId="3" applyNumberFormat="1" applyFont="1" applyFill="1" applyBorder="1" applyAlignment="1">
      <alignment horizontal="right"/>
    </xf>
    <xf numFmtId="1" fontId="0" fillId="6" borderId="0" xfId="0" applyNumberFormat="1" applyFill="1" applyBorder="1"/>
    <xf numFmtId="165" fontId="6" fillId="0" borderId="0" xfId="3" applyNumberFormat="1" applyFont="1" applyFill="1" applyBorder="1" applyAlignment="1">
      <alignment horizontal="right" wrapText="1"/>
    </xf>
    <xf numFmtId="185" fontId="0" fillId="0" borderId="0" xfId="0" applyNumberFormat="1" applyFill="1" applyBorder="1" applyAlignment="1">
      <alignment horizontal="center"/>
    </xf>
    <xf numFmtId="0" fontId="4" fillId="6" borderId="0" xfId="0" applyFont="1" applyFill="1" applyBorder="1" applyAlignment="1">
      <alignment wrapText="1"/>
    </xf>
    <xf numFmtId="0" fontId="4" fillId="7" borderId="0" xfId="0" applyFont="1" applyFill="1" applyBorder="1" applyAlignment="1"/>
    <xf numFmtId="165" fontId="6" fillId="6" borderId="0" xfId="3" applyNumberFormat="1" applyFont="1" applyFill="1" applyBorder="1" applyAlignment="1">
      <alignment horizontal="left" wrapText="1"/>
    </xf>
    <xf numFmtId="164" fontId="0" fillId="7" borderId="0" xfId="1" applyNumberFormat="1" applyFont="1" applyFill="1" applyBorder="1" applyAlignment="1">
      <alignment vertical="center" wrapText="1"/>
    </xf>
    <xf numFmtId="165" fontId="6" fillId="7" borderId="0" xfId="3" applyNumberFormat="1" applyFont="1" applyFill="1" applyBorder="1" applyAlignment="1">
      <alignment horizontal="left" wrapText="1"/>
    </xf>
    <xf numFmtId="164" fontId="0" fillId="7" borderId="11" xfId="1" applyNumberFormat="1" applyFont="1" applyFill="1" applyBorder="1" applyAlignment="1">
      <alignment vertical="center" wrapText="1"/>
    </xf>
    <xf numFmtId="165" fontId="6" fillId="0" borderId="0" xfId="3" applyNumberFormat="1" applyFont="1" applyFill="1" applyBorder="1" applyAlignment="1">
      <alignment horizontal="left" wrapText="1"/>
    </xf>
    <xf numFmtId="164" fontId="0" fillId="7" borderId="10" xfId="0" applyNumberFormat="1" applyFill="1" applyBorder="1"/>
    <xf numFmtId="1" fontId="0" fillId="7" borderId="0" xfId="0" applyNumberFormat="1" applyFill="1" applyBorder="1" applyAlignment="1">
      <alignment horizontal="center"/>
    </xf>
    <xf numFmtId="164" fontId="0" fillId="7" borderId="0" xfId="1" applyNumberFormat="1" applyFont="1" applyFill="1" applyBorder="1"/>
    <xf numFmtId="11" fontId="6" fillId="0" borderId="0" xfId="3" applyNumberFormat="1" applyFont="1" applyFill="1" applyBorder="1" applyAlignment="1">
      <alignment horizontal="right"/>
    </xf>
    <xf numFmtId="189" fontId="6" fillId="6" borderId="11" xfId="3" applyNumberFormat="1" applyFont="1" applyFill="1" applyBorder="1" applyAlignment="1">
      <alignment horizontal="right"/>
    </xf>
    <xf numFmtId="192" fontId="6" fillId="6" borderId="11" xfId="3" applyNumberFormat="1" applyFont="1" applyFill="1" applyBorder="1" applyAlignment="1">
      <alignment horizontal="right"/>
    </xf>
    <xf numFmtId="172" fontId="6" fillId="7" borderId="0" xfId="3" applyNumberFormat="1" applyFont="1" applyFill="1" applyBorder="1" applyAlignment="1">
      <alignment horizontal="right"/>
    </xf>
    <xf numFmtId="174" fontId="6" fillId="7" borderId="0" xfId="3" applyNumberFormat="1" applyFont="1" applyFill="1" applyBorder="1" applyAlignment="1">
      <alignment horizontal="right"/>
    </xf>
    <xf numFmtId="4" fontId="6" fillId="7" borderId="11" xfId="3" applyNumberFormat="1" applyFont="1" applyFill="1" applyBorder="1" applyAlignment="1">
      <alignment horizontal="right"/>
    </xf>
    <xf numFmtId="1" fontId="0" fillId="7" borderId="0" xfId="0" applyNumberFormat="1" applyFill="1" applyBorder="1"/>
    <xf numFmtId="1" fontId="0" fillId="6" borderId="10" xfId="0" applyNumberFormat="1" applyFill="1" applyBorder="1"/>
    <xf numFmtId="1" fontId="0" fillId="7" borderId="10" xfId="0" applyNumberFormat="1" applyFill="1" applyBorder="1"/>
    <xf numFmtId="166" fontId="6" fillId="6" borderId="10" xfId="3" applyNumberFormat="1" applyFont="1" applyFill="1" applyBorder="1" applyAlignment="1">
      <alignment horizontal="right"/>
    </xf>
    <xf numFmtId="166" fontId="6" fillId="7" borderId="10" xfId="3" applyNumberFormat="1" applyFont="1" applyFill="1" applyBorder="1" applyAlignment="1">
      <alignment horizontal="right"/>
    </xf>
    <xf numFmtId="0" fontId="0" fillId="8" borderId="0" xfId="0" applyFill="1"/>
    <xf numFmtId="173" fontId="0" fillId="8" borderId="0" xfId="0" applyNumberFormat="1" applyFill="1"/>
    <xf numFmtId="164" fontId="0" fillId="6" borderId="0" xfId="1" applyNumberFormat="1" applyFont="1" applyFill="1" applyAlignment="1">
      <alignment horizontal="center"/>
    </xf>
    <xf numFmtId="164" fontId="0" fillId="6" borderId="0" xfId="1" applyNumberFormat="1" applyFont="1" applyFill="1" applyBorder="1" applyAlignment="1">
      <alignment horizontal="center" wrapText="1"/>
    </xf>
    <xf numFmtId="169" fontId="0" fillId="6" borderId="0" xfId="1" applyNumberFormat="1" applyFont="1" applyFill="1" applyBorder="1" applyAlignment="1">
      <alignment wrapText="1"/>
    </xf>
    <xf numFmtId="169" fontId="0" fillId="6" borderId="11" xfId="1" applyNumberFormat="1" applyFont="1" applyFill="1" applyBorder="1" applyAlignment="1">
      <alignment wrapText="1"/>
    </xf>
    <xf numFmtId="43" fontId="0" fillId="6" borderId="0" xfId="1" applyNumberFormat="1" applyFont="1" applyFill="1" applyBorder="1" applyAlignment="1">
      <alignment wrapText="1"/>
    </xf>
    <xf numFmtId="43" fontId="0" fillId="6" borderId="11" xfId="1" applyNumberFormat="1" applyFont="1" applyFill="1" applyBorder="1" applyAlignment="1">
      <alignment wrapText="1"/>
    </xf>
    <xf numFmtId="0" fontId="2" fillId="9" borderId="10" xfId="0" applyFont="1" applyFill="1" applyBorder="1" applyAlignment="1">
      <alignment horizontal="left" wrapText="1"/>
    </xf>
    <xf numFmtId="0" fontId="2" fillId="9" borderId="0" xfId="0" applyFont="1" applyFill="1" applyAlignment="1">
      <alignment wrapText="1"/>
    </xf>
    <xf numFmtId="164" fontId="0" fillId="9" borderId="0" xfId="1" applyNumberFormat="1" applyFont="1" applyFill="1" applyBorder="1" applyAlignment="1">
      <alignment vertical="center" wrapText="1"/>
    </xf>
    <xf numFmtId="165" fontId="6" fillId="9" borderId="0" xfId="3" applyNumberFormat="1" applyFont="1" applyFill="1" applyBorder="1" applyAlignment="1">
      <alignment horizontal="right"/>
    </xf>
    <xf numFmtId="164" fontId="0" fillId="9" borderId="10" xfId="0" applyNumberFormat="1" applyFill="1" applyBorder="1"/>
    <xf numFmtId="1" fontId="0" fillId="9" borderId="0" xfId="0" applyNumberFormat="1" applyFill="1" applyBorder="1" applyAlignment="1">
      <alignment horizontal="center"/>
    </xf>
    <xf numFmtId="164" fontId="0" fillId="9" borderId="0" xfId="1" applyNumberFormat="1" applyFont="1" applyFill="1" applyBorder="1"/>
    <xf numFmtId="164" fontId="0" fillId="9" borderId="0" xfId="1" applyNumberFormat="1" applyFont="1" applyFill="1" applyAlignment="1">
      <alignment horizontal="center"/>
    </xf>
    <xf numFmtId="164" fontId="0" fillId="9" borderId="0" xfId="1" applyNumberFormat="1" applyFont="1" applyFill="1" applyBorder="1" applyAlignment="1">
      <alignment horizontal="center" wrapText="1"/>
    </xf>
    <xf numFmtId="43" fontId="0" fillId="9" borderId="0" xfId="1" applyNumberFormat="1" applyFont="1" applyFill="1" applyBorder="1" applyAlignment="1">
      <alignment wrapText="1"/>
    </xf>
    <xf numFmtId="174" fontId="6" fillId="9" borderId="0" xfId="3" applyNumberFormat="1" applyFont="1" applyFill="1" applyBorder="1" applyAlignment="1">
      <alignment horizontal="right"/>
    </xf>
    <xf numFmtId="43" fontId="0" fillId="9" borderId="11" xfId="1" applyNumberFormat="1" applyFont="1" applyFill="1" applyBorder="1" applyAlignment="1">
      <alignment wrapText="1"/>
    </xf>
    <xf numFmtId="1" fontId="0" fillId="9" borderId="0" xfId="0" applyNumberFormat="1" applyFill="1" applyBorder="1"/>
    <xf numFmtId="1" fontId="0" fillId="9" borderId="10" xfId="0" applyNumberFormat="1" applyFill="1" applyBorder="1"/>
    <xf numFmtId="166" fontId="6" fillId="9" borderId="10" xfId="3" applyNumberFormat="1" applyFont="1" applyFill="1" applyBorder="1" applyAlignment="1">
      <alignment horizontal="right"/>
    </xf>
    <xf numFmtId="174" fontId="0" fillId="8" borderId="0" xfId="0" applyNumberFormat="1" applyFont="1" applyFill="1" applyBorder="1"/>
    <xf numFmtId="2" fontId="0" fillId="0" borderId="14" xfId="0" applyNumberFormat="1" applyBorder="1" applyAlignment="1">
      <alignment wrapText="1"/>
    </xf>
    <xf numFmtId="164" fontId="0" fillId="0" borderId="0" xfId="1" applyNumberFormat="1" applyFont="1" applyBorder="1" applyAlignment="1">
      <alignment horizontal="center"/>
    </xf>
    <xf numFmtId="43" fontId="0" fillId="0" borderId="0" xfId="0" applyNumberFormat="1" applyBorder="1"/>
    <xf numFmtId="166" fontId="0" fillId="0" borderId="0" xfId="0" applyNumberFormat="1" applyFont="1" applyBorder="1"/>
    <xf numFmtId="172" fontId="0" fillId="0" borderId="0" xfId="0" applyNumberFormat="1" applyBorder="1"/>
    <xf numFmtId="193" fontId="0" fillId="0" borderId="0" xfId="0" applyNumberFormat="1" applyFont="1" applyBorder="1"/>
    <xf numFmtId="10" fontId="2" fillId="0" borderId="0" xfId="4" applyNumberFormat="1" applyFont="1" applyBorder="1"/>
    <xf numFmtId="178" fontId="0" fillId="0" borderId="0" xfId="1" applyNumberFormat="1" applyFont="1" applyFill="1" applyBorder="1" applyAlignment="1">
      <alignment vertical="center" wrapText="1"/>
    </xf>
    <xf numFmtId="10" fontId="0" fillId="0" borderId="0" xfId="0" applyNumberFormat="1" applyFont="1"/>
    <xf numFmtId="10" fontId="0" fillId="0" borderId="0" xfId="0" applyNumberFormat="1"/>
    <xf numFmtId="10" fontId="0" fillId="0" borderId="0" xfId="0" applyNumberFormat="1" applyAlignment="1">
      <alignment wrapText="1"/>
    </xf>
    <xf numFmtId="10" fontId="0" fillId="0" borderId="0" xfId="0" applyNumberFormat="1" applyAlignment="1"/>
    <xf numFmtId="10" fontId="0" fillId="0" borderId="0" xfId="0" applyNumberFormat="1" applyFont="1" applyAlignment="1"/>
    <xf numFmtId="0" fontId="2" fillId="7" borderId="10" xfId="0" applyFont="1" applyFill="1" applyBorder="1" applyAlignment="1">
      <alignment horizontal="left" wrapText="1"/>
    </xf>
    <xf numFmtId="0" fontId="2" fillId="7" borderId="0" xfId="0" applyFont="1" applyFill="1" applyAlignment="1">
      <alignment wrapText="1"/>
    </xf>
    <xf numFmtId="165" fontId="6" fillId="7" borderId="0" xfId="3" applyNumberFormat="1" applyFont="1" applyFill="1" applyBorder="1" applyAlignment="1">
      <alignment horizontal="right"/>
    </xf>
    <xf numFmtId="0" fontId="27" fillId="4" borderId="24" xfId="0" applyFont="1" applyFill="1" applyBorder="1" applyAlignment="1" applyProtection="1">
      <alignment horizontal="center" vertical="center" wrapText="1"/>
    </xf>
    <xf numFmtId="0" fontId="0" fillId="6" borderId="18" xfId="0" applyFill="1" applyBorder="1" applyAlignment="1">
      <alignment wrapText="1"/>
    </xf>
    <xf numFmtId="0" fontId="0" fillId="6" borderId="20" xfId="0" applyFill="1" applyBorder="1" applyAlignment="1">
      <alignment wrapText="1"/>
    </xf>
    <xf numFmtId="0" fontId="0" fillId="6" borderId="20" xfId="0" applyFont="1" applyFill="1" applyBorder="1"/>
    <xf numFmtId="0" fontId="0" fillId="6" borderId="20" xfId="0" applyFont="1" applyFill="1" applyBorder="1" applyAlignment="1">
      <alignment wrapText="1"/>
    </xf>
    <xf numFmtId="187" fontId="6" fillId="6" borderId="11" xfId="3" applyNumberFormat="1" applyFont="1" applyFill="1" applyBorder="1" applyAlignment="1">
      <alignment horizontal="right"/>
    </xf>
    <xf numFmtId="191" fontId="6" fillId="6" borderId="11" xfId="3" applyNumberFormat="1" applyFont="1" applyFill="1" applyBorder="1" applyAlignment="1">
      <alignment horizontal="right"/>
    </xf>
    <xf numFmtId="188" fontId="6" fillId="6" borderId="11" xfId="3" applyNumberFormat="1" applyFont="1" applyFill="1" applyBorder="1" applyAlignment="1">
      <alignment horizontal="right"/>
    </xf>
    <xf numFmtId="174" fontId="6" fillId="6" borderId="11" xfId="3" applyNumberFormat="1" applyFont="1" applyFill="1" applyBorder="1" applyAlignment="1">
      <alignment horizontal="right"/>
    </xf>
    <xf numFmtId="166" fontId="0" fillId="6" borderId="11" xfId="0" applyNumberFormat="1" applyFont="1" applyFill="1" applyBorder="1"/>
    <xf numFmtId="172" fontId="0" fillId="6" borderId="11" xfId="0" applyNumberFormat="1" applyFill="1" applyBorder="1"/>
    <xf numFmtId="193" fontId="0" fillId="6" borderId="11" xfId="0" applyNumberFormat="1" applyFont="1" applyFill="1" applyBorder="1"/>
    <xf numFmtId="174" fontId="0" fillId="6" borderId="20" xfId="0" applyNumberFormat="1" applyFont="1" applyFill="1" applyBorder="1"/>
    <xf numFmtId="174" fontId="0" fillId="6" borderId="19" xfId="0" applyNumberFormat="1" applyFont="1" applyFill="1" applyBorder="1"/>
    <xf numFmtId="0" fontId="0" fillId="6" borderId="8" xfId="0" applyFill="1" applyBorder="1" applyAlignment="1">
      <alignment wrapText="1"/>
    </xf>
    <xf numFmtId="0" fontId="0" fillId="6" borderId="0" xfId="0" applyFill="1" applyBorder="1" applyAlignment="1">
      <alignment wrapText="1"/>
    </xf>
    <xf numFmtId="0" fontId="0" fillId="6" borderId="0" xfId="0" applyFont="1" applyFill="1" applyBorder="1"/>
    <xf numFmtId="0" fontId="0" fillId="6" borderId="0" xfId="0" applyFont="1" applyFill="1" applyBorder="1" applyAlignment="1">
      <alignment wrapText="1"/>
    </xf>
    <xf numFmtId="190" fontId="6" fillId="6" borderId="11" xfId="3" applyNumberFormat="1" applyFont="1" applyFill="1" applyBorder="1" applyAlignment="1">
      <alignment horizontal="right"/>
    </xf>
    <xf numFmtId="174" fontId="0" fillId="6" borderId="0" xfId="0" applyNumberFormat="1" applyFont="1" applyFill="1" applyBorder="1"/>
    <xf numFmtId="174" fontId="0" fillId="6" borderId="13" xfId="0" applyNumberFormat="1" applyFont="1" applyFill="1" applyBorder="1"/>
    <xf numFmtId="4" fontId="6" fillId="6" borderId="20" xfId="3" applyNumberFormat="1" applyFont="1" applyFill="1" applyBorder="1" applyAlignment="1">
      <alignment horizontal="right"/>
    </xf>
    <xf numFmtId="187" fontId="6" fillId="6" borderId="20" xfId="3" applyNumberFormat="1" applyFont="1" applyFill="1" applyBorder="1" applyAlignment="1">
      <alignment horizontal="right"/>
    </xf>
    <xf numFmtId="190" fontId="6" fillId="6" borderId="20" xfId="3" applyNumberFormat="1" applyFont="1" applyFill="1" applyBorder="1" applyAlignment="1">
      <alignment horizontal="right"/>
    </xf>
    <xf numFmtId="189" fontId="6" fillId="6" borderId="20" xfId="3" applyNumberFormat="1" applyFont="1" applyFill="1" applyBorder="1" applyAlignment="1">
      <alignment horizontal="right"/>
    </xf>
    <xf numFmtId="192" fontId="6" fillId="6" borderId="20" xfId="3" applyNumberFormat="1" applyFont="1" applyFill="1" applyBorder="1" applyAlignment="1">
      <alignment horizontal="right"/>
    </xf>
    <xf numFmtId="174" fontId="6" fillId="6" borderId="20" xfId="3" applyNumberFormat="1" applyFont="1" applyFill="1" applyBorder="1" applyAlignment="1">
      <alignment horizontal="right"/>
    </xf>
    <xf numFmtId="166" fontId="0" fillId="6" borderId="20" xfId="0" applyNumberFormat="1" applyFont="1" applyFill="1" applyBorder="1"/>
    <xf numFmtId="172" fontId="0" fillId="6" borderId="20" xfId="0" applyNumberFormat="1" applyFill="1" applyBorder="1"/>
    <xf numFmtId="193" fontId="0" fillId="6" borderId="20" xfId="0" applyNumberFormat="1" applyFont="1" applyFill="1" applyBorder="1"/>
    <xf numFmtId="198" fontId="0" fillId="0" borderId="0" xfId="0" applyNumberFormat="1" applyBorder="1"/>
    <xf numFmtId="197" fontId="0" fillId="0" borderId="11" xfId="0" applyNumberFormat="1" applyBorder="1"/>
    <xf numFmtId="199" fontId="6" fillId="6" borderId="11" xfId="3" applyNumberFormat="1" applyFont="1" applyFill="1" applyBorder="1" applyAlignment="1">
      <alignment horizontal="right"/>
    </xf>
    <xf numFmtId="178" fontId="0" fillId="6" borderId="11" xfId="1" applyNumberFormat="1" applyFont="1" applyFill="1" applyBorder="1" applyAlignment="1">
      <alignment vertical="center" wrapText="1"/>
    </xf>
    <xf numFmtId="178" fontId="0" fillId="7" borderId="11" xfId="1" applyNumberFormat="1" applyFont="1" applyFill="1" applyBorder="1" applyAlignment="1">
      <alignment vertical="center" wrapText="1"/>
    </xf>
    <xf numFmtId="0" fontId="2" fillId="0" borderId="10" xfId="0" applyFont="1" applyFill="1" applyBorder="1" applyAlignment="1">
      <alignment horizontal="left" wrapText="1"/>
    </xf>
    <xf numFmtId="0" fontId="2" fillId="0" borderId="0" xfId="0" applyFont="1" applyFill="1" applyAlignment="1">
      <alignment wrapText="1"/>
    </xf>
    <xf numFmtId="164" fontId="0" fillId="0" borderId="11" xfId="1" applyNumberFormat="1" applyFont="1" applyFill="1" applyBorder="1" applyAlignment="1">
      <alignment vertical="center" wrapText="1"/>
    </xf>
    <xf numFmtId="164" fontId="0" fillId="0" borderId="10" xfId="0" applyNumberFormat="1" applyFill="1" applyBorder="1"/>
    <xf numFmtId="1" fontId="0" fillId="0" borderId="10" xfId="0" applyNumberFormat="1" applyFill="1" applyBorder="1"/>
    <xf numFmtId="178" fontId="0" fillId="0" borderId="11" xfId="1" applyNumberFormat="1" applyFont="1" applyFill="1" applyBorder="1" applyAlignment="1">
      <alignment vertical="center" wrapText="1"/>
    </xf>
    <xf numFmtId="0" fontId="29" fillId="0" borderId="0" xfId="0" applyFont="1" applyAlignment="1">
      <alignment horizontal="left" vertical="top"/>
    </xf>
    <xf numFmtId="0" fontId="29" fillId="0" borderId="7" xfId="0" applyFont="1" applyBorder="1" applyAlignment="1">
      <alignment horizontal="left" vertical="top"/>
    </xf>
    <xf numFmtId="0" fontId="29" fillId="0" borderId="8" xfId="0" applyFont="1" applyBorder="1" applyAlignment="1">
      <alignment horizontal="left" vertical="top"/>
    </xf>
    <xf numFmtId="0" fontId="29" fillId="0" borderId="9" xfId="0" applyFont="1" applyBorder="1" applyAlignment="1">
      <alignment horizontal="left" vertical="top"/>
    </xf>
    <xf numFmtId="0" fontId="28" fillId="0" borderId="10" xfId="0" applyFont="1" applyBorder="1" applyAlignment="1">
      <alignment horizontal="left" vertical="top" wrapText="1"/>
    </xf>
    <xf numFmtId="0" fontId="28" fillId="0" borderId="0" xfId="0" applyFont="1" applyBorder="1" applyAlignment="1">
      <alignment horizontal="left" vertical="top" wrapText="1"/>
    </xf>
    <xf numFmtId="165" fontId="30" fillId="0" borderId="0" xfId="3" applyNumberFormat="1" applyFont="1" applyFill="1" applyBorder="1" applyAlignment="1">
      <alignment horizontal="left" vertical="top" wrapText="1"/>
    </xf>
    <xf numFmtId="0" fontId="28" fillId="0" borderId="0" xfId="0" applyFont="1" applyAlignment="1">
      <alignment horizontal="left" vertical="top"/>
    </xf>
    <xf numFmtId="0" fontId="29" fillId="0" borderId="0" xfId="0" applyFont="1" applyAlignment="1">
      <alignment horizontal="left" vertical="top" wrapText="1"/>
    </xf>
    <xf numFmtId="0" fontId="29" fillId="0" borderId="18" xfId="0" applyFont="1" applyBorder="1" applyAlignment="1">
      <alignment horizontal="left" vertical="top"/>
    </xf>
    <xf numFmtId="0" fontId="29" fillId="0" borderId="18" xfId="0" applyFont="1" applyBorder="1" applyAlignment="1">
      <alignment horizontal="left" vertical="top" wrapText="1"/>
    </xf>
    <xf numFmtId="0" fontId="29" fillId="0" borderId="0" xfId="0" applyFont="1" applyBorder="1" applyAlignment="1">
      <alignment horizontal="left" vertical="top" wrapText="1"/>
    </xf>
    <xf numFmtId="0" fontId="29" fillId="0" borderId="20" xfId="0" applyFont="1" applyBorder="1" applyAlignment="1">
      <alignment horizontal="left" vertical="top"/>
    </xf>
    <xf numFmtId="0" fontId="29" fillId="0" borderId="20" xfId="0" applyFont="1" applyBorder="1" applyAlignment="1">
      <alignment horizontal="left" vertical="top" wrapText="1"/>
    </xf>
    <xf numFmtId="0" fontId="29" fillId="0" borderId="19" xfId="0" applyFont="1" applyBorder="1" applyAlignment="1">
      <alignment horizontal="left" vertical="top"/>
    </xf>
    <xf numFmtId="0" fontId="29" fillId="0" borderId="0" xfId="0" applyFont="1" applyBorder="1" applyAlignment="1">
      <alignment horizontal="left" vertical="top"/>
    </xf>
    <xf numFmtId="43" fontId="29" fillId="0" borderId="0" xfId="0" applyNumberFormat="1" applyFont="1" applyAlignment="1">
      <alignment horizontal="left" vertical="top" wrapText="1"/>
    </xf>
    <xf numFmtId="0" fontId="29" fillId="0" borderId="8" xfId="0" applyFont="1" applyBorder="1" applyAlignment="1">
      <alignment horizontal="left" vertical="top" wrapText="1"/>
    </xf>
    <xf numFmtId="0" fontId="29" fillId="0" borderId="7" xfId="0" applyFont="1" applyBorder="1" applyAlignment="1">
      <alignment horizontal="left" vertical="top" wrapText="1"/>
    </xf>
    <xf numFmtId="0" fontId="29" fillId="0" borderId="9" xfId="0" applyFont="1" applyBorder="1" applyAlignment="1">
      <alignment horizontal="left" vertical="top" wrapText="1"/>
    </xf>
    <xf numFmtId="0" fontId="29" fillId="0" borderId="10" xfId="0" applyFont="1" applyBorder="1" applyAlignment="1">
      <alignment horizontal="left" vertical="top"/>
    </xf>
    <xf numFmtId="0" fontId="29" fillId="0" borderId="11" xfId="0" applyFont="1" applyBorder="1" applyAlignment="1">
      <alignment horizontal="left" vertical="top" wrapText="1"/>
    </xf>
    <xf numFmtId="0" fontId="29" fillId="0" borderId="10" xfId="0" applyFont="1" applyBorder="1" applyAlignment="1">
      <alignment horizontal="left" vertical="top" wrapText="1"/>
    </xf>
    <xf numFmtId="0" fontId="29" fillId="0" borderId="11" xfId="0" applyFont="1" applyBorder="1" applyAlignment="1">
      <alignment horizontal="left" vertical="top"/>
    </xf>
    <xf numFmtId="164" fontId="29" fillId="0" borderId="0" xfId="1" applyNumberFormat="1" applyFont="1" applyBorder="1" applyAlignment="1">
      <alignment horizontal="left" vertical="top" wrapText="1"/>
    </xf>
    <xf numFmtId="1" fontId="29" fillId="0" borderId="0" xfId="0" applyNumberFormat="1" applyFont="1" applyBorder="1" applyAlignment="1">
      <alignment horizontal="left" vertical="top"/>
    </xf>
    <xf numFmtId="164" fontId="29" fillId="0" borderId="0" xfId="1" applyNumberFormat="1" applyFont="1" applyBorder="1" applyAlignment="1">
      <alignment horizontal="left" vertical="top"/>
    </xf>
    <xf numFmtId="173" fontId="30" fillId="0" borderId="0" xfId="3" applyNumberFormat="1" applyFont="1" applyFill="1" applyBorder="1" applyAlignment="1">
      <alignment horizontal="left" vertical="top"/>
    </xf>
    <xf numFmtId="200" fontId="30" fillId="0" borderId="11" xfId="3" applyNumberFormat="1" applyFont="1" applyFill="1" applyBorder="1" applyAlignment="1">
      <alignment horizontal="left" vertical="top"/>
    </xf>
    <xf numFmtId="1" fontId="29" fillId="0" borderId="10" xfId="0" applyNumberFormat="1" applyFont="1" applyBorder="1" applyAlignment="1">
      <alignment horizontal="left" vertical="top"/>
    </xf>
    <xf numFmtId="164" fontId="29" fillId="0" borderId="0" xfId="1" applyNumberFormat="1" applyFont="1" applyFill="1" applyBorder="1" applyAlignment="1">
      <alignment horizontal="left" vertical="top" wrapText="1"/>
    </xf>
    <xf numFmtId="4" fontId="30" fillId="0" borderId="0" xfId="3" applyNumberFormat="1" applyFont="1" applyFill="1" applyBorder="1" applyAlignment="1">
      <alignment horizontal="left" vertical="top"/>
    </xf>
    <xf numFmtId="192" fontId="30" fillId="0" borderId="0" xfId="3" applyNumberFormat="1" applyFont="1" applyFill="1" applyBorder="1" applyAlignment="1">
      <alignment horizontal="left" vertical="top"/>
    </xf>
    <xf numFmtId="166" fontId="30" fillId="0" borderId="10" xfId="3" applyNumberFormat="1" applyFont="1" applyFill="1" applyBorder="1" applyAlignment="1">
      <alignment horizontal="left" vertical="top"/>
    </xf>
    <xf numFmtId="0" fontId="31" fillId="0" borderId="0" xfId="0" applyFont="1" applyFill="1" applyBorder="1" applyAlignment="1">
      <alignment horizontal="left" vertical="top"/>
    </xf>
    <xf numFmtId="9" fontId="29" fillId="0" borderId="0" xfId="0" applyNumberFormat="1" applyFont="1" applyFill="1" applyBorder="1" applyAlignment="1">
      <alignment horizontal="left" vertical="top"/>
    </xf>
    <xf numFmtId="164" fontId="29" fillId="0" borderId="10" xfId="0" applyNumberFormat="1" applyFont="1" applyBorder="1" applyAlignment="1">
      <alignment horizontal="left" vertical="top"/>
    </xf>
    <xf numFmtId="193" fontId="30" fillId="0" borderId="0" xfId="3" applyNumberFormat="1" applyFont="1" applyFill="1" applyBorder="1" applyAlignment="1">
      <alignment horizontal="left" vertical="top"/>
    </xf>
    <xf numFmtId="189" fontId="30" fillId="0" borderId="0" xfId="3" applyNumberFormat="1" applyFont="1" applyFill="1" applyBorder="1" applyAlignment="1">
      <alignment horizontal="left" vertical="top"/>
    </xf>
    <xf numFmtId="0" fontId="28" fillId="0" borderId="0" xfId="0" applyFont="1" applyAlignment="1">
      <alignment horizontal="left" vertical="top" wrapText="1"/>
    </xf>
    <xf numFmtId="0" fontId="29" fillId="0" borderId="0" xfId="0" applyFont="1" applyFill="1" applyBorder="1" applyAlignment="1">
      <alignment horizontal="left" vertical="top"/>
    </xf>
    <xf numFmtId="191" fontId="30" fillId="0" borderId="0" xfId="3" applyNumberFormat="1" applyFont="1" applyFill="1" applyBorder="1" applyAlignment="1">
      <alignment horizontal="left" vertical="top"/>
    </xf>
    <xf numFmtId="190" fontId="30" fillId="0" borderId="0" xfId="3" applyNumberFormat="1" applyFont="1" applyFill="1" applyBorder="1" applyAlignment="1">
      <alignment horizontal="left" vertical="top"/>
    </xf>
    <xf numFmtId="0" fontId="31" fillId="0" borderId="0" xfId="0" applyFont="1" applyFill="1" applyBorder="1" applyAlignment="1">
      <alignment horizontal="left" vertical="top" wrapText="1"/>
    </xf>
    <xf numFmtId="164" fontId="29" fillId="0" borderId="10" xfId="0" applyNumberFormat="1" applyFont="1" applyFill="1" applyBorder="1" applyAlignment="1">
      <alignment horizontal="left" vertical="top"/>
    </xf>
    <xf numFmtId="1" fontId="29" fillId="0" borderId="0" xfId="0" applyNumberFormat="1" applyFont="1" applyFill="1" applyBorder="1" applyAlignment="1">
      <alignment horizontal="left" vertical="top"/>
    </xf>
    <xf numFmtId="164" fontId="29" fillId="0" borderId="0" xfId="1" applyNumberFormat="1" applyFont="1" applyFill="1" applyBorder="1" applyAlignment="1">
      <alignment horizontal="left" vertical="top"/>
    </xf>
    <xf numFmtId="1" fontId="29" fillId="0" borderId="10" xfId="0" applyNumberFormat="1" applyFont="1" applyFill="1" applyBorder="1" applyAlignment="1">
      <alignment horizontal="left" vertical="top"/>
    </xf>
    <xf numFmtId="178" fontId="29" fillId="0" borderId="0" xfId="1" applyNumberFormat="1" applyFont="1" applyFill="1" applyBorder="1" applyAlignment="1">
      <alignment horizontal="left" vertical="top" wrapText="1"/>
    </xf>
    <xf numFmtId="9" fontId="30" fillId="0" borderId="0" xfId="3" applyNumberFormat="1" applyFont="1" applyFill="1" applyBorder="1" applyAlignment="1">
      <alignment horizontal="left" vertical="top"/>
    </xf>
    <xf numFmtId="0" fontId="29" fillId="0" borderId="10" xfId="0" applyFont="1" applyFill="1" applyBorder="1" applyAlignment="1">
      <alignment horizontal="left" vertical="top"/>
    </xf>
    <xf numFmtId="188" fontId="30" fillId="0" borderId="0" xfId="3" applyNumberFormat="1" applyFont="1" applyFill="1" applyBorder="1" applyAlignment="1">
      <alignment horizontal="left" vertical="top"/>
    </xf>
    <xf numFmtId="0" fontId="29" fillId="0" borderId="0" xfId="0" applyFont="1" applyFill="1" applyAlignment="1">
      <alignment horizontal="left" vertical="top"/>
    </xf>
    <xf numFmtId="164" fontId="29" fillId="0" borderId="0" xfId="0" applyNumberFormat="1" applyFont="1" applyFill="1" applyBorder="1" applyAlignment="1">
      <alignment horizontal="left" vertical="top"/>
    </xf>
    <xf numFmtId="172" fontId="30" fillId="0" borderId="0" xfId="3" applyNumberFormat="1" applyFont="1" applyFill="1" applyBorder="1" applyAlignment="1">
      <alignment horizontal="left" vertical="top"/>
    </xf>
    <xf numFmtId="174" fontId="30" fillId="0" borderId="0" xfId="3" applyNumberFormat="1" applyFont="1" applyFill="1" applyBorder="1" applyAlignment="1">
      <alignment horizontal="left" vertical="top"/>
    </xf>
    <xf numFmtId="200" fontId="32" fillId="0" borderId="11" xfId="3" applyNumberFormat="1" applyFont="1" applyFill="1" applyBorder="1" applyAlignment="1">
      <alignment horizontal="left" vertical="top"/>
    </xf>
    <xf numFmtId="1" fontId="28" fillId="0" borderId="10" xfId="0" applyNumberFormat="1" applyFont="1" applyFill="1" applyBorder="1" applyAlignment="1">
      <alignment horizontal="left" vertical="top"/>
    </xf>
    <xf numFmtId="164" fontId="28" fillId="0" borderId="0" xfId="0" applyNumberFormat="1" applyFont="1" applyFill="1" applyBorder="1" applyAlignment="1">
      <alignment horizontal="left" vertical="top"/>
    </xf>
    <xf numFmtId="164" fontId="28" fillId="0" borderId="0" xfId="1" applyNumberFormat="1" applyFont="1" applyFill="1" applyBorder="1" applyAlignment="1">
      <alignment horizontal="left" vertical="top"/>
    </xf>
    <xf numFmtId="164" fontId="28" fillId="0" borderId="0" xfId="1" applyNumberFormat="1" applyFont="1" applyFill="1" applyBorder="1" applyAlignment="1">
      <alignment horizontal="left" vertical="top" wrapText="1"/>
    </xf>
    <xf numFmtId="172" fontId="32" fillId="0" borderId="0" xfId="3" applyNumberFormat="1" applyFont="1" applyFill="1" applyBorder="1" applyAlignment="1">
      <alignment horizontal="left" vertical="top"/>
    </xf>
    <xf numFmtId="174" fontId="32" fillId="0" borderId="0" xfId="3" applyNumberFormat="1" applyFont="1" applyFill="1" applyBorder="1" applyAlignment="1">
      <alignment horizontal="left" vertical="top"/>
    </xf>
    <xf numFmtId="174" fontId="32" fillId="0" borderId="10" xfId="3" applyNumberFormat="1" applyFont="1" applyFill="1" applyBorder="1" applyAlignment="1">
      <alignment horizontal="left" vertical="top"/>
    </xf>
    <xf numFmtId="1" fontId="28" fillId="0" borderId="0" xfId="0" applyNumberFormat="1" applyFont="1" applyFill="1" applyBorder="1" applyAlignment="1">
      <alignment horizontal="left" vertical="top"/>
    </xf>
    <xf numFmtId="0" fontId="29" fillId="0" borderId="0" xfId="0" applyFont="1" applyFill="1" applyBorder="1" applyAlignment="1">
      <alignment horizontal="left" vertical="top" wrapText="1"/>
    </xf>
    <xf numFmtId="16" fontId="29" fillId="0" borderId="0" xfId="0" applyNumberFormat="1" applyFont="1" applyFill="1" applyBorder="1" applyAlignment="1">
      <alignment horizontal="left" vertical="top"/>
    </xf>
    <xf numFmtId="198" fontId="29" fillId="0" borderId="0" xfId="0" applyNumberFormat="1" applyFont="1" applyFill="1" applyBorder="1" applyAlignment="1">
      <alignment horizontal="left" vertical="top"/>
    </xf>
    <xf numFmtId="43" fontId="29" fillId="0" borderId="0" xfId="0" applyNumberFormat="1" applyFont="1" applyFill="1" applyBorder="1" applyAlignment="1">
      <alignment horizontal="left" vertical="top"/>
    </xf>
    <xf numFmtId="197" fontId="29" fillId="0" borderId="0" xfId="0" applyNumberFormat="1" applyFont="1" applyFill="1" applyBorder="1" applyAlignment="1">
      <alignment horizontal="left" vertical="top"/>
    </xf>
    <xf numFmtId="174" fontId="29" fillId="0" borderId="0" xfId="0" applyNumberFormat="1" applyFont="1" applyFill="1" applyBorder="1" applyAlignment="1">
      <alignment horizontal="left" vertical="top"/>
    </xf>
    <xf numFmtId="174" fontId="29" fillId="0" borderId="11" xfId="0" applyNumberFormat="1" applyFont="1" applyFill="1" applyBorder="1" applyAlignment="1">
      <alignment horizontal="left" vertical="top"/>
    </xf>
    <xf numFmtId="174" fontId="29" fillId="0" borderId="10" xfId="0" applyNumberFormat="1" applyFont="1" applyFill="1" applyBorder="1" applyAlignment="1">
      <alignment horizontal="left" vertical="top"/>
    </xf>
    <xf numFmtId="0" fontId="29" fillId="0" borderId="12" xfId="0" applyFont="1" applyBorder="1" applyAlignment="1">
      <alignment horizontal="left" vertical="top"/>
    </xf>
    <xf numFmtId="0" fontId="29" fillId="0" borderId="13" xfId="0" applyFont="1" applyBorder="1" applyAlignment="1">
      <alignment horizontal="left" vertical="top"/>
    </xf>
    <xf numFmtId="0" fontId="29" fillId="0" borderId="13" xfId="0" applyFont="1" applyFill="1" applyBorder="1" applyAlignment="1">
      <alignment horizontal="left" vertical="top"/>
    </xf>
    <xf numFmtId="0" fontId="29" fillId="0" borderId="13" xfId="0" applyFont="1" applyFill="1" applyBorder="1" applyAlignment="1">
      <alignment horizontal="left" vertical="top" wrapText="1"/>
    </xf>
    <xf numFmtId="0" fontId="29" fillId="0" borderId="12" xfId="0" applyFont="1" applyFill="1" applyBorder="1" applyAlignment="1">
      <alignment horizontal="left" vertical="top"/>
    </xf>
    <xf numFmtId="174" fontId="29" fillId="0" borderId="13" xfId="0" applyNumberFormat="1" applyFont="1" applyFill="1" applyBorder="1" applyAlignment="1">
      <alignment horizontal="left" vertical="top"/>
    </xf>
    <xf numFmtId="200" fontId="30" fillId="0" borderId="14" xfId="3" applyNumberFormat="1" applyFont="1" applyFill="1" applyBorder="1" applyAlignment="1">
      <alignment horizontal="left" vertical="top"/>
    </xf>
    <xf numFmtId="9" fontId="29" fillId="0" borderId="0" xfId="4" applyFont="1" applyAlignment="1">
      <alignment horizontal="left" vertical="top"/>
    </xf>
    <xf numFmtId="0" fontId="0" fillId="0" borderId="8" xfId="0" applyBorder="1" applyAlignment="1">
      <alignment horizontal="center" wrapText="1"/>
    </xf>
    <xf numFmtId="0" fontId="0" fillId="0" borderId="9" xfId="0" applyBorder="1" applyAlignment="1">
      <alignment horizont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2" fontId="0" fillId="0" borderId="12" xfId="0" applyNumberFormat="1" applyBorder="1" applyAlignment="1">
      <alignment horizontal="left" wrapText="1"/>
    </xf>
    <xf numFmtId="2" fontId="0" fillId="0" borderId="13" xfId="0" applyNumberFormat="1" applyBorder="1" applyAlignment="1">
      <alignment horizontal="left" wrapText="1"/>
    </xf>
    <xf numFmtId="2" fontId="0" fillId="0" borderId="14" xfId="0" applyNumberFormat="1" applyBorder="1" applyAlignment="1">
      <alignment horizontal="left" wrapText="1"/>
    </xf>
    <xf numFmtId="0" fontId="0" fillId="0" borderId="0" xfId="0" applyFont="1" applyAlignment="1">
      <alignment horizontal="center"/>
    </xf>
    <xf numFmtId="0" fontId="0" fillId="0" borderId="0" xfId="0" applyBorder="1" applyAlignment="1">
      <alignment horizontal="center"/>
    </xf>
    <xf numFmtId="0" fontId="0" fillId="0" borderId="0" xfId="0" applyFont="1" applyBorder="1" applyAlignment="1">
      <alignment horizontal="center"/>
    </xf>
    <xf numFmtId="0" fontId="0" fillId="0" borderId="0" xfId="0" applyFont="1" applyBorder="1" applyAlignment="1">
      <alignment horizontal="left" wrapText="1"/>
    </xf>
    <xf numFmtId="0" fontId="3" fillId="0" borderId="0" xfId="2" applyAlignment="1">
      <alignment horizontal="left" wrapText="1"/>
    </xf>
    <xf numFmtId="0" fontId="0" fillId="0" borderId="0" xfId="0" applyAlignment="1">
      <alignment horizontal="left" wrapText="1"/>
    </xf>
    <xf numFmtId="0" fontId="0" fillId="0" borderId="0" xfId="0" applyBorder="1" applyAlignment="1">
      <alignment horizontal="left" wrapText="1"/>
    </xf>
    <xf numFmtId="2" fontId="0" fillId="0" borderId="0" xfId="0" applyNumberFormat="1" applyBorder="1" applyAlignment="1">
      <alignment horizontal="left" wrapText="1"/>
    </xf>
    <xf numFmtId="0" fontId="0" fillId="0" borderId="0" xfId="0" applyBorder="1" applyAlignment="1">
      <alignment horizontal="left" vertical="top"/>
    </xf>
    <xf numFmtId="0" fontId="0" fillId="0" borderId="0" xfId="0" applyBorder="1" applyAlignment="1">
      <alignment horizontal="center" wrapText="1"/>
    </xf>
    <xf numFmtId="0" fontId="0" fillId="0" borderId="10" xfId="0" applyBorder="1" applyAlignment="1">
      <alignment horizontal="left" wrapText="1"/>
    </xf>
    <xf numFmtId="0" fontId="10" fillId="3" borderId="0" xfId="5" applyFont="1" applyFill="1" applyAlignment="1">
      <alignment horizontal="left"/>
    </xf>
    <xf numFmtId="0" fontId="0" fillId="0" borderId="8" xfId="0" applyBorder="1" applyAlignment="1">
      <alignment horizontal="center"/>
    </xf>
    <xf numFmtId="0" fontId="0" fillId="0" borderId="16" xfId="0" applyBorder="1" applyAlignment="1">
      <alignment horizontal="left" wrapText="1"/>
    </xf>
    <xf numFmtId="3" fontId="0" fillId="0" borderId="8" xfId="1" applyNumberFormat="1" applyFont="1" applyBorder="1" applyAlignment="1">
      <alignment horizontal="center"/>
    </xf>
    <xf numFmtId="0" fontId="0" fillId="0" borderId="8" xfId="1" applyNumberFormat="1" applyFont="1" applyBorder="1" applyAlignment="1">
      <alignment horizontal="center"/>
    </xf>
    <xf numFmtId="3" fontId="0" fillId="0" borderId="0" xfId="1" applyNumberFormat="1" applyFont="1" applyAlignment="1">
      <alignment horizontal="center"/>
    </xf>
    <xf numFmtId="0" fontId="0" fillId="0" borderId="0" xfId="1" applyNumberFormat="1" applyFont="1" applyAlignment="1">
      <alignment horizontal="center"/>
    </xf>
    <xf numFmtId="168" fontId="3" fillId="3" borderId="0" xfId="2" applyNumberFormat="1" applyFill="1"/>
    <xf numFmtId="168" fontId="8" fillId="3" borderId="0" xfId="0" applyNumberFormat="1" applyFont="1" applyFill="1"/>
    <xf numFmtId="164" fontId="0" fillId="0" borderId="11" xfId="1" applyNumberFormat="1" applyFont="1" applyBorder="1" applyAlignment="1">
      <alignment horizontal="center" vertical="center" wrapText="1"/>
    </xf>
    <xf numFmtId="2"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0" xfId="0" applyFill="1" applyBorder="1" applyAlignment="1">
      <alignment horizontal="left"/>
    </xf>
    <xf numFmtId="0" fontId="0" fillId="0" borderId="0" xfId="0" applyBorder="1" applyAlignment="1">
      <alignment horizontal="left"/>
    </xf>
    <xf numFmtId="171" fontId="0" fillId="0" borderId="0" xfId="1" applyNumberFormat="1" applyFont="1" applyBorder="1" applyAlignment="1">
      <alignment horizontal="center" wrapText="1"/>
    </xf>
    <xf numFmtId="43" fontId="0" fillId="0" borderId="0" xfId="1" applyNumberFormat="1" applyFont="1" applyBorder="1" applyAlignment="1">
      <alignment horizontal="center" wrapText="1"/>
    </xf>
    <xf numFmtId="43" fontId="0" fillId="0" borderId="0" xfId="0" applyNumberFormat="1" applyBorder="1" applyAlignment="1">
      <alignment horizontal="center" vertical="center"/>
    </xf>
    <xf numFmtId="169" fontId="0" fillId="0" borderId="0" xfId="1" applyNumberFormat="1" applyFont="1" applyBorder="1" applyAlignment="1">
      <alignment horizontal="center" vertical="center" wrapText="1"/>
    </xf>
    <xf numFmtId="43" fontId="0" fillId="0" borderId="20" xfId="0" applyNumberFormat="1" applyBorder="1" applyAlignment="1">
      <alignment horizontal="center" vertical="center"/>
    </xf>
    <xf numFmtId="0" fontId="0" fillId="0" borderId="10" xfId="0" applyBorder="1" applyAlignment="1">
      <alignment horizontal="right"/>
    </xf>
    <xf numFmtId="43" fontId="0" fillId="0" borderId="10" xfId="0" applyNumberFormat="1" applyBorder="1" applyAlignment="1">
      <alignment horizontal="center"/>
    </xf>
    <xf numFmtId="0" fontId="0" fillId="0" borderId="10" xfId="0" applyBorder="1" applyAlignment="1">
      <alignment horizontal="center"/>
    </xf>
    <xf numFmtId="0" fontId="2" fillId="0" borderId="0" xfId="0" applyFont="1" applyBorder="1" applyAlignment="1">
      <alignment horizontal="center" wrapText="1"/>
    </xf>
    <xf numFmtId="164" fontId="0" fillId="0" borderId="0" xfId="1" applyNumberFormat="1" applyFont="1" applyBorder="1" applyAlignment="1">
      <alignment horizontal="center" wrapText="1"/>
    </xf>
    <xf numFmtId="164" fontId="0" fillId="0" borderId="0" xfId="1" applyNumberFormat="1" applyFont="1" applyBorder="1" applyAlignment="1">
      <alignment horizontal="center" vertical="center" wrapText="1"/>
    </xf>
    <xf numFmtId="0" fontId="2" fillId="0" borderId="11" xfId="0" applyFont="1" applyBorder="1" applyAlignment="1">
      <alignment horizontal="center" wrapText="1"/>
    </xf>
    <xf numFmtId="2" fontId="0" fillId="0" borderId="10" xfId="0" applyNumberFormat="1" applyBorder="1" applyAlignment="1">
      <alignment horizontal="center"/>
    </xf>
    <xf numFmtId="0" fontId="0" fillId="0" borderId="0" xfId="0" applyBorder="1" applyAlignment="1">
      <alignment horizontal="right" vertical="center"/>
    </xf>
    <xf numFmtId="43" fontId="0" fillId="0" borderId="0" xfId="0" applyNumberFormat="1" applyBorder="1" applyAlignment="1">
      <alignment horizontal="center"/>
    </xf>
    <xf numFmtId="173" fontId="0" fillId="0" borderId="0" xfId="0" applyNumberFormat="1" applyBorder="1" applyAlignment="1">
      <alignment horizontal="right" vertical="center"/>
    </xf>
    <xf numFmtId="169" fontId="0" fillId="0" borderId="0" xfId="1" applyNumberFormat="1" applyFont="1" applyBorder="1" applyAlignment="1">
      <alignment horizontal="right" vertical="center" wrapText="1"/>
    </xf>
    <xf numFmtId="0" fontId="0" fillId="0" borderId="11" xfId="0" applyBorder="1" applyAlignment="1">
      <alignment horizontal="center"/>
    </xf>
    <xf numFmtId="164" fontId="0" fillId="0" borderId="10" xfId="1" applyNumberFormat="1" applyFont="1" applyBorder="1" applyAlignment="1">
      <alignment horizontal="center" wrapText="1"/>
    </xf>
    <xf numFmtId="164" fontId="0" fillId="0" borderId="10" xfId="1" applyNumberFormat="1" applyFont="1" applyBorder="1" applyAlignment="1">
      <alignment horizontal="center" vertical="center" wrapText="1"/>
    </xf>
    <xf numFmtId="0" fontId="2" fillId="0" borderId="0" xfId="0" applyFont="1" applyAlignment="1">
      <alignment horizontal="center" wrapText="1"/>
    </xf>
    <xf numFmtId="0" fontId="17" fillId="3" borderId="23" xfId="13" applyFont="1" applyFill="1" applyBorder="1" applyAlignment="1" applyProtection="1">
      <alignment horizontal="center"/>
    </xf>
    <xf numFmtId="0" fontId="29" fillId="0" borderId="7" xfId="0" applyFont="1" applyBorder="1" applyAlignment="1">
      <alignment horizontal="left" vertical="top" wrapText="1"/>
    </xf>
    <xf numFmtId="0" fontId="29" fillId="0" borderId="8" xfId="0" applyFont="1" applyBorder="1" applyAlignment="1">
      <alignment horizontal="left" vertical="top" wrapText="1"/>
    </xf>
    <xf numFmtId="0" fontId="29" fillId="0" borderId="9" xfId="0" applyFont="1" applyBorder="1" applyAlignment="1">
      <alignment horizontal="left" vertical="top" wrapText="1"/>
    </xf>
    <xf numFmtId="2" fontId="29" fillId="0" borderId="12" xfId="0" applyNumberFormat="1" applyFont="1" applyBorder="1" applyAlignment="1">
      <alignment horizontal="left" vertical="top" wrapText="1"/>
    </xf>
    <xf numFmtId="2" fontId="29" fillId="0" borderId="13" xfId="0" applyNumberFormat="1" applyFont="1" applyBorder="1" applyAlignment="1">
      <alignment horizontal="left" vertical="top" wrapText="1"/>
    </xf>
    <xf numFmtId="2" fontId="29" fillId="0" borderId="14" xfId="0" applyNumberFormat="1" applyFont="1" applyBorder="1" applyAlignment="1">
      <alignment horizontal="left" vertical="top" wrapText="1"/>
    </xf>
  </cellXfs>
  <cellStyles count="16">
    <cellStyle name="Comma" xfId="1" builtinId="3"/>
    <cellStyle name="Comma 2" xfId="10"/>
    <cellStyle name="Heading_6. New topics" xfId="15"/>
    <cellStyle name="Hyperlink" xfId="2" builtinId="8"/>
    <cellStyle name="Hyperlink 2 2" xfId="5"/>
    <cellStyle name="Normal" xfId="0" builtinId="0"/>
    <cellStyle name="Normal 2" xfId="6"/>
    <cellStyle name="Normal 2 2" xfId="3"/>
    <cellStyle name="Normal 3" xfId="11"/>
    <cellStyle name="Normal_CS94A" xfId="7"/>
    <cellStyle name="Normal_T3" xfId="12"/>
    <cellStyle name="Normal_T4" xfId="8"/>
    <cellStyle name="Normal_T4 2" xfId="9"/>
    <cellStyle name="Normal_TRA2502a" xfId="14"/>
    <cellStyle name="Normal_TRA9901" xfId="1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9636022537012178"/>
                  <c:y val="-4.403470399533391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'Main table (road wear)'!$K$70:$K$74</c:f>
              <c:numCache>
                <c:formatCode>General</c:formatCode>
                <c:ptCount val="5"/>
                <c:pt idx="0">
                  <c:v>1950</c:v>
                </c:pt>
                <c:pt idx="1">
                  <c:v>3500</c:v>
                </c:pt>
                <c:pt idx="2">
                  <c:v>5200</c:v>
                </c:pt>
                <c:pt idx="3">
                  <c:v>18000</c:v>
                </c:pt>
                <c:pt idx="4">
                  <c:v>44000</c:v>
                </c:pt>
              </c:numCache>
            </c:numRef>
          </c:xVal>
          <c:yVal>
            <c:numRef>
              <c:f>'Main table (road wear)'!$L$70:$L$74</c:f>
              <c:numCache>
                <c:formatCode>General</c:formatCode>
                <c:ptCount val="5"/>
                <c:pt idx="0">
                  <c:v>2455</c:v>
                </c:pt>
                <c:pt idx="1">
                  <c:v>4224</c:v>
                </c:pt>
                <c:pt idx="2">
                  <c:v>6028</c:v>
                </c:pt>
                <c:pt idx="3">
                  <c:v>19816</c:v>
                </c:pt>
                <c:pt idx="4">
                  <c:v>47686</c:v>
                </c:pt>
              </c:numCache>
            </c:numRef>
          </c:yVal>
          <c:smooth val="0"/>
          <c:extLst>
            <c:ext xmlns:c16="http://schemas.microsoft.com/office/drawing/2014/chart" uri="{C3380CC4-5D6E-409C-BE32-E72D297353CC}">
              <c16:uniqueId val="{00000000-9F07-4A11-A442-9F5224D87E33}"/>
            </c:ext>
          </c:extLst>
        </c:ser>
        <c:ser>
          <c:idx val="2"/>
          <c:order val="1"/>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'Main table (road wear)'!$K$70:$K$74</c:f>
              <c:numCache>
                <c:formatCode>General</c:formatCode>
                <c:ptCount val="5"/>
                <c:pt idx="0">
                  <c:v>1950</c:v>
                </c:pt>
                <c:pt idx="1">
                  <c:v>3500</c:v>
                </c:pt>
                <c:pt idx="2">
                  <c:v>5200</c:v>
                </c:pt>
                <c:pt idx="3">
                  <c:v>18000</c:v>
                </c:pt>
                <c:pt idx="4">
                  <c:v>44000</c:v>
                </c:pt>
              </c:numCache>
            </c:numRef>
          </c:xVal>
          <c:yVal>
            <c:numRef>
              <c:f>'Main table (road wear)'!$M$70:$M$74</c:f>
              <c:numCache>
                <c:formatCode>0</c:formatCode>
                <c:ptCount val="5"/>
                <c:pt idx="0" formatCode="General">
                  <c:v>1970</c:v>
                </c:pt>
                <c:pt idx="1">
                  <c:v>3566</c:v>
                </c:pt>
                <c:pt idx="2">
                  <c:v>5255</c:v>
                </c:pt>
                <c:pt idx="3">
                  <c:v>18236</c:v>
                </c:pt>
                <c:pt idx="4">
                  <c:v>44760</c:v>
                </c:pt>
              </c:numCache>
            </c:numRef>
          </c:yVal>
          <c:smooth val="0"/>
          <c:extLst>
            <c:ext xmlns:c16="http://schemas.microsoft.com/office/drawing/2014/chart" uri="{C3380CC4-5D6E-409C-BE32-E72D297353CC}">
              <c16:uniqueId val="{00000003-9F07-4A11-A442-9F5224D87E33}"/>
            </c:ext>
          </c:extLst>
        </c:ser>
        <c:ser>
          <c:idx val="1"/>
          <c:order val="2"/>
          <c:spPr>
            <a:ln w="19050" cap="rnd">
              <a:solidFill>
                <a:schemeClr val="accent2"/>
              </a:solidFill>
              <a:prstDash val="dash"/>
              <a:round/>
            </a:ln>
            <a:effectLst/>
          </c:spPr>
          <c:marker>
            <c:symbol val="plus"/>
            <c:size val="5"/>
            <c:spPr>
              <a:noFill/>
              <a:ln w="9525">
                <a:solidFill>
                  <a:schemeClr val="accent2"/>
                </a:solidFill>
              </a:ln>
              <a:effectLst/>
            </c:spPr>
          </c:marker>
          <c:xVal>
            <c:numRef>
              <c:f>'Main table (road wear)'!$K$70:$K$74</c:f>
              <c:numCache>
                <c:formatCode>General</c:formatCode>
                <c:ptCount val="5"/>
                <c:pt idx="0">
                  <c:v>1950</c:v>
                </c:pt>
                <c:pt idx="1">
                  <c:v>3500</c:v>
                </c:pt>
                <c:pt idx="2">
                  <c:v>5200</c:v>
                </c:pt>
                <c:pt idx="3">
                  <c:v>18000</c:v>
                </c:pt>
                <c:pt idx="4">
                  <c:v>44000</c:v>
                </c:pt>
              </c:numCache>
            </c:numRef>
          </c:xVal>
          <c:yVal>
            <c:numRef>
              <c:f>'Main table (road wear)'!$N$70:$N$74</c:f>
              <c:numCache>
                <c:formatCode>General</c:formatCode>
                <c:ptCount val="5"/>
                <c:pt idx="0">
                  <c:v>1979.2499999999998</c:v>
                </c:pt>
                <c:pt idx="1">
                  <c:v>3552.4999999999995</c:v>
                </c:pt>
                <c:pt idx="2">
                  <c:v>5277.9999999999991</c:v>
                </c:pt>
                <c:pt idx="3">
                  <c:v>18270</c:v>
                </c:pt>
                <c:pt idx="4">
                  <c:v>44659.999999999993</c:v>
                </c:pt>
              </c:numCache>
            </c:numRef>
          </c:yVal>
          <c:smooth val="0"/>
          <c:extLst>
            <c:ext xmlns:c16="http://schemas.microsoft.com/office/drawing/2014/chart" uri="{C3380CC4-5D6E-409C-BE32-E72D297353CC}">
              <c16:uniqueId val="{00000000-2F3A-4050-B9F9-9114880E88AE}"/>
            </c:ext>
          </c:extLst>
        </c:ser>
        <c:dLbls>
          <c:showLegendKey val="0"/>
          <c:showVal val="0"/>
          <c:showCatName val="0"/>
          <c:showSerName val="0"/>
          <c:showPercent val="0"/>
          <c:showBubbleSize val="0"/>
        </c:dLbls>
        <c:axId val="803663184"/>
        <c:axId val="803659904"/>
      </c:scatterChart>
      <c:valAx>
        <c:axId val="803663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659904"/>
        <c:crosses val="autoZero"/>
        <c:crossBetween val="midCat"/>
      </c:valAx>
      <c:valAx>
        <c:axId val="80365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663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9636022537012178"/>
                  <c:y val="-4.403470399533391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'axle distribution sensitivity'!$K$70:$K$74</c:f>
              <c:numCache>
                <c:formatCode>General</c:formatCode>
                <c:ptCount val="5"/>
                <c:pt idx="0">
                  <c:v>1950</c:v>
                </c:pt>
                <c:pt idx="1">
                  <c:v>3500</c:v>
                </c:pt>
                <c:pt idx="2">
                  <c:v>5200</c:v>
                </c:pt>
                <c:pt idx="3">
                  <c:v>18000</c:v>
                </c:pt>
                <c:pt idx="4">
                  <c:v>44000</c:v>
                </c:pt>
              </c:numCache>
            </c:numRef>
          </c:xVal>
          <c:yVal>
            <c:numRef>
              <c:f>'axle distribution sensitivity'!$L$70:$L$74</c:f>
              <c:numCache>
                <c:formatCode>General</c:formatCode>
                <c:ptCount val="5"/>
                <c:pt idx="0">
                  <c:v>2455</c:v>
                </c:pt>
                <c:pt idx="1">
                  <c:v>4224</c:v>
                </c:pt>
                <c:pt idx="2">
                  <c:v>6028</c:v>
                </c:pt>
                <c:pt idx="3">
                  <c:v>19816</c:v>
                </c:pt>
                <c:pt idx="4">
                  <c:v>47686</c:v>
                </c:pt>
              </c:numCache>
            </c:numRef>
          </c:yVal>
          <c:smooth val="0"/>
          <c:extLst>
            <c:ext xmlns:c16="http://schemas.microsoft.com/office/drawing/2014/chart" uri="{C3380CC4-5D6E-409C-BE32-E72D297353CC}">
              <c16:uniqueId val="{00000000-9B67-4A5E-8E12-59EE43CF626D}"/>
            </c:ext>
          </c:extLst>
        </c:ser>
        <c:ser>
          <c:idx val="2"/>
          <c:order val="1"/>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'axle distribution sensitivity'!$K$70:$K$74</c:f>
              <c:numCache>
                <c:formatCode>General</c:formatCode>
                <c:ptCount val="5"/>
                <c:pt idx="0">
                  <c:v>1950</c:v>
                </c:pt>
                <c:pt idx="1">
                  <c:v>3500</c:v>
                </c:pt>
                <c:pt idx="2">
                  <c:v>5200</c:v>
                </c:pt>
                <c:pt idx="3">
                  <c:v>18000</c:v>
                </c:pt>
                <c:pt idx="4">
                  <c:v>44000</c:v>
                </c:pt>
              </c:numCache>
            </c:numRef>
          </c:xVal>
          <c:yVal>
            <c:numRef>
              <c:f>'axle distribution sensitivity'!$M$70:$M$74</c:f>
              <c:numCache>
                <c:formatCode>0</c:formatCode>
                <c:ptCount val="5"/>
                <c:pt idx="0" formatCode="General">
                  <c:v>1970</c:v>
                </c:pt>
                <c:pt idx="1">
                  <c:v>3566</c:v>
                </c:pt>
                <c:pt idx="2">
                  <c:v>5255</c:v>
                </c:pt>
                <c:pt idx="3">
                  <c:v>18236</c:v>
                </c:pt>
                <c:pt idx="4">
                  <c:v>44760</c:v>
                </c:pt>
              </c:numCache>
            </c:numRef>
          </c:yVal>
          <c:smooth val="0"/>
          <c:extLst>
            <c:ext xmlns:c16="http://schemas.microsoft.com/office/drawing/2014/chart" uri="{C3380CC4-5D6E-409C-BE32-E72D297353CC}">
              <c16:uniqueId val="{00000001-9B67-4A5E-8E12-59EE43CF626D}"/>
            </c:ext>
          </c:extLst>
        </c:ser>
        <c:ser>
          <c:idx val="1"/>
          <c:order val="2"/>
          <c:spPr>
            <a:ln w="19050" cap="rnd">
              <a:solidFill>
                <a:schemeClr val="accent2"/>
              </a:solidFill>
              <a:prstDash val="dash"/>
              <a:round/>
            </a:ln>
            <a:effectLst/>
          </c:spPr>
          <c:marker>
            <c:symbol val="plus"/>
            <c:size val="5"/>
            <c:spPr>
              <a:noFill/>
              <a:ln w="9525">
                <a:solidFill>
                  <a:schemeClr val="accent2"/>
                </a:solidFill>
              </a:ln>
              <a:effectLst/>
            </c:spPr>
          </c:marker>
          <c:xVal>
            <c:numRef>
              <c:f>'axle distribution sensitivity'!$K$70:$K$74</c:f>
              <c:numCache>
                <c:formatCode>General</c:formatCode>
                <c:ptCount val="5"/>
                <c:pt idx="0">
                  <c:v>1950</c:v>
                </c:pt>
                <c:pt idx="1">
                  <c:v>3500</c:v>
                </c:pt>
                <c:pt idx="2">
                  <c:v>5200</c:v>
                </c:pt>
                <c:pt idx="3">
                  <c:v>18000</c:v>
                </c:pt>
                <c:pt idx="4">
                  <c:v>44000</c:v>
                </c:pt>
              </c:numCache>
            </c:numRef>
          </c:xVal>
          <c:yVal>
            <c:numRef>
              <c:f>'axle distribution sensitivity'!$N$70:$N$74</c:f>
              <c:numCache>
                <c:formatCode>General</c:formatCode>
                <c:ptCount val="5"/>
                <c:pt idx="0">
                  <c:v>1979.2499999999998</c:v>
                </c:pt>
                <c:pt idx="1">
                  <c:v>3552.4999999999995</c:v>
                </c:pt>
                <c:pt idx="2">
                  <c:v>5277.9999999999991</c:v>
                </c:pt>
                <c:pt idx="3">
                  <c:v>18270</c:v>
                </c:pt>
                <c:pt idx="4">
                  <c:v>44659.999999999993</c:v>
                </c:pt>
              </c:numCache>
            </c:numRef>
          </c:yVal>
          <c:smooth val="0"/>
          <c:extLst>
            <c:ext xmlns:c16="http://schemas.microsoft.com/office/drawing/2014/chart" uri="{C3380CC4-5D6E-409C-BE32-E72D297353CC}">
              <c16:uniqueId val="{00000002-9B67-4A5E-8E12-59EE43CF626D}"/>
            </c:ext>
          </c:extLst>
        </c:ser>
        <c:dLbls>
          <c:showLegendKey val="0"/>
          <c:showVal val="0"/>
          <c:showCatName val="0"/>
          <c:showSerName val="0"/>
          <c:showPercent val="0"/>
          <c:showBubbleSize val="0"/>
        </c:dLbls>
        <c:axId val="803663184"/>
        <c:axId val="803659904"/>
      </c:scatterChart>
      <c:valAx>
        <c:axId val="803663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659904"/>
        <c:crosses val="autoZero"/>
        <c:crossBetween val="midCat"/>
      </c:valAx>
      <c:valAx>
        <c:axId val="80365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663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'Lading sensitivity (D.distance)'!$B$44:$B$65</c:f>
              <c:numCache>
                <c:formatCode>General</c:formatCode>
                <c:ptCount val="22"/>
                <c:pt idx="0">
                  <c:v>0.5</c:v>
                </c:pt>
                <c:pt idx="1">
                  <c:v>0.6</c:v>
                </c:pt>
                <c:pt idx="2">
                  <c:v>0.7</c:v>
                </c:pt>
                <c:pt idx="3">
                  <c:v>0.8</c:v>
                </c:pt>
                <c:pt idx="4">
                  <c:v>0.9</c:v>
                </c:pt>
                <c:pt idx="5">
                  <c:v>0.91</c:v>
                </c:pt>
                <c:pt idx="6">
                  <c:v>0.92</c:v>
                </c:pt>
                <c:pt idx="7">
                  <c:v>0.93</c:v>
                </c:pt>
                <c:pt idx="8">
                  <c:v>0.94000000000000006</c:v>
                </c:pt>
                <c:pt idx="9">
                  <c:v>0.95000000000000007</c:v>
                </c:pt>
                <c:pt idx="10">
                  <c:v>0.96000000000000008</c:v>
                </c:pt>
                <c:pt idx="11">
                  <c:v>0.97000000000000008</c:v>
                </c:pt>
                <c:pt idx="12">
                  <c:v>0.98000000000000009</c:v>
                </c:pt>
                <c:pt idx="13">
                  <c:v>0.9900000000000001</c:v>
                </c:pt>
                <c:pt idx="14">
                  <c:v>1</c:v>
                </c:pt>
                <c:pt idx="15">
                  <c:v>1.01</c:v>
                </c:pt>
                <c:pt idx="16">
                  <c:v>1.02</c:v>
                </c:pt>
                <c:pt idx="17">
                  <c:v>1.03</c:v>
                </c:pt>
                <c:pt idx="18">
                  <c:v>1.04</c:v>
                </c:pt>
                <c:pt idx="19">
                  <c:v>1.05</c:v>
                </c:pt>
                <c:pt idx="20">
                  <c:v>1.06</c:v>
                </c:pt>
                <c:pt idx="21">
                  <c:v>1.07</c:v>
                </c:pt>
              </c:numCache>
            </c:numRef>
          </c:xVal>
          <c:yVal>
            <c:numRef>
              <c:f>'Lading sensitivity (D.distance)'!$E$44:$E$65</c:f>
              <c:numCache>
                <c:formatCode>0.00%</c:formatCode>
                <c:ptCount val="22"/>
                <c:pt idx="0">
                  <c:v>1.5008894068540202</c:v>
                </c:pt>
                <c:pt idx="1">
                  <c:v>1.4710401688865387</c:v>
                </c:pt>
                <c:pt idx="2">
                  <c:v>1.450185425761179</c:v>
                </c:pt>
                <c:pt idx="3">
                  <c:v>1.4347904339099726</c:v>
                </c:pt>
                <c:pt idx="4">
                  <c:v>1.4229585954614716</c:v>
                </c:pt>
                <c:pt idx="5">
                  <c:v>1.4219242855075067</c:v>
                </c:pt>
                <c:pt idx="6">
                  <c:v>1.4209133686419482</c:v>
                </c:pt>
                <c:pt idx="7">
                  <c:v>1.4199250598026787</c:v>
                </c:pt>
                <c:pt idx="8">
                  <c:v>1.4189586086797525</c:v>
                </c:pt>
                <c:pt idx="9">
                  <c:v>1.4122257532165303</c:v>
                </c:pt>
                <c:pt idx="10">
                  <c:v>1.4012927051130775</c:v>
                </c:pt>
                <c:pt idx="11">
                  <c:v>1.3849100118334379</c:v>
                </c:pt>
                <c:pt idx="12">
                  <c:v>1.3593982144274783</c:v>
                </c:pt>
                <c:pt idx="13">
                  <c:v>1.3349011728939717</c:v>
                </c:pt>
                <c:pt idx="14">
                  <c:v>1.3101079897070025</c:v>
                </c:pt>
                <c:pt idx="15">
                  <c:v>1.2823030746351878</c:v>
                </c:pt>
                <c:pt idx="16">
                  <c:v>1.2555749211392764</c:v>
                </c:pt>
                <c:pt idx="17">
                  <c:v>1.2298717177159226</c:v>
                </c:pt>
                <c:pt idx="18">
                  <c:v>1.2049899807815669</c:v>
                </c:pt>
                <c:pt idx="19">
                  <c:v>1.1808853097799072</c:v>
                </c:pt>
                <c:pt idx="20">
                  <c:v>1.1576789901983928</c:v>
                </c:pt>
                <c:pt idx="21">
                  <c:v>1.135329401662283</c:v>
                </c:pt>
              </c:numCache>
            </c:numRef>
          </c:yVal>
          <c:smooth val="0"/>
          <c:extLst>
            <c:ext xmlns:c16="http://schemas.microsoft.com/office/drawing/2014/chart" uri="{C3380CC4-5D6E-409C-BE32-E72D297353CC}">
              <c16:uniqueId val="{00000000-B655-484C-B0B6-0E33D386EAFC}"/>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'Lading sensitivity (D.distance)'!$B$44:$B$65</c:f>
              <c:numCache>
                <c:formatCode>General</c:formatCode>
                <c:ptCount val="22"/>
                <c:pt idx="0">
                  <c:v>0.5</c:v>
                </c:pt>
                <c:pt idx="1">
                  <c:v>0.6</c:v>
                </c:pt>
                <c:pt idx="2">
                  <c:v>0.7</c:v>
                </c:pt>
                <c:pt idx="3">
                  <c:v>0.8</c:v>
                </c:pt>
                <c:pt idx="4">
                  <c:v>0.9</c:v>
                </c:pt>
                <c:pt idx="5">
                  <c:v>0.91</c:v>
                </c:pt>
                <c:pt idx="6">
                  <c:v>0.92</c:v>
                </c:pt>
                <c:pt idx="7">
                  <c:v>0.93</c:v>
                </c:pt>
                <c:pt idx="8">
                  <c:v>0.94000000000000006</c:v>
                </c:pt>
                <c:pt idx="9">
                  <c:v>0.95000000000000007</c:v>
                </c:pt>
                <c:pt idx="10">
                  <c:v>0.96000000000000008</c:v>
                </c:pt>
                <c:pt idx="11">
                  <c:v>0.97000000000000008</c:v>
                </c:pt>
                <c:pt idx="12">
                  <c:v>0.98000000000000009</c:v>
                </c:pt>
                <c:pt idx="13">
                  <c:v>0.9900000000000001</c:v>
                </c:pt>
                <c:pt idx="14">
                  <c:v>1</c:v>
                </c:pt>
                <c:pt idx="15">
                  <c:v>1.01</c:v>
                </c:pt>
                <c:pt idx="16">
                  <c:v>1.02</c:v>
                </c:pt>
                <c:pt idx="17">
                  <c:v>1.03</c:v>
                </c:pt>
                <c:pt idx="18">
                  <c:v>1.04</c:v>
                </c:pt>
                <c:pt idx="19">
                  <c:v>1.05</c:v>
                </c:pt>
                <c:pt idx="20">
                  <c:v>1.06</c:v>
                </c:pt>
                <c:pt idx="21">
                  <c:v>1.07</c:v>
                </c:pt>
              </c:numCache>
            </c:numRef>
          </c:xVal>
          <c:yVal>
            <c:numRef>
              <c:f>'Lading sensitivity (D.distance)'!$F$44:$F$65</c:f>
              <c:numCache>
                <c:formatCode>0.00%</c:formatCode>
                <c:ptCount val="22"/>
                <c:pt idx="0">
                  <c:v>1.0571870144160003</c:v>
                </c:pt>
                <c:pt idx="1">
                  <c:v>1.0571870144160007</c:v>
                </c:pt>
                <c:pt idx="2">
                  <c:v>1.0571870144159996</c:v>
                </c:pt>
                <c:pt idx="3">
                  <c:v>1.057187014416</c:v>
                </c:pt>
                <c:pt idx="4">
                  <c:v>1.0571870144160005</c:v>
                </c:pt>
                <c:pt idx="5">
                  <c:v>1.0571870144160003</c:v>
                </c:pt>
                <c:pt idx="6">
                  <c:v>1.0571870144160007</c:v>
                </c:pt>
                <c:pt idx="7">
                  <c:v>1.0571870144159998</c:v>
                </c:pt>
                <c:pt idx="8">
                  <c:v>1.0571870144159998</c:v>
                </c:pt>
                <c:pt idx="9">
                  <c:v>1.0571870144159994</c:v>
                </c:pt>
                <c:pt idx="10">
                  <c:v>1.0571870144160005</c:v>
                </c:pt>
                <c:pt idx="11">
                  <c:v>1.0571870144159998</c:v>
                </c:pt>
                <c:pt idx="12">
                  <c:v>1.0571870144160003</c:v>
                </c:pt>
                <c:pt idx="13">
                  <c:v>1.0571870144160003</c:v>
                </c:pt>
                <c:pt idx="14">
                  <c:v>1.0571870144160003</c:v>
                </c:pt>
                <c:pt idx="15">
                  <c:v>1.0571870144160003</c:v>
                </c:pt>
                <c:pt idx="16">
                  <c:v>1.0509568273556982</c:v>
                </c:pt>
                <c:pt idx="17">
                  <c:v>1.0439046884167049</c:v>
                </c:pt>
                <c:pt idx="18">
                  <c:v>1.0307409050983087</c:v>
                </c:pt>
                <c:pt idx="19">
                  <c:v>1.0140452034797094</c:v>
                </c:pt>
                <c:pt idx="20">
                  <c:v>0.99715934584524379</c:v>
                </c:pt>
                <c:pt idx="21">
                  <c:v>0.98085655472057665</c:v>
                </c:pt>
              </c:numCache>
            </c:numRef>
          </c:yVal>
          <c:smooth val="0"/>
          <c:extLst>
            <c:ext xmlns:c16="http://schemas.microsoft.com/office/drawing/2014/chart" uri="{C3380CC4-5D6E-409C-BE32-E72D297353CC}">
              <c16:uniqueId val="{00000001-B655-484C-B0B6-0E33D386EAFC}"/>
            </c:ext>
          </c:extLst>
        </c:ser>
        <c:dLbls>
          <c:showLegendKey val="0"/>
          <c:showVal val="0"/>
          <c:showCatName val="0"/>
          <c:showSerName val="0"/>
          <c:showPercent val="0"/>
          <c:showBubbleSize val="0"/>
        </c:dLbls>
        <c:axId val="818447168"/>
        <c:axId val="818445856"/>
      </c:scatterChart>
      <c:valAx>
        <c:axId val="818447168"/>
        <c:scaling>
          <c:orientation val="minMax"/>
          <c:min val="0.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Scaling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445856"/>
        <c:crosses val="autoZero"/>
        <c:crossBetween val="midCat"/>
      </c:valAx>
      <c:valAx>
        <c:axId val="81844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Fleet Road Wear Factor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447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i="0" baseline="0">
                <a:effectLst/>
              </a:rPr>
              <a:t>Road Wear Impact Factor by vehicle class and sub-class, for four scenarios</a:t>
            </a:r>
            <a:endParaRPr lang="en-US" sz="1100" b="1">
              <a:effectLst/>
            </a:endParaRPr>
          </a:p>
        </c:rich>
      </c:tx>
      <c:layout>
        <c:manualLayout>
          <c:xMode val="edge"/>
          <c:yMode val="edge"/>
          <c:x val="0.10327871759121204"/>
          <c:y val="0"/>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94746873882947"/>
          <c:y val="7.7521442761236167E-2"/>
          <c:w val="0.88103639576950832"/>
          <c:h val="0.66806112686126529"/>
        </c:manualLayout>
      </c:layout>
      <c:barChart>
        <c:barDir val="col"/>
        <c:grouping val="clustered"/>
        <c:varyColors val="0"/>
        <c:ser>
          <c:idx val="0"/>
          <c:order val="0"/>
          <c:tx>
            <c:v>ICE</c:v>
          </c:tx>
          <c:spPr>
            <a:solidFill>
              <a:schemeClr val="accent1"/>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wear)'!$N$10:$N$25</c:f>
              <c:numCache>
                <c:formatCode>[&gt;=0.05]#,##0;[=0]0;"~"</c:formatCode>
                <c:ptCount val="16"/>
                <c:pt idx="0">
                  <c:v>1519279981.5723908</c:v>
                </c:pt>
                <c:pt idx="1">
                  <c:v>6677115.3341941852</c:v>
                </c:pt>
                <c:pt idx="2">
                  <c:v>4207347.6328392159</c:v>
                </c:pt>
                <c:pt idx="3">
                  <c:v>14.552316007446178</c:v>
                </c:pt>
                <c:pt idx="4">
                  <c:v>10320472.594822234</c:v>
                </c:pt>
                <c:pt idx="5">
                  <c:v>16266125.198513385</c:v>
                </c:pt>
                <c:pt idx="6">
                  <c:v>67149219.521333158</c:v>
                </c:pt>
                <c:pt idx="7">
                  <c:v>616721114.93039894</c:v>
                </c:pt>
                <c:pt idx="8">
                  <c:v>36894649.601552151</c:v>
                </c:pt>
                <c:pt idx="9">
                  <c:v>578112022.23843646</c:v>
                </c:pt>
                <c:pt idx="10">
                  <c:v>543576586.18280387</c:v>
                </c:pt>
                <c:pt idx="11">
                  <c:v>587493979.65969312</c:v>
                </c:pt>
                <c:pt idx="12">
                  <c:v>2086758282.8317273</c:v>
                </c:pt>
                <c:pt idx="13">
                  <c:v>2707172258.2718658</c:v>
                </c:pt>
                <c:pt idx="14">
                  <c:v>591735.74126663699</c:v>
                </c:pt>
                <c:pt idx="15">
                  <c:v>17826039.205657437</c:v>
                </c:pt>
              </c:numCache>
            </c:numRef>
          </c:val>
          <c:extLst>
            <c:ext xmlns:c16="http://schemas.microsoft.com/office/drawing/2014/chart" uri="{C3380CC4-5D6E-409C-BE32-E72D297353CC}">
              <c16:uniqueId val="{00000000-9125-4824-ABA3-B18D197CC02F}"/>
            </c:ext>
          </c:extLst>
        </c:ser>
        <c:ser>
          <c:idx val="2"/>
          <c:order val="1"/>
          <c:tx>
            <c:v>FCEV</c:v>
          </c:tx>
          <c:spPr>
            <a:solidFill>
              <a:schemeClr val="accent3"/>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wear)'!$AB$10:$AB$25</c:f>
              <c:numCache>
                <c:formatCode>[&gt;=0.05]#,##0;[=0]0;"~"</c:formatCode>
                <c:ptCount val="16"/>
                <c:pt idx="0">
                  <c:v>1606163067.7805119</c:v>
                </c:pt>
                <c:pt idx="1">
                  <c:v>7058959.6250680415</c:v>
                </c:pt>
                <c:pt idx="2">
                  <c:v>4447953.2825715151</c:v>
                </c:pt>
                <c:pt idx="3">
                  <c:v>15.384519512750206</c:v>
                </c:pt>
                <c:pt idx="4">
                  <c:v>10910669.609882269</c:v>
                </c:pt>
                <c:pt idx="5">
                  <c:v>17196336.334733229</c:v>
                </c:pt>
                <c:pt idx="6">
                  <c:v>70989282.906122804</c:v>
                </c:pt>
                <c:pt idx="7">
                  <c:v>651989554.22057545</c:v>
                </c:pt>
                <c:pt idx="8">
                  <c:v>39004544.460189372</c:v>
                </c:pt>
                <c:pt idx="9">
                  <c:v>611172522.7882489</c:v>
                </c:pt>
                <c:pt idx="10">
                  <c:v>574662108.25304031</c:v>
                </c:pt>
                <c:pt idx="11">
                  <c:v>621091006.34380543</c:v>
                </c:pt>
                <c:pt idx="12">
                  <c:v>2206093758.8347335</c:v>
                </c:pt>
                <c:pt idx="13">
                  <c:v>2861987357.232255</c:v>
                </c:pt>
                <c:pt idx="14">
                  <c:v>625575.34163291473</c:v>
                </c:pt>
                <c:pt idx="15">
                  <c:v>18845457.166691557</c:v>
                </c:pt>
              </c:numCache>
            </c:numRef>
          </c:val>
          <c:extLst>
            <c:ext xmlns:c16="http://schemas.microsoft.com/office/drawing/2014/chart" uri="{C3380CC4-5D6E-409C-BE32-E72D297353CC}">
              <c16:uniqueId val="{00000002-9125-4824-ABA3-B18D197CC02F}"/>
            </c:ext>
          </c:extLst>
        </c:ser>
        <c:ser>
          <c:idx val="1"/>
          <c:order val="2"/>
          <c:tx>
            <c:v>BEV</c:v>
          </c:tx>
          <c:spPr>
            <a:solidFill>
              <a:schemeClr val="accent2"/>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wear)'!$U$10:$U$25</c:f>
              <c:numCache>
                <c:formatCode>[&gt;=0.05]#,##0;[=0]0;"~"</c:formatCode>
                <c:ptCount val="16"/>
                <c:pt idx="0">
                  <c:v>2221985498.6864257</c:v>
                </c:pt>
                <c:pt idx="1">
                  <c:v>19868033.393547043</c:v>
                </c:pt>
                <c:pt idx="2">
                  <c:v>12519137.2447064</c:v>
                </c:pt>
                <c:pt idx="3">
                  <c:v>1574.6558559292528</c:v>
                </c:pt>
                <c:pt idx="4">
                  <c:v>18215169.971673895</c:v>
                </c:pt>
                <c:pt idx="5">
                  <c:v>25460042.64672694</c:v>
                </c:pt>
                <c:pt idx="6">
                  <c:v>100158734.61884324</c:v>
                </c:pt>
                <c:pt idx="7">
                  <c:v>899600690.15291822</c:v>
                </c:pt>
                <c:pt idx="8">
                  <c:v>52927365.666655548</c:v>
                </c:pt>
                <c:pt idx="9">
                  <c:v>748884314.3275317</c:v>
                </c:pt>
                <c:pt idx="10">
                  <c:v>755553712.09648359</c:v>
                </c:pt>
                <c:pt idx="11">
                  <c:v>817063812.76114833</c:v>
                </c:pt>
                <c:pt idx="12">
                  <c:v>2443768821.9251628</c:v>
                </c:pt>
                <c:pt idx="13">
                  <c:v>3376078403.4399619</c:v>
                </c:pt>
                <c:pt idx="14">
                  <c:v>1144301.7816966884</c:v>
                </c:pt>
                <c:pt idx="15">
                  <c:v>34472091.173612736</c:v>
                </c:pt>
              </c:numCache>
            </c:numRef>
          </c:val>
          <c:extLst>
            <c:ext xmlns:c16="http://schemas.microsoft.com/office/drawing/2014/chart" uri="{C3380CC4-5D6E-409C-BE32-E72D297353CC}">
              <c16:uniqueId val="{00000001-9125-4824-ABA3-B18D197CC02F}"/>
            </c:ext>
          </c:extLst>
        </c:ser>
        <c:ser>
          <c:idx val="3"/>
          <c:order val="3"/>
          <c:tx>
            <c:v>L4L</c:v>
          </c:tx>
          <c:spPr>
            <a:solidFill>
              <a:schemeClr val="accent4"/>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wear)'!$AJ$10:$AJ$25</c:f>
              <c:numCache>
                <c:formatCode>[&gt;=0.05]#,##0;[=0]0;"~"</c:formatCode>
                <c:ptCount val="16"/>
                <c:pt idx="0">
                  <c:v>1606163067.7805119</c:v>
                </c:pt>
                <c:pt idx="1">
                  <c:v>19868033.393547043</c:v>
                </c:pt>
                <c:pt idx="2">
                  <c:v>4447953.2825715151</c:v>
                </c:pt>
                <c:pt idx="3">
                  <c:v>1574.6558559292528</c:v>
                </c:pt>
                <c:pt idx="4">
                  <c:v>10910669.609882269</c:v>
                </c:pt>
                <c:pt idx="5">
                  <c:v>17196336.334733229</c:v>
                </c:pt>
                <c:pt idx="6">
                  <c:v>70989282.906122804</c:v>
                </c:pt>
                <c:pt idx="7">
                  <c:v>651989554.22057545</c:v>
                </c:pt>
                <c:pt idx="8">
                  <c:v>39004544.460189372</c:v>
                </c:pt>
                <c:pt idx="9">
                  <c:v>611172522.7882489</c:v>
                </c:pt>
                <c:pt idx="10">
                  <c:v>574662108.25304031</c:v>
                </c:pt>
                <c:pt idx="11">
                  <c:v>621091006.34380543</c:v>
                </c:pt>
                <c:pt idx="12">
                  <c:v>2206093758.8347335</c:v>
                </c:pt>
                <c:pt idx="13">
                  <c:v>2861987357.232255</c:v>
                </c:pt>
                <c:pt idx="14">
                  <c:v>1096263.5144916633</c:v>
                </c:pt>
                <c:pt idx="15">
                  <c:v>18845457.166691557</c:v>
                </c:pt>
              </c:numCache>
            </c:numRef>
          </c:val>
          <c:extLst>
            <c:ext xmlns:c16="http://schemas.microsoft.com/office/drawing/2014/chart" uri="{C3380CC4-5D6E-409C-BE32-E72D297353CC}">
              <c16:uniqueId val="{00000003-9125-4824-ABA3-B18D197CC02F}"/>
            </c:ext>
          </c:extLst>
        </c:ser>
        <c:dLbls>
          <c:showLegendKey val="0"/>
          <c:showVal val="0"/>
          <c:showCatName val="0"/>
          <c:showSerName val="0"/>
          <c:showPercent val="0"/>
          <c:showBubbleSize val="0"/>
        </c:dLbls>
        <c:gapWidth val="219"/>
        <c:overlap val="-27"/>
        <c:axId val="445363136"/>
        <c:axId val="445363792"/>
      </c:barChart>
      <c:catAx>
        <c:axId val="4453631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Vehicle class and sub-class</a:t>
                </a:r>
              </a:p>
            </c:rich>
          </c:tx>
          <c:layout>
            <c:manualLayout>
              <c:xMode val="edge"/>
              <c:yMode val="edge"/>
              <c:x val="0.37203533682139672"/>
              <c:y val="0.896896029696714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45363792"/>
        <c:crosses val="autoZero"/>
        <c:auto val="1"/>
        <c:lblAlgn val="ctr"/>
        <c:lblOffset val="100"/>
        <c:noMultiLvlLbl val="0"/>
      </c:catAx>
      <c:valAx>
        <c:axId val="445363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GB" sz="800" b="1" baseline="0"/>
                  <a:t>RWIF (as million standard axle-km)</a:t>
                </a:r>
                <a:endParaRPr lang="en-GB" sz="800" b="1"/>
              </a:p>
            </c:rich>
          </c:tx>
          <c:layout>
            <c:manualLayout>
              <c:xMode val="edge"/>
              <c:yMode val="edge"/>
              <c:x val="7.3701274059316587E-3"/>
              <c:y val="0.1155755635091812"/>
            </c:manualLayout>
          </c:layout>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363136"/>
        <c:crosses val="autoZero"/>
        <c:crossBetween val="between"/>
      </c:valAx>
      <c:spPr>
        <a:noFill/>
        <a:ln>
          <a:noFill/>
        </a:ln>
        <a:effectLst/>
      </c:spPr>
    </c:plotArea>
    <c:legend>
      <c:legendPos val="b"/>
      <c:layout>
        <c:manualLayout>
          <c:xMode val="edge"/>
          <c:yMode val="edge"/>
          <c:x val="0.10060368475391805"/>
          <c:y val="7.5576728326636256E-2"/>
          <c:w val="0.32101255609903695"/>
          <c:h val="9.207422186170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587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t>Road Wear Potential by vehicle class and fuel type</a:t>
            </a:r>
          </a:p>
        </c:rich>
      </c:tx>
      <c:layout>
        <c:manualLayout>
          <c:xMode val="edge"/>
          <c:yMode val="edge"/>
          <c:x val="7.1282875930706605E-2"/>
          <c:y val="1.428571428571428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063753823967227E-2"/>
          <c:y val="0.10400262467191601"/>
          <c:w val="0.90828522060084282"/>
          <c:h val="0.674583427071616"/>
        </c:manualLayout>
      </c:layout>
      <c:barChart>
        <c:barDir val="col"/>
        <c:grouping val="clustered"/>
        <c:varyColors val="0"/>
        <c:ser>
          <c:idx val="0"/>
          <c:order val="0"/>
          <c:tx>
            <c:strRef>
              <c:f>'Main table (road wear)'!$O$6</c:f>
              <c:strCache>
                <c:ptCount val="1"/>
                <c:pt idx="0">
                  <c:v>ICE</c:v>
                </c:pt>
              </c:strCache>
            </c:strRef>
          </c:tx>
          <c:spPr>
            <a:solidFill>
              <a:schemeClr val="accent1"/>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wear)'!$O$10:$O$25</c:f>
              <c:numCache>
                <c:formatCode>#,##0.000000</c:formatCode>
                <c:ptCount val="16"/>
                <c:pt idx="0" formatCode="#,##0.00">
                  <c:v>2.3605966152461009</c:v>
                </c:pt>
                <c:pt idx="1">
                  <c:v>2.96699022140629E-4</c:v>
                </c:pt>
                <c:pt idx="2">
                  <c:v>2.96699022140629E-4</c:v>
                </c:pt>
                <c:pt idx="3" formatCode="#,##0.0000000000">
                  <c:v>4.5221615933642555E-8</c:v>
                </c:pt>
                <c:pt idx="4" formatCode="#,##0.0000">
                  <c:v>2.5862878081424262E-2</c:v>
                </c:pt>
                <c:pt idx="5" formatCode="#,##0.000">
                  <c:v>0.25541391696079596</c:v>
                </c:pt>
                <c:pt idx="6" formatCode="#,##0.00">
                  <c:v>1.0857709985667585</c:v>
                </c:pt>
                <c:pt idx="7" formatCode="#,##0.000">
                  <c:v>2.6508081019696248</c:v>
                </c:pt>
                <c:pt idx="8" formatCode="#,##0.00">
                  <c:v>1.7893947427726071</c:v>
                </c:pt>
                <c:pt idx="9" formatCode="#,##0.00">
                  <c:v>3.5408949228691515</c:v>
                </c:pt>
                <c:pt idx="10" formatCode="#,##0.00">
                  <c:v>2.6756183851137649</c:v>
                </c:pt>
                <c:pt idx="11" formatCode="#,##0.00">
                  <c:v>5.3016162039392496</c:v>
                </c:pt>
                <c:pt idx="12" formatCode="#,##0.00">
                  <c:v>4.1847016154856798</c:v>
                </c:pt>
                <c:pt idx="13" formatCode="#,##0.00">
                  <c:v>3.2573129957002758</c:v>
                </c:pt>
                <c:pt idx="14" formatCode="#,##0.00000">
                  <c:v>2.2893443066406556E-3</c:v>
                </c:pt>
                <c:pt idx="15" formatCode="#,##0.00000">
                  <c:v>2.2893443066406556E-3</c:v>
                </c:pt>
              </c:numCache>
            </c:numRef>
          </c:val>
          <c:extLst>
            <c:ext xmlns:c16="http://schemas.microsoft.com/office/drawing/2014/chart" uri="{C3380CC4-5D6E-409C-BE32-E72D297353CC}">
              <c16:uniqueId val="{00000000-5D2E-4810-A804-A6700E97FC82}"/>
            </c:ext>
          </c:extLst>
        </c:ser>
        <c:ser>
          <c:idx val="2"/>
          <c:order val="1"/>
          <c:tx>
            <c:v>FCEV</c:v>
          </c:tx>
          <c:spPr>
            <a:solidFill>
              <a:schemeClr val="accent3"/>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wear)'!$AC$10:$AC$25</c:f>
              <c:numCache>
                <c:formatCode>#,##0.000000</c:formatCode>
                <c:ptCount val="16"/>
                <c:pt idx="0" formatCode="#,##0.00">
                  <c:v>2.4955920879125411</c:v>
                </c:pt>
                <c:pt idx="1">
                  <c:v>3.1366635339699818E-4</c:v>
                </c:pt>
                <c:pt idx="2">
                  <c:v>3.1366635339699818E-4</c:v>
                </c:pt>
                <c:pt idx="3" formatCode="#,##0.0000000000">
                  <c:v>4.780770513595464E-8</c:v>
                </c:pt>
                <c:pt idx="4" formatCode="#,##0.0000">
                  <c:v>2.734189886310593E-2</c:v>
                </c:pt>
                <c:pt idx="5" formatCode="#,##0.000">
                  <c:v>0.27002027631208003</c:v>
                </c:pt>
                <c:pt idx="6" formatCode="#,##0.00">
                  <c:v>1.1478630003142707</c:v>
                </c:pt>
                <c:pt idx="7" formatCode="#,##0.000">
                  <c:v>2.8023999031110125</c:v>
                </c:pt>
                <c:pt idx="8" formatCode="#,##0.00">
                  <c:v>1.8917248857234581</c:v>
                </c:pt>
                <c:pt idx="9" formatCode="#,##0.00">
                  <c:v>3.7433881318688114</c:v>
                </c:pt>
                <c:pt idx="10" formatCode="#,##0.00">
                  <c:v>2.8286290122749826</c:v>
                </c:pt>
                <c:pt idx="11" formatCode="#,##0.00">
                  <c:v>5.604799806222025</c:v>
                </c:pt>
                <c:pt idx="12" formatCode="#,##0.00">
                  <c:v>4.4240122070971193</c:v>
                </c:pt>
                <c:pt idx="13" formatCode="#,##0.00">
                  <c:v>3.4435890009428123</c:v>
                </c:pt>
                <c:pt idx="14" formatCode="#,##0.00000">
                  <c:v>2.4202650725077025E-3</c:v>
                </c:pt>
                <c:pt idx="15" formatCode="#,##0.00000">
                  <c:v>2.4202650725077025E-3</c:v>
                </c:pt>
              </c:numCache>
            </c:numRef>
          </c:val>
          <c:extLst>
            <c:ext xmlns:c16="http://schemas.microsoft.com/office/drawing/2014/chart" uri="{C3380CC4-5D6E-409C-BE32-E72D297353CC}">
              <c16:uniqueId val="{00000001-5D2E-4810-A804-A6700E97FC82}"/>
            </c:ext>
          </c:extLst>
        </c:ser>
        <c:ser>
          <c:idx val="1"/>
          <c:order val="2"/>
          <c:tx>
            <c:strRef>
              <c:f>'Main table (road wear)'!$U$6</c:f>
              <c:strCache>
                <c:ptCount val="1"/>
                <c:pt idx="0">
                  <c:v>BEV</c:v>
                </c:pt>
              </c:strCache>
            </c:strRef>
          </c:tx>
          <c:spPr>
            <a:solidFill>
              <a:schemeClr val="accent2"/>
            </a:solidFill>
            <a:ln>
              <a:noFill/>
            </a:ln>
            <a:effectLst/>
          </c:spPr>
          <c:invertIfNegative val="0"/>
          <c:cat>
            <c:multiLvlStrRef>
              <c:f>'Main table (road wear)'!$C$10:$D$25</c:f>
              <c:multiLvlStrCache>
                <c:ptCount val="16"/>
                <c:lvl>
                  <c:pt idx="1">
                    <c:v>Petrol</c:v>
                  </c:pt>
                  <c:pt idx="2">
                    <c:v>Diesel</c:v>
                  </c:pt>
                  <c:pt idx="4">
                    <c:v>3.5t - 7.5t</c:v>
                  </c:pt>
                  <c:pt idx="5">
                    <c:v>7.5t - 12t</c:v>
                  </c:pt>
                  <c:pt idx="6">
                    <c:v>12t - 16t</c:v>
                  </c:pt>
                  <c:pt idx="7">
                    <c:v>16t - 20t</c:v>
                  </c:pt>
                  <c:pt idx="8">
                    <c:v>20t - 24t</c:v>
                  </c:pt>
                  <c:pt idx="9">
                    <c:v>24t - 28t</c:v>
                  </c:pt>
                  <c:pt idx="10">
                    <c:v>28t - 32t</c:v>
                  </c:pt>
                  <c:pt idx="11">
                    <c:v>32t - 38t</c:v>
                  </c:pt>
                  <c:pt idx="12">
                    <c:v>38t - 40t</c:v>
                  </c:pt>
                  <c:pt idx="13">
                    <c:v>40t - 44t</c:v>
                  </c:pt>
                  <c:pt idx="14">
                    <c:v>Petrol</c:v>
                  </c:pt>
                  <c:pt idx="15">
                    <c:v>Diesel</c:v>
                  </c:pt>
                </c:lvl>
                <c:lvl>
                  <c:pt idx="0">
                    <c:v>Buses &amp;
 Coaches</c:v>
                  </c:pt>
                  <c:pt idx="1">
                    <c:v>Cars</c:v>
                  </c:pt>
                  <c:pt idx="2">
                    <c:v>Cars</c:v>
                  </c:pt>
                  <c:pt idx="3">
                    <c:v>Motor-
cycles</c:v>
                  </c:pt>
                  <c:pt idx="4">
                    <c:v>Heavy
Goods</c:v>
                  </c:pt>
                  <c:pt idx="5">
                    <c:v>Heavy
Goods</c:v>
                  </c:pt>
                  <c:pt idx="6">
                    <c:v>Heavy
Goods</c:v>
                  </c:pt>
                  <c:pt idx="7">
                    <c:v>Heavy
Goods</c:v>
                  </c:pt>
                  <c:pt idx="8">
                    <c:v>Heavy
Goods</c:v>
                  </c:pt>
                  <c:pt idx="9">
                    <c:v>Heavy
Goods</c:v>
                  </c:pt>
                  <c:pt idx="10">
                    <c:v>Heavy
Goods</c:v>
                  </c:pt>
                  <c:pt idx="11">
                    <c:v>Heavy
Goods</c:v>
                  </c:pt>
                  <c:pt idx="12">
                    <c:v>Heavy
Goods</c:v>
                  </c:pt>
                  <c:pt idx="13">
                    <c:v>Heavy
Goods</c:v>
                  </c:pt>
                  <c:pt idx="14">
                    <c:v>Light
Goods</c:v>
                  </c:pt>
                  <c:pt idx="15">
                    <c:v>Light
Goods</c:v>
                  </c:pt>
                </c:lvl>
              </c:multiLvlStrCache>
            </c:multiLvlStrRef>
          </c:cat>
          <c:val>
            <c:numRef>
              <c:f>'Main table (road wear)'!$V$10:$V$25</c:f>
              <c:numCache>
                <c:formatCode>#,##0.000000</c:formatCode>
                <c:ptCount val="16"/>
                <c:pt idx="0" formatCode="#,##0.00">
                  <c:v>3.4524324093946941</c:v>
                </c:pt>
                <c:pt idx="1">
                  <c:v>8.8284023634199738E-4</c:v>
                </c:pt>
                <c:pt idx="2">
                  <c:v>8.8284023634199738E-4</c:v>
                </c:pt>
                <c:pt idx="3" formatCode="#,##0.00000000">
                  <c:v>4.8932748785868625E-6</c:v>
                </c:pt>
                <c:pt idx="4" formatCode="#,##0.0000">
                  <c:v>4.5646816643471422E-2</c:v>
                </c:pt>
                <c:pt idx="5" formatCode="#,##0.000">
                  <c:v>0.39977862822448673</c:v>
                </c:pt>
                <c:pt idx="6" formatCode="#,##0.00">
                  <c:v>1.61951918544243</c:v>
                </c:pt>
                <c:pt idx="7" formatCode="#,##0.000">
                  <c:v>3.8666890759268835</c:v>
                </c:pt>
                <c:pt idx="8" formatCode="#,##0.00">
                  <c:v>2.5669833131775421</c:v>
                </c:pt>
                <c:pt idx="9" formatCode="#,##0.00">
                  <c:v>4.4504853321094355</c:v>
                </c:pt>
                <c:pt idx="10" formatCode="#,##0.00">
                  <c:v>3.7045547772840011</c:v>
                </c:pt>
                <c:pt idx="11" formatCode="#,##0.00">
                  <c:v>7.3666577626102914</c:v>
                </c:pt>
                <c:pt idx="12" formatCode="#,##0.00">
                  <c:v>4.6306934716050012</c:v>
                </c:pt>
                <c:pt idx="13" formatCode="#,##0.00">
                  <c:v>3.9234943933893982</c:v>
                </c:pt>
                <c:pt idx="14" formatCode="#,##0.00000">
                  <c:v>4.2412929631514005E-3</c:v>
                </c:pt>
                <c:pt idx="15" formatCode="#,##0.00000">
                  <c:v>4.2412929631514005E-3</c:v>
                </c:pt>
              </c:numCache>
            </c:numRef>
          </c:val>
          <c:extLst>
            <c:ext xmlns:c16="http://schemas.microsoft.com/office/drawing/2014/chart" uri="{C3380CC4-5D6E-409C-BE32-E72D297353CC}">
              <c16:uniqueId val="{00000002-5D2E-4810-A804-A6700E97FC82}"/>
            </c:ext>
          </c:extLst>
        </c:ser>
        <c:dLbls>
          <c:showLegendKey val="0"/>
          <c:showVal val="0"/>
          <c:showCatName val="0"/>
          <c:showSerName val="0"/>
          <c:showPercent val="0"/>
          <c:showBubbleSize val="0"/>
        </c:dLbls>
        <c:gapWidth val="219"/>
        <c:overlap val="-27"/>
        <c:axId val="578809776"/>
        <c:axId val="578810760"/>
      </c:barChart>
      <c:catAx>
        <c:axId val="5788097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sz="1000" b="1"/>
                  <a:t>Vehicle class and sub-class</a:t>
                </a:r>
              </a:p>
            </c:rich>
          </c:tx>
          <c:layout>
            <c:manualLayout>
              <c:xMode val="edge"/>
              <c:yMode val="edge"/>
              <c:x val="0.38227930807453009"/>
              <c:y val="0.9275950506186726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578810760"/>
        <c:crosses val="autoZero"/>
        <c:auto val="1"/>
        <c:lblAlgn val="ctr"/>
        <c:lblOffset val="100"/>
        <c:noMultiLvlLbl val="0"/>
      </c:catAx>
      <c:valAx>
        <c:axId val="578810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sz="800" b="1"/>
                  <a:t>Road Wear potential (as standard axles</a:t>
                </a:r>
                <a:r>
                  <a:rPr lang="en-US" sz="800" b="1" baseline="0"/>
                  <a:t> /</a:t>
                </a:r>
                <a:r>
                  <a:rPr lang="en-US" sz="800" b="1"/>
                  <a:t> veh)</a:t>
                </a:r>
              </a:p>
            </c:rich>
          </c:tx>
          <c:layout>
            <c:manualLayout>
              <c:xMode val="edge"/>
              <c:yMode val="edge"/>
              <c:x val="1.3662263557894568E-3"/>
              <c:y val="6.9826310896090968E-2"/>
            </c:manualLayout>
          </c:layout>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09776"/>
        <c:crosses val="autoZero"/>
        <c:crossBetween val="between"/>
      </c:valAx>
      <c:spPr>
        <a:noFill/>
        <a:ln>
          <a:noFill/>
        </a:ln>
        <a:effectLst/>
      </c:spPr>
    </c:plotArea>
    <c:legend>
      <c:legendPos val="b"/>
      <c:layout>
        <c:manualLayout>
          <c:xMode val="edge"/>
          <c:yMode val="edge"/>
          <c:x val="6.9013144069870094E-2"/>
          <c:y val="9.1336332958380201E-2"/>
          <c:w val="0.26510019195594597"/>
          <c:h val="0.1199092613423322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587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t>Aggregated Road Wear</a:t>
            </a:r>
            <a:r>
              <a:rPr lang="en-GB" sz="1200" b="1" baseline="0"/>
              <a:t> Impact Factor by vehicle class, four scenarios</a:t>
            </a:r>
            <a:endParaRPr lang="en-GB" sz="1200" b="1"/>
          </a:p>
        </c:rich>
      </c:tx>
      <c:layout>
        <c:manualLayout>
          <c:xMode val="edge"/>
          <c:yMode val="edge"/>
          <c:x val="0.14825996393070937"/>
          <c:y val="9.4899169632265724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69354578612483"/>
          <c:y val="9.798339264531436E-2"/>
          <c:w val="0.86726370251836205"/>
          <c:h val="0.69584293066569525"/>
        </c:manualLayout>
      </c:layout>
      <c:bar3DChart>
        <c:barDir val="col"/>
        <c:grouping val="clustered"/>
        <c:varyColors val="0"/>
        <c:ser>
          <c:idx val="0"/>
          <c:order val="0"/>
          <c:tx>
            <c:strRef>
              <c:f>'Summary tables'!$A$18</c:f>
              <c:strCache>
                <c:ptCount val="1"/>
                <c:pt idx="0">
                  <c:v>ICE</c:v>
                </c:pt>
              </c:strCache>
            </c:strRef>
          </c:tx>
          <c:spPr>
            <a:solidFill>
              <a:schemeClr val="accent1"/>
            </a:solidFill>
            <a:ln>
              <a:noFill/>
            </a:ln>
            <a:effectLst/>
            <a:sp3d/>
          </c:spPr>
          <c:invertIfNegative val="0"/>
          <c:cat>
            <c:strRef>
              <c:f>'Summary tables'!$D$6:$I$6</c:f>
              <c:strCache>
                <c:ptCount val="6"/>
                <c:pt idx="0">
                  <c:v>Buses and Coaches</c:v>
                </c:pt>
                <c:pt idx="1">
                  <c:v>Cars</c:v>
                </c:pt>
                <c:pt idx="2">
                  <c:v>Motorcycles</c:v>
                </c:pt>
                <c:pt idx="3">
                  <c:v>HGV</c:v>
                </c:pt>
                <c:pt idx="4">
                  <c:v>LGV</c:v>
                </c:pt>
                <c:pt idx="5">
                  <c:v>Overall</c:v>
                </c:pt>
              </c:strCache>
            </c:strRef>
          </c:cat>
          <c:val>
            <c:numRef>
              <c:f>('Summary tables'!$D$18,'Summary tables'!$E$18,'Summary tables'!$F$18,'Summary tables'!$G$18,'Summary tables'!$H$18,'Summary tables'!$I$18)</c:f>
              <c:numCache>
                <c:formatCode>_-* #,##0_-;\-* #,##0_-;_-* "-"??_-;_-@_-</c:formatCode>
                <c:ptCount val="6"/>
                <c:pt idx="0">
                  <c:v>1519.2799815723909</c:v>
                </c:pt>
                <c:pt idx="1">
                  <c:v>10.884462967033402</c:v>
                </c:pt>
                <c:pt idx="2" formatCode="0.00E+00">
                  <c:v>1.4552316007446179E-5</c:v>
                </c:pt>
                <c:pt idx="3">
                  <c:v>7250.4647110311462</c:v>
                </c:pt>
                <c:pt idx="4">
                  <c:v>18.417774946924077</c:v>
                </c:pt>
                <c:pt idx="5">
                  <c:v>8799.046945069811</c:v>
                </c:pt>
              </c:numCache>
            </c:numRef>
          </c:val>
          <c:extLst>
            <c:ext xmlns:c16="http://schemas.microsoft.com/office/drawing/2014/chart" uri="{C3380CC4-5D6E-409C-BE32-E72D297353CC}">
              <c16:uniqueId val="{00000000-83D2-46A9-86CC-CAA469486BBF}"/>
            </c:ext>
          </c:extLst>
        </c:ser>
        <c:ser>
          <c:idx val="2"/>
          <c:order val="1"/>
          <c:tx>
            <c:strRef>
              <c:f>'Summary tables'!$A$20</c:f>
              <c:strCache>
                <c:ptCount val="1"/>
                <c:pt idx="0">
                  <c:v>FCEV</c:v>
                </c:pt>
              </c:strCache>
            </c:strRef>
          </c:tx>
          <c:spPr>
            <a:solidFill>
              <a:schemeClr val="accent3"/>
            </a:solidFill>
            <a:ln>
              <a:noFill/>
            </a:ln>
            <a:effectLst/>
            <a:sp3d/>
          </c:spPr>
          <c:invertIfNegative val="0"/>
          <c:cat>
            <c:strRef>
              <c:f>'Summary tables'!$D$6:$I$6</c:f>
              <c:strCache>
                <c:ptCount val="6"/>
                <c:pt idx="0">
                  <c:v>Buses and Coaches</c:v>
                </c:pt>
                <c:pt idx="1">
                  <c:v>Cars</c:v>
                </c:pt>
                <c:pt idx="2">
                  <c:v>Motorcycles</c:v>
                </c:pt>
                <c:pt idx="3">
                  <c:v>HGV</c:v>
                </c:pt>
                <c:pt idx="4">
                  <c:v>LGV</c:v>
                </c:pt>
                <c:pt idx="5">
                  <c:v>Overall</c:v>
                </c:pt>
              </c:strCache>
            </c:strRef>
          </c:cat>
          <c:val>
            <c:numRef>
              <c:f>('Summary tables'!$D$20,'Summary tables'!$E$20,'Summary tables'!$F$20,'Summary tables'!$G$20,'Summary tables'!$H$20,'Summary tables'!$I$20)</c:f>
              <c:numCache>
                <c:formatCode>_-* #,##0_-;\-* #,##0_-;_-* "-"??_-;_-@_-</c:formatCode>
                <c:ptCount val="6"/>
                <c:pt idx="0">
                  <c:v>1606.1630677805119</c:v>
                </c:pt>
                <c:pt idx="1">
                  <c:v>11.506912907639556</c:v>
                </c:pt>
                <c:pt idx="2" formatCode="0.00E+00">
                  <c:v>1.5384519512750206E-5</c:v>
                </c:pt>
                <c:pt idx="3">
                  <c:v>7665.0971409835865</c:v>
                </c:pt>
                <c:pt idx="4">
                  <c:v>19.47103250832447</c:v>
                </c:pt>
                <c:pt idx="5">
                  <c:v>9302.2381695645818</c:v>
                </c:pt>
              </c:numCache>
            </c:numRef>
          </c:val>
          <c:extLst>
            <c:ext xmlns:c16="http://schemas.microsoft.com/office/drawing/2014/chart" uri="{C3380CC4-5D6E-409C-BE32-E72D297353CC}">
              <c16:uniqueId val="{00000002-83D2-46A9-86CC-CAA469486BBF}"/>
            </c:ext>
          </c:extLst>
        </c:ser>
        <c:ser>
          <c:idx val="1"/>
          <c:order val="2"/>
          <c:tx>
            <c:strRef>
              <c:f>'Summary tables'!$A$19</c:f>
              <c:strCache>
                <c:ptCount val="1"/>
                <c:pt idx="0">
                  <c:v>BEV</c:v>
                </c:pt>
              </c:strCache>
            </c:strRef>
          </c:tx>
          <c:spPr>
            <a:solidFill>
              <a:schemeClr val="accent2"/>
            </a:solidFill>
            <a:ln>
              <a:noFill/>
            </a:ln>
            <a:effectLst/>
            <a:sp3d/>
          </c:spPr>
          <c:invertIfNegative val="0"/>
          <c:cat>
            <c:strRef>
              <c:f>'Summary tables'!$D$6:$I$6</c:f>
              <c:strCache>
                <c:ptCount val="6"/>
                <c:pt idx="0">
                  <c:v>Buses and Coaches</c:v>
                </c:pt>
                <c:pt idx="1">
                  <c:v>Cars</c:v>
                </c:pt>
                <c:pt idx="2">
                  <c:v>Motorcycles</c:v>
                </c:pt>
                <c:pt idx="3">
                  <c:v>HGV</c:v>
                </c:pt>
                <c:pt idx="4">
                  <c:v>LGV</c:v>
                </c:pt>
                <c:pt idx="5">
                  <c:v>Overall</c:v>
                </c:pt>
              </c:strCache>
            </c:strRef>
          </c:cat>
          <c:val>
            <c:numRef>
              <c:f>('Summary tables'!$D$19,'Summary tables'!$E$19,'Summary tables'!$F$19,'Summary tables'!$G$19,'Summary tables'!$H$19,'Summary tables'!$I$19)</c:f>
              <c:numCache>
                <c:formatCode>_-* #,##0_-;\-* #,##0_-;_-* "-"??_-;_-@_-</c:formatCode>
                <c:ptCount val="6"/>
                <c:pt idx="0">
                  <c:v>2221.9854986864257</c:v>
                </c:pt>
                <c:pt idx="1">
                  <c:v>32.387170638253444</c:v>
                </c:pt>
                <c:pt idx="2" formatCode="0.00E+00">
                  <c:v>1.5746558559292527E-3</c:v>
                </c:pt>
                <c:pt idx="3">
                  <c:v>9237.7110676071079</c:v>
                </c:pt>
                <c:pt idx="4">
                  <c:v>35.616392955309422</c:v>
                </c:pt>
                <c:pt idx="5">
                  <c:v>11527.701704542953</c:v>
                </c:pt>
              </c:numCache>
            </c:numRef>
          </c:val>
          <c:extLst>
            <c:ext xmlns:c16="http://schemas.microsoft.com/office/drawing/2014/chart" uri="{C3380CC4-5D6E-409C-BE32-E72D297353CC}">
              <c16:uniqueId val="{00000001-83D2-46A9-86CC-CAA469486BBF}"/>
            </c:ext>
          </c:extLst>
        </c:ser>
        <c:ser>
          <c:idx val="3"/>
          <c:order val="3"/>
          <c:tx>
            <c:strRef>
              <c:f>'Summary tables'!$A$21</c:f>
              <c:strCache>
                <c:ptCount val="1"/>
                <c:pt idx="0">
                  <c:v>L4L</c:v>
                </c:pt>
              </c:strCache>
            </c:strRef>
          </c:tx>
          <c:spPr>
            <a:solidFill>
              <a:schemeClr val="accent4"/>
            </a:solidFill>
            <a:ln>
              <a:noFill/>
            </a:ln>
            <a:effectLst/>
            <a:sp3d/>
          </c:spPr>
          <c:invertIfNegative val="0"/>
          <c:cat>
            <c:strRef>
              <c:f>'Summary tables'!$D$6:$I$6</c:f>
              <c:strCache>
                <c:ptCount val="6"/>
                <c:pt idx="0">
                  <c:v>Buses and Coaches</c:v>
                </c:pt>
                <c:pt idx="1">
                  <c:v>Cars</c:v>
                </c:pt>
                <c:pt idx="2">
                  <c:v>Motorcycles</c:v>
                </c:pt>
                <c:pt idx="3">
                  <c:v>HGV</c:v>
                </c:pt>
                <c:pt idx="4">
                  <c:v>LGV</c:v>
                </c:pt>
                <c:pt idx="5">
                  <c:v>Overall</c:v>
                </c:pt>
              </c:strCache>
            </c:strRef>
          </c:cat>
          <c:val>
            <c:numRef>
              <c:f>('Summary tables'!$D$21,'Summary tables'!$E$21,'Summary tables'!$F$21,'Summary tables'!$G$21,'Summary tables'!$H$21,'Summary tables'!$I$21)</c:f>
              <c:numCache>
                <c:formatCode>_-* #,##0_-;\-* #,##0_-;_-* "-"??_-;_-@_-</c:formatCode>
                <c:ptCount val="6"/>
                <c:pt idx="0">
                  <c:v>1606.1630677805119</c:v>
                </c:pt>
                <c:pt idx="1">
                  <c:v>24.315986676118559</c:v>
                </c:pt>
                <c:pt idx="2" formatCode="0.00E+00">
                  <c:v>1.5746558559292527E-3</c:v>
                </c:pt>
                <c:pt idx="3">
                  <c:v>7665.0971409835865</c:v>
                </c:pt>
                <c:pt idx="4">
                  <c:v>19.94172068118322</c:v>
                </c:pt>
                <c:pt idx="5">
                  <c:v>9315.5194907772566</c:v>
                </c:pt>
              </c:numCache>
            </c:numRef>
          </c:val>
          <c:extLst>
            <c:ext xmlns:c16="http://schemas.microsoft.com/office/drawing/2014/chart" uri="{C3380CC4-5D6E-409C-BE32-E72D297353CC}">
              <c16:uniqueId val="{00000003-83D2-46A9-86CC-CAA469486BBF}"/>
            </c:ext>
          </c:extLst>
        </c:ser>
        <c:dLbls>
          <c:showLegendKey val="0"/>
          <c:showVal val="0"/>
          <c:showCatName val="0"/>
          <c:showSerName val="0"/>
          <c:showPercent val="0"/>
          <c:showBubbleSize val="0"/>
        </c:dLbls>
        <c:gapWidth val="150"/>
        <c:shape val="box"/>
        <c:axId val="585705600"/>
        <c:axId val="585707568"/>
        <c:axId val="0"/>
      </c:bar3DChart>
      <c:catAx>
        <c:axId val="58570560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Vehicle class</a:t>
                </a:r>
              </a:p>
            </c:rich>
          </c:tx>
          <c:layout>
            <c:manualLayout>
              <c:xMode val="edge"/>
              <c:yMode val="edge"/>
              <c:x val="0.43413757513790163"/>
              <c:y val="0.89993966056734009"/>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707568"/>
        <c:crosses val="autoZero"/>
        <c:auto val="0"/>
        <c:lblAlgn val="ctr"/>
        <c:lblOffset val="100"/>
        <c:noMultiLvlLbl val="0"/>
      </c:catAx>
      <c:valAx>
        <c:axId val="58570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900" b="1"/>
                  <a:t>Overall RWIF (Million</a:t>
                </a:r>
                <a:r>
                  <a:rPr lang="en-US" sz="900" b="1" baseline="0"/>
                  <a:t> standard axle-km)</a:t>
                </a:r>
                <a:endParaRPr lang="en-US" sz="900" b="1"/>
              </a:p>
            </c:rich>
          </c:tx>
          <c:layout>
            <c:manualLayout>
              <c:xMode val="edge"/>
              <c:yMode val="edge"/>
              <c:x val="1.5626254718596199E-2"/>
              <c:y val="0.1688252491570226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705600"/>
        <c:crosses val="autoZero"/>
        <c:crossBetween val="between"/>
      </c:valAx>
      <c:spPr>
        <a:noFill/>
        <a:ln>
          <a:noFill/>
        </a:ln>
        <a:effectLst/>
      </c:spPr>
    </c:plotArea>
    <c:legend>
      <c:legendPos val="b"/>
      <c:layout>
        <c:manualLayout>
          <c:xMode val="edge"/>
          <c:yMode val="edge"/>
          <c:x val="0.15330291819113834"/>
          <c:y val="0.11321769832151764"/>
          <c:w val="0.32315833296474666"/>
          <c:h val="0.1010194188359906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587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i="0" baseline="0">
                <a:effectLst/>
              </a:rPr>
              <a:t>Change in RWIF against change in reference weight</a:t>
            </a:r>
            <a:endParaRPr lang="en-GB" sz="1000">
              <a:effectLst/>
            </a:endParaRPr>
          </a:p>
        </c:rich>
      </c:tx>
      <c:layout>
        <c:manualLayout>
          <c:xMode val="edge"/>
          <c:yMode val="edge"/>
          <c:x val="0.23805753119964917"/>
          <c:y val="2.8169014084507043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23224450080772"/>
          <c:y val="0.15119736793464197"/>
          <c:w val="0.84454198385246304"/>
          <c:h val="0.691979594100033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'Lading sensitivity (D.distance)'!$B$44:$B$65</c:f>
              <c:numCache>
                <c:formatCode>General</c:formatCode>
                <c:ptCount val="22"/>
                <c:pt idx="0">
                  <c:v>0.5</c:v>
                </c:pt>
                <c:pt idx="1">
                  <c:v>0.6</c:v>
                </c:pt>
                <c:pt idx="2">
                  <c:v>0.7</c:v>
                </c:pt>
                <c:pt idx="3">
                  <c:v>0.8</c:v>
                </c:pt>
                <c:pt idx="4">
                  <c:v>0.9</c:v>
                </c:pt>
                <c:pt idx="5">
                  <c:v>0.91</c:v>
                </c:pt>
                <c:pt idx="6">
                  <c:v>0.92</c:v>
                </c:pt>
                <c:pt idx="7">
                  <c:v>0.93</c:v>
                </c:pt>
                <c:pt idx="8">
                  <c:v>0.94000000000000006</c:v>
                </c:pt>
                <c:pt idx="9">
                  <c:v>0.95000000000000007</c:v>
                </c:pt>
                <c:pt idx="10">
                  <c:v>0.96000000000000008</c:v>
                </c:pt>
                <c:pt idx="11">
                  <c:v>0.97000000000000008</c:v>
                </c:pt>
                <c:pt idx="12">
                  <c:v>0.98000000000000009</c:v>
                </c:pt>
                <c:pt idx="13">
                  <c:v>0.9900000000000001</c:v>
                </c:pt>
                <c:pt idx="14">
                  <c:v>1</c:v>
                </c:pt>
                <c:pt idx="15">
                  <c:v>1.01</c:v>
                </c:pt>
                <c:pt idx="16">
                  <c:v>1.02</c:v>
                </c:pt>
                <c:pt idx="17">
                  <c:v>1.03</c:v>
                </c:pt>
                <c:pt idx="18">
                  <c:v>1.04</c:v>
                </c:pt>
                <c:pt idx="19">
                  <c:v>1.05</c:v>
                </c:pt>
                <c:pt idx="20">
                  <c:v>1.06</c:v>
                </c:pt>
                <c:pt idx="21">
                  <c:v>1.07</c:v>
                </c:pt>
              </c:numCache>
            </c:numRef>
          </c:xVal>
          <c:yVal>
            <c:numRef>
              <c:f>'Lading sensitivity (D.distance)'!$E$44:$E$65</c:f>
              <c:numCache>
                <c:formatCode>0.00%</c:formatCode>
                <c:ptCount val="22"/>
                <c:pt idx="0">
                  <c:v>1.5008894068540202</c:v>
                </c:pt>
                <c:pt idx="1">
                  <c:v>1.4710401688865387</c:v>
                </c:pt>
                <c:pt idx="2">
                  <c:v>1.450185425761179</c:v>
                </c:pt>
                <c:pt idx="3">
                  <c:v>1.4347904339099726</c:v>
                </c:pt>
                <c:pt idx="4">
                  <c:v>1.4229585954614716</c:v>
                </c:pt>
                <c:pt idx="5">
                  <c:v>1.4219242855075067</c:v>
                </c:pt>
                <c:pt idx="6">
                  <c:v>1.4209133686419482</c:v>
                </c:pt>
                <c:pt idx="7">
                  <c:v>1.4199250598026787</c:v>
                </c:pt>
                <c:pt idx="8">
                  <c:v>1.4189586086797525</c:v>
                </c:pt>
                <c:pt idx="9">
                  <c:v>1.4122257532165303</c:v>
                </c:pt>
                <c:pt idx="10">
                  <c:v>1.4012927051130775</c:v>
                </c:pt>
                <c:pt idx="11">
                  <c:v>1.3849100118334379</c:v>
                </c:pt>
                <c:pt idx="12">
                  <c:v>1.3593982144274783</c:v>
                </c:pt>
                <c:pt idx="13">
                  <c:v>1.3349011728939717</c:v>
                </c:pt>
                <c:pt idx="14">
                  <c:v>1.3101079897070025</c:v>
                </c:pt>
                <c:pt idx="15">
                  <c:v>1.2823030746351878</c:v>
                </c:pt>
                <c:pt idx="16">
                  <c:v>1.2555749211392764</c:v>
                </c:pt>
                <c:pt idx="17">
                  <c:v>1.2298717177159226</c:v>
                </c:pt>
                <c:pt idx="18">
                  <c:v>1.2049899807815669</c:v>
                </c:pt>
                <c:pt idx="19">
                  <c:v>1.1808853097799072</c:v>
                </c:pt>
                <c:pt idx="20">
                  <c:v>1.1576789901983928</c:v>
                </c:pt>
                <c:pt idx="21">
                  <c:v>1.135329401662283</c:v>
                </c:pt>
              </c:numCache>
            </c:numRef>
          </c:yVal>
          <c:smooth val="0"/>
          <c:extLst>
            <c:ext xmlns:c16="http://schemas.microsoft.com/office/drawing/2014/chart" uri="{C3380CC4-5D6E-409C-BE32-E72D297353CC}">
              <c16:uniqueId val="{00000000-75DD-4841-AD22-F93EF38B0B88}"/>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'Lading sensitivity (D.distance)'!$B$44:$B$65</c:f>
              <c:numCache>
                <c:formatCode>General</c:formatCode>
                <c:ptCount val="22"/>
                <c:pt idx="0">
                  <c:v>0.5</c:v>
                </c:pt>
                <c:pt idx="1">
                  <c:v>0.6</c:v>
                </c:pt>
                <c:pt idx="2">
                  <c:v>0.7</c:v>
                </c:pt>
                <c:pt idx="3">
                  <c:v>0.8</c:v>
                </c:pt>
                <c:pt idx="4">
                  <c:v>0.9</c:v>
                </c:pt>
                <c:pt idx="5">
                  <c:v>0.91</c:v>
                </c:pt>
                <c:pt idx="6">
                  <c:v>0.92</c:v>
                </c:pt>
                <c:pt idx="7">
                  <c:v>0.93</c:v>
                </c:pt>
                <c:pt idx="8">
                  <c:v>0.94000000000000006</c:v>
                </c:pt>
                <c:pt idx="9">
                  <c:v>0.95000000000000007</c:v>
                </c:pt>
                <c:pt idx="10">
                  <c:v>0.96000000000000008</c:v>
                </c:pt>
                <c:pt idx="11">
                  <c:v>0.97000000000000008</c:v>
                </c:pt>
                <c:pt idx="12">
                  <c:v>0.98000000000000009</c:v>
                </c:pt>
                <c:pt idx="13">
                  <c:v>0.9900000000000001</c:v>
                </c:pt>
                <c:pt idx="14">
                  <c:v>1</c:v>
                </c:pt>
                <c:pt idx="15">
                  <c:v>1.01</c:v>
                </c:pt>
                <c:pt idx="16">
                  <c:v>1.02</c:v>
                </c:pt>
                <c:pt idx="17">
                  <c:v>1.03</c:v>
                </c:pt>
                <c:pt idx="18">
                  <c:v>1.04</c:v>
                </c:pt>
                <c:pt idx="19">
                  <c:v>1.05</c:v>
                </c:pt>
                <c:pt idx="20">
                  <c:v>1.06</c:v>
                </c:pt>
                <c:pt idx="21">
                  <c:v>1.07</c:v>
                </c:pt>
              </c:numCache>
            </c:numRef>
          </c:xVal>
          <c:yVal>
            <c:numRef>
              <c:f>'Lading sensitivity (D.distance)'!$F$44:$F$65</c:f>
              <c:numCache>
                <c:formatCode>0.00%</c:formatCode>
                <c:ptCount val="22"/>
                <c:pt idx="0">
                  <c:v>1.0571870144160003</c:v>
                </c:pt>
                <c:pt idx="1">
                  <c:v>1.0571870144160007</c:v>
                </c:pt>
                <c:pt idx="2">
                  <c:v>1.0571870144159996</c:v>
                </c:pt>
                <c:pt idx="3">
                  <c:v>1.057187014416</c:v>
                </c:pt>
                <c:pt idx="4">
                  <c:v>1.0571870144160005</c:v>
                </c:pt>
                <c:pt idx="5">
                  <c:v>1.0571870144160003</c:v>
                </c:pt>
                <c:pt idx="6">
                  <c:v>1.0571870144160007</c:v>
                </c:pt>
                <c:pt idx="7">
                  <c:v>1.0571870144159998</c:v>
                </c:pt>
                <c:pt idx="8">
                  <c:v>1.0571870144159998</c:v>
                </c:pt>
                <c:pt idx="9">
                  <c:v>1.0571870144159994</c:v>
                </c:pt>
                <c:pt idx="10">
                  <c:v>1.0571870144160005</c:v>
                </c:pt>
                <c:pt idx="11">
                  <c:v>1.0571870144159998</c:v>
                </c:pt>
                <c:pt idx="12">
                  <c:v>1.0571870144160003</c:v>
                </c:pt>
                <c:pt idx="13">
                  <c:v>1.0571870144160003</c:v>
                </c:pt>
                <c:pt idx="14">
                  <c:v>1.0571870144160003</c:v>
                </c:pt>
                <c:pt idx="15">
                  <c:v>1.0571870144160003</c:v>
                </c:pt>
                <c:pt idx="16">
                  <c:v>1.0509568273556982</c:v>
                </c:pt>
                <c:pt idx="17">
                  <c:v>1.0439046884167049</c:v>
                </c:pt>
                <c:pt idx="18">
                  <c:v>1.0307409050983087</c:v>
                </c:pt>
                <c:pt idx="19">
                  <c:v>1.0140452034797094</c:v>
                </c:pt>
                <c:pt idx="20">
                  <c:v>0.99715934584524379</c:v>
                </c:pt>
                <c:pt idx="21">
                  <c:v>0.98085655472057665</c:v>
                </c:pt>
              </c:numCache>
            </c:numRef>
          </c:yVal>
          <c:smooth val="0"/>
          <c:extLst>
            <c:ext xmlns:c16="http://schemas.microsoft.com/office/drawing/2014/chart" uri="{C3380CC4-5D6E-409C-BE32-E72D297353CC}">
              <c16:uniqueId val="{00000001-75DD-4841-AD22-F93EF38B0B88}"/>
            </c:ext>
          </c:extLst>
        </c:ser>
        <c:dLbls>
          <c:showLegendKey val="0"/>
          <c:showVal val="0"/>
          <c:showCatName val="0"/>
          <c:showSerName val="0"/>
          <c:showPercent val="0"/>
          <c:showBubbleSize val="0"/>
        </c:dLbls>
        <c:axId val="818447168"/>
        <c:axId val="818445856"/>
      </c:scatterChart>
      <c:valAx>
        <c:axId val="818447168"/>
        <c:scaling>
          <c:orientation val="minMax"/>
          <c:min val="0.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Reference weight scaling factor</a:t>
                </a:r>
                <a:endParaRPr lang="en-GB" sz="1000">
                  <a:effectLst/>
                </a:endParaRPr>
              </a:p>
            </c:rich>
          </c:tx>
          <c:layout>
            <c:manualLayout>
              <c:xMode val="edge"/>
              <c:yMode val="edge"/>
              <c:x val="0.37427738874968924"/>
              <c:y val="0.9098354959151232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445856"/>
        <c:crosses val="autoZero"/>
        <c:crossBetween val="midCat"/>
      </c:valAx>
      <c:valAx>
        <c:axId val="81844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b="1" i="0" baseline="0">
                    <a:effectLst/>
                  </a:rPr>
                  <a:t>Overall change in RWIF</a:t>
                </a:r>
                <a:endParaRPr lang="en-GB" sz="900">
                  <a:effectLst/>
                </a:endParaRPr>
              </a:p>
            </c:rich>
          </c:tx>
          <c:layout>
            <c:manualLayout>
              <c:xMode val="edge"/>
              <c:yMode val="edge"/>
              <c:x val="1.735891851489104E-2"/>
              <c:y val="0.30612694539943064"/>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447168"/>
        <c:crosses val="autoZero"/>
        <c:crossBetween val="midCat"/>
      </c:valAx>
      <c:spPr>
        <a:noFill/>
        <a:ln>
          <a:noFill/>
        </a:ln>
        <a:effectLst/>
      </c:spPr>
    </c:plotArea>
    <c:plotVisOnly val="1"/>
    <c:dispBlanksAs val="gap"/>
    <c:showDLblsOverMax val="0"/>
  </c:chart>
  <c:spPr>
    <a:solidFill>
      <a:schemeClr val="bg1"/>
    </a:solidFill>
    <a:ln w="15875" cap="flat" cmpd="sng" algn="ctr">
      <a:solidFill>
        <a:schemeClr val="tx1">
          <a:lumMod val="75000"/>
          <a:lumOff val="2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Tyre wear, kg/yr/veh, against vehicle weight (kg)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69096362954631E-2"/>
          <c:y val="7.1671497584541069E-2"/>
          <c:w val="0.92086459192600922"/>
          <c:h val="0.75403233291490734"/>
        </c:manualLayout>
      </c:layout>
      <c:scatterChart>
        <c:scatterStyle val="lineMarker"/>
        <c:varyColors val="0"/>
        <c:ser>
          <c:idx val="1"/>
          <c:order val="0"/>
          <c:tx>
            <c:v>min weight basis</c:v>
          </c:tx>
          <c:spPr>
            <a:ln w="19050" cap="rnd">
              <a:noFill/>
              <a:round/>
            </a:ln>
            <a:effectLst/>
          </c:spPr>
          <c:marker>
            <c:symbol val="circle"/>
            <c:size val="5"/>
            <c:spPr>
              <a:noFill/>
              <a:ln w="15875">
                <a:solidFill>
                  <a:schemeClr val="accent2"/>
                </a:solidFill>
              </a:ln>
              <a:effectLst/>
            </c:spPr>
          </c:marker>
          <c:xVal>
            <c:numRef>
              <c:f>'Emissions and vehicles'!$U$10:$U$159</c:f>
              <c:numCache>
                <c:formatCode>General</c:formatCode>
                <c:ptCount val="150"/>
                <c:pt idx="0">
                  <c:v>1000</c:v>
                </c:pt>
                <c:pt idx="1">
                  <c:v>1500</c:v>
                </c:pt>
                <c:pt idx="2">
                  <c:v>-1</c:v>
                </c:pt>
                <c:pt idx="3">
                  <c:v>-1</c:v>
                </c:pt>
                <c:pt idx="4">
                  <c:v>100</c:v>
                </c:pt>
                <c:pt idx="5">
                  <c:v>3500</c:v>
                </c:pt>
                <c:pt idx="6">
                  <c:v>1000</c:v>
                </c:pt>
                <c:pt idx="7">
                  <c:v>1500</c:v>
                </c:pt>
                <c:pt idx="8">
                  <c:v>-1</c:v>
                </c:pt>
                <c:pt idx="9">
                  <c:v>-1</c:v>
                </c:pt>
                <c:pt idx="10">
                  <c:v>100</c:v>
                </c:pt>
                <c:pt idx="11">
                  <c:v>3500</c:v>
                </c:pt>
                <c:pt idx="12">
                  <c:v>1000</c:v>
                </c:pt>
                <c:pt idx="13">
                  <c:v>1500</c:v>
                </c:pt>
                <c:pt idx="14">
                  <c:v>-1</c:v>
                </c:pt>
                <c:pt idx="15">
                  <c:v>-1</c:v>
                </c:pt>
                <c:pt idx="16">
                  <c:v>100</c:v>
                </c:pt>
                <c:pt idx="17">
                  <c:v>3500</c:v>
                </c:pt>
                <c:pt idx="18">
                  <c:v>1000</c:v>
                </c:pt>
                <c:pt idx="19">
                  <c:v>1500</c:v>
                </c:pt>
                <c:pt idx="20">
                  <c:v>-1</c:v>
                </c:pt>
                <c:pt idx="21">
                  <c:v>-1</c:v>
                </c:pt>
                <c:pt idx="22">
                  <c:v>100</c:v>
                </c:pt>
                <c:pt idx="23">
                  <c:v>3500</c:v>
                </c:pt>
                <c:pt idx="24">
                  <c:v>1000</c:v>
                </c:pt>
                <c:pt idx="25">
                  <c:v>1500</c:v>
                </c:pt>
                <c:pt idx="26">
                  <c:v>-1</c:v>
                </c:pt>
                <c:pt idx="27">
                  <c:v>-1</c:v>
                </c:pt>
                <c:pt idx="28">
                  <c:v>100</c:v>
                </c:pt>
                <c:pt idx="29">
                  <c:v>3500</c:v>
                </c:pt>
                <c:pt idx="30">
                  <c:v>1000</c:v>
                </c:pt>
                <c:pt idx="31">
                  <c:v>1500</c:v>
                </c:pt>
                <c:pt idx="32">
                  <c:v>-1</c:v>
                </c:pt>
                <c:pt idx="33">
                  <c:v>-1</c:v>
                </c:pt>
                <c:pt idx="34">
                  <c:v>100</c:v>
                </c:pt>
                <c:pt idx="35">
                  <c:v>3500</c:v>
                </c:pt>
                <c:pt idx="36">
                  <c:v>1000</c:v>
                </c:pt>
                <c:pt idx="37">
                  <c:v>1500</c:v>
                </c:pt>
                <c:pt idx="38">
                  <c:v>-1</c:v>
                </c:pt>
                <c:pt idx="39">
                  <c:v>-1</c:v>
                </c:pt>
                <c:pt idx="40">
                  <c:v>100</c:v>
                </c:pt>
                <c:pt idx="41">
                  <c:v>3500</c:v>
                </c:pt>
                <c:pt idx="42">
                  <c:v>1000</c:v>
                </c:pt>
                <c:pt idx="43">
                  <c:v>1500</c:v>
                </c:pt>
                <c:pt idx="44">
                  <c:v>-1</c:v>
                </c:pt>
                <c:pt idx="45">
                  <c:v>-1</c:v>
                </c:pt>
                <c:pt idx="46">
                  <c:v>100</c:v>
                </c:pt>
                <c:pt idx="47">
                  <c:v>3500</c:v>
                </c:pt>
                <c:pt idx="48">
                  <c:v>1000</c:v>
                </c:pt>
                <c:pt idx="49">
                  <c:v>1500</c:v>
                </c:pt>
                <c:pt idx="50">
                  <c:v>-1</c:v>
                </c:pt>
                <c:pt idx="51">
                  <c:v>-1</c:v>
                </c:pt>
                <c:pt idx="52">
                  <c:v>100</c:v>
                </c:pt>
                <c:pt idx="53">
                  <c:v>3500</c:v>
                </c:pt>
                <c:pt idx="54">
                  <c:v>1000</c:v>
                </c:pt>
                <c:pt idx="55">
                  <c:v>1500</c:v>
                </c:pt>
                <c:pt idx="56">
                  <c:v>-1</c:v>
                </c:pt>
                <c:pt idx="57">
                  <c:v>-1</c:v>
                </c:pt>
                <c:pt idx="58">
                  <c:v>100</c:v>
                </c:pt>
                <c:pt idx="59">
                  <c:v>3500</c:v>
                </c:pt>
                <c:pt idx="60">
                  <c:v>1000</c:v>
                </c:pt>
                <c:pt idx="61">
                  <c:v>1500</c:v>
                </c:pt>
                <c:pt idx="62">
                  <c:v>-1</c:v>
                </c:pt>
                <c:pt idx="63">
                  <c:v>-1</c:v>
                </c:pt>
                <c:pt idx="64">
                  <c:v>100</c:v>
                </c:pt>
                <c:pt idx="65">
                  <c:v>3500</c:v>
                </c:pt>
                <c:pt idx="66">
                  <c:v>1000</c:v>
                </c:pt>
                <c:pt idx="67">
                  <c:v>1500</c:v>
                </c:pt>
                <c:pt idx="68">
                  <c:v>-1</c:v>
                </c:pt>
                <c:pt idx="69">
                  <c:v>-1</c:v>
                </c:pt>
                <c:pt idx="70">
                  <c:v>100</c:v>
                </c:pt>
                <c:pt idx="71">
                  <c:v>3500</c:v>
                </c:pt>
                <c:pt idx="72">
                  <c:v>1000</c:v>
                </c:pt>
                <c:pt idx="73">
                  <c:v>1500</c:v>
                </c:pt>
                <c:pt idx="74">
                  <c:v>-1</c:v>
                </c:pt>
                <c:pt idx="75">
                  <c:v>-1</c:v>
                </c:pt>
                <c:pt idx="76">
                  <c:v>100</c:v>
                </c:pt>
                <c:pt idx="77">
                  <c:v>3500</c:v>
                </c:pt>
                <c:pt idx="78">
                  <c:v>1000</c:v>
                </c:pt>
                <c:pt idx="79">
                  <c:v>1500</c:v>
                </c:pt>
                <c:pt idx="80">
                  <c:v>-1</c:v>
                </c:pt>
                <c:pt idx="81">
                  <c:v>-1</c:v>
                </c:pt>
                <c:pt idx="82">
                  <c:v>100</c:v>
                </c:pt>
                <c:pt idx="83">
                  <c:v>3500</c:v>
                </c:pt>
                <c:pt idx="84">
                  <c:v>1000</c:v>
                </c:pt>
                <c:pt idx="85">
                  <c:v>1500</c:v>
                </c:pt>
                <c:pt idx="86">
                  <c:v>-1</c:v>
                </c:pt>
                <c:pt idx="87">
                  <c:v>-1</c:v>
                </c:pt>
                <c:pt idx="88">
                  <c:v>100</c:v>
                </c:pt>
                <c:pt idx="89">
                  <c:v>3500</c:v>
                </c:pt>
                <c:pt idx="90">
                  <c:v>1000</c:v>
                </c:pt>
                <c:pt idx="91">
                  <c:v>1500</c:v>
                </c:pt>
                <c:pt idx="92">
                  <c:v>-1</c:v>
                </c:pt>
                <c:pt idx="93">
                  <c:v>-1</c:v>
                </c:pt>
                <c:pt idx="94">
                  <c:v>100</c:v>
                </c:pt>
                <c:pt idx="95">
                  <c:v>3500</c:v>
                </c:pt>
                <c:pt idx="96">
                  <c:v>1000</c:v>
                </c:pt>
                <c:pt idx="97">
                  <c:v>1500</c:v>
                </c:pt>
                <c:pt idx="98">
                  <c:v>3500</c:v>
                </c:pt>
                <c:pt idx="99">
                  <c:v>30000</c:v>
                </c:pt>
                <c:pt idx="100">
                  <c:v>100</c:v>
                </c:pt>
                <c:pt idx="101">
                  <c:v>3500</c:v>
                </c:pt>
                <c:pt idx="102">
                  <c:v>1000</c:v>
                </c:pt>
                <c:pt idx="103">
                  <c:v>1500</c:v>
                </c:pt>
                <c:pt idx="104">
                  <c:v>3500</c:v>
                </c:pt>
                <c:pt idx="105">
                  <c:v>30000</c:v>
                </c:pt>
                <c:pt idx="106">
                  <c:v>100</c:v>
                </c:pt>
                <c:pt idx="107">
                  <c:v>3500</c:v>
                </c:pt>
                <c:pt idx="108">
                  <c:v>1000</c:v>
                </c:pt>
                <c:pt idx="109">
                  <c:v>1500</c:v>
                </c:pt>
                <c:pt idx="110">
                  <c:v>3500</c:v>
                </c:pt>
                <c:pt idx="111">
                  <c:v>30000</c:v>
                </c:pt>
                <c:pt idx="112">
                  <c:v>100</c:v>
                </c:pt>
                <c:pt idx="113">
                  <c:v>3500</c:v>
                </c:pt>
                <c:pt idx="114">
                  <c:v>1000</c:v>
                </c:pt>
                <c:pt idx="115">
                  <c:v>1500</c:v>
                </c:pt>
                <c:pt idx="116">
                  <c:v>3500</c:v>
                </c:pt>
                <c:pt idx="117">
                  <c:v>30000</c:v>
                </c:pt>
                <c:pt idx="118">
                  <c:v>100</c:v>
                </c:pt>
                <c:pt idx="119">
                  <c:v>3500</c:v>
                </c:pt>
                <c:pt idx="120">
                  <c:v>1000</c:v>
                </c:pt>
                <c:pt idx="121">
                  <c:v>1500</c:v>
                </c:pt>
                <c:pt idx="122">
                  <c:v>3500</c:v>
                </c:pt>
                <c:pt idx="123">
                  <c:v>30000</c:v>
                </c:pt>
                <c:pt idx="124">
                  <c:v>100</c:v>
                </c:pt>
                <c:pt idx="125">
                  <c:v>3500</c:v>
                </c:pt>
                <c:pt idx="126">
                  <c:v>1000</c:v>
                </c:pt>
                <c:pt idx="127">
                  <c:v>1500</c:v>
                </c:pt>
                <c:pt idx="128">
                  <c:v>3500</c:v>
                </c:pt>
                <c:pt idx="129">
                  <c:v>30000</c:v>
                </c:pt>
                <c:pt idx="130">
                  <c:v>100</c:v>
                </c:pt>
                <c:pt idx="131">
                  <c:v>3500</c:v>
                </c:pt>
                <c:pt idx="132">
                  <c:v>1000</c:v>
                </c:pt>
                <c:pt idx="133">
                  <c:v>1500</c:v>
                </c:pt>
                <c:pt idx="134">
                  <c:v>3500</c:v>
                </c:pt>
                <c:pt idx="135">
                  <c:v>30000</c:v>
                </c:pt>
                <c:pt idx="136">
                  <c:v>100</c:v>
                </c:pt>
                <c:pt idx="137">
                  <c:v>3500</c:v>
                </c:pt>
                <c:pt idx="138">
                  <c:v>1000</c:v>
                </c:pt>
                <c:pt idx="139">
                  <c:v>1500</c:v>
                </c:pt>
                <c:pt idx="140">
                  <c:v>3500</c:v>
                </c:pt>
                <c:pt idx="141">
                  <c:v>30000</c:v>
                </c:pt>
                <c:pt idx="142">
                  <c:v>100</c:v>
                </c:pt>
                <c:pt idx="143">
                  <c:v>3500</c:v>
                </c:pt>
                <c:pt idx="144">
                  <c:v>1000</c:v>
                </c:pt>
                <c:pt idx="145">
                  <c:v>1500</c:v>
                </c:pt>
                <c:pt idx="146">
                  <c:v>3500</c:v>
                </c:pt>
                <c:pt idx="147">
                  <c:v>30000</c:v>
                </c:pt>
                <c:pt idx="148">
                  <c:v>100</c:v>
                </c:pt>
                <c:pt idx="149">
                  <c:v>3500</c:v>
                </c:pt>
              </c:numCache>
            </c:numRef>
          </c:xVal>
          <c:yVal>
            <c:numRef>
              <c:f>'Emissions and vehicles'!$S$10:$S$159</c:f>
              <c:numCache>
                <c:formatCode>0.000</c:formatCode>
                <c:ptCount val="150"/>
                <c:pt idx="0">
                  <c:v>0.65223149709704364</c:v>
                </c:pt>
                <c:pt idx="1">
                  <c:v>1.281181350709083</c:v>
                </c:pt>
                <c:pt idx="2">
                  <c:v>-1</c:v>
                </c:pt>
                <c:pt idx="3">
                  <c:v>-1</c:v>
                </c:pt>
                <c:pt idx="4">
                  <c:v>0.16511758553629946</c:v>
                </c:pt>
                <c:pt idx="5">
                  <c:v>2.9883790281335365</c:v>
                </c:pt>
                <c:pt idx="6">
                  <c:v>0.65781407986213702</c:v>
                </c:pt>
                <c:pt idx="7">
                  <c:v>1.3259164901249263</c:v>
                </c:pt>
                <c:pt idx="8">
                  <c:v>-1</c:v>
                </c:pt>
                <c:pt idx="9">
                  <c:v>-1</c:v>
                </c:pt>
                <c:pt idx="10">
                  <c:v>0.16499004260540662</c:v>
                </c:pt>
                <c:pt idx="11">
                  <c:v>3.1435925915855405</c:v>
                </c:pt>
                <c:pt idx="12">
                  <c:v>0.64879310294656878</c:v>
                </c:pt>
                <c:pt idx="13">
                  <c:v>1.3442087829047347</c:v>
                </c:pt>
                <c:pt idx="14">
                  <c:v>-1</c:v>
                </c:pt>
                <c:pt idx="15">
                  <c:v>-1</c:v>
                </c:pt>
                <c:pt idx="16">
                  <c:v>0.16113155087742079</c:v>
                </c:pt>
                <c:pt idx="17">
                  <c:v>3.1228319098165942</c:v>
                </c:pt>
                <c:pt idx="18">
                  <c:v>0.64232155749905839</c:v>
                </c:pt>
                <c:pt idx="19">
                  <c:v>1.3777213447074139</c:v>
                </c:pt>
                <c:pt idx="20">
                  <c:v>-1</c:v>
                </c:pt>
                <c:pt idx="21">
                  <c:v>-1</c:v>
                </c:pt>
                <c:pt idx="22">
                  <c:v>0.16654593497501885</c:v>
                </c:pt>
                <c:pt idx="23">
                  <c:v>3.1854459321660165</c:v>
                </c:pt>
                <c:pt idx="24">
                  <c:v>0.63787957927246097</c:v>
                </c:pt>
                <c:pt idx="25">
                  <c:v>1.4104729629606521</c:v>
                </c:pt>
                <c:pt idx="26">
                  <c:v>-1</c:v>
                </c:pt>
                <c:pt idx="27">
                  <c:v>-1</c:v>
                </c:pt>
                <c:pt idx="28">
                  <c:v>0.15782388201291753</c:v>
                </c:pt>
                <c:pt idx="29">
                  <c:v>3.1737753897022776</c:v>
                </c:pt>
                <c:pt idx="30">
                  <c:v>0.63118814834233317</c:v>
                </c:pt>
                <c:pt idx="31">
                  <c:v>1.3934553665882989</c:v>
                </c:pt>
                <c:pt idx="32">
                  <c:v>-1</c:v>
                </c:pt>
                <c:pt idx="33">
                  <c:v>-1</c:v>
                </c:pt>
                <c:pt idx="34">
                  <c:v>0.15850062516584881</c:v>
                </c:pt>
                <c:pt idx="35">
                  <c:v>3.1037978312979879</c:v>
                </c:pt>
                <c:pt idx="36">
                  <c:v>0.61779510345512456</c:v>
                </c:pt>
                <c:pt idx="37">
                  <c:v>1.3857379440730524</c:v>
                </c:pt>
                <c:pt idx="38">
                  <c:v>-1</c:v>
                </c:pt>
                <c:pt idx="39">
                  <c:v>-1</c:v>
                </c:pt>
                <c:pt idx="40">
                  <c:v>0.15108703971849666</c:v>
                </c:pt>
                <c:pt idx="41">
                  <c:v>2.9022965489894554</c:v>
                </c:pt>
                <c:pt idx="42">
                  <c:v>0.60843914024939616</c:v>
                </c:pt>
                <c:pt idx="43">
                  <c:v>1.3722160989729906</c:v>
                </c:pt>
                <c:pt idx="44">
                  <c:v>-1</c:v>
                </c:pt>
                <c:pt idx="45">
                  <c:v>-1</c:v>
                </c:pt>
                <c:pt idx="46">
                  <c:v>0.1488804440598285</c:v>
                </c:pt>
                <c:pt idx="47">
                  <c:v>2.919289969456889</c:v>
                </c:pt>
                <c:pt idx="48">
                  <c:v>0.6076680080508674</c:v>
                </c:pt>
                <c:pt idx="49">
                  <c:v>1.3609033483349569</c:v>
                </c:pt>
                <c:pt idx="50">
                  <c:v>-1</c:v>
                </c:pt>
                <c:pt idx="51">
                  <c:v>-1</c:v>
                </c:pt>
                <c:pt idx="52">
                  <c:v>0.14637783148383859</c:v>
                </c:pt>
                <c:pt idx="53">
                  <c:v>2.9479233664349191</c:v>
                </c:pt>
                <c:pt idx="54">
                  <c:v>0.59614515447612559</c:v>
                </c:pt>
                <c:pt idx="55">
                  <c:v>1.3685126149106905</c:v>
                </c:pt>
                <c:pt idx="56">
                  <c:v>-1</c:v>
                </c:pt>
                <c:pt idx="57">
                  <c:v>-1</c:v>
                </c:pt>
                <c:pt idx="58">
                  <c:v>0.15460084851967332</c:v>
                </c:pt>
                <c:pt idx="59">
                  <c:v>2.9753611302471574</c:v>
                </c:pt>
                <c:pt idx="60">
                  <c:v>0.58500602691059234</c:v>
                </c:pt>
                <c:pt idx="61">
                  <c:v>1.3490613293143026</c:v>
                </c:pt>
                <c:pt idx="62">
                  <c:v>-1</c:v>
                </c:pt>
                <c:pt idx="63">
                  <c:v>-1</c:v>
                </c:pt>
                <c:pt idx="64">
                  <c:v>0.13412050189393948</c:v>
                </c:pt>
                <c:pt idx="65">
                  <c:v>2.8151596275162776</c:v>
                </c:pt>
                <c:pt idx="66">
                  <c:v>0.57236559926496444</c:v>
                </c:pt>
                <c:pt idx="67">
                  <c:v>1.3280139935699793</c:v>
                </c:pt>
                <c:pt idx="68">
                  <c:v>-1</c:v>
                </c:pt>
                <c:pt idx="69">
                  <c:v>-1</c:v>
                </c:pt>
                <c:pt idx="70">
                  <c:v>0.13762157148316193</c:v>
                </c:pt>
                <c:pt idx="71">
                  <c:v>2.8029041331100042</c:v>
                </c:pt>
                <c:pt idx="72">
                  <c:v>0.57735420881642174</c:v>
                </c:pt>
                <c:pt idx="73">
                  <c:v>1.3453087649188471</c:v>
                </c:pt>
                <c:pt idx="74">
                  <c:v>-1</c:v>
                </c:pt>
                <c:pt idx="75">
                  <c:v>-1</c:v>
                </c:pt>
                <c:pt idx="76">
                  <c:v>0.1320814562687001</c:v>
                </c:pt>
                <c:pt idx="77">
                  <c:v>2.9359342776675033</c:v>
                </c:pt>
                <c:pt idx="78">
                  <c:v>0.57000649767511802</c:v>
                </c:pt>
                <c:pt idx="79">
                  <c:v>1.3538265193668939</c:v>
                </c:pt>
                <c:pt idx="80">
                  <c:v>-1</c:v>
                </c:pt>
                <c:pt idx="81">
                  <c:v>-1</c:v>
                </c:pt>
                <c:pt idx="82">
                  <c:v>0.1380175852204682</c:v>
                </c:pt>
                <c:pt idx="83">
                  <c:v>2.993037815588365</c:v>
                </c:pt>
                <c:pt idx="84">
                  <c:v>0.5626445334342689</c:v>
                </c:pt>
                <c:pt idx="85">
                  <c:v>1.3258805183183753</c:v>
                </c:pt>
                <c:pt idx="86">
                  <c:v>-1</c:v>
                </c:pt>
                <c:pt idx="87">
                  <c:v>-1</c:v>
                </c:pt>
                <c:pt idx="88">
                  <c:v>0.12288673495647151</c:v>
                </c:pt>
                <c:pt idx="89">
                  <c:v>2.7945280828699492</c:v>
                </c:pt>
                <c:pt idx="90">
                  <c:v>0.55950515080525876</c:v>
                </c:pt>
                <c:pt idx="91">
                  <c:v>1.3009288881678196</c:v>
                </c:pt>
                <c:pt idx="92">
                  <c:v>-1</c:v>
                </c:pt>
                <c:pt idx="93">
                  <c:v>-1</c:v>
                </c:pt>
                <c:pt idx="94">
                  <c:v>0.12523903668822164</c:v>
                </c:pt>
                <c:pt idx="95">
                  <c:v>2.8222635045591122</c:v>
                </c:pt>
                <c:pt idx="96">
                  <c:v>0.54931025170356396</c:v>
                </c:pt>
                <c:pt idx="97">
                  <c:v>1.3151633262732179</c:v>
                </c:pt>
                <c:pt idx="98">
                  <c:v>4.2654572035191309</c:v>
                </c:pt>
                <c:pt idx="99">
                  <c:v>32.474602210775736</c:v>
                </c:pt>
                <c:pt idx="100">
                  <c:v>0.11927539495888173</c:v>
                </c:pt>
                <c:pt idx="101">
                  <c:v>2.9212312128135554</c:v>
                </c:pt>
                <c:pt idx="102">
                  <c:v>0.55403215521312077</c:v>
                </c:pt>
                <c:pt idx="103">
                  <c:v>1.3162895101181269</c:v>
                </c:pt>
                <c:pt idx="104">
                  <c:v>4.3638852840538629</c:v>
                </c:pt>
                <c:pt idx="105">
                  <c:v>32.292215732179784</c:v>
                </c:pt>
                <c:pt idx="106">
                  <c:v>0.11889473730963117</c:v>
                </c:pt>
                <c:pt idx="107">
                  <c:v>2.7423111318266176</c:v>
                </c:pt>
                <c:pt idx="108">
                  <c:v>0.55174609519752615</c:v>
                </c:pt>
                <c:pt idx="109">
                  <c:v>1.309104840120046</c:v>
                </c:pt>
                <c:pt idx="110">
                  <c:v>4.4488620556079992</c:v>
                </c:pt>
                <c:pt idx="111">
                  <c:v>32.2483826244612</c:v>
                </c:pt>
                <c:pt idx="112">
                  <c:v>0.12020244944478888</c:v>
                </c:pt>
                <c:pt idx="113">
                  <c:v>2.6534102105131741</c:v>
                </c:pt>
                <c:pt idx="114">
                  <c:v>0.54629261832832765</c:v>
                </c:pt>
                <c:pt idx="115">
                  <c:v>1.329534786837687</c:v>
                </c:pt>
                <c:pt idx="116">
                  <c:v>4.4150395777015987</c:v>
                </c:pt>
                <c:pt idx="117">
                  <c:v>30.81601843950558</c:v>
                </c:pt>
                <c:pt idx="118">
                  <c:v>0.11560182516141145</c:v>
                </c:pt>
                <c:pt idx="119">
                  <c:v>2.8023668022266688</c:v>
                </c:pt>
                <c:pt idx="120">
                  <c:v>0.55265087637944532</c:v>
                </c:pt>
                <c:pt idx="121">
                  <c:v>1.3665689155211962</c:v>
                </c:pt>
                <c:pt idx="122">
                  <c:v>4.4173384495118606</c:v>
                </c:pt>
                <c:pt idx="123">
                  <c:v>26.090986256988923</c:v>
                </c:pt>
                <c:pt idx="124">
                  <c:v>0.12106045381888035</c:v>
                </c:pt>
                <c:pt idx="125">
                  <c:v>2.8266579096734765</c:v>
                </c:pt>
                <c:pt idx="126">
                  <c:v>0.55079028020411591</c:v>
                </c:pt>
                <c:pt idx="127">
                  <c:v>1.3699356438090937</c:v>
                </c:pt>
                <c:pt idx="128">
                  <c:v>4.531732159075653</c:v>
                </c:pt>
                <c:pt idx="129">
                  <c:v>26.018070657643129</c:v>
                </c:pt>
                <c:pt idx="130">
                  <c:v>0.11962330361502764</c:v>
                </c:pt>
                <c:pt idx="131">
                  <c:v>2.7122394380192669</c:v>
                </c:pt>
                <c:pt idx="132">
                  <c:v>0.5521757110142953</c:v>
                </c:pt>
                <c:pt idx="133">
                  <c:v>1.3897646384379272</c:v>
                </c:pt>
                <c:pt idx="134">
                  <c:v>4.4715532958456601</c:v>
                </c:pt>
                <c:pt idx="135">
                  <c:v>25.490555873256483</c:v>
                </c:pt>
                <c:pt idx="136">
                  <c:v>0.12047554872547626</c:v>
                </c:pt>
                <c:pt idx="137">
                  <c:v>2.5500616014611341</c:v>
                </c:pt>
                <c:pt idx="138">
                  <c:v>0.55652772653575611</c:v>
                </c:pt>
                <c:pt idx="139">
                  <c:v>1.3954039132455121</c:v>
                </c:pt>
                <c:pt idx="140">
                  <c:v>4.434513320608902</c:v>
                </c:pt>
                <c:pt idx="141">
                  <c:v>25.87495773965556</c:v>
                </c:pt>
                <c:pt idx="142">
                  <c:v>0.12189009314277838</c:v>
                </c:pt>
                <c:pt idx="143">
                  <c:v>2.5375293072611176</c:v>
                </c:pt>
                <c:pt idx="144">
                  <c:v>0.55780250300203504</c:v>
                </c:pt>
                <c:pt idx="145">
                  <c:v>1.3817576971725767</c:v>
                </c:pt>
                <c:pt idx="146">
                  <c:v>4.4170799562059964</c:v>
                </c:pt>
                <c:pt idx="147">
                  <c:v>26.056751649817585</c:v>
                </c:pt>
                <c:pt idx="148">
                  <c:v>0.12099751345870631</c:v>
                </c:pt>
                <c:pt idx="149">
                  <c:v>2.5305279038878874</c:v>
                </c:pt>
              </c:numCache>
            </c:numRef>
          </c:yVal>
          <c:smooth val="0"/>
          <c:extLst>
            <c:ext xmlns:c16="http://schemas.microsoft.com/office/drawing/2014/chart" uri="{C3380CC4-5D6E-409C-BE32-E72D297353CC}">
              <c16:uniqueId val="{00000000-F348-4202-BFB8-58B14A7FCFD2}"/>
            </c:ext>
          </c:extLst>
        </c:ser>
        <c:ser>
          <c:idx val="2"/>
          <c:order val="1"/>
          <c:tx>
            <c:v>max weight basis</c:v>
          </c:tx>
          <c:spPr>
            <a:ln w="19050" cap="rnd">
              <a:noFill/>
              <a:round/>
            </a:ln>
            <a:effectLst/>
          </c:spPr>
          <c:marker>
            <c:symbol val="diamond"/>
            <c:size val="5"/>
            <c:spPr>
              <a:noFill/>
              <a:ln w="19050">
                <a:solidFill>
                  <a:schemeClr val="accent6">
                    <a:lumMod val="75000"/>
                  </a:schemeClr>
                </a:solidFill>
              </a:ln>
              <a:effectLst/>
            </c:spPr>
          </c:marker>
          <c:xVal>
            <c:numRef>
              <c:f>'Emissions and vehicles'!$V$10:$V$159</c:f>
              <c:numCache>
                <c:formatCode>General</c:formatCode>
                <c:ptCount val="150"/>
                <c:pt idx="0">
                  <c:v>2000</c:v>
                </c:pt>
                <c:pt idx="1">
                  <c:v>3500</c:v>
                </c:pt>
                <c:pt idx="2">
                  <c:v>-1</c:v>
                </c:pt>
                <c:pt idx="3">
                  <c:v>-1</c:v>
                </c:pt>
                <c:pt idx="4">
                  <c:v>200</c:v>
                </c:pt>
                <c:pt idx="5">
                  <c:v>24000</c:v>
                </c:pt>
                <c:pt idx="6">
                  <c:v>2000</c:v>
                </c:pt>
                <c:pt idx="7">
                  <c:v>3500</c:v>
                </c:pt>
                <c:pt idx="8">
                  <c:v>-1</c:v>
                </c:pt>
                <c:pt idx="9">
                  <c:v>-1</c:v>
                </c:pt>
                <c:pt idx="10">
                  <c:v>200</c:v>
                </c:pt>
                <c:pt idx="11">
                  <c:v>24000</c:v>
                </c:pt>
                <c:pt idx="12">
                  <c:v>2000</c:v>
                </c:pt>
                <c:pt idx="13">
                  <c:v>3500</c:v>
                </c:pt>
                <c:pt idx="14">
                  <c:v>-1</c:v>
                </c:pt>
                <c:pt idx="15">
                  <c:v>-1</c:v>
                </c:pt>
                <c:pt idx="16">
                  <c:v>200</c:v>
                </c:pt>
                <c:pt idx="17">
                  <c:v>24000</c:v>
                </c:pt>
                <c:pt idx="18">
                  <c:v>2000</c:v>
                </c:pt>
                <c:pt idx="19">
                  <c:v>3500</c:v>
                </c:pt>
                <c:pt idx="20">
                  <c:v>-1</c:v>
                </c:pt>
                <c:pt idx="21">
                  <c:v>-1</c:v>
                </c:pt>
                <c:pt idx="22">
                  <c:v>200</c:v>
                </c:pt>
                <c:pt idx="23">
                  <c:v>24000</c:v>
                </c:pt>
                <c:pt idx="24">
                  <c:v>2000</c:v>
                </c:pt>
                <c:pt idx="25">
                  <c:v>3500</c:v>
                </c:pt>
                <c:pt idx="26">
                  <c:v>-1</c:v>
                </c:pt>
                <c:pt idx="27">
                  <c:v>-1</c:v>
                </c:pt>
                <c:pt idx="28">
                  <c:v>200</c:v>
                </c:pt>
                <c:pt idx="29">
                  <c:v>24000</c:v>
                </c:pt>
                <c:pt idx="30">
                  <c:v>2000</c:v>
                </c:pt>
                <c:pt idx="31">
                  <c:v>3500</c:v>
                </c:pt>
                <c:pt idx="32">
                  <c:v>-1</c:v>
                </c:pt>
                <c:pt idx="33">
                  <c:v>-1</c:v>
                </c:pt>
                <c:pt idx="34">
                  <c:v>200</c:v>
                </c:pt>
                <c:pt idx="35">
                  <c:v>24000</c:v>
                </c:pt>
                <c:pt idx="36">
                  <c:v>2000</c:v>
                </c:pt>
                <c:pt idx="37">
                  <c:v>3500</c:v>
                </c:pt>
                <c:pt idx="38">
                  <c:v>-1</c:v>
                </c:pt>
                <c:pt idx="39">
                  <c:v>-1</c:v>
                </c:pt>
                <c:pt idx="40">
                  <c:v>200</c:v>
                </c:pt>
                <c:pt idx="41">
                  <c:v>24000</c:v>
                </c:pt>
                <c:pt idx="42">
                  <c:v>2000</c:v>
                </c:pt>
                <c:pt idx="43">
                  <c:v>3500</c:v>
                </c:pt>
                <c:pt idx="44">
                  <c:v>-1</c:v>
                </c:pt>
                <c:pt idx="45">
                  <c:v>-1</c:v>
                </c:pt>
                <c:pt idx="46">
                  <c:v>200</c:v>
                </c:pt>
                <c:pt idx="47">
                  <c:v>24000</c:v>
                </c:pt>
                <c:pt idx="48">
                  <c:v>2000</c:v>
                </c:pt>
                <c:pt idx="49">
                  <c:v>3500</c:v>
                </c:pt>
                <c:pt idx="50">
                  <c:v>-1</c:v>
                </c:pt>
                <c:pt idx="51">
                  <c:v>-1</c:v>
                </c:pt>
                <c:pt idx="52">
                  <c:v>200</c:v>
                </c:pt>
                <c:pt idx="53">
                  <c:v>24000</c:v>
                </c:pt>
                <c:pt idx="54">
                  <c:v>2000</c:v>
                </c:pt>
                <c:pt idx="55">
                  <c:v>3500</c:v>
                </c:pt>
                <c:pt idx="56">
                  <c:v>-1</c:v>
                </c:pt>
                <c:pt idx="57">
                  <c:v>-1</c:v>
                </c:pt>
                <c:pt idx="58">
                  <c:v>200</c:v>
                </c:pt>
                <c:pt idx="59">
                  <c:v>24000</c:v>
                </c:pt>
                <c:pt idx="60">
                  <c:v>2000</c:v>
                </c:pt>
                <c:pt idx="61">
                  <c:v>3500</c:v>
                </c:pt>
                <c:pt idx="62">
                  <c:v>-1</c:v>
                </c:pt>
                <c:pt idx="63">
                  <c:v>-1</c:v>
                </c:pt>
                <c:pt idx="64">
                  <c:v>200</c:v>
                </c:pt>
                <c:pt idx="65">
                  <c:v>24000</c:v>
                </c:pt>
                <c:pt idx="66">
                  <c:v>2000</c:v>
                </c:pt>
                <c:pt idx="67">
                  <c:v>3500</c:v>
                </c:pt>
                <c:pt idx="68">
                  <c:v>-1</c:v>
                </c:pt>
                <c:pt idx="69">
                  <c:v>-1</c:v>
                </c:pt>
                <c:pt idx="70">
                  <c:v>200</c:v>
                </c:pt>
                <c:pt idx="71">
                  <c:v>24000</c:v>
                </c:pt>
                <c:pt idx="72">
                  <c:v>2000</c:v>
                </c:pt>
                <c:pt idx="73">
                  <c:v>3500</c:v>
                </c:pt>
                <c:pt idx="74">
                  <c:v>-1</c:v>
                </c:pt>
                <c:pt idx="75">
                  <c:v>-1</c:v>
                </c:pt>
                <c:pt idx="76">
                  <c:v>200</c:v>
                </c:pt>
                <c:pt idx="77">
                  <c:v>24000</c:v>
                </c:pt>
                <c:pt idx="78">
                  <c:v>2000</c:v>
                </c:pt>
                <c:pt idx="79">
                  <c:v>3500</c:v>
                </c:pt>
                <c:pt idx="80">
                  <c:v>-1</c:v>
                </c:pt>
                <c:pt idx="81">
                  <c:v>-1</c:v>
                </c:pt>
                <c:pt idx="82">
                  <c:v>200</c:v>
                </c:pt>
                <c:pt idx="83">
                  <c:v>24000</c:v>
                </c:pt>
                <c:pt idx="84">
                  <c:v>2000</c:v>
                </c:pt>
                <c:pt idx="85">
                  <c:v>3500</c:v>
                </c:pt>
                <c:pt idx="86">
                  <c:v>-1</c:v>
                </c:pt>
                <c:pt idx="87">
                  <c:v>-1</c:v>
                </c:pt>
                <c:pt idx="88">
                  <c:v>200</c:v>
                </c:pt>
                <c:pt idx="89">
                  <c:v>24000</c:v>
                </c:pt>
                <c:pt idx="90">
                  <c:v>2000</c:v>
                </c:pt>
                <c:pt idx="91">
                  <c:v>3500</c:v>
                </c:pt>
                <c:pt idx="92">
                  <c:v>-1</c:v>
                </c:pt>
                <c:pt idx="93">
                  <c:v>-1</c:v>
                </c:pt>
                <c:pt idx="94">
                  <c:v>200</c:v>
                </c:pt>
                <c:pt idx="95">
                  <c:v>24000</c:v>
                </c:pt>
                <c:pt idx="96">
                  <c:v>2000</c:v>
                </c:pt>
                <c:pt idx="97">
                  <c:v>3500</c:v>
                </c:pt>
                <c:pt idx="98">
                  <c:v>30000</c:v>
                </c:pt>
                <c:pt idx="99">
                  <c:v>44000</c:v>
                </c:pt>
                <c:pt idx="100">
                  <c:v>200</c:v>
                </c:pt>
                <c:pt idx="101">
                  <c:v>24000</c:v>
                </c:pt>
                <c:pt idx="102">
                  <c:v>2000</c:v>
                </c:pt>
                <c:pt idx="103">
                  <c:v>3500</c:v>
                </c:pt>
                <c:pt idx="104">
                  <c:v>30000</c:v>
                </c:pt>
                <c:pt idx="105">
                  <c:v>44000</c:v>
                </c:pt>
                <c:pt idx="106">
                  <c:v>200</c:v>
                </c:pt>
                <c:pt idx="107">
                  <c:v>24000</c:v>
                </c:pt>
                <c:pt idx="108">
                  <c:v>2000</c:v>
                </c:pt>
                <c:pt idx="109">
                  <c:v>3500</c:v>
                </c:pt>
                <c:pt idx="110">
                  <c:v>30000</c:v>
                </c:pt>
                <c:pt idx="111">
                  <c:v>44000</c:v>
                </c:pt>
                <c:pt idx="112">
                  <c:v>200</c:v>
                </c:pt>
                <c:pt idx="113">
                  <c:v>24000</c:v>
                </c:pt>
                <c:pt idx="114">
                  <c:v>2000</c:v>
                </c:pt>
                <c:pt idx="115">
                  <c:v>3500</c:v>
                </c:pt>
                <c:pt idx="116">
                  <c:v>30000</c:v>
                </c:pt>
                <c:pt idx="117">
                  <c:v>44000</c:v>
                </c:pt>
                <c:pt idx="118">
                  <c:v>200</c:v>
                </c:pt>
                <c:pt idx="119">
                  <c:v>24000</c:v>
                </c:pt>
                <c:pt idx="120">
                  <c:v>2000</c:v>
                </c:pt>
                <c:pt idx="121">
                  <c:v>3500</c:v>
                </c:pt>
                <c:pt idx="122">
                  <c:v>30000</c:v>
                </c:pt>
                <c:pt idx="123">
                  <c:v>44000</c:v>
                </c:pt>
                <c:pt idx="124">
                  <c:v>200</c:v>
                </c:pt>
                <c:pt idx="125">
                  <c:v>24000</c:v>
                </c:pt>
                <c:pt idx="126">
                  <c:v>2000</c:v>
                </c:pt>
                <c:pt idx="127">
                  <c:v>3500</c:v>
                </c:pt>
                <c:pt idx="128">
                  <c:v>30000</c:v>
                </c:pt>
                <c:pt idx="129">
                  <c:v>44000</c:v>
                </c:pt>
                <c:pt idx="130">
                  <c:v>200</c:v>
                </c:pt>
                <c:pt idx="131">
                  <c:v>24000</c:v>
                </c:pt>
                <c:pt idx="132">
                  <c:v>2000</c:v>
                </c:pt>
                <c:pt idx="133">
                  <c:v>3500</c:v>
                </c:pt>
                <c:pt idx="134">
                  <c:v>30000</c:v>
                </c:pt>
                <c:pt idx="135">
                  <c:v>44000</c:v>
                </c:pt>
                <c:pt idx="136">
                  <c:v>200</c:v>
                </c:pt>
                <c:pt idx="137">
                  <c:v>24000</c:v>
                </c:pt>
                <c:pt idx="138">
                  <c:v>2000</c:v>
                </c:pt>
                <c:pt idx="139">
                  <c:v>3500</c:v>
                </c:pt>
                <c:pt idx="140">
                  <c:v>30000</c:v>
                </c:pt>
                <c:pt idx="141">
                  <c:v>44000</c:v>
                </c:pt>
                <c:pt idx="142">
                  <c:v>200</c:v>
                </c:pt>
                <c:pt idx="143">
                  <c:v>24000</c:v>
                </c:pt>
                <c:pt idx="144">
                  <c:v>2000</c:v>
                </c:pt>
                <c:pt idx="145">
                  <c:v>3500</c:v>
                </c:pt>
                <c:pt idx="146">
                  <c:v>30000</c:v>
                </c:pt>
                <c:pt idx="147">
                  <c:v>44000</c:v>
                </c:pt>
                <c:pt idx="148">
                  <c:v>200</c:v>
                </c:pt>
                <c:pt idx="149">
                  <c:v>24000</c:v>
                </c:pt>
              </c:numCache>
            </c:numRef>
          </c:xVal>
          <c:yVal>
            <c:numRef>
              <c:f>'Emissions and vehicles'!$S$10:$S$159</c:f>
              <c:numCache>
                <c:formatCode>0.000</c:formatCode>
                <c:ptCount val="150"/>
                <c:pt idx="0">
                  <c:v>0.65223149709704364</c:v>
                </c:pt>
                <c:pt idx="1">
                  <c:v>1.281181350709083</c:v>
                </c:pt>
                <c:pt idx="2">
                  <c:v>-1</c:v>
                </c:pt>
                <c:pt idx="3">
                  <c:v>-1</c:v>
                </c:pt>
                <c:pt idx="4">
                  <c:v>0.16511758553629946</c:v>
                </c:pt>
                <c:pt idx="5">
                  <c:v>2.9883790281335365</c:v>
                </c:pt>
                <c:pt idx="6">
                  <c:v>0.65781407986213702</c:v>
                </c:pt>
                <c:pt idx="7">
                  <c:v>1.3259164901249263</c:v>
                </c:pt>
                <c:pt idx="8">
                  <c:v>-1</c:v>
                </c:pt>
                <c:pt idx="9">
                  <c:v>-1</c:v>
                </c:pt>
                <c:pt idx="10">
                  <c:v>0.16499004260540662</c:v>
                </c:pt>
                <c:pt idx="11">
                  <c:v>3.1435925915855405</c:v>
                </c:pt>
                <c:pt idx="12">
                  <c:v>0.64879310294656878</c:v>
                </c:pt>
                <c:pt idx="13">
                  <c:v>1.3442087829047347</c:v>
                </c:pt>
                <c:pt idx="14">
                  <c:v>-1</c:v>
                </c:pt>
                <c:pt idx="15">
                  <c:v>-1</c:v>
                </c:pt>
                <c:pt idx="16">
                  <c:v>0.16113155087742079</c:v>
                </c:pt>
                <c:pt idx="17">
                  <c:v>3.1228319098165942</c:v>
                </c:pt>
                <c:pt idx="18">
                  <c:v>0.64232155749905839</c:v>
                </c:pt>
                <c:pt idx="19">
                  <c:v>1.3777213447074139</c:v>
                </c:pt>
                <c:pt idx="20">
                  <c:v>-1</c:v>
                </c:pt>
                <c:pt idx="21">
                  <c:v>-1</c:v>
                </c:pt>
                <c:pt idx="22">
                  <c:v>0.16654593497501885</c:v>
                </c:pt>
                <c:pt idx="23">
                  <c:v>3.1854459321660165</c:v>
                </c:pt>
                <c:pt idx="24">
                  <c:v>0.63787957927246097</c:v>
                </c:pt>
                <c:pt idx="25">
                  <c:v>1.4104729629606521</c:v>
                </c:pt>
                <c:pt idx="26">
                  <c:v>-1</c:v>
                </c:pt>
                <c:pt idx="27">
                  <c:v>-1</c:v>
                </c:pt>
                <c:pt idx="28">
                  <c:v>0.15782388201291753</c:v>
                </c:pt>
                <c:pt idx="29">
                  <c:v>3.1737753897022776</c:v>
                </c:pt>
                <c:pt idx="30">
                  <c:v>0.63118814834233317</c:v>
                </c:pt>
                <c:pt idx="31">
                  <c:v>1.3934553665882989</c:v>
                </c:pt>
                <c:pt idx="32">
                  <c:v>-1</c:v>
                </c:pt>
                <c:pt idx="33">
                  <c:v>-1</c:v>
                </c:pt>
                <c:pt idx="34">
                  <c:v>0.15850062516584881</c:v>
                </c:pt>
                <c:pt idx="35">
                  <c:v>3.1037978312979879</c:v>
                </c:pt>
                <c:pt idx="36">
                  <c:v>0.61779510345512456</c:v>
                </c:pt>
                <c:pt idx="37">
                  <c:v>1.3857379440730524</c:v>
                </c:pt>
                <c:pt idx="38">
                  <c:v>-1</c:v>
                </c:pt>
                <c:pt idx="39">
                  <c:v>-1</c:v>
                </c:pt>
                <c:pt idx="40">
                  <c:v>0.15108703971849666</c:v>
                </c:pt>
                <c:pt idx="41">
                  <c:v>2.9022965489894554</c:v>
                </c:pt>
                <c:pt idx="42">
                  <c:v>0.60843914024939616</c:v>
                </c:pt>
                <c:pt idx="43">
                  <c:v>1.3722160989729906</c:v>
                </c:pt>
                <c:pt idx="44">
                  <c:v>-1</c:v>
                </c:pt>
                <c:pt idx="45">
                  <c:v>-1</c:v>
                </c:pt>
                <c:pt idx="46">
                  <c:v>0.1488804440598285</c:v>
                </c:pt>
                <c:pt idx="47">
                  <c:v>2.919289969456889</c:v>
                </c:pt>
                <c:pt idx="48">
                  <c:v>0.6076680080508674</c:v>
                </c:pt>
                <c:pt idx="49">
                  <c:v>1.3609033483349569</c:v>
                </c:pt>
                <c:pt idx="50">
                  <c:v>-1</c:v>
                </c:pt>
                <c:pt idx="51">
                  <c:v>-1</c:v>
                </c:pt>
                <c:pt idx="52">
                  <c:v>0.14637783148383859</c:v>
                </c:pt>
                <c:pt idx="53">
                  <c:v>2.9479233664349191</c:v>
                </c:pt>
                <c:pt idx="54">
                  <c:v>0.59614515447612559</c:v>
                </c:pt>
                <c:pt idx="55">
                  <c:v>1.3685126149106905</c:v>
                </c:pt>
                <c:pt idx="56">
                  <c:v>-1</c:v>
                </c:pt>
                <c:pt idx="57">
                  <c:v>-1</c:v>
                </c:pt>
                <c:pt idx="58">
                  <c:v>0.15460084851967332</c:v>
                </c:pt>
                <c:pt idx="59">
                  <c:v>2.9753611302471574</c:v>
                </c:pt>
                <c:pt idx="60">
                  <c:v>0.58500602691059234</c:v>
                </c:pt>
                <c:pt idx="61">
                  <c:v>1.3490613293143026</c:v>
                </c:pt>
                <c:pt idx="62">
                  <c:v>-1</c:v>
                </c:pt>
                <c:pt idx="63">
                  <c:v>-1</c:v>
                </c:pt>
                <c:pt idx="64">
                  <c:v>0.13412050189393948</c:v>
                </c:pt>
                <c:pt idx="65">
                  <c:v>2.8151596275162776</c:v>
                </c:pt>
                <c:pt idx="66">
                  <c:v>0.57236559926496444</c:v>
                </c:pt>
                <c:pt idx="67">
                  <c:v>1.3280139935699793</c:v>
                </c:pt>
                <c:pt idx="68">
                  <c:v>-1</c:v>
                </c:pt>
                <c:pt idx="69">
                  <c:v>-1</c:v>
                </c:pt>
                <c:pt idx="70">
                  <c:v>0.13762157148316193</c:v>
                </c:pt>
                <c:pt idx="71">
                  <c:v>2.8029041331100042</c:v>
                </c:pt>
                <c:pt idx="72">
                  <c:v>0.57735420881642174</c:v>
                </c:pt>
                <c:pt idx="73">
                  <c:v>1.3453087649188471</c:v>
                </c:pt>
                <c:pt idx="74">
                  <c:v>-1</c:v>
                </c:pt>
                <c:pt idx="75">
                  <c:v>-1</c:v>
                </c:pt>
                <c:pt idx="76">
                  <c:v>0.1320814562687001</c:v>
                </c:pt>
                <c:pt idx="77">
                  <c:v>2.9359342776675033</c:v>
                </c:pt>
                <c:pt idx="78">
                  <c:v>0.57000649767511802</c:v>
                </c:pt>
                <c:pt idx="79">
                  <c:v>1.3538265193668939</c:v>
                </c:pt>
                <c:pt idx="80">
                  <c:v>-1</c:v>
                </c:pt>
                <c:pt idx="81">
                  <c:v>-1</c:v>
                </c:pt>
                <c:pt idx="82">
                  <c:v>0.1380175852204682</c:v>
                </c:pt>
                <c:pt idx="83">
                  <c:v>2.993037815588365</c:v>
                </c:pt>
                <c:pt idx="84">
                  <c:v>0.5626445334342689</c:v>
                </c:pt>
                <c:pt idx="85">
                  <c:v>1.3258805183183753</c:v>
                </c:pt>
                <c:pt idx="86">
                  <c:v>-1</c:v>
                </c:pt>
                <c:pt idx="87">
                  <c:v>-1</c:v>
                </c:pt>
                <c:pt idx="88">
                  <c:v>0.12288673495647151</c:v>
                </c:pt>
                <c:pt idx="89">
                  <c:v>2.7945280828699492</c:v>
                </c:pt>
                <c:pt idx="90">
                  <c:v>0.55950515080525876</c:v>
                </c:pt>
                <c:pt idx="91">
                  <c:v>1.3009288881678196</c:v>
                </c:pt>
                <c:pt idx="92">
                  <c:v>-1</c:v>
                </c:pt>
                <c:pt idx="93">
                  <c:v>-1</c:v>
                </c:pt>
                <c:pt idx="94">
                  <c:v>0.12523903668822164</c:v>
                </c:pt>
                <c:pt idx="95">
                  <c:v>2.8222635045591122</c:v>
                </c:pt>
                <c:pt idx="96">
                  <c:v>0.54931025170356396</c:v>
                </c:pt>
                <c:pt idx="97">
                  <c:v>1.3151633262732179</c:v>
                </c:pt>
                <c:pt idx="98">
                  <c:v>4.2654572035191309</c:v>
                </c:pt>
                <c:pt idx="99">
                  <c:v>32.474602210775736</c:v>
                </c:pt>
                <c:pt idx="100">
                  <c:v>0.11927539495888173</c:v>
                </c:pt>
                <c:pt idx="101">
                  <c:v>2.9212312128135554</c:v>
                </c:pt>
                <c:pt idx="102">
                  <c:v>0.55403215521312077</c:v>
                </c:pt>
                <c:pt idx="103">
                  <c:v>1.3162895101181269</c:v>
                </c:pt>
                <c:pt idx="104">
                  <c:v>4.3638852840538629</c:v>
                </c:pt>
                <c:pt idx="105">
                  <c:v>32.292215732179784</c:v>
                </c:pt>
                <c:pt idx="106">
                  <c:v>0.11889473730963117</c:v>
                </c:pt>
                <c:pt idx="107">
                  <c:v>2.7423111318266176</c:v>
                </c:pt>
                <c:pt idx="108">
                  <c:v>0.55174609519752615</c:v>
                </c:pt>
                <c:pt idx="109">
                  <c:v>1.309104840120046</c:v>
                </c:pt>
                <c:pt idx="110">
                  <c:v>4.4488620556079992</c:v>
                </c:pt>
                <c:pt idx="111">
                  <c:v>32.2483826244612</c:v>
                </c:pt>
                <c:pt idx="112">
                  <c:v>0.12020244944478888</c:v>
                </c:pt>
                <c:pt idx="113">
                  <c:v>2.6534102105131741</c:v>
                </c:pt>
                <c:pt idx="114">
                  <c:v>0.54629261832832765</c:v>
                </c:pt>
                <c:pt idx="115">
                  <c:v>1.329534786837687</c:v>
                </c:pt>
                <c:pt idx="116">
                  <c:v>4.4150395777015987</c:v>
                </c:pt>
                <c:pt idx="117">
                  <c:v>30.81601843950558</c:v>
                </c:pt>
                <c:pt idx="118">
                  <c:v>0.11560182516141145</c:v>
                </c:pt>
                <c:pt idx="119">
                  <c:v>2.8023668022266688</c:v>
                </c:pt>
                <c:pt idx="120">
                  <c:v>0.55265087637944532</c:v>
                </c:pt>
                <c:pt idx="121">
                  <c:v>1.3665689155211962</c:v>
                </c:pt>
                <c:pt idx="122">
                  <c:v>4.4173384495118606</c:v>
                </c:pt>
                <c:pt idx="123">
                  <c:v>26.090986256988923</c:v>
                </c:pt>
                <c:pt idx="124">
                  <c:v>0.12106045381888035</c:v>
                </c:pt>
                <c:pt idx="125">
                  <c:v>2.8266579096734765</c:v>
                </c:pt>
                <c:pt idx="126">
                  <c:v>0.55079028020411591</c:v>
                </c:pt>
                <c:pt idx="127">
                  <c:v>1.3699356438090937</c:v>
                </c:pt>
                <c:pt idx="128">
                  <c:v>4.531732159075653</c:v>
                </c:pt>
                <c:pt idx="129">
                  <c:v>26.018070657643129</c:v>
                </c:pt>
                <c:pt idx="130">
                  <c:v>0.11962330361502764</c:v>
                </c:pt>
                <c:pt idx="131">
                  <c:v>2.7122394380192669</c:v>
                </c:pt>
                <c:pt idx="132">
                  <c:v>0.5521757110142953</c:v>
                </c:pt>
                <c:pt idx="133">
                  <c:v>1.3897646384379272</c:v>
                </c:pt>
                <c:pt idx="134">
                  <c:v>4.4715532958456601</c:v>
                </c:pt>
                <c:pt idx="135">
                  <c:v>25.490555873256483</c:v>
                </c:pt>
                <c:pt idx="136">
                  <c:v>0.12047554872547626</c:v>
                </c:pt>
                <c:pt idx="137">
                  <c:v>2.5500616014611341</c:v>
                </c:pt>
                <c:pt idx="138">
                  <c:v>0.55652772653575611</c:v>
                </c:pt>
                <c:pt idx="139">
                  <c:v>1.3954039132455121</c:v>
                </c:pt>
                <c:pt idx="140">
                  <c:v>4.434513320608902</c:v>
                </c:pt>
                <c:pt idx="141">
                  <c:v>25.87495773965556</c:v>
                </c:pt>
                <c:pt idx="142">
                  <c:v>0.12189009314277838</c:v>
                </c:pt>
                <c:pt idx="143">
                  <c:v>2.5375293072611176</c:v>
                </c:pt>
                <c:pt idx="144">
                  <c:v>0.55780250300203504</c:v>
                </c:pt>
                <c:pt idx="145">
                  <c:v>1.3817576971725767</c:v>
                </c:pt>
                <c:pt idx="146">
                  <c:v>4.4170799562059964</c:v>
                </c:pt>
                <c:pt idx="147">
                  <c:v>26.056751649817585</c:v>
                </c:pt>
                <c:pt idx="148">
                  <c:v>0.12099751345870631</c:v>
                </c:pt>
                <c:pt idx="149">
                  <c:v>2.5305279038878874</c:v>
                </c:pt>
              </c:numCache>
            </c:numRef>
          </c:yVal>
          <c:smooth val="0"/>
          <c:extLst>
            <c:ext xmlns:c16="http://schemas.microsoft.com/office/drawing/2014/chart" uri="{C3380CC4-5D6E-409C-BE32-E72D297353CC}">
              <c16:uniqueId val="{00000001-F348-4202-BFB8-58B14A7FCFD2}"/>
            </c:ext>
          </c:extLst>
        </c:ser>
        <c:ser>
          <c:idx val="3"/>
          <c:order val="2"/>
          <c:tx>
            <c:v>mid weight basis</c:v>
          </c:tx>
          <c:spPr>
            <a:ln w="19050" cap="rnd">
              <a:noFill/>
              <a:round/>
            </a:ln>
            <a:effectLst/>
          </c:spPr>
          <c:marker>
            <c:symbol val="square"/>
            <c:size val="5"/>
            <c:spPr>
              <a:noFill/>
              <a:ln w="19050">
                <a:solidFill>
                  <a:schemeClr val="accent4"/>
                </a:solidFill>
              </a:ln>
              <a:effectLst/>
            </c:spPr>
          </c:marker>
          <c:xVal>
            <c:numRef>
              <c:f>'Emissions and vehicles'!$W$10:$W$159</c:f>
              <c:numCache>
                <c:formatCode>General</c:formatCode>
                <c:ptCount val="150"/>
                <c:pt idx="0">
                  <c:v>1500</c:v>
                </c:pt>
                <c:pt idx="1">
                  <c:v>2500</c:v>
                </c:pt>
                <c:pt idx="2">
                  <c:v>-1</c:v>
                </c:pt>
                <c:pt idx="3">
                  <c:v>-1</c:v>
                </c:pt>
                <c:pt idx="4">
                  <c:v>150</c:v>
                </c:pt>
                <c:pt idx="5">
                  <c:v>13750</c:v>
                </c:pt>
                <c:pt idx="6">
                  <c:v>1500</c:v>
                </c:pt>
                <c:pt idx="7">
                  <c:v>2500</c:v>
                </c:pt>
                <c:pt idx="8">
                  <c:v>-1</c:v>
                </c:pt>
                <c:pt idx="9">
                  <c:v>-1</c:v>
                </c:pt>
                <c:pt idx="10">
                  <c:v>150</c:v>
                </c:pt>
                <c:pt idx="11">
                  <c:v>13750</c:v>
                </c:pt>
                <c:pt idx="12">
                  <c:v>1500</c:v>
                </c:pt>
                <c:pt idx="13">
                  <c:v>2500</c:v>
                </c:pt>
                <c:pt idx="14">
                  <c:v>-1</c:v>
                </c:pt>
                <c:pt idx="15">
                  <c:v>-1</c:v>
                </c:pt>
                <c:pt idx="16">
                  <c:v>150</c:v>
                </c:pt>
                <c:pt idx="17">
                  <c:v>13750</c:v>
                </c:pt>
                <c:pt idx="18">
                  <c:v>1500</c:v>
                </c:pt>
                <c:pt idx="19">
                  <c:v>2500</c:v>
                </c:pt>
                <c:pt idx="20">
                  <c:v>-1</c:v>
                </c:pt>
                <c:pt idx="21">
                  <c:v>-1</c:v>
                </c:pt>
                <c:pt idx="22">
                  <c:v>150</c:v>
                </c:pt>
                <c:pt idx="23">
                  <c:v>13750</c:v>
                </c:pt>
                <c:pt idx="24">
                  <c:v>1500</c:v>
                </c:pt>
                <c:pt idx="25">
                  <c:v>2500</c:v>
                </c:pt>
                <c:pt idx="26">
                  <c:v>-1</c:v>
                </c:pt>
                <c:pt idx="27">
                  <c:v>-1</c:v>
                </c:pt>
                <c:pt idx="28">
                  <c:v>150</c:v>
                </c:pt>
                <c:pt idx="29">
                  <c:v>13750</c:v>
                </c:pt>
                <c:pt idx="30">
                  <c:v>1500</c:v>
                </c:pt>
                <c:pt idx="31">
                  <c:v>2500</c:v>
                </c:pt>
                <c:pt idx="32">
                  <c:v>-1</c:v>
                </c:pt>
                <c:pt idx="33">
                  <c:v>-1</c:v>
                </c:pt>
                <c:pt idx="34">
                  <c:v>150</c:v>
                </c:pt>
                <c:pt idx="35">
                  <c:v>13750</c:v>
                </c:pt>
                <c:pt idx="36">
                  <c:v>1500</c:v>
                </c:pt>
                <c:pt idx="37">
                  <c:v>2500</c:v>
                </c:pt>
                <c:pt idx="38">
                  <c:v>-1</c:v>
                </c:pt>
                <c:pt idx="39">
                  <c:v>-1</c:v>
                </c:pt>
                <c:pt idx="40">
                  <c:v>150</c:v>
                </c:pt>
                <c:pt idx="41">
                  <c:v>13750</c:v>
                </c:pt>
                <c:pt idx="42">
                  <c:v>1500</c:v>
                </c:pt>
                <c:pt idx="43">
                  <c:v>2500</c:v>
                </c:pt>
                <c:pt idx="44">
                  <c:v>-1</c:v>
                </c:pt>
                <c:pt idx="45">
                  <c:v>-1</c:v>
                </c:pt>
                <c:pt idx="46">
                  <c:v>150</c:v>
                </c:pt>
                <c:pt idx="47">
                  <c:v>13750</c:v>
                </c:pt>
                <c:pt idx="48">
                  <c:v>1500</c:v>
                </c:pt>
                <c:pt idx="49">
                  <c:v>2500</c:v>
                </c:pt>
                <c:pt idx="50">
                  <c:v>-1</c:v>
                </c:pt>
                <c:pt idx="51">
                  <c:v>-1</c:v>
                </c:pt>
                <c:pt idx="52">
                  <c:v>150</c:v>
                </c:pt>
                <c:pt idx="53">
                  <c:v>13750</c:v>
                </c:pt>
                <c:pt idx="54">
                  <c:v>1500</c:v>
                </c:pt>
                <c:pt idx="55">
                  <c:v>2500</c:v>
                </c:pt>
                <c:pt idx="56">
                  <c:v>-1</c:v>
                </c:pt>
                <c:pt idx="57">
                  <c:v>-1</c:v>
                </c:pt>
                <c:pt idx="58">
                  <c:v>150</c:v>
                </c:pt>
                <c:pt idx="59">
                  <c:v>13750</c:v>
                </c:pt>
                <c:pt idx="60">
                  <c:v>1500</c:v>
                </c:pt>
                <c:pt idx="61">
                  <c:v>2500</c:v>
                </c:pt>
                <c:pt idx="62">
                  <c:v>-1</c:v>
                </c:pt>
                <c:pt idx="63">
                  <c:v>-1</c:v>
                </c:pt>
                <c:pt idx="64">
                  <c:v>150</c:v>
                </c:pt>
                <c:pt idx="65">
                  <c:v>13750</c:v>
                </c:pt>
                <c:pt idx="66">
                  <c:v>1500</c:v>
                </c:pt>
                <c:pt idx="67">
                  <c:v>2500</c:v>
                </c:pt>
                <c:pt idx="68">
                  <c:v>-1</c:v>
                </c:pt>
                <c:pt idx="69">
                  <c:v>-1</c:v>
                </c:pt>
                <c:pt idx="70">
                  <c:v>150</c:v>
                </c:pt>
                <c:pt idx="71">
                  <c:v>13750</c:v>
                </c:pt>
                <c:pt idx="72">
                  <c:v>1500</c:v>
                </c:pt>
                <c:pt idx="73">
                  <c:v>2500</c:v>
                </c:pt>
                <c:pt idx="74">
                  <c:v>-1</c:v>
                </c:pt>
                <c:pt idx="75">
                  <c:v>-1</c:v>
                </c:pt>
                <c:pt idx="76">
                  <c:v>150</c:v>
                </c:pt>
                <c:pt idx="77">
                  <c:v>13750</c:v>
                </c:pt>
                <c:pt idx="78">
                  <c:v>1500</c:v>
                </c:pt>
                <c:pt idx="79">
                  <c:v>2500</c:v>
                </c:pt>
                <c:pt idx="80">
                  <c:v>-1</c:v>
                </c:pt>
                <c:pt idx="81">
                  <c:v>-1</c:v>
                </c:pt>
                <c:pt idx="82">
                  <c:v>150</c:v>
                </c:pt>
                <c:pt idx="83">
                  <c:v>13750</c:v>
                </c:pt>
                <c:pt idx="84">
                  <c:v>1500</c:v>
                </c:pt>
                <c:pt idx="85">
                  <c:v>2500</c:v>
                </c:pt>
                <c:pt idx="86">
                  <c:v>-1</c:v>
                </c:pt>
                <c:pt idx="87">
                  <c:v>-1</c:v>
                </c:pt>
                <c:pt idx="88">
                  <c:v>150</c:v>
                </c:pt>
                <c:pt idx="89">
                  <c:v>13750</c:v>
                </c:pt>
                <c:pt idx="90">
                  <c:v>1500</c:v>
                </c:pt>
                <c:pt idx="91">
                  <c:v>2500</c:v>
                </c:pt>
                <c:pt idx="92">
                  <c:v>-1</c:v>
                </c:pt>
                <c:pt idx="93">
                  <c:v>-1</c:v>
                </c:pt>
                <c:pt idx="94">
                  <c:v>150</c:v>
                </c:pt>
                <c:pt idx="95">
                  <c:v>13750</c:v>
                </c:pt>
                <c:pt idx="96">
                  <c:v>1500</c:v>
                </c:pt>
                <c:pt idx="97">
                  <c:v>2500</c:v>
                </c:pt>
                <c:pt idx="98">
                  <c:v>16750</c:v>
                </c:pt>
                <c:pt idx="99">
                  <c:v>37000</c:v>
                </c:pt>
                <c:pt idx="100">
                  <c:v>150</c:v>
                </c:pt>
                <c:pt idx="101">
                  <c:v>13750</c:v>
                </c:pt>
                <c:pt idx="102">
                  <c:v>1500</c:v>
                </c:pt>
                <c:pt idx="103">
                  <c:v>2500</c:v>
                </c:pt>
                <c:pt idx="104">
                  <c:v>16750</c:v>
                </c:pt>
                <c:pt idx="105">
                  <c:v>37000</c:v>
                </c:pt>
                <c:pt idx="106">
                  <c:v>150</c:v>
                </c:pt>
                <c:pt idx="107">
                  <c:v>13750</c:v>
                </c:pt>
                <c:pt idx="108">
                  <c:v>1500</c:v>
                </c:pt>
                <c:pt idx="109">
                  <c:v>2500</c:v>
                </c:pt>
                <c:pt idx="110">
                  <c:v>16750</c:v>
                </c:pt>
                <c:pt idx="111">
                  <c:v>37000</c:v>
                </c:pt>
                <c:pt idx="112">
                  <c:v>150</c:v>
                </c:pt>
                <c:pt idx="113">
                  <c:v>13750</c:v>
                </c:pt>
                <c:pt idx="114">
                  <c:v>1500</c:v>
                </c:pt>
                <c:pt idx="115">
                  <c:v>2500</c:v>
                </c:pt>
                <c:pt idx="116">
                  <c:v>16750</c:v>
                </c:pt>
                <c:pt idx="117">
                  <c:v>37000</c:v>
                </c:pt>
                <c:pt idx="118">
                  <c:v>150</c:v>
                </c:pt>
                <c:pt idx="119">
                  <c:v>13750</c:v>
                </c:pt>
                <c:pt idx="120">
                  <c:v>1500</c:v>
                </c:pt>
                <c:pt idx="121">
                  <c:v>2500</c:v>
                </c:pt>
                <c:pt idx="122">
                  <c:v>16750</c:v>
                </c:pt>
                <c:pt idx="123">
                  <c:v>37000</c:v>
                </c:pt>
                <c:pt idx="124">
                  <c:v>150</c:v>
                </c:pt>
                <c:pt idx="125">
                  <c:v>13750</c:v>
                </c:pt>
                <c:pt idx="126">
                  <c:v>1500</c:v>
                </c:pt>
                <c:pt idx="127">
                  <c:v>2500</c:v>
                </c:pt>
                <c:pt idx="128">
                  <c:v>16750</c:v>
                </c:pt>
                <c:pt idx="129">
                  <c:v>37000</c:v>
                </c:pt>
                <c:pt idx="130">
                  <c:v>150</c:v>
                </c:pt>
                <c:pt idx="131">
                  <c:v>13750</c:v>
                </c:pt>
                <c:pt idx="132">
                  <c:v>1500</c:v>
                </c:pt>
                <c:pt idx="133">
                  <c:v>2500</c:v>
                </c:pt>
                <c:pt idx="134">
                  <c:v>16750</c:v>
                </c:pt>
                <c:pt idx="135">
                  <c:v>37000</c:v>
                </c:pt>
                <c:pt idx="136">
                  <c:v>150</c:v>
                </c:pt>
                <c:pt idx="137">
                  <c:v>13750</c:v>
                </c:pt>
                <c:pt idx="138">
                  <c:v>1500</c:v>
                </c:pt>
                <c:pt idx="139">
                  <c:v>2500</c:v>
                </c:pt>
                <c:pt idx="140">
                  <c:v>16750</c:v>
                </c:pt>
                <c:pt idx="141">
                  <c:v>37000</c:v>
                </c:pt>
                <c:pt idx="142">
                  <c:v>150</c:v>
                </c:pt>
                <c:pt idx="143">
                  <c:v>13750</c:v>
                </c:pt>
                <c:pt idx="144">
                  <c:v>1500</c:v>
                </c:pt>
                <c:pt idx="145">
                  <c:v>2500</c:v>
                </c:pt>
                <c:pt idx="146">
                  <c:v>16750</c:v>
                </c:pt>
                <c:pt idx="147">
                  <c:v>37000</c:v>
                </c:pt>
                <c:pt idx="148">
                  <c:v>150</c:v>
                </c:pt>
                <c:pt idx="149">
                  <c:v>13750</c:v>
                </c:pt>
              </c:numCache>
            </c:numRef>
          </c:xVal>
          <c:yVal>
            <c:numRef>
              <c:f>'Emissions and vehicles'!$S$10:$S$159</c:f>
              <c:numCache>
                <c:formatCode>0.000</c:formatCode>
                <c:ptCount val="150"/>
                <c:pt idx="0">
                  <c:v>0.65223149709704364</c:v>
                </c:pt>
                <c:pt idx="1">
                  <c:v>1.281181350709083</c:v>
                </c:pt>
                <c:pt idx="2">
                  <c:v>-1</c:v>
                </c:pt>
                <c:pt idx="3">
                  <c:v>-1</c:v>
                </c:pt>
                <c:pt idx="4">
                  <c:v>0.16511758553629946</c:v>
                </c:pt>
                <c:pt idx="5">
                  <c:v>2.9883790281335365</c:v>
                </c:pt>
                <c:pt idx="6">
                  <c:v>0.65781407986213702</c:v>
                </c:pt>
                <c:pt idx="7">
                  <c:v>1.3259164901249263</c:v>
                </c:pt>
                <c:pt idx="8">
                  <c:v>-1</c:v>
                </c:pt>
                <c:pt idx="9">
                  <c:v>-1</c:v>
                </c:pt>
                <c:pt idx="10">
                  <c:v>0.16499004260540662</c:v>
                </c:pt>
                <c:pt idx="11">
                  <c:v>3.1435925915855405</c:v>
                </c:pt>
                <c:pt idx="12">
                  <c:v>0.64879310294656878</c:v>
                </c:pt>
                <c:pt idx="13">
                  <c:v>1.3442087829047347</c:v>
                </c:pt>
                <c:pt idx="14">
                  <c:v>-1</c:v>
                </c:pt>
                <c:pt idx="15">
                  <c:v>-1</c:v>
                </c:pt>
                <c:pt idx="16">
                  <c:v>0.16113155087742079</c:v>
                </c:pt>
                <c:pt idx="17">
                  <c:v>3.1228319098165942</c:v>
                </c:pt>
                <c:pt idx="18">
                  <c:v>0.64232155749905839</c:v>
                </c:pt>
                <c:pt idx="19">
                  <c:v>1.3777213447074139</c:v>
                </c:pt>
                <c:pt idx="20">
                  <c:v>-1</c:v>
                </c:pt>
                <c:pt idx="21">
                  <c:v>-1</c:v>
                </c:pt>
                <c:pt idx="22">
                  <c:v>0.16654593497501885</c:v>
                </c:pt>
                <c:pt idx="23">
                  <c:v>3.1854459321660165</c:v>
                </c:pt>
                <c:pt idx="24">
                  <c:v>0.63787957927246097</c:v>
                </c:pt>
                <c:pt idx="25">
                  <c:v>1.4104729629606521</c:v>
                </c:pt>
                <c:pt idx="26">
                  <c:v>-1</c:v>
                </c:pt>
                <c:pt idx="27">
                  <c:v>-1</c:v>
                </c:pt>
                <c:pt idx="28">
                  <c:v>0.15782388201291753</c:v>
                </c:pt>
                <c:pt idx="29">
                  <c:v>3.1737753897022776</c:v>
                </c:pt>
                <c:pt idx="30">
                  <c:v>0.63118814834233317</c:v>
                </c:pt>
                <c:pt idx="31">
                  <c:v>1.3934553665882989</c:v>
                </c:pt>
                <c:pt idx="32">
                  <c:v>-1</c:v>
                </c:pt>
                <c:pt idx="33">
                  <c:v>-1</c:v>
                </c:pt>
                <c:pt idx="34">
                  <c:v>0.15850062516584881</c:v>
                </c:pt>
                <c:pt idx="35">
                  <c:v>3.1037978312979879</c:v>
                </c:pt>
                <c:pt idx="36">
                  <c:v>0.61779510345512456</c:v>
                </c:pt>
                <c:pt idx="37">
                  <c:v>1.3857379440730524</c:v>
                </c:pt>
                <c:pt idx="38">
                  <c:v>-1</c:v>
                </c:pt>
                <c:pt idx="39">
                  <c:v>-1</c:v>
                </c:pt>
                <c:pt idx="40">
                  <c:v>0.15108703971849666</c:v>
                </c:pt>
                <c:pt idx="41">
                  <c:v>2.9022965489894554</c:v>
                </c:pt>
                <c:pt idx="42">
                  <c:v>0.60843914024939616</c:v>
                </c:pt>
                <c:pt idx="43">
                  <c:v>1.3722160989729906</c:v>
                </c:pt>
                <c:pt idx="44">
                  <c:v>-1</c:v>
                </c:pt>
                <c:pt idx="45">
                  <c:v>-1</c:v>
                </c:pt>
                <c:pt idx="46">
                  <c:v>0.1488804440598285</c:v>
                </c:pt>
                <c:pt idx="47">
                  <c:v>2.919289969456889</c:v>
                </c:pt>
                <c:pt idx="48">
                  <c:v>0.6076680080508674</c:v>
                </c:pt>
                <c:pt idx="49">
                  <c:v>1.3609033483349569</c:v>
                </c:pt>
                <c:pt idx="50">
                  <c:v>-1</c:v>
                </c:pt>
                <c:pt idx="51">
                  <c:v>-1</c:v>
                </c:pt>
                <c:pt idx="52">
                  <c:v>0.14637783148383859</c:v>
                </c:pt>
                <c:pt idx="53">
                  <c:v>2.9479233664349191</c:v>
                </c:pt>
                <c:pt idx="54">
                  <c:v>0.59614515447612559</c:v>
                </c:pt>
                <c:pt idx="55">
                  <c:v>1.3685126149106905</c:v>
                </c:pt>
                <c:pt idx="56">
                  <c:v>-1</c:v>
                </c:pt>
                <c:pt idx="57">
                  <c:v>-1</c:v>
                </c:pt>
                <c:pt idx="58">
                  <c:v>0.15460084851967332</c:v>
                </c:pt>
                <c:pt idx="59">
                  <c:v>2.9753611302471574</c:v>
                </c:pt>
                <c:pt idx="60">
                  <c:v>0.58500602691059234</c:v>
                </c:pt>
                <c:pt idx="61">
                  <c:v>1.3490613293143026</c:v>
                </c:pt>
                <c:pt idx="62">
                  <c:v>-1</c:v>
                </c:pt>
                <c:pt idx="63">
                  <c:v>-1</c:v>
                </c:pt>
                <c:pt idx="64">
                  <c:v>0.13412050189393948</c:v>
                </c:pt>
                <c:pt idx="65">
                  <c:v>2.8151596275162776</c:v>
                </c:pt>
                <c:pt idx="66">
                  <c:v>0.57236559926496444</c:v>
                </c:pt>
                <c:pt idx="67">
                  <c:v>1.3280139935699793</c:v>
                </c:pt>
                <c:pt idx="68">
                  <c:v>-1</c:v>
                </c:pt>
                <c:pt idx="69">
                  <c:v>-1</c:v>
                </c:pt>
                <c:pt idx="70">
                  <c:v>0.13762157148316193</c:v>
                </c:pt>
                <c:pt idx="71">
                  <c:v>2.8029041331100042</c:v>
                </c:pt>
                <c:pt idx="72">
                  <c:v>0.57735420881642174</c:v>
                </c:pt>
                <c:pt idx="73">
                  <c:v>1.3453087649188471</c:v>
                </c:pt>
                <c:pt idx="74">
                  <c:v>-1</c:v>
                </c:pt>
                <c:pt idx="75">
                  <c:v>-1</c:v>
                </c:pt>
                <c:pt idx="76">
                  <c:v>0.1320814562687001</c:v>
                </c:pt>
                <c:pt idx="77">
                  <c:v>2.9359342776675033</c:v>
                </c:pt>
                <c:pt idx="78">
                  <c:v>0.57000649767511802</c:v>
                </c:pt>
                <c:pt idx="79">
                  <c:v>1.3538265193668939</c:v>
                </c:pt>
                <c:pt idx="80">
                  <c:v>-1</c:v>
                </c:pt>
                <c:pt idx="81">
                  <c:v>-1</c:v>
                </c:pt>
                <c:pt idx="82">
                  <c:v>0.1380175852204682</c:v>
                </c:pt>
                <c:pt idx="83">
                  <c:v>2.993037815588365</c:v>
                </c:pt>
                <c:pt idx="84">
                  <c:v>0.5626445334342689</c:v>
                </c:pt>
                <c:pt idx="85">
                  <c:v>1.3258805183183753</c:v>
                </c:pt>
                <c:pt idx="86">
                  <c:v>-1</c:v>
                </c:pt>
                <c:pt idx="87">
                  <c:v>-1</c:v>
                </c:pt>
                <c:pt idx="88">
                  <c:v>0.12288673495647151</c:v>
                </c:pt>
                <c:pt idx="89">
                  <c:v>2.7945280828699492</c:v>
                </c:pt>
                <c:pt idx="90">
                  <c:v>0.55950515080525876</c:v>
                </c:pt>
                <c:pt idx="91">
                  <c:v>1.3009288881678196</c:v>
                </c:pt>
                <c:pt idx="92">
                  <c:v>-1</c:v>
                </c:pt>
                <c:pt idx="93">
                  <c:v>-1</c:v>
                </c:pt>
                <c:pt idx="94">
                  <c:v>0.12523903668822164</c:v>
                </c:pt>
                <c:pt idx="95">
                  <c:v>2.8222635045591122</c:v>
                </c:pt>
                <c:pt idx="96">
                  <c:v>0.54931025170356396</c:v>
                </c:pt>
                <c:pt idx="97">
                  <c:v>1.3151633262732179</c:v>
                </c:pt>
                <c:pt idx="98">
                  <c:v>4.2654572035191309</c:v>
                </c:pt>
                <c:pt idx="99">
                  <c:v>32.474602210775736</c:v>
                </c:pt>
                <c:pt idx="100">
                  <c:v>0.11927539495888173</c:v>
                </c:pt>
                <c:pt idx="101">
                  <c:v>2.9212312128135554</c:v>
                </c:pt>
                <c:pt idx="102">
                  <c:v>0.55403215521312077</c:v>
                </c:pt>
                <c:pt idx="103">
                  <c:v>1.3162895101181269</c:v>
                </c:pt>
                <c:pt idx="104">
                  <c:v>4.3638852840538629</c:v>
                </c:pt>
                <c:pt idx="105">
                  <c:v>32.292215732179784</c:v>
                </c:pt>
                <c:pt idx="106">
                  <c:v>0.11889473730963117</c:v>
                </c:pt>
                <c:pt idx="107">
                  <c:v>2.7423111318266176</c:v>
                </c:pt>
                <c:pt idx="108">
                  <c:v>0.55174609519752615</c:v>
                </c:pt>
                <c:pt idx="109">
                  <c:v>1.309104840120046</c:v>
                </c:pt>
                <c:pt idx="110">
                  <c:v>4.4488620556079992</c:v>
                </c:pt>
                <c:pt idx="111">
                  <c:v>32.2483826244612</c:v>
                </c:pt>
                <c:pt idx="112">
                  <c:v>0.12020244944478888</c:v>
                </c:pt>
                <c:pt idx="113">
                  <c:v>2.6534102105131741</c:v>
                </c:pt>
                <c:pt idx="114">
                  <c:v>0.54629261832832765</c:v>
                </c:pt>
                <c:pt idx="115">
                  <c:v>1.329534786837687</c:v>
                </c:pt>
                <c:pt idx="116">
                  <c:v>4.4150395777015987</c:v>
                </c:pt>
                <c:pt idx="117">
                  <c:v>30.81601843950558</c:v>
                </c:pt>
                <c:pt idx="118">
                  <c:v>0.11560182516141145</c:v>
                </c:pt>
                <c:pt idx="119">
                  <c:v>2.8023668022266688</c:v>
                </c:pt>
                <c:pt idx="120">
                  <c:v>0.55265087637944532</c:v>
                </c:pt>
                <c:pt idx="121">
                  <c:v>1.3665689155211962</c:v>
                </c:pt>
                <c:pt idx="122">
                  <c:v>4.4173384495118606</c:v>
                </c:pt>
                <c:pt idx="123">
                  <c:v>26.090986256988923</c:v>
                </c:pt>
                <c:pt idx="124">
                  <c:v>0.12106045381888035</c:v>
                </c:pt>
                <c:pt idx="125">
                  <c:v>2.8266579096734765</c:v>
                </c:pt>
                <c:pt idx="126">
                  <c:v>0.55079028020411591</c:v>
                </c:pt>
                <c:pt idx="127">
                  <c:v>1.3699356438090937</c:v>
                </c:pt>
                <c:pt idx="128">
                  <c:v>4.531732159075653</c:v>
                </c:pt>
                <c:pt idx="129">
                  <c:v>26.018070657643129</c:v>
                </c:pt>
                <c:pt idx="130">
                  <c:v>0.11962330361502764</c:v>
                </c:pt>
                <c:pt idx="131">
                  <c:v>2.7122394380192669</c:v>
                </c:pt>
                <c:pt idx="132">
                  <c:v>0.5521757110142953</c:v>
                </c:pt>
                <c:pt idx="133">
                  <c:v>1.3897646384379272</c:v>
                </c:pt>
                <c:pt idx="134">
                  <c:v>4.4715532958456601</c:v>
                </c:pt>
                <c:pt idx="135">
                  <c:v>25.490555873256483</c:v>
                </c:pt>
                <c:pt idx="136">
                  <c:v>0.12047554872547626</c:v>
                </c:pt>
                <c:pt idx="137">
                  <c:v>2.5500616014611341</c:v>
                </c:pt>
                <c:pt idx="138">
                  <c:v>0.55652772653575611</c:v>
                </c:pt>
                <c:pt idx="139">
                  <c:v>1.3954039132455121</c:v>
                </c:pt>
                <c:pt idx="140">
                  <c:v>4.434513320608902</c:v>
                </c:pt>
                <c:pt idx="141">
                  <c:v>25.87495773965556</c:v>
                </c:pt>
                <c:pt idx="142">
                  <c:v>0.12189009314277838</c:v>
                </c:pt>
                <c:pt idx="143">
                  <c:v>2.5375293072611176</c:v>
                </c:pt>
                <c:pt idx="144">
                  <c:v>0.55780250300203504</c:v>
                </c:pt>
                <c:pt idx="145">
                  <c:v>1.3817576971725767</c:v>
                </c:pt>
                <c:pt idx="146">
                  <c:v>4.4170799562059964</c:v>
                </c:pt>
                <c:pt idx="147">
                  <c:v>26.056751649817585</c:v>
                </c:pt>
                <c:pt idx="148">
                  <c:v>0.12099751345870631</c:v>
                </c:pt>
                <c:pt idx="149">
                  <c:v>2.5305279038878874</c:v>
                </c:pt>
              </c:numCache>
            </c:numRef>
          </c:yVal>
          <c:smooth val="0"/>
          <c:extLst>
            <c:ext xmlns:c16="http://schemas.microsoft.com/office/drawing/2014/chart" uri="{C3380CC4-5D6E-409C-BE32-E72D297353CC}">
              <c16:uniqueId val="{00000002-F348-4202-BFB8-58B14A7FCFD2}"/>
            </c:ext>
          </c:extLst>
        </c:ser>
        <c:ser>
          <c:idx val="6"/>
          <c:order val="3"/>
          <c:tx>
            <c:v>Power 2 formula</c:v>
          </c:tx>
          <c:spPr>
            <a:ln w="19050" cap="rnd">
              <a:solidFill>
                <a:schemeClr val="accent1">
                  <a:lumMod val="60000"/>
                </a:schemeClr>
              </a:solidFill>
              <a:round/>
            </a:ln>
            <a:effectLst/>
          </c:spPr>
          <c:marker>
            <c:symbol val="none"/>
          </c:marker>
          <c:xVal>
            <c:numRef>
              <c:f>'Emissions and vehicles'!$Y$10:$Y$33</c:f>
              <c:numCache>
                <c:formatCode>General</c:formatCode>
                <c:ptCount val="24"/>
                <c:pt idx="0">
                  <c:v>100</c:v>
                </c:pt>
                <c:pt idx="1">
                  <c:v>500</c:v>
                </c:pt>
                <c:pt idx="2">
                  <c:v>1000</c:v>
                </c:pt>
                <c:pt idx="3">
                  <c:v>1500</c:v>
                </c:pt>
                <c:pt idx="4">
                  <c:v>2000</c:v>
                </c:pt>
                <c:pt idx="5">
                  <c:v>2500</c:v>
                </c:pt>
                <c:pt idx="6">
                  <c:v>3000</c:v>
                </c:pt>
                <c:pt idx="7">
                  <c:v>3500</c:v>
                </c:pt>
                <c:pt idx="8">
                  <c:v>4000</c:v>
                </c:pt>
                <c:pt idx="9">
                  <c:v>4500</c:v>
                </c:pt>
                <c:pt idx="10">
                  <c:v>5000</c:v>
                </c:pt>
                <c:pt idx="11">
                  <c:v>10000</c:v>
                </c:pt>
                <c:pt idx="12">
                  <c:v>15000</c:v>
                </c:pt>
                <c:pt idx="13">
                  <c:v>17000</c:v>
                </c:pt>
                <c:pt idx="14">
                  <c:v>20000</c:v>
                </c:pt>
                <c:pt idx="15">
                  <c:v>24000</c:v>
                </c:pt>
                <c:pt idx="16">
                  <c:v>25000</c:v>
                </c:pt>
                <c:pt idx="17">
                  <c:v>27000</c:v>
                </c:pt>
                <c:pt idx="18">
                  <c:v>30000</c:v>
                </c:pt>
                <c:pt idx="19">
                  <c:v>32000</c:v>
                </c:pt>
                <c:pt idx="20">
                  <c:v>35000</c:v>
                </c:pt>
                <c:pt idx="21">
                  <c:v>38000</c:v>
                </c:pt>
                <c:pt idx="22">
                  <c:v>40000</c:v>
                </c:pt>
                <c:pt idx="23">
                  <c:v>44000</c:v>
                </c:pt>
              </c:numCache>
            </c:numRef>
          </c:xVal>
          <c:yVal>
            <c:numRef>
              <c:f>'Emissions and vehicles'!$Z$10:$Z$33</c:f>
              <c:numCache>
                <c:formatCode>0.000</c:formatCode>
                <c:ptCount val="24"/>
                <c:pt idx="0">
                  <c:v>0.61414000000000002</c:v>
                </c:pt>
                <c:pt idx="1">
                  <c:v>0.67349999999999999</c:v>
                </c:pt>
                <c:pt idx="2">
                  <c:v>0.754</c:v>
                </c:pt>
                <c:pt idx="3">
                  <c:v>0.84150000000000003</c:v>
                </c:pt>
                <c:pt idx="4">
                  <c:v>0.93599999999999994</c:v>
                </c:pt>
                <c:pt idx="5">
                  <c:v>1.0375000000000001</c:v>
                </c:pt>
                <c:pt idx="6">
                  <c:v>1.1459999999999999</c:v>
                </c:pt>
                <c:pt idx="7">
                  <c:v>1.2615000000000001</c:v>
                </c:pt>
                <c:pt idx="8">
                  <c:v>1.3839999999999999</c:v>
                </c:pt>
                <c:pt idx="9">
                  <c:v>1.5135000000000001</c:v>
                </c:pt>
                <c:pt idx="10">
                  <c:v>1.65</c:v>
                </c:pt>
                <c:pt idx="11">
                  <c:v>3.4000000000000004</c:v>
                </c:pt>
                <c:pt idx="12">
                  <c:v>5.85</c:v>
                </c:pt>
                <c:pt idx="13">
                  <c:v>7.0259999999999998</c:v>
                </c:pt>
                <c:pt idx="14">
                  <c:v>9</c:v>
                </c:pt>
                <c:pt idx="15">
                  <c:v>12.023999999999999</c:v>
                </c:pt>
                <c:pt idx="16">
                  <c:v>12.85</c:v>
                </c:pt>
                <c:pt idx="17">
                  <c:v>14.586</c:v>
                </c:pt>
                <c:pt idx="18">
                  <c:v>17.400000000000002</c:v>
                </c:pt>
                <c:pt idx="19">
                  <c:v>19.416000000000004</c:v>
                </c:pt>
                <c:pt idx="20">
                  <c:v>22.650000000000006</c:v>
                </c:pt>
                <c:pt idx="21">
                  <c:v>26.136000000000003</c:v>
                </c:pt>
                <c:pt idx="22">
                  <c:v>28.600000000000005</c:v>
                </c:pt>
                <c:pt idx="23">
                  <c:v>33.863999999999997</c:v>
                </c:pt>
              </c:numCache>
            </c:numRef>
          </c:yVal>
          <c:smooth val="0"/>
          <c:extLst>
            <c:ext xmlns:c16="http://schemas.microsoft.com/office/drawing/2014/chart" uri="{C3380CC4-5D6E-409C-BE32-E72D297353CC}">
              <c16:uniqueId val="{00000003-F348-4202-BFB8-58B14A7FCFD2}"/>
            </c:ext>
          </c:extLst>
        </c:ser>
        <c:ser>
          <c:idx val="4"/>
          <c:order val="4"/>
          <c:tx>
            <c:v>power 3 formula</c:v>
          </c:tx>
          <c:spPr>
            <a:ln w="19050" cap="rnd">
              <a:solidFill>
                <a:schemeClr val="accent5"/>
              </a:solidFill>
              <a:round/>
            </a:ln>
            <a:effectLst/>
          </c:spPr>
          <c:marker>
            <c:symbol val="none"/>
          </c:marker>
          <c:xVal>
            <c:numRef>
              <c:f>'Emissions and vehicles'!$Y$10:$Y$33</c:f>
              <c:numCache>
                <c:formatCode>General</c:formatCode>
                <c:ptCount val="24"/>
                <c:pt idx="0">
                  <c:v>100</c:v>
                </c:pt>
                <c:pt idx="1">
                  <c:v>500</c:v>
                </c:pt>
                <c:pt idx="2">
                  <c:v>1000</c:v>
                </c:pt>
                <c:pt idx="3">
                  <c:v>1500</c:v>
                </c:pt>
                <c:pt idx="4">
                  <c:v>2000</c:v>
                </c:pt>
                <c:pt idx="5">
                  <c:v>2500</c:v>
                </c:pt>
                <c:pt idx="6">
                  <c:v>3000</c:v>
                </c:pt>
                <c:pt idx="7">
                  <c:v>3500</c:v>
                </c:pt>
                <c:pt idx="8">
                  <c:v>4000</c:v>
                </c:pt>
                <c:pt idx="9">
                  <c:v>4500</c:v>
                </c:pt>
                <c:pt idx="10">
                  <c:v>5000</c:v>
                </c:pt>
                <c:pt idx="11">
                  <c:v>10000</c:v>
                </c:pt>
                <c:pt idx="12">
                  <c:v>15000</c:v>
                </c:pt>
                <c:pt idx="13">
                  <c:v>17000</c:v>
                </c:pt>
                <c:pt idx="14">
                  <c:v>20000</c:v>
                </c:pt>
                <c:pt idx="15">
                  <c:v>24000</c:v>
                </c:pt>
                <c:pt idx="16">
                  <c:v>25000</c:v>
                </c:pt>
                <c:pt idx="17">
                  <c:v>27000</c:v>
                </c:pt>
                <c:pt idx="18">
                  <c:v>30000</c:v>
                </c:pt>
                <c:pt idx="19">
                  <c:v>32000</c:v>
                </c:pt>
                <c:pt idx="20">
                  <c:v>35000</c:v>
                </c:pt>
                <c:pt idx="21">
                  <c:v>38000</c:v>
                </c:pt>
                <c:pt idx="22">
                  <c:v>40000</c:v>
                </c:pt>
                <c:pt idx="23">
                  <c:v>44000</c:v>
                </c:pt>
              </c:numCache>
            </c:numRef>
          </c:xVal>
          <c:yVal>
            <c:numRef>
              <c:f>'Emissions and vehicles'!$AB$10:$AB$33</c:f>
              <c:numCache>
                <c:formatCode>0.000</c:formatCode>
                <c:ptCount val="24"/>
                <c:pt idx="0">
                  <c:v>0.6150004</c:v>
                </c:pt>
                <c:pt idx="1">
                  <c:v>0.67504999999999993</c:v>
                </c:pt>
                <c:pt idx="2">
                  <c:v>0.75039999999999996</c:v>
                </c:pt>
                <c:pt idx="3">
                  <c:v>0.82634999999999992</c:v>
                </c:pt>
                <c:pt idx="4">
                  <c:v>0.9032</c:v>
                </c:pt>
                <c:pt idx="5">
                  <c:v>0.98124999999999996</c:v>
                </c:pt>
                <c:pt idx="6">
                  <c:v>1.0608</c:v>
                </c:pt>
                <c:pt idx="7">
                  <c:v>1.14215</c:v>
                </c:pt>
                <c:pt idx="8">
                  <c:v>1.2256</c:v>
                </c:pt>
                <c:pt idx="9">
                  <c:v>1.3114499999999998</c:v>
                </c:pt>
                <c:pt idx="10">
                  <c:v>1.4</c:v>
                </c:pt>
                <c:pt idx="11">
                  <c:v>2.5</c:v>
                </c:pt>
                <c:pt idx="12">
                  <c:v>4.2</c:v>
                </c:pt>
                <c:pt idx="13">
                  <c:v>5.1151999999999997</c:v>
                </c:pt>
                <c:pt idx="14">
                  <c:v>6.8</c:v>
                </c:pt>
                <c:pt idx="15">
                  <c:v>9.7295999999999996</c:v>
                </c:pt>
                <c:pt idx="16">
                  <c:v>10.6</c:v>
                </c:pt>
                <c:pt idx="17">
                  <c:v>12.523200000000001</c:v>
                </c:pt>
                <c:pt idx="18">
                  <c:v>15.9</c:v>
                </c:pt>
                <c:pt idx="19">
                  <c:v>18.507200000000001</c:v>
                </c:pt>
                <c:pt idx="20">
                  <c:v>23.000000000000004</c:v>
                </c:pt>
                <c:pt idx="21">
                  <c:v>28.248800000000003</c:v>
                </c:pt>
                <c:pt idx="22">
                  <c:v>32.200000000000003</c:v>
                </c:pt>
                <c:pt idx="23">
                  <c:v>41.273600000000002</c:v>
                </c:pt>
              </c:numCache>
            </c:numRef>
          </c:yVal>
          <c:smooth val="0"/>
          <c:extLst>
            <c:ext xmlns:c16="http://schemas.microsoft.com/office/drawing/2014/chart" uri="{C3380CC4-5D6E-409C-BE32-E72D297353CC}">
              <c16:uniqueId val="{00000004-F348-4202-BFB8-58B14A7FCFD2}"/>
            </c:ext>
          </c:extLst>
        </c:ser>
        <c:ser>
          <c:idx val="0"/>
          <c:order val="5"/>
          <c:tx>
            <c:v>Power 4 formula</c:v>
          </c:tx>
          <c:spPr>
            <a:ln w="19050" cap="rnd">
              <a:solidFill>
                <a:srgbClr val="00B0F0"/>
              </a:solidFill>
              <a:round/>
            </a:ln>
            <a:effectLst/>
          </c:spPr>
          <c:marker>
            <c:symbol val="none"/>
          </c:marker>
          <c:xVal>
            <c:numRef>
              <c:f>'Emissions and vehicles'!$Y$10:$Y$33</c:f>
              <c:numCache>
                <c:formatCode>General</c:formatCode>
                <c:ptCount val="24"/>
                <c:pt idx="0">
                  <c:v>100</c:v>
                </c:pt>
                <c:pt idx="1">
                  <c:v>500</c:v>
                </c:pt>
                <c:pt idx="2">
                  <c:v>1000</c:v>
                </c:pt>
                <c:pt idx="3">
                  <c:v>1500</c:v>
                </c:pt>
                <c:pt idx="4">
                  <c:v>2000</c:v>
                </c:pt>
                <c:pt idx="5">
                  <c:v>2500</c:v>
                </c:pt>
                <c:pt idx="6">
                  <c:v>3000</c:v>
                </c:pt>
                <c:pt idx="7">
                  <c:v>3500</c:v>
                </c:pt>
                <c:pt idx="8">
                  <c:v>4000</c:v>
                </c:pt>
                <c:pt idx="9">
                  <c:v>4500</c:v>
                </c:pt>
                <c:pt idx="10">
                  <c:v>5000</c:v>
                </c:pt>
                <c:pt idx="11">
                  <c:v>10000</c:v>
                </c:pt>
                <c:pt idx="12">
                  <c:v>15000</c:v>
                </c:pt>
                <c:pt idx="13">
                  <c:v>17000</c:v>
                </c:pt>
                <c:pt idx="14">
                  <c:v>20000</c:v>
                </c:pt>
                <c:pt idx="15">
                  <c:v>24000</c:v>
                </c:pt>
                <c:pt idx="16">
                  <c:v>25000</c:v>
                </c:pt>
                <c:pt idx="17">
                  <c:v>27000</c:v>
                </c:pt>
                <c:pt idx="18">
                  <c:v>30000</c:v>
                </c:pt>
                <c:pt idx="19">
                  <c:v>32000</c:v>
                </c:pt>
                <c:pt idx="20">
                  <c:v>35000</c:v>
                </c:pt>
                <c:pt idx="21">
                  <c:v>38000</c:v>
                </c:pt>
                <c:pt idx="22">
                  <c:v>40000</c:v>
                </c:pt>
                <c:pt idx="23">
                  <c:v>44000</c:v>
                </c:pt>
              </c:numCache>
            </c:numRef>
          </c:xVal>
          <c:yVal>
            <c:numRef>
              <c:f>'Emissions and vehicles'!$AA$10:$AA$33</c:f>
              <c:numCache>
                <c:formatCode>0.000</c:formatCode>
                <c:ptCount val="24"/>
                <c:pt idx="0">
                  <c:v>0.61400000119999998</c:v>
                </c:pt>
                <c:pt idx="1">
                  <c:v>0.67000075000000003</c:v>
                </c:pt>
                <c:pt idx="2">
                  <c:v>0.740012</c:v>
                </c:pt>
                <c:pt idx="3">
                  <c:v>0.81006075</c:v>
                </c:pt>
                <c:pt idx="4">
                  <c:v>0.88019200000000009</c:v>
                </c:pt>
                <c:pt idx="5">
                  <c:v>0.95046874999999997</c:v>
                </c:pt>
                <c:pt idx="6">
                  <c:v>1.020972</c:v>
                </c:pt>
                <c:pt idx="7">
                  <c:v>1.09180075</c:v>
                </c:pt>
                <c:pt idx="8">
                  <c:v>1.1630720000000001</c:v>
                </c:pt>
                <c:pt idx="9">
                  <c:v>1.2349207500000001</c:v>
                </c:pt>
                <c:pt idx="10">
                  <c:v>1.3075000000000001</c:v>
                </c:pt>
                <c:pt idx="11">
                  <c:v>2.12</c:v>
                </c:pt>
                <c:pt idx="12">
                  <c:v>3.3075000000000001</c:v>
                </c:pt>
                <c:pt idx="13">
                  <c:v>3.9822520000000003</c:v>
                </c:pt>
                <c:pt idx="14">
                  <c:v>5.32</c:v>
                </c:pt>
                <c:pt idx="15">
                  <c:v>7.9413119999999999</c:v>
                </c:pt>
                <c:pt idx="16">
                  <c:v>8.7874999999999996</c:v>
                </c:pt>
                <c:pt idx="17">
                  <c:v>10.757292</c:v>
                </c:pt>
                <c:pt idx="18">
                  <c:v>14.520000000000001</c:v>
                </c:pt>
                <c:pt idx="19">
                  <c:v>17.662912000000002</c:v>
                </c:pt>
                <c:pt idx="20">
                  <c:v>23.5075</c:v>
                </c:pt>
                <c:pt idx="21">
                  <c:v>30.941632000000002</c:v>
                </c:pt>
                <c:pt idx="22">
                  <c:v>36.92</c:v>
                </c:pt>
                <c:pt idx="23">
                  <c:v>51.737152000000002</c:v>
                </c:pt>
              </c:numCache>
            </c:numRef>
          </c:yVal>
          <c:smooth val="0"/>
          <c:extLst>
            <c:ext xmlns:c16="http://schemas.microsoft.com/office/drawing/2014/chart" uri="{C3380CC4-5D6E-409C-BE32-E72D297353CC}">
              <c16:uniqueId val="{00000005-F348-4202-BFB8-58B14A7FCFD2}"/>
            </c:ext>
          </c:extLst>
        </c:ser>
        <c:ser>
          <c:idx val="5"/>
          <c:order val="6"/>
          <c:tx>
            <c:v>Power 5 formula</c:v>
          </c:tx>
          <c:spPr>
            <a:ln w="19050" cap="rnd">
              <a:solidFill>
                <a:schemeClr val="accent6"/>
              </a:solidFill>
              <a:round/>
            </a:ln>
            <a:effectLst/>
          </c:spPr>
          <c:marker>
            <c:symbol val="none"/>
          </c:marker>
          <c:xVal>
            <c:numRef>
              <c:f>'Emissions and vehicles'!$Y$10:$Y$33</c:f>
              <c:numCache>
                <c:formatCode>General</c:formatCode>
                <c:ptCount val="24"/>
                <c:pt idx="0">
                  <c:v>100</c:v>
                </c:pt>
                <c:pt idx="1">
                  <c:v>500</c:v>
                </c:pt>
                <c:pt idx="2">
                  <c:v>1000</c:v>
                </c:pt>
                <c:pt idx="3">
                  <c:v>1500</c:v>
                </c:pt>
                <c:pt idx="4">
                  <c:v>2000</c:v>
                </c:pt>
                <c:pt idx="5">
                  <c:v>2500</c:v>
                </c:pt>
                <c:pt idx="6">
                  <c:v>3000</c:v>
                </c:pt>
                <c:pt idx="7">
                  <c:v>3500</c:v>
                </c:pt>
                <c:pt idx="8">
                  <c:v>4000</c:v>
                </c:pt>
                <c:pt idx="9">
                  <c:v>4500</c:v>
                </c:pt>
                <c:pt idx="10">
                  <c:v>5000</c:v>
                </c:pt>
                <c:pt idx="11">
                  <c:v>10000</c:v>
                </c:pt>
                <c:pt idx="12">
                  <c:v>15000</c:v>
                </c:pt>
                <c:pt idx="13">
                  <c:v>17000</c:v>
                </c:pt>
                <c:pt idx="14">
                  <c:v>20000</c:v>
                </c:pt>
                <c:pt idx="15">
                  <c:v>24000</c:v>
                </c:pt>
                <c:pt idx="16">
                  <c:v>25000</c:v>
                </c:pt>
                <c:pt idx="17">
                  <c:v>27000</c:v>
                </c:pt>
                <c:pt idx="18">
                  <c:v>30000</c:v>
                </c:pt>
                <c:pt idx="19">
                  <c:v>32000</c:v>
                </c:pt>
                <c:pt idx="20">
                  <c:v>35000</c:v>
                </c:pt>
                <c:pt idx="21">
                  <c:v>38000</c:v>
                </c:pt>
                <c:pt idx="22">
                  <c:v>40000</c:v>
                </c:pt>
                <c:pt idx="23">
                  <c:v>44000</c:v>
                </c:pt>
              </c:numCache>
            </c:numRef>
          </c:xVal>
          <c:yVal>
            <c:numRef>
              <c:f>'Emissions and vehicles'!$AC$10:$AC$33</c:f>
              <c:numCache>
                <c:formatCode>0.000</c:formatCode>
                <c:ptCount val="24"/>
                <c:pt idx="0">
                  <c:v>0.62000000000299993</c:v>
                </c:pt>
                <c:pt idx="1">
                  <c:v>0.70000000937499995</c:v>
                </c:pt>
                <c:pt idx="2">
                  <c:v>0.8000003</c:v>
                </c:pt>
                <c:pt idx="3">
                  <c:v>0.900002278125</c:v>
                </c:pt>
                <c:pt idx="4">
                  <c:v>1.0000096000000001</c:v>
                </c:pt>
                <c:pt idx="5">
                  <c:v>1.1000292968749998</c:v>
                </c:pt>
                <c:pt idx="6">
                  <c:v>1.2000729000000001</c:v>
                </c:pt>
                <c:pt idx="7">
                  <c:v>1.3001575656250002</c:v>
                </c:pt>
                <c:pt idx="8">
                  <c:v>1.4003071999999999</c:v>
                </c:pt>
                <c:pt idx="9">
                  <c:v>1.500553584375</c:v>
                </c:pt>
                <c:pt idx="10">
                  <c:v>1.6009375000000001</c:v>
                </c:pt>
                <c:pt idx="11">
                  <c:v>2.63</c:v>
                </c:pt>
                <c:pt idx="12">
                  <c:v>3.8278125000000003</c:v>
                </c:pt>
                <c:pt idx="13">
                  <c:v>4.4259570999999998</c:v>
                </c:pt>
                <c:pt idx="14">
                  <c:v>5.56</c:v>
                </c:pt>
                <c:pt idx="15">
                  <c:v>7.7887871999999998</c:v>
                </c:pt>
                <c:pt idx="16">
                  <c:v>8.5296874999999996</c:v>
                </c:pt>
                <c:pt idx="17">
                  <c:v>10.304672099999999</c:v>
                </c:pt>
                <c:pt idx="18">
                  <c:v>13.889999999999999</c:v>
                </c:pt>
                <c:pt idx="19">
                  <c:v>17.066329600000003</c:v>
                </c:pt>
                <c:pt idx="20">
                  <c:v>23.356562500000003</c:v>
                </c:pt>
                <c:pt idx="21">
                  <c:v>31.9705504</c:v>
                </c:pt>
                <c:pt idx="22">
                  <c:v>39.32</c:v>
                </c:pt>
                <c:pt idx="23">
                  <c:v>58.874867200000004</c:v>
                </c:pt>
              </c:numCache>
            </c:numRef>
          </c:yVal>
          <c:smooth val="0"/>
          <c:extLst>
            <c:ext xmlns:c16="http://schemas.microsoft.com/office/drawing/2014/chart" uri="{C3380CC4-5D6E-409C-BE32-E72D297353CC}">
              <c16:uniqueId val="{00000006-F348-4202-BFB8-58B14A7FCFD2}"/>
            </c:ext>
          </c:extLst>
        </c:ser>
        <c:dLbls>
          <c:showLegendKey val="0"/>
          <c:showVal val="0"/>
          <c:showCatName val="0"/>
          <c:showSerName val="0"/>
          <c:showPercent val="0"/>
          <c:showBubbleSize val="0"/>
        </c:dLbls>
        <c:axId val="276321096"/>
        <c:axId val="276320768"/>
      </c:scatterChart>
      <c:valAx>
        <c:axId val="27632109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20768"/>
        <c:crosses val="autoZero"/>
        <c:crossBetween val="midCat"/>
      </c:valAx>
      <c:valAx>
        <c:axId val="27632076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21096"/>
        <c:crosses val="autoZero"/>
        <c:crossBetween val="midCat"/>
      </c:valAx>
      <c:spPr>
        <a:noFill/>
        <a:ln>
          <a:noFill/>
        </a:ln>
        <a:effectLst/>
      </c:spPr>
    </c:plotArea>
    <c:legend>
      <c:legendPos val="b"/>
      <c:layout>
        <c:manualLayout>
          <c:xMode val="edge"/>
          <c:yMode val="edge"/>
          <c:x val="0.1532268466441695"/>
          <c:y val="0.88623165582563046"/>
          <c:w val="0.84677315335583048"/>
          <c:h val="3.26089238845144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14</xdr:col>
      <xdr:colOff>235169</xdr:colOff>
      <xdr:row>66</xdr:row>
      <xdr:rowOff>160611</xdr:rowOff>
    </xdr:from>
    <xdr:to>
      <xdr:col>18</xdr:col>
      <xdr:colOff>825719</xdr:colOff>
      <xdr:row>81</xdr:row>
      <xdr:rowOff>46311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235169</xdr:colOff>
      <xdr:row>66</xdr:row>
      <xdr:rowOff>160611</xdr:rowOff>
    </xdr:from>
    <xdr:to>
      <xdr:col>20</xdr:col>
      <xdr:colOff>825719</xdr:colOff>
      <xdr:row>81</xdr:row>
      <xdr:rowOff>46311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122464</xdr:colOff>
      <xdr:row>40</xdr:row>
      <xdr:rowOff>326571</xdr:rowOff>
    </xdr:from>
    <xdr:to>
      <xdr:col>16</xdr:col>
      <xdr:colOff>857250</xdr:colOff>
      <xdr:row>65</xdr:row>
      <xdr:rowOff>92528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475785</xdr:colOff>
      <xdr:row>15</xdr:row>
      <xdr:rowOff>152167</xdr:rowOff>
    </xdr:from>
    <xdr:to>
      <xdr:col>10</xdr:col>
      <xdr:colOff>199561</xdr:colOff>
      <xdr:row>29</xdr:row>
      <xdr:rowOff>95018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476250</xdr:colOff>
      <xdr:row>1</xdr:row>
      <xdr:rowOff>19051</xdr:rowOff>
    </xdr:from>
    <xdr:to>
      <xdr:col>10</xdr:col>
      <xdr:colOff>180976</xdr:colOff>
      <xdr:row>15</xdr:row>
      <xdr:rowOff>19051</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471695</xdr:colOff>
      <xdr:row>46</xdr:row>
      <xdr:rowOff>9525</xdr:rowOff>
    </xdr:from>
    <xdr:to>
      <xdr:col>10</xdr:col>
      <xdr:colOff>195471</xdr:colOff>
      <xdr:row>60</xdr:row>
      <xdr:rowOff>19050</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466725</xdr:colOff>
      <xdr:row>31</xdr:row>
      <xdr:rowOff>1</xdr:rowOff>
    </xdr:from>
    <xdr:to>
      <xdr:col>10</xdr:col>
      <xdr:colOff>190500</xdr:colOff>
      <xdr:row>45</xdr:row>
      <xdr:rowOff>38101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4</xdr:col>
      <xdr:colOff>339587</xdr:colOff>
      <xdr:row>37</xdr:row>
      <xdr:rowOff>157370</xdr:rowOff>
    </xdr:from>
    <xdr:ext cx="184731" cy="264560"/>
    <xdr:sp macro="" textlink="">
      <xdr:nvSpPr>
        <xdr:cNvPr id="7" name="TextBox 6"/>
        <xdr:cNvSpPr txBox="1"/>
      </xdr:nvSpPr>
      <xdr:spPr>
        <a:xfrm>
          <a:off x="2791239" y="9872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drawings/drawing5.xml><?xml version="1.0" encoding="utf-8"?>
<c:userShapes xmlns:c="http://schemas.openxmlformats.org/drawingml/2006/chart">
  <cdr:relSizeAnchor xmlns:cdr="http://schemas.openxmlformats.org/drawingml/2006/chartDrawing">
    <cdr:from>
      <cdr:x>0.12122</cdr:x>
      <cdr:y>0.15304</cdr:y>
    </cdr:from>
    <cdr:to>
      <cdr:x>0.19339</cdr:x>
      <cdr:y>0.2336</cdr:y>
    </cdr:to>
    <cdr:sp macro="" textlink="">
      <cdr:nvSpPr>
        <cdr:cNvPr id="2" name="TextBox 1"/>
        <cdr:cNvSpPr txBox="1"/>
      </cdr:nvSpPr>
      <cdr:spPr>
        <a:xfrm xmlns:a="http://schemas.openxmlformats.org/drawingml/2006/main">
          <a:off x="704320" y="413987"/>
          <a:ext cx="419352" cy="217914"/>
        </a:xfrm>
        <a:prstGeom xmlns:a="http://schemas.openxmlformats.org/drawingml/2006/main" prst="rect">
          <a:avLst/>
        </a:prstGeom>
        <a:ln xmlns:a="http://schemas.openxmlformats.org/drawingml/2006/main" w="22225">
          <a:solidFill>
            <a:schemeClr val="accent1"/>
          </a:solidFill>
        </a:ln>
      </cdr:spPr>
      <cdr:txBody>
        <a:bodyPr xmlns:a="http://schemas.openxmlformats.org/drawingml/2006/main" vertOverflow="clip" wrap="square" rtlCol="0"/>
        <a:lstStyle xmlns:a="http://schemas.openxmlformats.org/drawingml/2006/main"/>
        <a:p xmlns:a="http://schemas.openxmlformats.org/drawingml/2006/main">
          <a:r>
            <a:rPr lang="en-GB" sz="1100" b="1">
              <a:solidFill>
                <a:schemeClr val="accent1"/>
              </a:solidFill>
            </a:rPr>
            <a:t>BEV</a:t>
          </a:r>
        </a:p>
      </cdr:txBody>
    </cdr:sp>
  </cdr:relSizeAnchor>
  <cdr:relSizeAnchor xmlns:cdr="http://schemas.openxmlformats.org/drawingml/2006/chartDrawing">
    <cdr:from>
      <cdr:x>0.1175</cdr:x>
      <cdr:y>0.32442</cdr:y>
    </cdr:from>
    <cdr:to>
      <cdr:x>0.21395</cdr:x>
      <cdr:y>0.40879</cdr:y>
    </cdr:to>
    <cdr:sp macro="" textlink="">
      <cdr:nvSpPr>
        <cdr:cNvPr id="3" name="TextBox 1"/>
        <cdr:cNvSpPr txBox="1"/>
      </cdr:nvSpPr>
      <cdr:spPr>
        <a:xfrm xmlns:a="http://schemas.openxmlformats.org/drawingml/2006/main">
          <a:off x="682728" y="877585"/>
          <a:ext cx="560400" cy="228243"/>
        </a:xfrm>
        <a:prstGeom xmlns:a="http://schemas.openxmlformats.org/drawingml/2006/main" prst="rect">
          <a:avLst/>
        </a:prstGeom>
        <a:noFill xmlns:a="http://schemas.openxmlformats.org/drawingml/2006/main"/>
        <a:ln xmlns:a="http://schemas.openxmlformats.org/drawingml/2006/main" w="22225">
          <a:solidFill>
            <a:schemeClr val="accent2"/>
          </a:solid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b="1">
              <a:solidFill>
                <a:schemeClr val="accent2"/>
              </a:solidFill>
            </a:rPr>
            <a:t>HFCEV</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171450</xdr:colOff>
      <xdr:row>45</xdr:row>
      <xdr:rowOff>95250</xdr:rowOff>
    </xdr:from>
    <xdr:to>
      <xdr:col>7</xdr:col>
      <xdr:colOff>590550</xdr:colOff>
      <xdr:row>47</xdr:row>
      <xdr:rowOff>28575</xdr:rowOff>
    </xdr:to>
    <xdr:sp macro="" textlink="">
      <xdr:nvSpPr>
        <xdr:cNvPr id="2" name="TextBox 1">
          <a:extLst>
            <a:ext uri="{FF2B5EF4-FFF2-40B4-BE49-F238E27FC236}">
              <a16:creationId xmlns:a16="http://schemas.microsoft.com/office/drawing/2014/main" id="{00000000-0008-0000-0700-000003000000}"/>
            </a:ext>
          </a:extLst>
        </xdr:cNvPr>
        <xdr:cNvSpPr txBox="1"/>
      </xdr:nvSpPr>
      <xdr:spPr>
        <a:xfrm>
          <a:off x="781050" y="10696575"/>
          <a:ext cx="8886825" cy="314325"/>
        </a:xfrm>
        <a:prstGeom prst="rect">
          <a:avLst/>
        </a:prstGeom>
        <a:solidFill>
          <a:schemeClr val="bg1">
            <a:lumMod val="75000"/>
          </a:schemeClr>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United Kingdom, Guernsey, Jersey, the Isle of Man, Gibraltar, Bermuda, Cayman Islands and the Falkland Islands.  Assume approximately equal to UK.</a:t>
          </a:r>
        </a:p>
        <a:p>
          <a:endParaRPr lang="en-GB" sz="1100"/>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29</xdr:col>
      <xdr:colOff>38100</xdr:colOff>
      <xdr:row>2</xdr:row>
      <xdr:rowOff>76200</xdr:rowOff>
    </xdr:from>
    <xdr:to>
      <xdr:col>45</xdr:col>
      <xdr:colOff>285750</xdr:colOff>
      <xdr:row>32</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H2%20Project%20files/Presentations%20posters%20&amp;%20papers/Road%20Transport%20Paper/New%20vehicle%20requirement%20led%20model%20v48%20(amended%20fuel%20cell%20efficienc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H2%20Project%20files/020.%20Hidden%20costs%20paper/041%20submission%20March%202022/Road%20damage%20by%20weight%20analysis%20v9.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Index and references"/>
      <sheetName val="2.Emissions targets"/>
      <sheetName val="3.Pipeline capacity calculation"/>
      <sheetName val="4.Cost of H production"/>
      <sheetName val="5.Chemical props, efficiencies"/>
      <sheetName val="6.Age of vehicle at replacement"/>
      <sheetName val="7.Approx equiv fuel tank size"/>
      <sheetName val="7a.Manufacturing emissions"/>
      <sheetName val="8.consumption &amp; emissions calcs"/>
      <sheetName val="9.Input costs"/>
      <sheetName val="10.Constraints new HC veh emns."/>
      <sheetName val="11.Elec network &amp; chargers"/>
      <sheetName val="12.Vehicle numbers cases"/>
      <sheetName val="13.Control panel"/>
      <sheetName val="14.Data table MC analysis"/>
      <sheetName val="15.Vehicle numbers"/>
      <sheetName val="16.Emissions in use"/>
      <sheetName val="17.Hydrogen and Electricity"/>
      <sheetName val="18.Manuf. &amp; Comb. emissions"/>
      <sheetName val="19.H Infrastructure requirement"/>
      <sheetName val="20.Hydrocarbons"/>
      <sheetName val="21.Capital costs"/>
      <sheetName val="22.Operating costs"/>
      <sheetName val="23.Combined costs"/>
      <sheetName val="24.Output graphs"/>
      <sheetName val="Multiple scenario summary table"/>
      <sheetName val="Disc rat sensitivity (Cap+Opex)"/>
      <sheetName val="Disc rate sensitivity (Capex)"/>
      <sheetName val="Capex chart generation"/>
      <sheetName val="Emissions chart generation"/>
      <sheetName val="Costs summary table"/>
      <sheetName val="Water from tailpip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8">
          <cell r="P28">
            <v>365.25</v>
          </cell>
          <cell r="Q28">
            <v>1000000</v>
          </cell>
        </row>
      </sheetData>
      <sheetData sheetId="14" refreshError="1"/>
      <sheetData sheetId="15" refreshError="1"/>
      <sheetData sheetId="16" refreshError="1"/>
      <sheetData sheetId="17" refreshError="1"/>
      <sheetData sheetId="18" refreshError="1"/>
      <sheetData sheetId="19" refreshError="1"/>
      <sheetData sheetId="20">
        <row r="6">
          <cell r="D6">
            <v>747.5</v>
          </cell>
        </row>
        <row r="7">
          <cell r="D7">
            <v>832.5</v>
          </cell>
        </row>
        <row r="8">
          <cell r="D8">
            <v>12.8</v>
          </cell>
          <cell r="H8">
            <v>9.5679999999999996</v>
          </cell>
          <cell r="J8">
            <v>1176487299.3311038</v>
          </cell>
          <cell r="K8">
            <v>0.3779289493575208</v>
          </cell>
          <cell r="L8">
            <v>0.10858931493852129</v>
          </cell>
          <cell r="M8">
            <v>0.26455026455026459</v>
          </cell>
          <cell r="N8">
            <v>2.5312169312169317</v>
          </cell>
        </row>
        <row r="9">
          <cell r="D9">
            <v>12.6</v>
          </cell>
          <cell r="H9">
            <v>10.4895</v>
          </cell>
          <cell r="J9">
            <v>2469288651.5086517</v>
          </cell>
          <cell r="K9">
            <v>0.52910052910052907</v>
          </cell>
          <cell r="L9">
            <v>0.16666666666666669</v>
          </cell>
          <cell r="M9">
            <v>0.37037037037037035</v>
          </cell>
          <cell r="N9">
            <v>3.8849999999999998</v>
          </cell>
        </row>
        <row r="10">
          <cell r="D10">
            <v>33.299999999999997</v>
          </cell>
        </row>
        <row r="17">
          <cell r="B17">
            <v>2500000</v>
          </cell>
          <cell r="C17">
            <v>806746.84566128906</v>
          </cell>
          <cell r="D17">
            <v>1693253.1543387109</v>
          </cell>
          <cell r="H17">
            <v>239.84691936802832</v>
          </cell>
          <cell r="J17">
            <v>772.64574690335905</v>
          </cell>
          <cell r="N17">
            <v>465.90264087239512</v>
          </cell>
          <cell r="P17">
            <v>1500.8643633597744</v>
          </cell>
        </row>
        <row r="18">
          <cell r="B18">
            <v>4500000</v>
          </cell>
          <cell r="C18">
            <v>1452144.3221903201</v>
          </cell>
          <cell r="D18">
            <v>3047855.6778096794</v>
          </cell>
          <cell r="H18">
            <v>431.72445486245095</v>
          </cell>
          <cell r="J18">
            <v>1390.7623444260457</v>
          </cell>
          <cell r="N18">
            <v>838.6247535703111</v>
          </cell>
          <cell r="P18">
            <v>2701.555854047594</v>
          </cell>
        </row>
        <row r="19">
          <cell r="B19">
            <v>15000000</v>
          </cell>
          <cell r="C19">
            <v>4840481.0739677344</v>
          </cell>
          <cell r="D19">
            <v>10159518.926032266</v>
          </cell>
          <cell r="H19">
            <v>1439.0815162081699</v>
          </cell>
          <cell r="J19">
            <v>4635.8744814201536</v>
          </cell>
          <cell r="N19">
            <v>2795.4158452343709</v>
          </cell>
          <cell r="P19">
            <v>9005.1861801586474</v>
          </cell>
        </row>
        <row r="38">
          <cell r="F38">
            <v>8340</v>
          </cell>
        </row>
        <row r="39">
          <cell r="F39">
            <v>37535604</v>
          </cell>
        </row>
        <row r="40">
          <cell r="F40">
            <v>3195033</v>
          </cell>
        </row>
        <row r="41">
          <cell r="F41">
            <v>710</v>
          </cell>
        </row>
        <row r="42">
          <cell r="F42">
            <v>75000</v>
          </cell>
        </row>
        <row r="43">
          <cell r="F43">
            <v>20000</v>
          </cell>
        </row>
        <row r="44">
          <cell r="F44">
            <v>10</v>
          </cell>
        </row>
        <row r="45">
          <cell r="F45">
            <v>150000</v>
          </cell>
        </row>
        <row r="46">
          <cell r="F46">
            <v>20</v>
          </cell>
        </row>
        <row r="47">
          <cell r="F47">
            <v>1750000</v>
          </cell>
        </row>
        <row r="48">
          <cell r="F48">
            <v>10</v>
          </cell>
        </row>
        <row r="49">
          <cell r="F49">
            <v>7</v>
          </cell>
        </row>
        <row r="50">
          <cell r="F50">
            <v>6</v>
          </cell>
        </row>
        <row r="52">
          <cell r="F52">
            <v>9500</v>
          </cell>
        </row>
        <row r="53">
          <cell r="F53">
            <v>7500</v>
          </cell>
        </row>
        <row r="54">
          <cell r="F54">
            <v>175000</v>
          </cell>
        </row>
        <row r="56">
          <cell r="F56">
            <v>284500</v>
          </cell>
        </row>
        <row r="59">
          <cell r="F59">
            <v>109500</v>
          </cell>
        </row>
      </sheetData>
      <sheetData sheetId="21" refreshError="1"/>
      <sheetData sheetId="22">
        <row r="11">
          <cell r="F11">
            <v>0.71</v>
          </cell>
          <cell r="H11">
            <v>3.7</v>
          </cell>
          <cell r="K11">
            <v>0.75</v>
          </cell>
        </row>
        <row r="13">
          <cell r="F13">
            <v>33.299999999999997</v>
          </cell>
          <cell r="G13">
            <v>8.249999999999999E-2</v>
          </cell>
          <cell r="H13">
            <v>0.30524999999999997</v>
          </cell>
          <cell r="I13">
            <v>1.6750788903242173</v>
          </cell>
          <cell r="J13">
            <v>0.23516751439741054</v>
          </cell>
          <cell r="K13">
            <v>2.6465917779215434E-2</v>
          </cell>
        </row>
        <row r="21">
          <cell r="C21">
            <v>4.9704862679744624</v>
          </cell>
          <cell r="D21">
            <v>0</v>
          </cell>
          <cell r="E21">
            <v>0.39280821085408207</v>
          </cell>
          <cell r="F21">
            <v>18.42325834005765</v>
          </cell>
          <cell r="G21">
            <v>410065.11710789311</v>
          </cell>
          <cell r="H21">
            <v>119904.70636320855</v>
          </cell>
          <cell r="I21">
            <v>0</v>
          </cell>
          <cell r="J21">
            <v>0</v>
          </cell>
          <cell r="K21">
            <v>1154227.4827148477</v>
          </cell>
          <cell r="L21">
            <v>1274132.1890780563</v>
          </cell>
          <cell r="M21">
            <v>410065.11710789311</v>
          </cell>
        </row>
        <row r="22">
          <cell r="C22">
            <v>13.936122665333707</v>
          </cell>
          <cell r="D22">
            <v>0</v>
          </cell>
          <cell r="E22">
            <v>1.2308507363271532</v>
          </cell>
          <cell r="F22">
            <v>57.728633126329861</v>
          </cell>
          <cell r="G22">
            <v>1149730.1198900307</v>
          </cell>
          <cell r="H22">
            <v>375717.18726386351</v>
          </cell>
          <cell r="I22">
            <v>0</v>
          </cell>
          <cell r="J22">
            <v>0</v>
          </cell>
          <cell r="K22">
            <v>3616731.289551259</v>
          </cell>
          <cell r="L22">
            <v>3992448.4768151226</v>
          </cell>
          <cell r="M22">
            <v>1149730.1198900307</v>
          </cell>
        </row>
        <row r="23">
          <cell r="C23">
            <v>29.978294922700528</v>
          </cell>
          <cell r="D23">
            <v>0</v>
          </cell>
          <cell r="E23">
            <v>3.2410634481896516</v>
          </cell>
          <cell r="F23">
            <v>152.01044059819068</v>
          </cell>
          <cell r="G23">
            <v>2473209.3311227933</v>
          </cell>
          <cell r="H23">
            <v>989334.61755989108</v>
          </cell>
          <cell r="I23">
            <v>0</v>
          </cell>
          <cell r="J23">
            <v>0</v>
          </cell>
          <cell r="K23">
            <v>9523539.4825102091</v>
          </cell>
          <cell r="L23">
            <v>10512874.1000701</v>
          </cell>
          <cell r="M23">
            <v>2473209.3311227933</v>
          </cell>
        </row>
        <row r="24">
          <cell r="C24">
            <v>58.280078736552042</v>
          </cell>
          <cell r="D24">
            <v>0</v>
          </cell>
          <cell r="E24">
            <v>7.1169906799904883</v>
          </cell>
          <cell r="F24">
            <v>333.79688682208911</v>
          </cell>
          <cell r="G24">
            <v>4808106.4957655426</v>
          </cell>
          <cell r="H24">
            <v>2172461.4050670965</v>
          </cell>
          <cell r="I24">
            <v>0</v>
          </cell>
          <cell r="J24">
            <v>0</v>
          </cell>
          <cell r="K24">
            <v>20912562.441628728</v>
          </cell>
          <cell r="L24">
            <v>23085023.846695825</v>
          </cell>
          <cell r="M24">
            <v>4808106.4957655426</v>
          </cell>
        </row>
        <row r="25">
          <cell r="C25">
            <v>107.02651371497849</v>
          </cell>
          <cell r="D25">
            <v>0</v>
          </cell>
          <cell r="E25">
            <v>14.387262451946048</v>
          </cell>
          <cell r="F25">
            <v>674.78287274620197</v>
          </cell>
          <cell r="G25">
            <v>8829687.3814857248</v>
          </cell>
          <cell r="H25">
            <v>4391711.8634565314</v>
          </cell>
          <cell r="I25">
            <v>0</v>
          </cell>
          <cell r="J25">
            <v>0</v>
          </cell>
          <cell r="K25">
            <v>42275525.979868822</v>
          </cell>
          <cell r="L25">
            <v>46667237.843325354</v>
          </cell>
          <cell r="M25">
            <v>8829687.3814857248</v>
          </cell>
        </row>
        <row r="26">
          <cell r="C26">
            <v>187.79280118273113</v>
          </cell>
          <cell r="D26">
            <v>0.24179904894685553</v>
          </cell>
          <cell r="E26">
            <v>26.962701396989608</v>
          </cell>
          <cell r="F26">
            <v>1264.5886711545829</v>
          </cell>
          <cell r="G26">
            <v>15492906.097575316</v>
          </cell>
          <cell r="H26">
            <v>8304173.7611221047</v>
          </cell>
          <cell r="I26">
            <v>405032.48259134986</v>
          </cell>
          <cell r="J26">
            <v>56863.281324489828</v>
          </cell>
          <cell r="K26">
            <v>79227190.523774713</v>
          </cell>
          <cell r="L26">
            <v>87993260.048812658</v>
          </cell>
          <cell r="M26">
            <v>15492906.097575316</v>
          </cell>
        </row>
        <row r="27">
          <cell r="C27">
            <v>314.08789396962669</v>
          </cell>
          <cell r="D27">
            <v>0.77962141223330161</v>
          </cell>
          <cell r="E27">
            <v>45.44958864855559</v>
          </cell>
          <cell r="F27">
            <v>2131.6497211223959</v>
          </cell>
          <cell r="G27">
            <v>25912251.252494197</v>
          </cell>
          <cell r="H27">
            <v>14111466.371055808</v>
          </cell>
          <cell r="I27">
            <v>1305927.3700767581</v>
          </cell>
          <cell r="J27">
            <v>183341.62968590451</v>
          </cell>
          <cell r="K27">
            <v>133549052.30261301</v>
          </cell>
          <cell r="L27">
            <v>149149787.67343149</v>
          </cell>
          <cell r="M27">
            <v>25912251.252494197</v>
          </cell>
        </row>
        <row r="28">
          <cell r="C28">
            <v>496.95752795028289</v>
          </cell>
          <cell r="D28">
            <v>2.2306737277158728</v>
          </cell>
          <cell r="E28">
            <v>68.075805578002246</v>
          </cell>
          <cell r="F28">
            <v>3192.8511630246121</v>
          </cell>
          <cell r="G28">
            <v>40998996.055898331</v>
          </cell>
          <cell r="H28">
            <v>21461052.808070451</v>
          </cell>
          <cell r="I28">
            <v>3736554.4724976891</v>
          </cell>
          <cell r="J28">
            <v>524581.99597854796</v>
          </cell>
          <cell r="K28">
            <v>200033918.67811915</v>
          </cell>
          <cell r="L28">
            <v>225756107.95466584</v>
          </cell>
          <cell r="M28">
            <v>40998996.055898331</v>
          </cell>
        </row>
        <row r="29">
          <cell r="C29">
            <v>739.43971382772997</v>
          </cell>
          <cell r="D29">
            <v>5.7771465282885099</v>
          </cell>
          <cell r="E29">
            <v>92.527716971693252</v>
          </cell>
          <cell r="F29">
            <v>4339.6802467005418</v>
          </cell>
          <cell r="G29">
            <v>61003776.390787713</v>
          </cell>
          <cell r="H29">
            <v>30007559.58336943</v>
          </cell>
          <cell r="I29">
            <v>9677176.1958459206</v>
          </cell>
          <cell r="J29">
            <v>1358597.1893672384</v>
          </cell>
          <cell r="K29">
            <v>271883404.90484828</v>
          </cell>
          <cell r="L29">
            <v>312926737.87343085</v>
          </cell>
          <cell r="M29">
            <v>61003776.390787713</v>
          </cell>
        </row>
        <row r="30">
          <cell r="C30">
            <v>1034.7548903775653</v>
          </cell>
          <cell r="D30">
            <v>13.683616464032326</v>
          </cell>
          <cell r="E30">
            <v>115.56518537399538</v>
          </cell>
          <cell r="F30">
            <v>5420.1699619071069</v>
          </cell>
          <cell r="G30">
            <v>85367278.456149116</v>
          </cell>
          <cell r="H30">
            <v>39453196.761057951</v>
          </cell>
          <cell r="I30">
            <v>22921137.08219346</v>
          </cell>
          <cell r="J30">
            <v>3217942.0718139661</v>
          </cell>
          <cell r="K30">
            <v>339576692.43643117</v>
          </cell>
          <cell r="L30">
            <v>405168968.35149652</v>
          </cell>
          <cell r="M30">
            <v>85367278.456149116</v>
          </cell>
        </row>
        <row r="31">
          <cell r="C31">
            <v>1370.1791923468402</v>
          </cell>
          <cell r="D31">
            <v>29.464318643551742</v>
          </cell>
          <cell r="E31">
            <v>132.39173412822205</v>
          </cell>
          <cell r="F31">
            <v>6209.3587978447804</v>
          </cell>
          <cell r="G31">
            <v>113039783.3686143</v>
          </cell>
          <cell r="H31">
            <v>49406560.10858395</v>
          </cell>
          <cell r="I31">
            <v>49355058.177599795</v>
          </cell>
          <cell r="J31">
            <v>6929050.5788173461</v>
          </cell>
          <cell r="K31">
            <v>389019816.26813835</v>
          </cell>
          <cell r="L31">
            <v>494710485.13313943</v>
          </cell>
          <cell r="M31">
            <v>113039783.3686143</v>
          </cell>
        </row>
        <row r="32">
          <cell r="C32">
            <v>1732.6192370582769</v>
          </cell>
          <cell r="D32">
            <v>56.73434277978896</v>
          </cell>
          <cell r="E32">
            <v>137.86717813991041</v>
          </cell>
          <cell r="F32">
            <v>6466.1648338859386</v>
          </cell>
          <cell r="G32">
            <v>142941087.05730784</v>
          </cell>
          <cell r="H32">
            <v>59402114.260738224</v>
          </cell>
          <cell r="I32">
            <v>95034499.94684267</v>
          </cell>
          <cell r="J32">
            <v>13342074.372493645</v>
          </cell>
          <cell r="K32">
            <v>405108858.66523027</v>
          </cell>
          <cell r="L32">
            <v>572887547.24530482</v>
          </cell>
          <cell r="M32">
            <v>142941087.05730784</v>
          </cell>
        </row>
        <row r="33">
          <cell r="C33">
            <v>2111.8208994638203</v>
          </cell>
          <cell r="D33">
            <v>95.755751045747417</v>
          </cell>
          <cell r="E33">
            <v>129.55189847365827</v>
          </cell>
          <cell r="F33">
            <v>6076.1665058772123</v>
          </cell>
          <cell r="G33">
            <v>174225224.20576516</v>
          </cell>
          <cell r="H33">
            <v>68775160.015798584</v>
          </cell>
          <cell r="I33">
            <v>160398437.20387259</v>
          </cell>
          <cell r="J33">
            <v>22518641.962685663</v>
          </cell>
          <cell r="K33">
            <v>380675244.36684316</v>
          </cell>
          <cell r="L33">
            <v>632367483.54920006</v>
          </cell>
          <cell r="M33">
            <v>174225224.20576516</v>
          </cell>
        </row>
        <row r="34">
          <cell r="C34">
            <v>2500.897588555637</v>
          </cell>
          <cell r="D34">
            <v>140.97366898742345</v>
          </cell>
          <cell r="E34">
            <v>111.45971632647452</v>
          </cell>
          <cell r="F34">
            <v>5227.617681227608</v>
          </cell>
          <cell r="G34">
            <v>206324051.05584002</v>
          </cell>
          <cell r="H34">
            <v>77055290.867067352</v>
          </cell>
          <cell r="I34">
            <v>236142017.0123868</v>
          </cell>
          <cell r="J34">
            <v>33152427.331255693</v>
          </cell>
          <cell r="K34">
            <v>327513183.90187055</v>
          </cell>
          <cell r="L34">
            <v>673862919.1125803</v>
          </cell>
          <cell r="M34">
            <v>206324051.05584002</v>
          </cell>
        </row>
        <row r="35">
          <cell r="C35">
            <v>2876.7068286290619</v>
          </cell>
          <cell r="D35">
            <v>183.86439728328889</v>
          </cell>
          <cell r="E35">
            <v>91.398298187324812</v>
          </cell>
          <cell r="F35">
            <v>4286.7089149829808</v>
          </cell>
          <cell r="G35">
            <v>237328313.36189759</v>
          </cell>
          <cell r="H35">
            <v>84023937.792404816</v>
          </cell>
          <cell r="I35">
            <v>307987370.57142258</v>
          </cell>
          <cell r="J35">
            <v>43238933.295289055</v>
          </cell>
          <cell r="K35">
            <v>268564721.22056878</v>
          </cell>
          <cell r="L35">
            <v>703814962.87968516</v>
          </cell>
          <cell r="M35">
            <v>237328313.36189759</v>
          </cell>
        </row>
        <row r="36">
          <cell r="C36">
            <v>3233.5658624001189</v>
          </cell>
          <cell r="D36">
            <v>219.81345390417786</v>
          </cell>
          <cell r="E36">
            <v>75.583262543610019</v>
          </cell>
          <cell r="F36">
            <v>3544.9614685946672</v>
          </cell>
          <cell r="G36">
            <v>266769183.64800981</v>
          </cell>
          <cell r="H36">
            <v>90169847.695687234</v>
          </cell>
          <cell r="I36">
            <v>368204876.44414377</v>
          </cell>
          <cell r="J36">
            <v>51692983.585755289</v>
          </cell>
          <cell r="K36">
            <v>222093827.09032506</v>
          </cell>
          <cell r="L36">
            <v>732161534.81591129</v>
          </cell>
          <cell r="M36">
            <v>266769183.64800981</v>
          </cell>
        </row>
        <row r="37">
          <cell r="C37">
            <v>3560.434460706022</v>
          </cell>
          <cell r="D37">
            <v>247.71152302900254</v>
          </cell>
          <cell r="E37">
            <v>65.35899957016089</v>
          </cell>
          <cell r="F37">
            <v>3065.429134769518</v>
          </cell>
          <cell r="G37">
            <v>293735843.00824678</v>
          </cell>
          <cell r="H37">
            <v>95564777.023394629</v>
          </cell>
          <cell r="I37">
            <v>414936343.11594337</v>
          </cell>
          <cell r="J37">
            <v>58253703.158327453</v>
          </cell>
          <cell r="K37">
            <v>192050857.03936902</v>
          </cell>
          <cell r="L37">
            <v>760805680.33703446</v>
          </cell>
          <cell r="M37">
            <v>293735843.00824678</v>
          </cell>
        </row>
        <row r="38">
          <cell r="C38">
            <v>3843.9572062422421</v>
          </cell>
          <cell r="D38">
            <v>268.3017775658293</v>
          </cell>
          <cell r="E38">
            <v>59.586418258626239</v>
          </cell>
          <cell r="F38">
            <v>2794.6869408623293</v>
          </cell>
          <cell r="G38">
            <v>317126469.51498491</v>
          </cell>
          <cell r="H38">
            <v>100087871.77541503</v>
          </cell>
          <cell r="I38">
            <v>449426643.83698434</v>
          </cell>
          <cell r="J38">
            <v>63095862.138563007</v>
          </cell>
          <cell r="K38">
            <v>175088706.52450997</v>
          </cell>
          <cell r="L38">
            <v>787699084.2754724</v>
          </cell>
          <cell r="M38">
            <v>317126469.51498491</v>
          </cell>
        </row>
        <row r="39">
          <cell r="C39">
            <v>4072.3706306419585</v>
          </cell>
          <cell r="D39">
            <v>282.74574112847932</v>
          </cell>
          <cell r="E39">
            <v>56.629618144556382</v>
          </cell>
          <cell r="F39">
            <v>2656.0088510052501</v>
          </cell>
          <cell r="G39">
            <v>335970577.02796155</v>
          </cell>
          <cell r="H39">
            <v>103594328.41809414</v>
          </cell>
          <cell r="I39">
            <v>473621422.29339153</v>
          </cell>
          <cell r="J39">
            <v>66492613.147638172</v>
          </cell>
          <cell r="K39">
            <v>166400446.30425304</v>
          </cell>
          <cell r="L39">
            <v>810108810.16337681</v>
          </cell>
          <cell r="M39">
            <v>335970577.02796155</v>
          </cell>
        </row>
        <row r="40">
          <cell r="C40">
            <v>4241.0918837426198</v>
          </cell>
          <cell r="D40">
            <v>292.22364950918166</v>
          </cell>
          <cell r="E40">
            <v>55.201805242983689</v>
          </cell>
          <cell r="F40">
            <v>2589.0424149174037</v>
          </cell>
          <cell r="G40">
            <v>349890080.40876609</v>
          </cell>
          <cell r="H40">
            <v>106051620.06309848</v>
          </cell>
          <cell r="I40">
            <v>489497666.54633307</v>
          </cell>
          <cell r="J40">
            <v>68721509.303214341</v>
          </cell>
          <cell r="K40">
            <v>162204961.47060674</v>
          </cell>
          <cell r="L40">
            <v>826475757.38325262</v>
          </cell>
          <cell r="M40">
            <v>349890080.40876609</v>
          </cell>
        </row>
        <row r="41">
          <cell r="C41">
            <v>4355.4100294738373</v>
          </cell>
          <cell r="D41">
            <v>298.03939786030145</v>
          </cell>
          <cell r="E41">
            <v>54.529486137960404</v>
          </cell>
          <cell r="F41">
            <v>2557.509701963495</v>
          </cell>
          <cell r="G41">
            <v>359321327.43159157</v>
          </cell>
          <cell r="H41">
            <v>107621651.84046942</v>
          </cell>
          <cell r="I41">
            <v>499239503.84073162</v>
          </cell>
          <cell r="J41">
            <v>70089184.387308002</v>
          </cell>
          <cell r="K41">
            <v>160229419.29320458</v>
          </cell>
          <cell r="L41">
            <v>837179759.36171353</v>
          </cell>
          <cell r="M41">
            <v>359321327.43159157</v>
          </cell>
        </row>
        <row r="42">
          <cell r="C42">
            <v>4427.4275328530866</v>
          </cell>
          <cell r="D42">
            <v>301.44747260602418</v>
          </cell>
          <cell r="E42">
            <v>54.217952015846549</v>
          </cell>
          <cell r="F42">
            <v>2542.8983128559016</v>
          </cell>
          <cell r="G42">
            <v>365262771.4603796</v>
          </cell>
          <cell r="H42">
            <v>108566870.86582603</v>
          </cell>
          <cell r="I42">
            <v>504948297.90393895</v>
          </cell>
          <cell r="J42">
            <v>70890652.854140222</v>
          </cell>
          <cell r="K42">
            <v>159314007.55889943</v>
          </cell>
          <cell r="L42">
            <v>843719829.18280458</v>
          </cell>
          <cell r="M42">
            <v>365262771.4603796</v>
          </cell>
        </row>
        <row r="43">
          <cell r="C43">
            <v>4470.4447326234304</v>
          </cell>
          <cell r="D43">
            <v>303.38831389895353</v>
          </cell>
          <cell r="E43">
            <v>54.075732901941301</v>
          </cell>
          <cell r="F43">
            <v>2536.2280361051339</v>
          </cell>
          <cell r="G43">
            <v>368811690.44143295</v>
          </cell>
          <cell r="H43">
            <v>109115900.28597315</v>
          </cell>
          <cell r="I43">
            <v>508199360.18319434</v>
          </cell>
          <cell r="J43">
            <v>71347075.676838249</v>
          </cell>
          <cell r="K43">
            <v>158896110.97399887</v>
          </cell>
          <cell r="L43">
            <v>847558447.12000465</v>
          </cell>
          <cell r="M43">
            <v>368811690.44143295</v>
          </cell>
        </row>
        <row r="44">
          <cell r="C44">
            <v>4495.2569641018481</v>
          </cell>
          <cell r="D44">
            <v>304.47344906409324</v>
          </cell>
          <cell r="E44">
            <v>54.01175015705558</v>
          </cell>
          <cell r="F44">
            <v>2533.2271552534517</v>
          </cell>
          <cell r="G44">
            <v>370858699.53840244</v>
          </cell>
          <cell r="H44">
            <v>109427607.06225568</v>
          </cell>
          <cell r="I44">
            <v>510017047.19146842</v>
          </cell>
          <cell r="J44">
            <v>71602264.216409385</v>
          </cell>
          <cell r="K44">
            <v>158708104.1031495</v>
          </cell>
          <cell r="L44">
            <v>849755022.57328308</v>
          </cell>
          <cell r="M44">
            <v>370858699.53840244</v>
          </cell>
        </row>
        <row r="45">
          <cell r="C45">
            <v>4509.2663535353504</v>
          </cell>
          <cell r="D45">
            <v>305.07323009422737</v>
          </cell>
          <cell r="E45">
            <v>53.983510220769467</v>
          </cell>
          <cell r="F45">
            <v>2531.9026624670751</v>
          </cell>
          <cell r="G45">
            <v>372014474.16666639</v>
          </cell>
          <cell r="H45">
            <v>109602069.98115277</v>
          </cell>
          <cell r="I45">
            <v>511021727.733863</v>
          </cell>
          <cell r="J45">
            <v>71743313.230448753</v>
          </cell>
          <cell r="K45">
            <v>158625123.88616097</v>
          </cell>
          <cell r="L45">
            <v>850992234.83162546</v>
          </cell>
          <cell r="M45">
            <v>372014474.16666639</v>
          </cell>
        </row>
        <row r="46">
          <cell r="C46">
            <v>4517.078349266093</v>
          </cell>
          <cell r="D46">
            <v>305.40250648721468</v>
          </cell>
          <cell r="E46">
            <v>53.971413760087216</v>
          </cell>
          <cell r="F46">
            <v>2531.3353214238086</v>
          </cell>
          <cell r="G46">
            <v>372658963.81445265</v>
          </cell>
          <cell r="H46">
            <v>109698889.15548888</v>
          </cell>
          <cell r="I46">
            <v>511573291.66883814</v>
          </cell>
          <cell r="J46">
            <v>71820748.341337323</v>
          </cell>
          <cell r="K46">
            <v>158589579.65114439</v>
          </cell>
          <cell r="L46">
            <v>851682508.8168087</v>
          </cell>
          <cell r="M46">
            <v>372658963.81445265</v>
          </cell>
        </row>
        <row r="47">
          <cell r="C47">
            <v>4521.4037906508975</v>
          </cell>
          <cell r="D47">
            <v>305.5825936721709</v>
          </cell>
          <cell r="E47">
            <v>53.966484915539482</v>
          </cell>
          <cell r="F47">
            <v>2531.1041516724854</v>
          </cell>
          <cell r="G47">
            <v>373015812.72869903</v>
          </cell>
          <cell r="H47">
            <v>109752356.23889858</v>
          </cell>
          <cell r="I47">
            <v>511874951.9107762</v>
          </cell>
          <cell r="J47">
            <v>71863098.996998295</v>
          </cell>
          <cell r="K47">
            <v>158575096.73638389</v>
          </cell>
          <cell r="L47">
            <v>852065503.883057</v>
          </cell>
          <cell r="M47">
            <v>373015812.72869903</v>
          </cell>
        </row>
        <row r="48">
          <cell r="C48">
            <v>4523.7892862846893</v>
          </cell>
          <cell r="D48">
            <v>305.68088911635522</v>
          </cell>
          <cell r="E48">
            <v>53.964650508345052</v>
          </cell>
          <cell r="F48">
            <v>2531.0181153913945</v>
          </cell>
          <cell r="G48">
            <v>373212616.11848682</v>
          </cell>
          <cell r="H48">
            <v>109781800.97043975</v>
          </cell>
          <cell r="I48">
            <v>512039604.53434443</v>
          </cell>
          <cell r="J48">
            <v>71886214.892283723</v>
          </cell>
          <cell r="K48">
            <v>158569706.5150499</v>
          </cell>
          <cell r="L48">
            <v>852277326.91211784</v>
          </cell>
          <cell r="M48">
            <v>373212616.11848682</v>
          </cell>
        </row>
        <row r="49">
          <cell r="C49">
            <v>4525.1020076541563</v>
          </cell>
          <cell r="D49">
            <v>305.73448824741149</v>
          </cell>
          <cell r="E49">
            <v>53.964091172624052</v>
          </cell>
          <cell r="F49">
            <v>2530.9918817582829</v>
          </cell>
          <cell r="G49">
            <v>373320915.63146788</v>
          </cell>
          <cell r="H49">
            <v>109797991.36796585</v>
          </cell>
          <cell r="I49">
            <v>512129387.30731648</v>
          </cell>
          <cell r="J49">
            <v>71898819.666708082</v>
          </cell>
          <cell r="K49">
            <v>158568062.96320096</v>
          </cell>
          <cell r="L49">
            <v>852394261.3051914</v>
          </cell>
          <cell r="M49">
            <v>373320915.63146788</v>
          </cell>
        </row>
        <row r="50">
          <cell r="C50">
            <v>4525.8235131864767</v>
          </cell>
          <cell r="D50">
            <v>305.76370326011295</v>
          </cell>
          <cell r="E50">
            <v>53.964015532470619</v>
          </cell>
          <cell r="F50">
            <v>2530.9883341285513</v>
          </cell>
          <cell r="G50">
            <v>373380439.83788431</v>
          </cell>
          <cell r="H50">
            <v>109806886.16143613</v>
          </cell>
          <cell r="I50">
            <v>512178324.75837326</v>
          </cell>
          <cell r="J50">
            <v>71905690.088628173</v>
          </cell>
          <cell r="K50">
            <v>158567840.70220569</v>
          </cell>
          <cell r="L50">
            <v>852458741.71064317</v>
          </cell>
          <cell r="M50">
            <v>373380439.83788431</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ed Final table"/>
      <sheetName val="For output table"/>
      <sheetName val="weight distribution sensitivity"/>
      <sheetName val="Lading sensitivity (D.distance)"/>
      <sheetName val="Lading sensitivity (D. axles)"/>
      <sheetName val="Axle no. weight categories"/>
      <sheetName val="Summary tables"/>
      <sheetName val="Charts"/>
      <sheetName val="8.consumption &amp; emissions calcs"/>
      <sheetName val="Mileage &amp; vehicle numbers"/>
      <sheetName val="Emissions and vehicles"/>
      <sheetName val="Average historic emissions"/>
      <sheetName val="Experiments with weight &amp; wear"/>
      <sheetName val="Tyre wear chart"/>
      <sheetName val="Brake wear chart"/>
      <sheetName val="Vehicle numbers"/>
      <sheetName val="Annual distance covered (GB)"/>
      <sheetName val="Extraction of HGV annual dist"/>
      <sheetName val="Vehicle weight data"/>
    </sheetNames>
    <sheetDataSet>
      <sheetData sheetId="0">
        <row r="7">
          <cell r="B7" t="str">
            <v>Vehicle class</v>
          </cell>
          <cell r="C7"/>
          <cell r="D7" t="str">
            <v>Subcategory</v>
          </cell>
          <cell r="E7" t="str">
            <v>Number registered in Scotland</v>
          </cell>
          <cell r="F7" t="str">
            <v>Chassis</v>
          </cell>
          <cell r="G7" t="str">
            <v>weight range</v>
          </cell>
          <cell r="H7"/>
          <cell r="I7" t="str">
            <v>Reference weight (ICE)</v>
          </cell>
          <cell r="J7" t="str">
            <v>Number of axles</v>
          </cell>
          <cell r="K7" t="str">
            <v>Reference weight / axle</v>
          </cell>
          <cell r="L7" t="str">
            <v>Average annual distance driven, per vehicle</v>
          </cell>
          <cell r="M7" t="str">
            <v>Standard axles per axle (ICE)</v>
          </cell>
          <cell r="N7" t="str">
            <v>standard axle -km per year (ICE)</v>
          </cell>
          <cell r="O7" t="str">
            <v>Road Wear Potential (ICE)</v>
          </cell>
          <cell r="P7" t="str">
            <v>Reference weight (BEV)</v>
          </cell>
          <cell r="Q7" t="str">
            <v>Number of axles</v>
          </cell>
          <cell r="R7" t="str">
            <v>Reference weight / axle</v>
          </cell>
          <cell r="S7" t="str">
            <v>Average annual distance driven, per vehicle</v>
          </cell>
          <cell r="T7" t="str">
            <v>Standard axles per axle (BEV)</v>
          </cell>
          <cell r="U7" t="str">
            <v>standard axle -km per year (BEV)</v>
          </cell>
          <cell r="V7" t="str">
            <v>Road Wear Potential (BEV)</v>
          </cell>
          <cell r="W7" t="str">
            <v>Reference weight (FCEV)</v>
          </cell>
          <cell r="X7" t="str">
            <v>Number of axles</v>
          </cell>
          <cell r="Y7" t="str">
            <v>Reference weight / axle</v>
          </cell>
          <cell r="Z7" t="str">
            <v>Average annual distance driven, per vehicle</v>
          </cell>
          <cell r="AA7" t="str">
            <v>Standard axles per axle (FCEV)</v>
          </cell>
          <cell r="AB7" t="str">
            <v>standard axle -km per year (FCEV)</v>
          </cell>
        </row>
        <row r="10">
          <cell r="A10" t="str">
            <v>Buses and Coaches</v>
          </cell>
          <cell r="B10" t="str">
            <v>Buses and Coaches</v>
          </cell>
          <cell r="C10" t="str">
            <v>Buses &amp; Coaches</v>
          </cell>
          <cell r="D10"/>
          <cell r="E10">
            <v>14154</v>
          </cell>
          <cell r="F10" t="str">
            <v>Two axle rigid</v>
          </cell>
          <cell r="G10">
            <v>14000</v>
          </cell>
          <cell r="H10">
            <v>24800</v>
          </cell>
          <cell r="I10">
            <v>17000</v>
          </cell>
          <cell r="J10">
            <v>2</v>
          </cell>
          <cell r="K10">
            <v>83.385000000000005</v>
          </cell>
          <cell r="L10">
            <v>45471.244877773075</v>
          </cell>
          <cell r="M10">
            <v>1.1802983076230504</v>
          </cell>
          <cell r="N10">
            <v>1519279981.5723908</v>
          </cell>
          <cell r="O10">
            <v>2.3605966152461009</v>
          </cell>
          <cell r="P10">
            <v>18694.969999999998</v>
          </cell>
          <cell r="Q10">
            <v>2</v>
          </cell>
          <cell r="R10">
            <v>91.698827849999986</v>
          </cell>
          <cell r="S10">
            <v>45471.244877773075</v>
          </cell>
          <cell r="T10">
            <v>1.726216204697347</v>
          </cell>
          <cell r="U10">
            <v>2221985498.6864257</v>
          </cell>
          <cell r="V10">
            <v>3.4524324093946941</v>
          </cell>
          <cell r="W10">
            <v>17238</v>
          </cell>
          <cell r="X10">
            <v>2</v>
          </cell>
          <cell r="Y10">
            <v>84.552390000000003</v>
          </cell>
          <cell r="Z10">
            <v>45471.244877773075</v>
          </cell>
          <cell r="AA10">
            <v>1.2477960439562705</v>
          </cell>
          <cell r="AB10">
            <v>1606163067.7805119</v>
          </cell>
        </row>
        <row r="11">
          <cell r="B11" t="str">
            <v>Cars</v>
          </cell>
          <cell r="C11" t="str">
            <v>Cars</v>
          </cell>
          <cell r="D11" t="str">
            <v>Petrol</v>
          </cell>
          <cell r="E11">
            <v>1544505.3520000002</v>
          </cell>
          <cell r="F11"/>
          <cell r="G11">
            <v>1000</v>
          </cell>
          <cell r="H11">
            <v>2600</v>
          </cell>
          <cell r="I11">
            <v>1800</v>
          </cell>
          <cell r="J11">
            <v>2</v>
          </cell>
          <cell r="K11">
            <v>8.8290000000000006</v>
          </cell>
          <cell r="L11">
            <v>14570.798265265224</v>
          </cell>
          <cell r="M11">
            <v>1.483495110703145E-4</v>
          </cell>
          <cell r="N11">
            <v>6677115.3341941852</v>
          </cell>
          <cell r="O11">
            <v>2.96699022140629E-4</v>
          </cell>
          <cell r="P11">
            <v>2364.09</v>
          </cell>
          <cell r="Q11">
            <v>2</v>
          </cell>
          <cell r="R11">
            <v>11.595861450000003</v>
          </cell>
          <cell r="S11">
            <v>14570.798265265224</v>
          </cell>
          <cell r="T11">
            <v>4.4142011817099869E-4</v>
          </cell>
          <cell r="U11">
            <v>19868033.393547043</v>
          </cell>
          <cell r="V11">
            <v>8.8284023634199738E-4</v>
          </cell>
          <cell r="W11">
            <v>1825.2</v>
          </cell>
          <cell r="X11">
            <v>2</v>
          </cell>
          <cell r="Y11">
            <v>8.9526059999999994</v>
          </cell>
          <cell r="Z11">
            <v>14570.798265265224</v>
          </cell>
          <cell r="AA11">
            <v>1.5683317669849909E-4</v>
          </cell>
          <cell r="AB11">
            <v>7058959.6250680415</v>
          </cell>
        </row>
        <row r="12">
          <cell r="B12" t="str">
            <v>Cars</v>
          </cell>
          <cell r="C12" t="str">
            <v>Cars</v>
          </cell>
          <cell r="D12" t="str">
            <v>Diesel</v>
          </cell>
          <cell r="E12">
            <v>973215.32</v>
          </cell>
          <cell r="F12"/>
          <cell r="G12">
            <v>1000</v>
          </cell>
          <cell r="H12">
            <v>2600</v>
          </cell>
          <cell r="I12">
            <v>1800</v>
          </cell>
          <cell r="J12">
            <v>2</v>
          </cell>
          <cell r="K12">
            <v>8.8290000000000006</v>
          </cell>
          <cell r="L12">
            <v>14570.798265265224</v>
          </cell>
          <cell r="M12">
            <v>1.483495110703145E-4</v>
          </cell>
          <cell r="N12">
            <v>4207347.6328392159</v>
          </cell>
          <cell r="O12">
            <v>2.96699022140629E-4</v>
          </cell>
          <cell r="P12">
            <v>2364.09</v>
          </cell>
          <cell r="Q12">
            <v>2</v>
          </cell>
          <cell r="R12">
            <v>11.595861450000003</v>
          </cell>
          <cell r="S12">
            <v>14570.798265265224</v>
          </cell>
          <cell r="T12">
            <v>4.4142011817099869E-4</v>
          </cell>
          <cell r="U12">
            <v>12519137.2447064</v>
          </cell>
          <cell r="V12">
            <v>8.8284023634199738E-4</v>
          </cell>
          <cell r="W12">
            <v>1825.2</v>
          </cell>
          <cell r="X12">
            <v>2</v>
          </cell>
          <cell r="Y12">
            <v>8.9526059999999994</v>
          </cell>
          <cell r="Z12">
            <v>14570.798265265224</v>
          </cell>
          <cell r="AA12">
            <v>1.5683317669849909E-4</v>
          </cell>
          <cell r="AB12">
            <v>4447953.2825715151</v>
          </cell>
        </row>
        <row r="13">
          <cell r="A13" t="str">
            <v>Motorcycles</v>
          </cell>
          <cell r="B13" t="str">
            <v>Motorcycles</v>
          </cell>
          <cell r="C13" t="str">
            <v>Motorcycles</v>
          </cell>
          <cell r="D13"/>
          <cell r="E13">
            <v>71666</v>
          </cell>
          <cell r="F13"/>
          <cell r="G13"/>
          <cell r="H13"/>
          <cell r="I13">
            <v>200</v>
          </cell>
          <cell r="J13">
            <v>2</v>
          </cell>
          <cell r="K13">
            <v>0.98099999999999998</v>
          </cell>
          <cell r="L13">
            <v>4490.274328133286</v>
          </cell>
          <cell r="M13">
            <v>2.2610807966821278E-8</v>
          </cell>
          <cell r="N13">
            <v>14.552316007446178</v>
          </cell>
          <cell r="O13">
            <v>4.5221615933642555E-8</v>
          </cell>
          <cell r="P13">
            <v>645.04999999999995</v>
          </cell>
          <cell r="Q13">
            <v>2</v>
          </cell>
          <cell r="R13">
            <v>3.1639702499999998</v>
          </cell>
          <cell r="S13">
            <v>4490.274328133286</v>
          </cell>
          <cell r="T13">
            <v>2.4466374392934312E-6</v>
          </cell>
          <cell r="U13">
            <v>1574.6558559292528</v>
          </cell>
          <cell r="V13">
            <v>4.8932748785868625E-6</v>
          </cell>
          <cell r="W13">
            <v>202.8</v>
          </cell>
          <cell r="X13">
            <v>2</v>
          </cell>
          <cell r="Y13">
            <v>0.99473400000000012</v>
          </cell>
          <cell r="Z13">
            <v>4490.274328133286</v>
          </cell>
          <cell r="AA13">
            <v>2.390385256797732E-8</v>
          </cell>
          <cell r="AB13">
            <v>15.384519512750206</v>
          </cell>
        </row>
        <row r="14">
          <cell r="B14" t="str">
            <v>Goods</v>
          </cell>
          <cell r="C14" t="str">
            <v>HGV</v>
          </cell>
          <cell r="D14" t="str">
            <v>3.5t - 7.5t</v>
          </cell>
          <cell r="E14">
            <v>7986.2615999999998</v>
          </cell>
          <cell r="F14" t="str">
            <v>Two axle rigid</v>
          </cell>
          <cell r="G14">
            <v>3500</v>
          </cell>
          <cell r="H14">
            <v>7500</v>
          </cell>
          <cell r="I14">
            <v>5500</v>
          </cell>
          <cell r="J14">
            <v>2</v>
          </cell>
          <cell r="K14">
            <v>26.977499999999999</v>
          </cell>
          <cell r="L14">
            <v>72127.126051412692</v>
          </cell>
          <cell r="M14">
            <v>1.2931439040712131E-2</v>
          </cell>
          <cell r="N14">
            <v>14897692.721087251</v>
          </cell>
          <cell r="O14">
            <v>2.5862878081424262E-2</v>
          </cell>
          <cell r="P14">
            <v>6339.37</v>
          </cell>
          <cell r="Q14">
            <v>2</v>
          </cell>
          <cell r="R14">
            <v>31.094609850000001</v>
          </cell>
          <cell r="S14">
            <v>72127.126051412692</v>
          </cell>
          <cell r="T14">
            <v>2.2823408321735711E-2</v>
          </cell>
          <cell r="U14">
            <v>26293757.636304006</v>
          </cell>
          <cell r="V14">
            <v>4.5646816643471422E-2</v>
          </cell>
          <cell r="W14">
            <v>5577</v>
          </cell>
          <cell r="X14">
            <v>2</v>
          </cell>
          <cell r="Y14">
            <v>27.355185000000002</v>
          </cell>
          <cell r="Z14">
            <v>72127.126051412692</v>
          </cell>
          <cell r="AA14">
            <v>1.3670949431552965E-2</v>
          </cell>
          <cell r="AB14">
            <v>15749647.289493211</v>
          </cell>
        </row>
        <row r="15">
          <cell r="B15" t="str">
            <v>Goods</v>
          </cell>
          <cell r="C15" t="str">
            <v>HGV</v>
          </cell>
          <cell r="D15" t="str">
            <v>7.5t - 12t</v>
          </cell>
          <cell r="E15">
            <v>1274.5602000000003</v>
          </cell>
          <cell r="F15" t="str">
            <v>Two axle rigid</v>
          </cell>
          <cell r="G15">
            <v>7500</v>
          </cell>
          <cell r="H15">
            <v>12000</v>
          </cell>
          <cell r="I15">
            <v>9750</v>
          </cell>
          <cell r="J15">
            <v>2</v>
          </cell>
          <cell r="K15">
            <v>47.823749999999997</v>
          </cell>
          <cell r="L15">
            <v>72127.126051412692</v>
          </cell>
          <cell r="M15">
            <v>0.12770695848039798</v>
          </cell>
          <cell r="N15">
            <v>23480294.40936283</v>
          </cell>
          <cell r="O15">
            <v>0.25541391696079596</v>
          </cell>
          <cell r="P15">
            <v>10905.57</v>
          </cell>
          <cell r="Q15">
            <v>2</v>
          </cell>
          <cell r="R15">
            <v>53.491820850000003</v>
          </cell>
          <cell r="S15">
            <v>72127.126051412692</v>
          </cell>
          <cell r="T15">
            <v>0.19988931411224337</v>
          </cell>
          <cell r="U15">
            <v>36751794.894257762</v>
          </cell>
          <cell r="V15">
            <v>0.39977862822448673</v>
          </cell>
          <cell r="W15">
            <v>9886.5</v>
          </cell>
          <cell r="X15">
            <v>2</v>
          </cell>
          <cell r="Y15">
            <v>48.493282499999999</v>
          </cell>
          <cell r="Z15">
            <v>72127.126051412692</v>
          </cell>
          <cell r="AA15">
            <v>0.13501013815604002</v>
          </cell>
          <cell r="AB15">
            <v>24823062.344242986</v>
          </cell>
        </row>
        <row r="16">
          <cell r="B16" t="str">
            <v>Goods</v>
          </cell>
          <cell r="C16" t="str">
            <v>HGV</v>
          </cell>
          <cell r="D16" t="str">
            <v>12t - 16t</v>
          </cell>
          <cell r="E16">
            <v>1237.7231999999999</v>
          </cell>
          <cell r="F16" t="str">
            <v>Two axle rigid</v>
          </cell>
          <cell r="G16">
            <v>12000</v>
          </cell>
          <cell r="H16">
            <v>16000</v>
          </cell>
          <cell r="I16">
            <v>14000</v>
          </cell>
          <cell r="J16">
            <v>2</v>
          </cell>
          <cell r="K16">
            <v>68.67</v>
          </cell>
          <cell r="L16">
            <v>72127.126051412692</v>
          </cell>
          <cell r="M16">
            <v>0.54288549928337926</v>
          </cell>
          <cell r="N16">
            <v>96930487.407285824</v>
          </cell>
          <cell r="O16">
            <v>1.0857709985667585</v>
          </cell>
          <cell r="P16">
            <v>15471.77</v>
          </cell>
          <cell r="Q16">
            <v>2</v>
          </cell>
          <cell r="R16">
            <v>75.889031849999995</v>
          </cell>
          <cell r="S16">
            <v>72127.126051412692</v>
          </cell>
          <cell r="T16">
            <v>0.809759592721215</v>
          </cell>
          <cell r="U16">
            <v>144580012.00769162</v>
          </cell>
          <cell r="V16">
            <v>1.61951918544243</v>
          </cell>
          <cell r="W16">
            <v>14196</v>
          </cell>
          <cell r="X16">
            <v>2</v>
          </cell>
          <cell r="Y16">
            <v>69.631380000000007</v>
          </cell>
          <cell r="Z16">
            <v>72127.126051412692</v>
          </cell>
          <cell r="AA16">
            <v>0.57393150015713534</v>
          </cell>
          <cell r="AB16">
            <v>102473652.5879962</v>
          </cell>
        </row>
        <row r="17">
          <cell r="B17" t="str">
            <v>Goods</v>
          </cell>
          <cell r="C17" t="str">
            <v>HGV</v>
          </cell>
          <cell r="D17" t="str">
            <v>16t - 20t</v>
          </cell>
          <cell r="E17">
            <v>4656.1968000000006</v>
          </cell>
          <cell r="F17" t="str">
            <v>Three axle rigid</v>
          </cell>
          <cell r="G17">
            <v>16000</v>
          </cell>
          <cell r="H17">
            <v>20000</v>
          </cell>
          <cell r="I17">
            <v>18000</v>
          </cell>
          <cell r="J17">
            <v>3</v>
          </cell>
          <cell r="K17">
            <v>58.86</v>
          </cell>
          <cell r="L17">
            <v>17258.915179591633</v>
          </cell>
          <cell r="M17">
            <v>0.29303607125000392</v>
          </cell>
          <cell r="N17">
            <v>70645932.204325631</v>
          </cell>
          <cell r="O17">
            <v>0.87910821375001169</v>
          </cell>
          <cell r="P17">
            <v>19769.37</v>
          </cell>
          <cell r="Q17">
            <v>3</v>
          </cell>
          <cell r="R17">
            <v>64.645839899999999</v>
          </cell>
          <cell r="S17">
            <v>17258.915179591633</v>
          </cell>
          <cell r="T17">
            <v>0.42638545485434926</v>
          </cell>
          <cell r="U17">
            <v>102794163.89954245</v>
          </cell>
          <cell r="V17">
            <v>1.2791563645630477</v>
          </cell>
          <cell r="W17">
            <v>18252</v>
          </cell>
          <cell r="X17">
            <v>3</v>
          </cell>
          <cell r="Y17">
            <v>59.684039999999996</v>
          </cell>
          <cell r="Z17">
            <v>17258.915179591633</v>
          </cell>
          <cell r="AA17">
            <v>0.30979392928098581</v>
          </cell>
          <cell r="AB17">
            <v>74685962.147726133</v>
          </cell>
        </row>
        <row r="18">
          <cell r="B18" t="str">
            <v>Goods</v>
          </cell>
          <cell r="C18" t="str">
            <v>HGV</v>
          </cell>
          <cell r="D18" t="str">
            <v>20t - 24t</v>
          </cell>
          <cell r="E18">
            <v>677.80079999999998</v>
          </cell>
          <cell r="F18" t="str">
            <v>Three axle rigid</v>
          </cell>
          <cell r="G18">
            <v>20000</v>
          </cell>
          <cell r="H18">
            <v>24000</v>
          </cell>
          <cell r="I18">
            <v>22000</v>
          </cell>
          <cell r="J18">
            <v>3</v>
          </cell>
          <cell r="K18">
            <v>71.94</v>
          </cell>
          <cell r="L18">
            <v>17258.915179591633</v>
          </cell>
          <cell r="M18">
            <v>0.6539157322315664</v>
          </cell>
          <cell r="N18">
            <v>22948727.664123081</v>
          </cell>
          <cell r="O18">
            <v>1.9617471966946991</v>
          </cell>
          <cell r="P18">
            <v>24066.969999999998</v>
          </cell>
          <cell r="Q18">
            <v>3</v>
          </cell>
          <cell r="R18">
            <v>78.698991899999996</v>
          </cell>
          <cell r="S18">
            <v>17258.915179591633</v>
          </cell>
          <cell r="T18">
            <v>0.93651929411835999</v>
          </cell>
          <cell r="U18">
            <v>32866507.370261967</v>
          </cell>
          <cell r="V18">
            <v>2.80955788235508</v>
          </cell>
          <cell r="W18">
            <v>22308</v>
          </cell>
          <cell r="X18">
            <v>3</v>
          </cell>
          <cell r="Y18">
            <v>72.947159999999997</v>
          </cell>
          <cell r="Z18">
            <v>17258.915179591633</v>
          </cell>
          <cell r="AA18">
            <v>0.69131122063754191</v>
          </cell>
          <cell r="AB18">
            <v>24261096.883880135</v>
          </cell>
        </row>
        <row r="19">
          <cell r="B19" t="str">
            <v>Goods</v>
          </cell>
          <cell r="C19" t="str">
            <v>HGV</v>
          </cell>
          <cell r="D19" t="str">
            <v>24t - 28t</v>
          </cell>
          <cell r="E19">
            <v>5367.1509000000005</v>
          </cell>
          <cell r="F19" t="str">
            <v>Three axle rigid</v>
          </cell>
          <cell r="G19">
            <v>24000</v>
          </cell>
          <cell r="H19">
            <v>27000</v>
          </cell>
          <cell r="I19">
            <v>25500</v>
          </cell>
          <cell r="J19">
            <v>3</v>
          </cell>
          <cell r="K19">
            <v>83.385000000000005</v>
          </cell>
          <cell r="L19">
            <v>17258.915179591633</v>
          </cell>
          <cell r="M19">
            <v>1.1802983076230504</v>
          </cell>
          <cell r="N19">
            <v>327997353.35384917</v>
          </cell>
          <cell r="O19">
            <v>3.5408949228691515</v>
          </cell>
          <cell r="P19">
            <v>27000</v>
          </cell>
          <cell r="Q19">
            <v>3</v>
          </cell>
          <cell r="R19">
            <v>88.29</v>
          </cell>
          <cell r="S19">
            <v>17787.785870411586</v>
          </cell>
          <cell r="T19">
            <v>1.4834951107031451</v>
          </cell>
          <cell r="U19">
            <v>424886637.22397739</v>
          </cell>
          <cell r="V19">
            <v>4.4504853321094355</v>
          </cell>
          <cell r="W19">
            <v>25857</v>
          </cell>
          <cell r="X19">
            <v>3</v>
          </cell>
          <cell r="Y19">
            <v>84.552390000000003</v>
          </cell>
          <cell r="Z19">
            <v>17258.915179591633</v>
          </cell>
          <cell r="AA19">
            <v>1.2477960439562705</v>
          </cell>
          <cell r="AB19">
            <v>346754542.72850579</v>
          </cell>
        </row>
        <row r="20">
          <cell r="B20" t="str">
            <v>Goods</v>
          </cell>
          <cell r="C20" t="str">
            <v>HGV</v>
          </cell>
          <cell r="D20" t="str">
            <v>28t - 32t</v>
          </cell>
          <cell r="E20">
            <v>4446.2259000000004</v>
          </cell>
          <cell r="F20" t="str">
            <v>Four axle rigid</v>
          </cell>
          <cell r="G20">
            <v>28000</v>
          </cell>
          <cell r="H20">
            <v>32000</v>
          </cell>
          <cell r="I20">
            <v>30000</v>
          </cell>
          <cell r="J20">
            <v>4</v>
          </cell>
          <cell r="K20">
            <v>73.575000000000003</v>
          </cell>
          <cell r="L20">
            <v>45692.513219871638</v>
          </cell>
          <cell r="M20">
            <v>0.71542009582520494</v>
          </cell>
          <cell r="N20">
            <v>581376799.52995861</v>
          </cell>
          <cell r="O20">
            <v>2.8616803833008198</v>
          </cell>
          <cell r="P20">
            <v>32000</v>
          </cell>
          <cell r="Q20">
            <v>4</v>
          </cell>
          <cell r="R20">
            <v>78.48</v>
          </cell>
          <cell r="S20">
            <v>46638.019828584205</v>
          </cell>
          <cell r="T20">
            <v>0.92613869432100027</v>
          </cell>
          <cell r="U20">
            <v>768188228.30422568</v>
          </cell>
          <cell r="V20">
            <v>3.7045547772840011</v>
          </cell>
          <cell r="W20">
            <v>30420</v>
          </cell>
          <cell r="X20">
            <v>4</v>
          </cell>
          <cell r="Y20">
            <v>74.605050000000006</v>
          </cell>
          <cell r="Z20">
            <v>45692.513219871638</v>
          </cell>
          <cell r="AA20">
            <v>0.75633283515865724</v>
          </cell>
          <cell r="AB20">
            <v>614624002.9458065</v>
          </cell>
        </row>
        <row r="21">
          <cell r="B21" t="str">
            <v>Goods</v>
          </cell>
          <cell r="C21" t="str">
            <v>HGV</v>
          </cell>
          <cell r="D21" t="str">
            <v>32t - 38t</v>
          </cell>
          <cell r="E21">
            <v>637.28010000000017</v>
          </cell>
          <cell r="F21" t="str">
            <v>Four axle articulated</v>
          </cell>
          <cell r="G21">
            <v>32000</v>
          </cell>
          <cell r="H21">
            <v>38000</v>
          </cell>
          <cell r="I21">
            <v>35000</v>
          </cell>
          <cell r="J21">
            <v>4</v>
          </cell>
          <cell r="K21">
            <v>85.837500000000006</v>
          </cell>
          <cell r="L21">
            <v>173886.06449727292</v>
          </cell>
          <cell r="M21">
            <v>1.3254040509848124</v>
          </cell>
          <cell r="N21">
            <v>587493979.65969312</v>
          </cell>
          <cell r="O21">
            <v>5.3016162039392496</v>
          </cell>
          <cell r="P21">
            <v>38000</v>
          </cell>
          <cell r="Q21">
            <v>4</v>
          </cell>
          <cell r="R21">
            <v>93.194999999999993</v>
          </cell>
          <cell r="S21">
            <v>174042.42467684849</v>
          </cell>
          <cell r="T21">
            <v>1.8416644406525728</v>
          </cell>
          <cell r="U21">
            <v>817063812.76114833</v>
          </cell>
          <cell r="V21">
            <v>7.3666577626102914</v>
          </cell>
          <cell r="W21">
            <v>35490</v>
          </cell>
          <cell r="X21">
            <v>4</v>
          </cell>
          <cell r="Y21">
            <v>87.039225000000002</v>
          </cell>
          <cell r="Z21">
            <v>173886.06449727292</v>
          </cell>
          <cell r="AA21">
            <v>1.4011999515555063</v>
          </cell>
          <cell r="AB21">
            <v>621091006.34380543</v>
          </cell>
        </row>
        <row r="22">
          <cell r="B22" t="str">
            <v>Goods</v>
          </cell>
          <cell r="C22" t="str">
            <v>HGV</v>
          </cell>
          <cell r="D22" t="str">
            <v>38t - 40t</v>
          </cell>
          <cell r="E22">
            <v>3957.6751875000004</v>
          </cell>
          <cell r="F22" t="str">
            <v>Five axle articulated</v>
          </cell>
          <cell r="G22">
            <v>38000</v>
          </cell>
          <cell r="H22">
            <v>40000</v>
          </cell>
          <cell r="I22">
            <v>39000</v>
          </cell>
          <cell r="J22">
            <v>5</v>
          </cell>
          <cell r="K22">
            <v>76.518000000000001</v>
          </cell>
          <cell r="L22">
            <v>125999.11689226481</v>
          </cell>
          <cell r="M22">
            <v>0.83694032309713595</v>
          </cell>
          <cell r="N22">
            <v>2086758282.8317273</v>
          </cell>
          <cell r="O22">
            <v>4.1847016154856798</v>
          </cell>
          <cell r="P22">
            <v>40000</v>
          </cell>
          <cell r="Q22">
            <v>5</v>
          </cell>
          <cell r="R22">
            <v>78.48</v>
          </cell>
          <cell r="S22">
            <v>133344.1409121617</v>
          </cell>
          <cell r="T22">
            <v>0.92613869432100027</v>
          </cell>
          <cell r="U22">
            <v>2443768821.9251628</v>
          </cell>
          <cell r="V22">
            <v>4.6306934716050012</v>
          </cell>
          <cell r="W22">
            <v>39546</v>
          </cell>
          <cell r="X22">
            <v>5</v>
          </cell>
          <cell r="Y22">
            <v>77.589252000000002</v>
          </cell>
          <cell r="Z22">
            <v>125999.11689226481</v>
          </cell>
          <cell r="AA22">
            <v>0.88480244141942388</v>
          </cell>
          <cell r="AB22">
            <v>2206093758.8347335</v>
          </cell>
        </row>
        <row r="23">
          <cell r="B23" t="str">
            <v>Goods</v>
          </cell>
          <cell r="C23" t="str">
            <v>HGV</v>
          </cell>
          <cell r="D23" t="str">
            <v>40t - 44t</v>
          </cell>
          <cell r="E23">
            <v>6596.1253124999994</v>
          </cell>
          <cell r="F23" t="str">
            <v>Six axle articulated</v>
          </cell>
          <cell r="G23">
            <v>40000</v>
          </cell>
          <cell r="H23">
            <v>44000</v>
          </cell>
          <cell r="I23">
            <v>42000</v>
          </cell>
          <cell r="J23">
            <v>6</v>
          </cell>
          <cell r="K23">
            <v>68.67</v>
          </cell>
          <cell r="L23">
            <v>125999.11689226481</v>
          </cell>
          <cell r="M23">
            <v>0.54288549928337926</v>
          </cell>
          <cell r="N23">
            <v>2707172258.2718654</v>
          </cell>
          <cell r="O23">
            <v>3.2573129957002758</v>
          </cell>
          <cell r="P23">
            <v>44000</v>
          </cell>
          <cell r="Q23">
            <v>6</v>
          </cell>
          <cell r="R23">
            <v>71.94</v>
          </cell>
          <cell r="S23">
            <v>130451.95431940036</v>
          </cell>
          <cell r="T23">
            <v>0.6539157322315664</v>
          </cell>
          <cell r="U23">
            <v>3376078403.4399619</v>
          </cell>
          <cell r="V23">
            <v>3.9234943933893982</v>
          </cell>
          <cell r="W23">
            <v>42588</v>
          </cell>
          <cell r="X23">
            <v>6</v>
          </cell>
          <cell r="Y23">
            <v>69.631380000000007</v>
          </cell>
          <cell r="Z23">
            <v>125999.11689226481</v>
          </cell>
          <cell r="AA23">
            <v>0.57393150015713534</v>
          </cell>
          <cell r="AB23">
            <v>2861987357.232255</v>
          </cell>
        </row>
        <row r="24">
          <cell r="B24" t="str">
            <v>Light Goods</v>
          </cell>
          <cell r="C24" t="str">
            <v>LGV</v>
          </cell>
          <cell r="D24" t="str">
            <v>Petrol</v>
          </cell>
          <cell r="E24">
            <v>9842.1440000000002</v>
          </cell>
          <cell r="F24"/>
          <cell r="G24">
            <v>2500</v>
          </cell>
          <cell r="H24">
            <v>3500</v>
          </cell>
          <cell r="I24">
            <v>3000</v>
          </cell>
          <cell r="J24">
            <v>2</v>
          </cell>
          <cell r="K24">
            <v>14.715</v>
          </cell>
          <cell r="L24">
            <v>26261.95019929899</v>
          </cell>
          <cell r="M24">
            <v>1.1446721533203278E-3</v>
          </cell>
          <cell r="N24">
            <v>591735.74126663699</v>
          </cell>
          <cell r="O24">
            <v>2.2893443066406556E-3</v>
          </cell>
          <cell r="P24">
            <v>3500</v>
          </cell>
          <cell r="Q24">
            <v>2</v>
          </cell>
          <cell r="R24">
            <v>17.1675</v>
          </cell>
          <cell r="S24">
            <v>27412.748857032278</v>
          </cell>
          <cell r="T24">
            <v>2.1206464815757002E-3</v>
          </cell>
          <cell r="U24">
            <v>1144301.7816966884</v>
          </cell>
          <cell r="V24">
            <v>4.2412929631514005E-3</v>
          </cell>
          <cell r="W24">
            <v>3042</v>
          </cell>
          <cell r="X24">
            <v>2</v>
          </cell>
          <cell r="Y24">
            <v>14.921010000000001</v>
          </cell>
          <cell r="Z24">
            <v>26261.95019929899</v>
          </cell>
          <cell r="AA24">
            <v>1.2101325362538513E-3</v>
          </cell>
          <cell r="AB24">
            <v>625575.34163291473</v>
          </cell>
        </row>
        <row r="25">
          <cell r="B25" t="str">
            <v>Light Goods</v>
          </cell>
          <cell r="C25" t="str">
            <v>LGV</v>
          </cell>
          <cell r="D25" t="str">
            <v>Diesel</v>
          </cell>
          <cell r="E25">
            <v>296494.58799999999</v>
          </cell>
          <cell r="F25"/>
          <cell r="G25">
            <v>2500</v>
          </cell>
          <cell r="H25">
            <v>3500</v>
          </cell>
          <cell r="I25">
            <v>3000</v>
          </cell>
          <cell r="J25">
            <v>2</v>
          </cell>
          <cell r="K25">
            <v>14.715</v>
          </cell>
          <cell r="L25">
            <v>26261.95019929899</v>
          </cell>
          <cell r="M25">
            <v>1.1446721533203278E-3</v>
          </cell>
          <cell r="N25">
            <v>17826039.205657437</v>
          </cell>
          <cell r="O25">
            <v>2.2893443066406556E-3</v>
          </cell>
          <cell r="P25">
            <v>3500</v>
          </cell>
          <cell r="Q25">
            <v>2</v>
          </cell>
          <cell r="R25">
            <v>17.1675</v>
          </cell>
          <cell r="S25">
            <v>27412.748857032278</v>
          </cell>
          <cell r="T25">
            <v>2.1206464815757002E-3</v>
          </cell>
          <cell r="U25">
            <v>34472091.173612736</v>
          </cell>
          <cell r="V25">
            <v>4.2412929631514005E-3</v>
          </cell>
          <cell r="W25">
            <v>3042</v>
          </cell>
          <cell r="X25">
            <v>2</v>
          </cell>
          <cell r="Y25">
            <v>14.921010000000001</v>
          </cell>
          <cell r="Z25">
            <v>26261.95019929899</v>
          </cell>
          <cell r="AA25">
            <v>1.2101325362538513E-3</v>
          </cell>
          <cell r="AB25">
            <v>18845457.166691557</v>
          </cell>
        </row>
        <row r="26">
          <cell r="B26"/>
          <cell r="C26"/>
          <cell r="D26"/>
          <cell r="F26"/>
          <cell r="G26"/>
          <cell r="H26"/>
          <cell r="I26"/>
          <cell r="J26"/>
          <cell r="K26"/>
          <cell r="L26"/>
          <cell r="M26"/>
          <cell r="N26"/>
          <cell r="O26"/>
          <cell r="P26"/>
          <cell r="Q26"/>
          <cell r="R26"/>
          <cell r="S26"/>
          <cell r="T26"/>
          <cell r="U26"/>
          <cell r="V26"/>
          <cell r="W26"/>
          <cell r="X26"/>
          <cell r="Y26"/>
          <cell r="Z26"/>
          <cell r="AA26"/>
          <cell r="AB26"/>
        </row>
        <row r="27">
          <cell r="A27" t="str">
            <v>HGV</v>
          </cell>
          <cell r="B27" t="str">
            <v>All HGVs</v>
          </cell>
          <cell r="C27" t="str">
            <v>HGV</v>
          </cell>
          <cell r="D27"/>
          <cell r="E27">
            <v>36837</v>
          </cell>
          <cell r="F27"/>
          <cell r="G27"/>
          <cell r="H27"/>
          <cell r="I27">
            <v>22083.333333333332</v>
          </cell>
          <cell r="J27" t="str">
            <v>2 to 6</v>
          </cell>
          <cell r="K27">
            <v>65.954083333333344</v>
          </cell>
          <cell r="L27"/>
          <cell r="M27"/>
          <cell r="N27">
            <v>6519701808.053278</v>
          </cell>
          <cell r="O27"/>
          <cell r="P27">
            <v>23728.116666666665</v>
          </cell>
          <cell r="Q27"/>
          <cell r="R27">
            <v>71.362810483333334</v>
          </cell>
          <cell r="S27">
            <v>69190.175533491929</v>
          </cell>
          <cell r="T27">
            <v>0.84142377823618031</v>
          </cell>
          <cell r="U27">
            <v>8173272139.462534</v>
          </cell>
          <cell r="V27">
            <v>2.9228944689819158</v>
          </cell>
          <cell r="W27">
            <v>22392.5</v>
          </cell>
          <cell r="X27"/>
          <cell r="Y27">
            <v>66.877440499999992</v>
          </cell>
          <cell r="Z27">
            <v>68192.868700269144</v>
          </cell>
          <cell r="AA27">
            <v>0.66820544552812378</v>
          </cell>
          <cell r="AB27">
            <v>6892544089.3384447</v>
          </cell>
        </row>
        <row r="28">
          <cell r="A28" t="str">
            <v>Cars</v>
          </cell>
          <cell r="B28" t="str">
            <v>All Cars</v>
          </cell>
          <cell r="C28" t="str">
            <v>Cars</v>
          </cell>
          <cell r="D28"/>
          <cell r="E28">
            <v>2524000</v>
          </cell>
          <cell r="F28"/>
          <cell r="G28"/>
          <cell r="H28"/>
          <cell r="I28">
            <v>1800</v>
          </cell>
          <cell r="J28">
            <v>2</v>
          </cell>
          <cell r="K28">
            <v>8.8290000000000006</v>
          </cell>
          <cell r="L28"/>
          <cell r="M28"/>
          <cell r="N28">
            <v>10884462.967033401</v>
          </cell>
          <cell r="O28"/>
          <cell r="P28">
            <v>2364.09</v>
          </cell>
          <cell r="Q28"/>
          <cell r="R28">
            <v>11.595861450000003</v>
          </cell>
          <cell r="S28">
            <v>14570.798265265224</v>
          </cell>
          <cell r="T28">
            <v>4.4142011817099869E-4</v>
          </cell>
          <cell r="U28">
            <v>32387170.638253443</v>
          </cell>
          <cell r="V28">
            <v>8.8284023634199738E-4</v>
          </cell>
          <cell r="W28">
            <v>1825.2</v>
          </cell>
          <cell r="X28"/>
          <cell r="Y28">
            <v>8.9526059999999994</v>
          </cell>
          <cell r="Z28">
            <v>14570.798265265224</v>
          </cell>
          <cell r="AA28">
            <v>1.5683317669849909E-4</v>
          </cell>
          <cell r="AB28">
            <v>11506912.907639556</v>
          </cell>
        </row>
        <row r="29">
          <cell r="A29" t="str">
            <v>LGV</v>
          </cell>
          <cell r="B29" t="str">
            <v>All LGVs</v>
          </cell>
          <cell r="C29" t="str">
            <v>LGV</v>
          </cell>
          <cell r="D29"/>
          <cell r="E29">
            <v>308000</v>
          </cell>
          <cell r="F29"/>
          <cell r="G29"/>
          <cell r="H29"/>
          <cell r="I29">
            <v>3000</v>
          </cell>
          <cell r="J29">
            <v>2</v>
          </cell>
          <cell r="K29">
            <v>14.715</v>
          </cell>
          <cell r="L29"/>
          <cell r="M29"/>
          <cell r="N29">
            <v>18417774.946924075</v>
          </cell>
          <cell r="O29"/>
          <cell r="P29">
            <v>3500</v>
          </cell>
          <cell r="Q29"/>
          <cell r="R29">
            <v>17.1675</v>
          </cell>
          <cell r="S29">
            <v>27412.748857032278</v>
          </cell>
          <cell r="T29">
            <v>2.1206464815757002E-3</v>
          </cell>
          <cell r="U29">
            <v>35616392.955309421</v>
          </cell>
          <cell r="V29">
            <v>4.2412929631514005E-3</v>
          </cell>
          <cell r="W29">
            <v>3042</v>
          </cell>
          <cell r="X29"/>
          <cell r="Y29">
            <v>14.921010000000001</v>
          </cell>
          <cell r="Z29">
            <v>26261.95019929899</v>
          </cell>
          <cell r="AA29">
            <v>1.2101325362538513E-3</v>
          </cell>
          <cell r="AB29">
            <v>19471032.50832447</v>
          </cell>
        </row>
        <row r="30">
          <cell r="B30"/>
          <cell r="C30"/>
          <cell r="D30"/>
          <cell r="E30"/>
          <cell r="F30"/>
          <cell r="G30"/>
          <cell r="H30"/>
          <cell r="I30"/>
          <cell r="J30"/>
          <cell r="K30"/>
          <cell r="L30"/>
          <cell r="M30"/>
          <cell r="N30"/>
          <cell r="O30"/>
          <cell r="P30"/>
          <cell r="Q30"/>
          <cell r="R30"/>
          <cell r="S30"/>
          <cell r="T30"/>
          <cell r="U30"/>
          <cell r="V30"/>
          <cell r="W30"/>
          <cell r="X30"/>
          <cell r="Y30"/>
          <cell r="Z30"/>
          <cell r="AA30"/>
          <cell r="AB30"/>
        </row>
        <row r="31">
          <cell r="B31"/>
          <cell r="C31"/>
          <cell r="D31"/>
          <cell r="E31"/>
          <cell r="F31"/>
          <cell r="G31"/>
          <cell r="H31"/>
          <cell r="I31"/>
          <cell r="J31"/>
          <cell r="K31"/>
          <cell r="L31"/>
          <cell r="M31" t="str">
            <v>Total Standard axle - km per year, as proxy for damage factor</v>
          </cell>
          <cell r="N31">
            <v>8068284042.0919409</v>
          </cell>
          <cell r="O31"/>
          <cell r="P31"/>
          <cell r="Q31"/>
          <cell r="R31"/>
          <cell r="S31"/>
          <cell r="T31" t="str">
            <v>Total Standard axle - km per year - proxy for damage factor</v>
          </cell>
          <cell r="U31">
            <v>10463262776.398378</v>
          </cell>
          <cell r="V31"/>
          <cell r="W31"/>
          <cell r="X31"/>
          <cell r="Y31"/>
          <cell r="Z31"/>
          <cell r="AA31" t="str">
            <v>Total Standard axle - km per year - proxy for damage factor</v>
          </cell>
          <cell r="AB31">
            <v>8529685117.9194403</v>
          </cell>
        </row>
      </sheetData>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360319920307989" TargetMode="External"/><Relationship Id="rId2" Type="http://schemas.openxmlformats.org/officeDocument/2006/relationships/hyperlink" Target="https://trl.co.uk/uploads/trl/documents/LR979.pdf" TargetMode="External"/><Relationship Id="rId1" Type="http://schemas.openxmlformats.org/officeDocument/2006/relationships/hyperlink" Target="https://www.transport.gov.scot/publication/scottish-transport-statistics-no-39-2020-edition-pdf-only/"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gov.uk/government/publications/hgv-maximum-weights/hgv-maximum-weigh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360319920307989" TargetMode="External"/><Relationship Id="rId2" Type="http://schemas.openxmlformats.org/officeDocument/2006/relationships/hyperlink" Target="https://trl.co.uk/uploads/trl/documents/LR979.pdf" TargetMode="External"/><Relationship Id="rId1" Type="http://schemas.openxmlformats.org/officeDocument/2006/relationships/hyperlink" Target="https://www.transport.gov.scot/publication/scottish-transport-statistics-no-39-2020-edition-pdf-only/"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gov.uk/government/publications/hgv-maximum-weights/hgv-maximum-weight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gov.uk/government/publications/hgv-maximum-weights/hgv-maximum-weigh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gov.uk/government/statistical-data-sets/road-transport-energy-consumption-at-regional-and-local-authority-level" TargetMode="External"/><Relationship Id="rId7" Type="http://schemas.openxmlformats.org/officeDocument/2006/relationships/hyperlink" Target="http://www.gov.uk/government/organisations/department-for-transport/series/road-traffic-statistics" TargetMode="External"/><Relationship Id="rId2" Type="http://schemas.openxmlformats.org/officeDocument/2006/relationships/hyperlink" Target="https://www.gov.uk/government/collections/vehicles-statistics"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statistical-data-sets/all-vehicles-veh01" TargetMode="External"/><Relationship Id="rId5" Type="http://schemas.openxmlformats.org/officeDocument/2006/relationships/hyperlink" Target="https://www.gov.uk/government/statistical-data-sets/all-vehicles-veh01" TargetMode="External"/><Relationship Id="rId4" Type="http://schemas.openxmlformats.org/officeDocument/2006/relationships/hyperlink" Target="http://naei.beis.gov.uk/data/data-selector" TargetMode="External"/><Relationship Id="rId9"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ransport.gov.scot/publication/scottish-transport-statistics-no-39-2020-edition/chapter-1-road-transport-vehicles"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naei.beis.gov.uk/data/emission-factor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ov.uk/government/statistical-data-sets/veh03" TargetMode="External"/><Relationship Id="rId2" Type="http://schemas.openxmlformats.org/officeDocument/2006/relationships/hyperlink" Target="https://www.gov.uk/government/statistical-data-sets/veh02-licensed-cars" TargetMode="External"/><Relationship Id="rId1" Type="http://schemas.openxmlformats.org/officeDocument/2006/relationships/hyperlink" Target="https://www.gov.uk/government/statistical-data-sets/veh05-licensed-heavy-goods-vehicles" TargetMode="External"/><Relationship Id="rId6" Type="http://schemas.openxmlformats.org/officeDocument/2006/relationships/hyperlink" Target="https://www.gov.uk/government/collections/vehicles-statistics" TargetMode="External"/><Relationship Id="rId5" Type="http://schemas.openxmlformats.org/officeDocument/2006/relationships/hyperlink" Target="https://www.gov.uk/government/statistical-data-sets/veh04-licensed-light-goods-vehicles" TargetMode="External"/><Relationship Id="rId4" Type="http://schemas.openxmlformats.org/officeDocument/2006/relationships/hyperlink" Target="https://www.gov.uk/government/statistical-data-sets/veh06-licensed-buses-and-coach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gov.uk/government/statistical-data-sets/road-traffic-statistics-tra"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v.uk/government/statistical-data-sets/road-traffic-statistics-tr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
  <sheetViews>
    <sheetView tabSelected="1" zoomScale="70" zoomScaleNormal="70" workbookViewId="0">
      <selection activeCell="E22" sqref="E22"/>
    </sheetView>
  </sheetViews>
  <sheetFormatPr defaultRowHeight="15" x14ac:dyDescent="0.25"/>
  <cols>
    <col min="1" max="1" width="13.7109375" customWidth="1"/>
    <col min="2" max="3" width="11.85546875" customWidth="1"/>
    <col min="4" max="4" width="16.28515625" customWidth="1"/>
    <col min="5" max="5" width="13.5703125" customWidth="1"/>
    <col min="6" max="6" width="12.140625" style="3" customWidth="1"/>
    <col min="7" max="7" width="10.7109375" style="3" customWidth="1"/>
    <col min="8" max="8" width="10" style="3" customWidth="1"/>
    <col min="9" max="9" width="13.85546875" customWidth="1"/>
    <col min="10" max="10" width="13.42578125" customWidth="1"/>
    <col min="11" max="11" width="12.7109375" customWidth="1"/>
    <col min="12" max="12" width="11" customWidth="1"/>
    <col min="13" max="13" width="14.140625" customWidth="1"/>
    <col min="14" max="14" width="16.28515625" customWidth="1"/>
    <col min="15" max="15" width="15.7109375" customWidth="1"/>
    <col min="16" max="16" width="15.140625" customWidth="1"/>
    <col min="17" max="17" width="12.5703125" customWidth="1"/>
    <col min="18" max="18" width="16.28515625" customWidth="1"/>
    <col min="19" max="19" width="15.5703125" customWidth="1"/>
    <col min="20" max="20" width="14.85546875" customWidth="1"/>
    <col min="21" max="21" width="19.28515625" customWidth="1"/>
    <col min="22" max="22" width="16.140625" customWidth="1"/>
    <col min="23" max="23" width="12.7109375" customWidth="1"/>
    <col min="24" max="24" width="16.28515625" customWidth="1"/>
    <col min="25" max="25" width="15.85546875" customWidth="1"/>
    <col min="26" max="26" width="21" customWidth="1"/>
    <col min="27" max="27" width="13.85546875" customWidth="1"/>
    <col min="28" max="28" width="17.5703125" customWidth="1"/>
    <col min="29" max="29" width="15.42578125" customWidth="1"/>
    <col min="30" max="30" width="11" customWidth="1"/>
    <col min="31" max="31" width="13.28515625" customWidth="1"/>
    <col min="32" max="32" width="12.140625" customWidth="1"/>
    <col min="33" max="33" width="17.5703125" customWidth="1"/>
    <col min="34" max="35" width="14" customWidth="1"/>
    <col min="36" max="36" width="16" customWidth="1"/>
    <col min="37" max="37" width="12.7109375" bestFit="1" customWidth="1"/>
  </cols>
  <sheetData>
    <row r="1" spans="1:37" ht="15.75" thickBot="1" x14ac:dyDescent="0.3">
      <c r="A1" s="24" t="s">
        <v>347</v>
      </c>
    </row>
    <row r="2" spans="1:37" x14ac:dyDescent="0.25">
      <c r="K2" s="141" t="s">
        <v>14</v>
      </c>
      <c r="M2" s="139" t="s">
        <v>141</v>
      </c>
      <c r="P2" s="7">
        <v>1.0744</v>
      </c>
    </row>
    <row r="3" spans="1:37" x14ac:dyDescent="0.25">
      <c r="K3" s="142">
        <v>9.81</v>
      </c>
      <c r="L3" s="3"/>
      <c r="M3" s="298">
        <v>80</v>
      </c>
      <c r="P3" s="7">
        <v>430.17</v>
      </c>
      <c r="S3" t="s">
        <v>429</v>
      </c>
    </row>
    <row r="4" spans="1:37" ht="15.75" thickBot="1" x14ac:dyDescent="0.3">
      <c r="K4" s="297" t="s">
        <v>15</v>
      </c>
      <c r="L4" s="8"/>
      <c r="M4" s="297" t="s">
        <v>16</v>
      </c>
      <c r="P4" s="7">
        <v>1.014</v>
      </c>
    </row>
    <row r="5" spans="1:37" ht="15" customHeight="1" thickBot="1" x14ac:dyDescent="0.3">
      <c r="N5" s="324"/>
      <c r="O5" s="3"/>
      <c r="P5" s="619" t="s">
        <v>351</v>
      </c>
      <c r="Q5" s="620"/>
      <c r="R5" s="620"/>
      <c r="S5" s="621"/>
      <c r="W5" s="619" t="s">
        <v>352</v>
      </c>
      <c r="X5" s="620"/>
      <c r="Y5" s="621"/>
    </row>
    <row r="6" spans="1:37" ht="15.75" customHeight="1" thickBot="1" x14ac:dyDescent="0.3">
      <c r="G6"/>
      <c r="I6" s="87" t="s">
        <v>350</v>
      </c>
      <c r="J6" s="88"/>
      <c r="K6" s="89"/>
      <c r="N6" s="8" t="s">
        <v>171</v>
      </c>
      <c r="O6" s="8" t="s">
        <v>171</v>
      </c>
      <c r="P6" s="622" t="s">
        <v>354</v>
      </c>
      <c r="Q6" s="623"/>
      <c r="R6" s="623"/>
      <c r="S6" s="624"/>
      <c r="U6" t="s">
        <v>172</v>
      </c>
      <c r="V6" t="s">
        <v>172</v>
      </c>
      <c r="W6" s="622" t="s">
        <v>353</v>
      </c>
      <c r="X6" s="623"/>
      <c r="Y6" s="624"/>
      <c r="AB6" t="s">
        <v>173</v>
      </c>
      <c r="AC6" t="s">
        <v>173</v>
      </c>
      <c r="AD6" s="321" t="s">
        <v>189</v>
      </c>
      <c r="AE6" s="322"/>
      <c r="AF6" s="322"/>
      <c r="AG6" s="323"/>
      <c r="AJ6" t="s">
        <v>360</v>
      </c>
      <c r="AK6" t="s">
        <v>360</v>
      </c>
    </row>
    <row r="7" spans="1:37" ht="75" x14ac:dyDescent="0.25">
      <c r="B7" s="28" t="s">
        <v>0</v>
      </c>
      <c r="C7" s="29"/>
      <c r="D7" s="29" t="s">
        <v>10</v>
      </c>
      <c r="E7" s="117" t="s">
        <v>6</v>
      </c>
      <c r="F7" s="117" t="s">
        <v>492</v>
      </c>
      <c r="G7" s="617" t="s">
        <v>342</v>
      </c>
      <c r="H7" s="618"/>
      <c r="I7" s="116" t="s">
        <v>343</v>
      </c>
      <c r="J7" s="117" t="s">
        <v>12</v>
      </c>
      <c r="K7" s="117" t="s">
        <v>13</v>
      </c>
      <c r="L7" s="117" t="s">
        <v>32</v>
      </c>
      <c r="M7" s="117" t="s">
        <v>190</v>
      </c>
      <c r="N7" s="117" t="s">
        <v>194</v>
      </c>
      <c r="O7" s="118" t="s">
        <v>369</v>
      </c>
      <c r="P7" s="117" t="s">
        <v>344</v>
      </c>
      <c r="Q7" s="117" t="s">
        <v>12</v>
      </c>
      <c r="R7" s="117" t="s">
        <v>13</v>
      </c>
      <c r="S7" s="117" t="s">
        <v>32</v>
      </c>
      <c r="T7" s="117" t="s">
        <v>192</v>
      </c>
      <c r="U7" s="117" t="s">
        <v>195</v>
      </c>
      <c r="V7" s="118" t="s">
        <v>370</v>
      </c>
      <c r="W7" s="116" t="s">
        <v>345</v>
      </c>
      <c r="X7" s="117" t="s">
        <v>12</v>
      </c>
      <c r="Y7" s="117" t="s">
        <v>13</v>
      </c>
      <c r="Z7" s="117" t="s">
        <v>32</v>
      </c>
      <c r="AA7" s="117" t="s">
        <v>193</v>
      </c>
      <c r="AB7" s="117" t="s">
        <v>197</v>
      </c>
      <c r="AC7" s="118" t="s">
        <v>371</v>
      </c>
      <c r="AD7" s="116" t="s">
        <v>102</v>
      </c>
      <c r="AE7" s="117" t="s">
        <v>346</v>
      </c>
      <c r="AF7" s="117" t="s">
        <v>12</v>
      </c>
      <c r="AG7" s="117" t="s">
        <v>13</v>
      </c>
      <c r="AH7" s="117" t="s">
        <v>32</v>
      </c>
      <c r="AI7" s="117" t="s">
        <v>191</v>
      </c>
      <c r="AJ7" s="117" t="s">
        <v>196</v>
      </c>
      <c r="AK7" s="118" t="s">
        <v>372</v>
      </c>
    </row>
    <row r="8" spans="1:37" x14ac:dyDescent="0.25">
      <c r="B8" s="35"/>
      <c r="C8" s="57"/>
      <c r="D8" s="57"/>
      <c r="E8" s="60" t="s">
        <v>5</v>
      </c>
      <c r="F8" s="57"/>
      <c r="G8" s="60" t="s">
        <v>26</v>
      </c>
      <c r="H8" s="119" t="s">
        <v>27</v>
      </c>
      <c r="I8" s="35" t="s">
        <v>4</v>
      </c>
      <c r="J8" s="60" t="s">
        <v>11</v>
      </c>
      <c r="K8" s="60" t="s">
        <v>16</v>
      </c>
      <c r="L8" s="60" t="s">
        <v>31</v>
      </c>
      <c r="M8" s="60"/>
      <c r="N8" s="60"/>
      <c r="O8" s="119"/>
      <c r="P8" s="57" t="s">
        <v>4</v>
      </c>
      <c r="Q8" s="60" t="s">
        <v>11</v>
      </c>
      <c r="R8" s="60" t="s">
        <v>16</v>
      </c>
      <c r="S8" s="60" t="s">
        <v>31</v>
      </c>
      <c r="T8" s="60" t="s">
        <v>11</v>
      </c>
      <c r="U8" s="60" t="s">
        <v>11</v>
      </c>
      <c r="V8" s="119"/>
      <c r="W8" s="35" t="s">
        <v>4</v>
      </c>
      <c r="X8" s="60" t="s">
        <v>11</v>
      </c>
      <c r="Y8" s="60" t="s">
        <v>16</v>
      </c>
      <c r="Z8" s="60" t="s">
        <v>31</v>
      </c>
      <c r="AA8" s="60" t="s">
        <v>11</v>
      </c>
      <c r="AB8" s="60" t="s">
        <v>11</v>
      </c>
      <c r="AC8" s="119"/>
      <c r="AD8" s="72"/>
      <c r="AE8" s="57" t="s">
        <v>4</v>
      </c>
      <c r="AF8" s="60" t="s">
        <v>11</v>
      </c>
      <c r="AG8" s="60" t="s">
        <v>16</v>
      </c>
      <c r="AH8" s="60" t="s">
        <v>31</v>
      </c>
      <c r="AI8" s="60" t="s">
        <v>11</v>
      </c>
      <c r="AJ8" s="60" t="s">
        <v>11</v>
      </c>
      <c r="AK8" s="119"/>
    </row>
    <row r="9" spans="1:37" x14ac:dyDescent="0.25">
      <c r="B9" s="35"/>
      <c r="C9" s="57"/>
      <c r="D9" s="57"/>
      <c r="E9" s="60"/>
      <c r="F9" s="57"/>
      <c r="G9" s="60"/>
      <c r="H9" s="119"/>
      <c r="I9" s="35"/>
      <c r="J9" s="60"/>
      <c r="K9" s="60"/>
      <c r="L9" s="57"/>
      <c r="M9" s="57"/>
      <c r="N9" s="133"/>
      <c r="O9" s="120"/>
      <c r="P9" s="57"/>
      <c r="Q9" s="60"/>
      <c r="R9" s="60"/>
      <c r="S9" s="57"/>
      <c r="T9" s="57"/>
      <c r="U9" s="133"/>
      <c r="V9" s="120"/>
      <c r="W9" s="35"/>
      <c r="X9" s="60"/>
      <c r="Y9" s="60"/>
      <c r="Z9" s="57"/>
      <c r="AA9" s="57"/>
      <c r="AB9" s="133"/>
      <c r="AC9" s="120"/>
      <c r="AD9" s="135"/>
      <c r="AE9" s="57"/>
      <c r="AF9" s="60"/>
      <c r="AG9" s="60"/>
      <c r="AH9" s="57"/>
      <c r="AI9" s="57"/>
      <c r="AJ9" s="133"/>
      <c r="AK9" s="120"/>
    </row>
    <row r="10" spans="1:37" ht="30" x14ac:dyDescent="0.25">
      <c r="A10" s="126" t="s">
        <v>41</v>
      </c>
      <c r="B10" s="126" t="s">
        <v>41</v>
      </c>
      <c r="C10" s="312" t="s">
        <v>365</v>
      </c>
      <c r="D10" s="57"/>
      <c r="E10" s="127">
        <v>14154</v>
      </c>
      <c r="F10" s="57"/>
      <c r="G10" s="127">
        <v>14000</v>
      </c>
      <c r="H10" s="128">
        <v>24800</v>
      </c>
      <c r="I10" s="35">
        <v>17000</v>
      </c>
      <c r="J10" s="159">
        <v>2</v>
      </c>
      <c r="K10" s="44">
        <f t="shared" ref="K10:K25" si="0">$K$3*I10/(J10*1000)</f>
        <v>83.385000000000005</v>
      </c>
      <c r="L10" s="122">
        <v>45471.244877773075</v>
      </c>
      <c r="M10" s="111">
        <f t="shared" ref="M10:M25" si="1">(K10/$M$3)^4</f>
        <v>1.1802983076230504</v>
      </c>
      <c r="N10" s="114">
        <f t="shared" ref="N10:N25" si="2">M10*L10*J10*$E10</f>
        <v>1519279981.5723908</v>
      </c>
      <c r="O10" s="320">
        <f t="shared" ref="O10:O25" si="3">M10*J10</f>
        <v>2.3605966152461009</v>
      </c>
      <c r="P10" s="140">
        <f t="shared" ref="P10:P20" si="4">MIN(($P$2*$I10+$P$3),H10)</f>
        <v>18694.969999999998</v>
      </c>
      <c r="Q10" s="159">
        <f t="shared" ref="Q10:Q25" si="5">$J10</f>
        <v>2</v>
      </c>
      <c r="R10" s="44">
        <f t="shared" ref="R10:R25" si="6">$K$3*P10/(Q10*1000)</f>
        <v>91.698827849999986</v>
      </c>
      <c r="S10" s="162">
        <f>$L10*(($P$2*$I10+$P$3)/P10)</f>
        <v>45471.244877773075</v>
      </c>
      <c r="T10" s="111">
        <f t="shared" ref="T10:T25" si="7">(R10/$M$3)^4</f>
        <v>1.726216204697347</v>
      </c>
      <c r="U10" s="114">
        <f t="shared" ref="U10:U25" si="8">T10*S10*Q10*$E10</f>
        <v>2221985498.6864257</v>
      </c>
      <c r="V10" s="320">
        <f>T10*Q10</f>
        <v>3.4524324093946941</v>
      </c>
      <c r="W10" s="259">
        <f>MIN(H10,($I10*$P$4))</f>
        <v>17238</v>
      </c>
      <c r="X10" s="159">
        <f t="shared" ref="X10:X25" si="9">$J10</f>
        <v>2</v>
      </c>
      <c r="Y10" s="44">
        <f t="shared" ref="Y10:Y25" si="10">$K$3*W10/(X10*1000)</f>
        <v>84.552390000000003</v>
      </c>
      <c r="Z10" s="162">
        <f>$L10*(($I10*$P$4)/W10)</f>
        <v>45471.244877773075</v>
      </c>
      <c r="AA10" s="111">
        <f t="shared" ref="AA10:AA25" si="11">(Y10/$M$3)^4</f>
        <v>1.2477960439562705</v>
      </c>
      <c r="AB10" s="114">
        <f t="shared" ref="AB10:AB25" si="12">AA10*Z10*X10*$E10</f>
        <v>1606163067.7805119</v>
      </c>
      <c r="AC10" s="320">
        <f>AA10*X10</f>
        <v>2.4955920879125411</v>
      </c>
      <c r="AD10" s="168" t="s">
        <v>173</v>
      </c>
      <c r="AE10" s="140">
        <f t="shared" ref="AE10:AE25" si="13">IF(AD10="FCEV",W10,IF(AD10="BEV",P10,"error"))</f>
        <v>17238</v>
      </c>
      <c r="AF10" s="159">
        <f t="shared" ref="AF10:AF25" si="14">$J10</f>
        <v>2</v>
      </c>
      <c r="AG10" s="44">
        <f t="shared" ref="AG10:AG25" si="15">$K$3*AE10/(AF10*1000)</f>
        <v>84.552390000000003</v>
      </c>
      <c r="AH10" s="122">
        <f>L10</f>
        <v>45471.244877773075</v>
      </c>
      <c r="AI10" s="111">
        <f t="shared" ref="AI10:AI25" si="16">(AG10/$M$3)^4</f>
        <v>1.2477960439562705</v>
      </c>
      <c r="AJ10" s="114">
        <f t="shared" ref="AJ10:AJ25" si="17">AI10*AH10*AF10*$E10</f>
        <v>1606163067.7805119</v>
      </c>
      <c r="AK10" s="320">
        <f>AI10*AF10</f>
        <v>2.4955920879125411</v>
      </c>
    </row>
    <row r="11" spans="1:37" ht="15.75" x14ac:dyDescent="0.25">
      <c r="B11" s="126" t="s">
        <v>2</v>
      </c>
      <c r="C11" s="312" t="s">
        <v>2</v>
      </c>
      <c r="D11" s="144" t="s">
        <v>135</v>
      </c>
      <c r="E11" s="127">
        <v>1544505.3520000002</v>
      </c>
      <c r="F11" s="145"/>
      <c r="G11" s="127">
        <v>1000</v>
      </c>
      <c r="H11" s="128">
        <v>2600</v>
      </c>
      <c r="I11" s="124">
        <f>AVERAGE(G11:H11)</f>
        <v>1800</v>
      </c>
      <c r="J11" s="159">
        <v>2</v>
      </c>
      <c r="K11" s="44">
        <f t="shared" si="0"/>
        <v>8.8290000000000006</v>
      </c>
      <c r="L11" s="122">
        <v>14570.798265265224</v>
      </c>
      <c r="M11" s="111">
        <f t="shared" si="1"/>
        <v>1.483495110703145E-4</v>
      </c>
      <c r="N11" s="114">
        <f t="shared" si="2"/>
        <v>6677115.3341941852</v>
      </c>
      <c r="O11" s="314">
        <f t="shared" si="3"/>
        <v>2.96699022140629E-4</v>
      </c>
      <c r="P11" s="140">
        <f t="shared" ref="P11:P12" si="18">$P$2*$I11+$P$3</f>
        <v>2364.09</v>
      </c>
      <c r="Q11" s="159">
        <f t="shared" si="5"/>
        <v>2</v>
      </c>
      <c r="R11" s="44">
        <f t="shared" si="6"/>
        <v>11.595861450000003</v>
      </c>
      <c r="S11" s="162">
        <f t="shared" ref="S11:S25" si="19">$L11*(($P$2*$I11+$P$3)/P11)</f>
        <v>14570.798265265224</v>
      </c>
      <c r="T11" s="111">
        <f t="shared" si="7"/>
        <v>4.4142011817099869E-4</v>
      </c>
      <c r="U11" s="114">
        <f t="shared" si="8"/>
        <v>19868033.393547043</v>
      </c>
      <c r="V11" s="314">
        <f t="shared" ref="V11:V25" si="20">T11*Q11</f>
        <v>8.8284023634199738E-4</v>
      </c>
      <c r="W11" s="259">
        <f t="shared" ref="W11:W13" si="21">$I11*$P$4</f>
        <v>1825.2</v>
      </c>
      <c r="X11" s="159">
        <f t="shared" si="9"/>
        <v>2</v>
      </c>
      <c r="Y11" s="44">
        <f t="shared" si="10"/>
        <v>8.9526059999999994</v>
      </c>
      <c r="Z11" s="162">
        <f t="shared" ref="Z11:Z25" si="22">$L11*(($I11*$P$4)/W11)</f>
        <v>14570.798265265224</v>
      </c>
      <c r="AA11" s="111">
        <f t="shared" si="11"/>
        <v>1.5683317669849909E-4</v>
      </c>
      <c r="AB11" s="114">
        <f t="shared" si="12"/>
        <v>7058959.6250680415</v>
      </c>
      <c r="AC11" s="314">
        <f t="shared" ref="AC11:AC25" si="23">AA11*X11</f>
        <v>3.1366635339699818E-4</v>
      </c>
      <c r="AD11" s="168" t="s">
        <v>172</v>
      </c>
      <c r="AE11" s="140">
        <f t="shared" si="13"/>
        <v>2364.09</v>
      </c>
      <c r="AF11" s="159">
        <f t="shared" si="14"/>
        <v>2</v>
      </c>
      <c r="AG11" s="44">
        <f t="shared" si="15"/>
        <v>11.595861450000003</v>
      </c>
      <c r="AH11" s="122">
        <f t="shared" ref="AH11:AH25" si="24">L11</f>
        <v>14570.798265265224</v>
      </c>
      <c r="AI11" s="111">
        <f t="shared" si="16"/>
        <v>4.4142011817099869E-4</v>
      </c>
      <c r="AJ11" s="114">
        <f t="shared" si="17"/>
        <v>19868033.393547043</v>
      </c>
      <c r="AK11" s="314">
        <f t="shared" ref="AK11:AK25" si="25">AI11*AF11</f>
        <v>8.8284023634199738E-4</v>
      </c>
    </row>
    <row r="12" spans="1:37" x14ac:dyDescent="0.25">
      <c r="B12" s="126" t="s">
        <v>2</v>
      </c>
      <c r="C12" s="24" t="s">
        <v>2</v>
      </c>
      <c r="D12" s="57" t="s">
        <v>134</v>
      </c>
      <c r="E12" s="127">
        <v>973215.32</v>
      </c>
      <c r="F12" s="145"/>
      <c r="G12" s="127">
        <v>1000</v>
      </c>
      <c r="H12" s="128">
        <v>2600</v>
      </c>
      <c r="I12" s="124">
        <f>AVERAGE(G12:H12)</f>
        <v>1800</v>
      </c>
      <c r="J12" s="159">
        <v>2</v>
      </c>
      <c r="K12" s="44">
        <f t="shared" si="0"/>
        <v>8.8290000000000006</v>
      </c>
      <c r="L12" s="122">
        <v>14570.798265265224</v>
      </c>
      <c r="M12" s="111">
        <f t="shared" si="1"/>
        <v>1.483495110703145E-4</v>
      </c>
      <c r="N12" s="114">
        <f t="shared" si="2"/>
        <v>4207347.6328392159</v>
      </c>
      <c r="O12" s="314">
        <f t="shared" si="3"/>
        <v>2.96699022140629E-4</v>
      </c>
      <c r="P12" s="140">
        <f t="shared" si="18"/>
        <v>2364.09</v>
      </c>
      <c r="Q12" s="159">
        <f t="shared" si="5"/>
        <v>2</v>
      </c>
      <c r="R12" s="44">
        <f t="shared" si="6"/>
        <v>11.595861450000003</v>
      </c>
      <c r="S12" s="162">
        <f t="shared" si="19"/>
        <v>14570.798265265224</v>
      </c>
      <c r="T12" s="111">
        <f t="shared" si="7"/>
        <v>4.4142011817099869E-4</v>
      </c>
      <c r="U12" s="114">
        <f t="shared" si="8"/>
        <v>12519137.2447064</v>
      </c>
      <c r="V12" s="314">
        <f t="shared" si="20"/>
        <v>8.8284023634199738E-4</v>
      </c>
      <c r="W12" s="259">
        <f t="shared" si="21"/>
        <v>1825.2</v>
      </c>
      <c r="X12" s="159">
        <f t="shared" si="9"/>
        <v>2</v>
      </c>
      <c r="Y12" s="44">
        <f t="shared" si="10"/>
        <v>8.9526059999999994</v>
      </c>
      <c r="Z12" s="162">
        <f t="shared" si="22"/>
        <v>14570.798265265224</v>
      </c>
      <c r="AA12" s="111">
        <f t="shared" si="11"/>
        <v>1.5683317669849909E-4</v>
      </c>
      <c r="AB12" s="114">
        <f t="shared" si="12"/>
        <v>4447953.2825715151</v>
      </c>
      <c r="AC12" s="314">
        <f t="shared" si="23"/>
        <v>3.1366635339699818E-4</v>
      </c>
      <c r="AD12" s="168" t="s">
        <v>173</v>
      </c>
      <c r="AE12" s="140">
        <f t="shared" si="13"/>
        <v>1825.2</v>
      </c>
      <c r="AF12" s="159">
        <f t="shared" si="14"/>
        <v>2</v>
      </c>
      <c r="AG12" s="44">
        <f t="shared" si="15"/>
        <v>8.9526059999999994</v>
      </c>
      <c r="AH12" s="122">
        <f t="shared" si="24"/>
        <v>14570.798265265224</v>
      </c>
      <c r="AI12" s="111">
        <f t="shared" si="16"/>
        <v>1.5683317669849909E-4</v>
      </c>
      <c r="AJ12" s="114">
        <f t="shared" si="17"/>
        <v>4447953.2825715151</v>
      </c>
      <c r="AK12" s="314">
        <f t="shared" si="25"/>
        <v>3.1366635339699818E-4</v>
      </c>
    </row>
    <row r="13" spans="1:37" ht="30" x14ac:dyDescent="0.25">
      <c r="A13" s="126" t="s">
        <v>3</v>
      </c>
      <c r="B13" s="126" t="s">
        <v>3</v>
      </c>
      <c r="C13" s="182" t="s">
        <v>366</v>
      </c>
      <c r="D13" s="57"/>
      <c r="E13" s="127">
        <v>71666</v>
      </c>
      <c r="F13" s="129"/>
      <c r="G13" s="127"/>
      <c r="H13" s="128"/>
      <c r="I13" s="35">
        <v>200</v>
      </c>
      <c r="J13" s="159">
        <v>2</v>
      </c>
      <c r="K13" s="44">
        <f t="shared" si="0"/>
        <v>0.98099999999999998</v>
      </c>
      <c r="L13" s="122">
        <v>4490.274328133286</v>
      </c>
      <c r="M13" s="444">
        <f t="shared" si="1"/>
        <v>2.2610807966821278E-8</v>
      </c>
      <c r="N13" s="114">
        <f t="shared" si="2"/>
        <v>14.552316007446178</v>
      </c>
      <c r="O13" s="318">
        <f t="shared" si="3"/>
        <v>4.5221615933642555E-8</v>
      </c>
      <c r="P13" s="140">
        <f>$P$2*$I13+$P$3</f>
        <v>645.04999999999995</v>
      </c>
      <c r="Q13" s="159">
        <f t="shared" si="5"/>
        <v>2</v>
      </c>
      <c r="R13" s="44">
        <f t="shared" si="6"/>
        <v>3.1639702499999998</v>
      </c>
      <c r="S13" s="162">
        <f t="shared" si="19"/>
        <v>4490.274328133286</v>
      </c>
      <c r="T13" s="333">
        <f t="shared" si="7"/>
        <v>2.4466374392934312E-6</v>
      </c>
      <c r="U13" s="114">
        <f t="shared" si="8"/>
        <v>1574.6558559292528</v>
      </c>
      <c r="V13" s="317">
        <f t="shared" si="20"/>
        <v>4.8932748785868625E-6</v>
      </c>
      <c r="W13" s="259">
        <f t="shared" si="21"/>
        <v>202.8</v>
      </c>
      <c r="X13" s="159">
        <f t="shared" si="9"/>
        <v>2</v>
      </c>
      <c r="Y13" s="44">
        <f t="shared" si="10"/>
        <v>0.99473400000000012</v>
      </c>
      <c r="Z13" s="162">
        <f t="shared" si="22"/>
        <v>4490.274328133286</v>
      </c>
      <c r="AA13" s="333">
        <f t="shared" si="11"/>
        <v>2.390385256797732E-8</v>
      </c>
      <c r="AB13" s="114">
        <f t="shared" si="12"/>
        <v>15.384519512750206</v>
      </c>
      <c r="AC13" s="318">
        <f t="shared" si="23"/>
        <v>4.780770513595464E-8</v>
      </c>
      <c r="AD13" s="168" t="s">
        <v>172</v>
      </c>
      <c r="AE13" s="140">
        <f t="shared" si="13"/>
        <v>645.04999999999995</v>
      </c>
      <c r="AF13" s="159">
        <f t="shared" si="14"/>
        <v>2</v>
      </c>
      <c r="AG13" s="44">
        <f t="shared" si="15"/>
        <v>3.1639702499999998</v>
      </c>
      <c r="AH13" s="122">
        <f t="shared" si="24"/>
        <v>4490.274328133286</v>
      </c>
      <c r="AI13" s="111">
        <f t="shared" si="16"/>
        <v>2.4466374392934312E-6</v>
      </c>
      <c r="AJ13" s="114">
        <f t="shared" si="17"/>
        <v>1574.6558559292528</v>
      </c>
      <c r="AK13" s="317">
        <f t="shared" si="25"/>
        <v>4.8932748785868625E-6</v>
      </c>
    </row>
    <row r="14" spans="1:37" ht="30" x14ac:dyDescent="0.25">
      <c r="B14" s="126" t="s">
        <v>44</v>
      </c>
      <c r="C14" s="182" t="s">
        <v>368</v>
      </c>
      <c r="D14" s="434" t="s">
        <v>446</v>
      </c>
      <c r="E14" s="423">
        <v>7986.2615999999998</v>
      </c>
      <c r="F14" s="436" t="s">
        <v>455</v>
      </c>
      <c r="G14" s="423">
        <v>3500</v>
      </c>
      <c r="H14" s="425">
        <v>7500</v>
      </c>
      <c r="I14" s="426">
        <f t="shared" ref="I14:I23" si="26">AVERAGE(G14:H14)</f>
        <v>5500</v>
      </c>
      <c r="J14" s="418">
        <v>2</v>
      </c>
      <c r="K14" s="427">
        <f t="shared" si="0"/>
        <v>26.977499999999999</v>
      </c>
      <c r="L14" s="423">
        <f>VLOOKUP(D14,'Mileage &amp; vehicle numbers'!$D$10:$V$19,19,0)</f>
        <v>49966.531173195472</v>
      </c>
      <c r="M14" s="428">
        <f t="shared" si="1"/>
        <v>1.2931439040712131E-2</v>
      </c>
      <c r="N14" s="429">
        <f t="shared" si="2"/>
        <v>10320472.594822234</v>
      </c>
      <c r="O14" s="445">
        <f t="shared" si="3"/>
        <v>2.5862878081424262E-2</v>
      </c>
      <c r="P14" s="431">
        <f>MIN(($P$2*$I14+$P$3),H16)</f>
        <v>6339.37</v>
      </c>
      <c r="Q14" s="418">
        <f t="shared" si="5"/>
        <v>2</v>
      </c>
      <c r="R14" s="427">
        <f t="shared" si="6"/>
        <v>31.094609850000001</v>
      </c>
      <c r="S14" s="423">
        <f t="shared" si="19"/>
        <v>49966.531173195472</v>
      </c>
      <c r="T14" s="428">
        <f t="shared" si="7"/>
        <v>2.2823408321735711E-2</v>
      </c>
      <c r="U14" s="429">
        <f t="shared" si="8"/>
        <v>18215169.971673895</v>
      </c>
      <c r="V14" s="445">
        <f t="shared" si="20"/>
        <v>4.5646816643471422E-2</v>
      </c>
      <c r="W14" s="451">
        <f t="shared" ref="W14:W25" si="27">MIN(H14,($I14*$P$4))</f>
        <v>5577</v>
      </c>
      <c r="X14" s="418">
        <f t="shared" si="9"/>
        <v>2</v>
      </c>
      <c r="Y14" s="427">
        <f t="shared" si="10"/>
        <v>27.355185000000002</v>
      </c>
      <c r="Z14" s="423">
        <f t="shared" si="22"/>
        <v>49966.531173195472</v>
      </c>
      <c r="AA14" s="428">
        <f t="shared" si="11"/>
        <v>1.3670949431552965E-2</v>
      </c>
      <c r="AB14" s="429">
        <f t="shared" si="12"/>
        <v>10910669.609882269</v>
      </c>
      <c r="AC14" s="445">
        <f t="shared" si="23"/>
        <v>2.734189886310593E-2</v>
      </c>
      <c r="AD14" s="453" t="s">
        <v>173</v>
      </c>
      <c r="AE14" s="431">
        <f t="shared" si="13"/>
        <v>5577</v>
      </c>
      <c r="AF14" s="418">
        <f t="shared" si="14"/>
        <v>2</v>
      </c>
      <c r="AG14" s="427">
        <f t="shared" si="15"/>
        <v>27.355185000000002</v>
      </c>
      <c r="AH14" s="423">
        <f t="shared" si="24"/>
        <v>49966.531173195472</v>
      </c>
      <c r="AI14" s="428">
        <f t="shared" si="16"/>
        <v>1.3670949431552965E-2</v>
      </c>
      <c r="AJ14" s="429">
        <f t="shared" si="17"/>
        <v>10910669.609882269</v>
      </c>
      <c r="AK14" s="445">
        <f t="shared" si="25"/>
        <v>2.734189886310593E-2</v>
      </c>
    </row>
    <row r="15" spans="1:37" ht="30" x14ac:dyDescent="0.25">
      <c r="B15" s="126" t="s">
        <v>44</v>
      </c>
      <c r="C15" s="182" t="s">
        <v>368</v>
      </c>
      <c r="D15" s="422" t="s">
        <v>447</v>
      </c>
      <c r="E15" s="423">
        <v>1274.5602000000003</v>
      </c>
      <c r="F15" s="436" t="s">
        <v>455</v>
      </c>
      <c r="G15" s="423">
        <f>H14</f>
        <v>7500</v>
      </c>
      <c r="H15" s="425">
        <v>12000</v>
      </c>
      <c r="I15" s="426">
        <f t="shared" si="26"/>
        <v>9750</v>
      </c>
      <c r="J15" s="418">
        <v>2</v>
      </c>
      <c r="K15" s="427">
        <f t="shared" si="0"/>
        <v>47.823749999999997</v>
      </c>
      <c r="L15" s="423">
        <f>VLOOKUP(D15,'Mileage &amp; vehicle numbers'!$D$10:$V$19,19,0)</f>
        <v>49966.531173195472</v>
      </c>
      <c r="M15" s="428">
        <f t="shared" si="1"/>
        <v>0.12770695848039798</v>
      </c>
      <c r="N15" s="429">
        <f t="shared" si="2"/>
        <v>16266125.198513385</v>
      </c>
      <c r="O15" s="446">
        <f t="shared" si="3"/>
        <v>0.25541391696079596</v>
      </c>
      <c r="P15" s="431">
        <f>MIN(($P$2*$I15+$P$3),H16)</f>
        <v>10905.57</v>
      </c>
      <c r="Q15" s="418">
        <f t="shared" si="5"/>
        <v>2</v>
      </c>
      <c r="R15" s="427">
        <f t="shared" si="6"/>
        <v>53.491820850000003</v>
      </c>
      <c r="S15" s="423">
        <f t="shared" si="19"/>
        <v>49966.531173195472</v>
      </c>
      <c r="T15" s="428">
        <f t="shared" si="7"/>
        <v>0.19988931411224337</v>
      </c>
      <c r="U15" s="429">
        <f t="shared" si="8"/>
        <v>25460042.64672694</v>
      </c>
      <c r="V15" s="446">
        <f t="shared" si="20"/>
        <v>0.39977862822448673</v>
      </c>
      <c r="W15" s="451">
        <f t="shared" si="27"/>
        <v>9886.5</v>
      </c>
      <c r="X15" s="418">
        <f t="shared" si="9"/>
        <v>2</v>
      </c>
      <c r="Y15" s="427">
        <f t="shared" si="10"/>
        <v>48.493282499999999</v>
      </c>
      <c r="Z15" s="423">
        <f t="shared" si="22"/>
        <v>49966.531173195472</v>
      </c>
      <c r="AA15" s="428">
        <f t="shared" si="11"/>
        <v>0.13501013815604002</v>
      </c>
      <c r="AB15" s="429">
        <f t="shared" si="12"/>
        <v>17196336.334733229</v>
      </c>
      <c r="AC15" s="446">
        <f t="shared" si="23"/>
        <v>0.27002027631208003</v>
      </c>
      <c r="AD15" s="453" t="s">
        <v>173</v>
      </c>
      <c r="AE15" s="431">
        <f t="shared" si="13"/>
        <v>9886.5</v>
      </c>
      <c r="AF15" s="418">
        <f t="shared" si="14"/>
        <v>2</v>
      </c>
      <c r="AG15" s="427">
        <f t="shared" si="15"/>
        <v>48.493282499999999</v>
      </c>
      <c r="AH15" s="423">
        <f t="shared" si="24"/>
        <v>49966.531173195472</v>
      </c>
      <c r="AI15" s="428">
        <f t="shared" si="16"/>
        <v>0.13501013815604002</v>
      </c>
      <c r="AJ15" s="429">
        <f t="shared" si="17"/>
        <v>17196336.334733229</v>
      </c>
      <c r="AK15" s="446">
        <f t="shared" si="25"/>
        <v>0.27002027631208003</v>
      </c>
    </row>
    <row r="16" spans="1:37" ht="30" x14ac:dyDescent="0.25">
      <c r="B16" s="126" t="s">
        <v>44</v>
      </c>
      <c r="C16" s="182" t="s">
        <v>368</v>
      </c>
      <c r="D16" s="422" t="s">
        <v>448</v>
      </c>
      <c r="E16" s="423">
        <v>1237.7231999999999</v>
      </c>
      <c r="F16" s="436" t="s">
        <v>455</v>
      </c>
      <c r="G16" s="423">
        <f t="shared" ref="G16:G21" si="28">H15</f>
        <v>12000</v>
      </c>
      <c r="H16" s="425">
        <v>16000</v>
      </c>
      <c r="I16" s="426">
        <f t="shared" si="26"/>
        <v>14000</v>
      </c>
      <c r="J16" s="418">
        <v>2</v>
      </c>
      <c r="K16" s="427">
        <f t="shared" si="0"/>
        <v>68.67</v>
      </c>
      <c r="L16" s="423">
        <f>VLOOKUP(D16,'Mileage &amp; vehicle numbers'!$D$10:$V$19,19,0)</f>
        <v>49966.531173195472</v>
      </c>
      <c r="M16" s="428">
        <f t="shared" si="1"/>
        <v>0.54288549928337926</v>
      </c>
      <c r="N16" s="429">
        <f t="shared" si="2"/>
        <v>67149219.521333158</v>
      </c>
      <c r="O16" s="430">
        <f t="shared" si="3"/>
        <v>1.0857709985667585</v>
      </c>
      <c r="P16" s="431">
        <f t="shared" si="4"/>
        <v>15471.77</v>
      </c>
      <c r="Q16" s="418">
        <f t="shared" si="5"/>
        <v>2</v>
      </c>
      <c r="R16" s="427">
        <f t="shared" si="6"/>
        <v>75.889031849999995</v>
      </c>
      <c r="S16" s="423">
        <f t="shared" si="19"/>
        <v>49966.531173195472</v>
      </c>
      <c r="T16" s="428">
        <f t="shared" si="7"/>
        <v>0.809759592721215</v>
      </c>
      <c r="U16" s="429">
        <f t="shared" si="8"/>
        <v>100158734.61884324</v>
      </c>
      <c r="V16" s="430">
        <f t="shared" si="20"/>
        <v>1.61951918544243</v>
      </c>
      <c r="W16" s="451">
        <f t="shared" si="27"/>
        <v>14196</v>
      </c>
      <c r="X16" s="418">
        <f t="shared" si="9"/>
        <v>2</v>
      </c>
      <c r="Y16" s="427">
        <f t="shared" si="10"/>
        <v>69.631380000000007</v>
      </c>
      <c r="Z16" s="423">
        <f t="shared" si="22"/>
        <v>49966.531173195472</v>
      </c>
      <c r="AA16" s="428">
        <f t="shared" si="11"/>
        <v>0.57393150015713534</v>
      </c>
      <c r="AB16" s="429">
        <f t="shared" si="12"/>
        <v>70989282.906122804</v>
      </c>
      <c r="AC16" s="430">
        <f t="shared" si="23"/>
        <v>1.1478630003142707</v>
      </c>
      <c r="AD16" s="453" t="s">
        <v>173</v>
      </c>
      <c r="AE16" s="431">
        <f t="shared" si="13"/>
        <v>14196</v>
      </c>
      <c r="AF16" s="418">
        <f t="shared" si="14"/>
        <v>2</v>
      </c>
      <c r="AG16" s="427">
        <f t="shared" si="15"/>
        <v>69.631380000000007</v>
      </c>
      <c r="AH16" s="423">
        <f t="shared" si="24"/>
        <v>49966.531173195472</v>
      </c>
      <c r="AI16" s="428">
        <f t="shared" si="16"/>
        <v>0.57393150015713534</v>
      </c>
      <c r="AJ16" s="429">
        <f t="shared" si="17"/>
        <v>70989282.906122804</v>
      </c>
      <c r="AK16" s="430">
        <f t="shared" si="25"/>
        <v>1.1478630003142707</v>
      </c>
    </row>
    <row r="17" spans="1:37" ht="30" x14ac:dyDescent="0.25">
      <c r="B17" s="126" t="s">
        <v>461</v>
      </c>
      <c r="C17" s="182" t="s">
        <v>368</v>
      </c>
      <c r="D17" s="422" t="s">
        <v>449</v>
      </c>
      <c r="E17" s="423">
        <v>4656.1968000000006</v>
      </c>
      <c r="F17" s="436" t="s">
        <v>455</v>
      </c>
      <c r="G17" s="423">
        <f t="shared" si="28"/>
        <v>16000</v>
      </c>
      <c r="H17" s="528">
        <v>19000</v>
      </c>
      <c r="I17" s="426">
        <f t="shared" si="26"/>
        <v>17500</v>
      </c>
      <c r="J17" s="418">
        <v>2</v>
      </c>
      <c r="K17" s="427">
        <f t="shared" si="0"/>
        <v>85.837500000000006</v>
      </c>
      <c r="L17" s="423">
        <f>VLOOKUP(D17,'Mileage &amp; vehicle numbers'!$D$10:$V$19,19,0)</f>
        <v>49966.531173195472</v>
      </c>
      <c r="M17" s="428">
        <f t="shared" si="1"/>
        <v>1.3254040509848124</v>
      </c>
      <c r="N17" s="429">
        <f t="shared" si="2"/>
        <v>616721114.93039894</v>
      </c>
      <c r="O17" s="446">
        <f t="shared" si="3"/>
        <v>2.6508081019696248</v>
      </c>
      <c r="P17" s="431">
        <f>MIN(($P$2*$I17+$P$3),H19)</f>
        <v>19232.169999999998</v>
      </c>
      <c r="Q17" s="418">
        <f t="shared" si="5"/>
        <v>2</v>
      </c>
      <c r="R17" s="427">
        <f t="shared" si="6"/>
        <v>94.333793850000006</v>
      </c>
      <c r="S17" s="423">
        <f t="shared" si="19"/>
        <v>49966.531173195472</v>
      </c>
      <c r="T17" s="428">
        <f t="shared" si="7"/>
        <v>1.9333445379634417</v>
      </c>
      <c r="U17" s="429">
        <f t="shared" si="8"/>
        <v>899600690.15291822</v>
      </c>
      <c r="V17" s="446">
        <f t="shared" si="20"/>
        <v>3.8666890759268835</v>
      </c>
      <c r="W17" s="451">
        <f t="shared" si="27"/>
        <v>17745</v>
      </c>
      <c r="X17" s="418">
        <f t="shared" si="9"/>
        <v>2</v>
      </c>
      <c r="Y17" s="427">
        <f t="shared" si="10"/>
        <v>87.039225000000002</v>
      </c>
      <c r="Z17" s="423">
        <f t="shared" si="22"/>
        <v>49966.531173195472</v>
      </c>
      <c r="AA17" s="428">
        <f t="shared" si="11"/>
        <v>1.4011999515555063</v>
      </c>
      <c r="AB17" s="429">
        <f t="shared" si="12"/>
        <v>651989554.22057545</v>
      </c>
      <c r="AC17" s="446">
        <f t="shared" si="23"/>
        <v>2.8023999031110125</v>
      </c>
      <c r="AD17" s="453" t="s">
        <v>173</v>
      </c>
      <c r="AE17" s="431">
        <f t="shared" si="13"/>
        <v>17745</v>
      </c>
      <c r="AF17" s="418">
        <f t="shared" si="14"/>
        <v>2</v>
      </c>
      <c r="AG17" s="427">
        <f t="shared" si="15"/>
        <v>87.039225000000002</v>
      </c>
      <c r="AH17" s="423">
        <f t="shared" si="24"/>
        <v>49966.531173195472</v>
      </c>
      <c r="AI17" s="428">
        <f t="shared" si="16"/>
        <v>1.4011999515555063</v>
      </c>
      <c r="AJ17" s="429">
        <f t="shared" si="17"/>
        <v>651989554.22057545</v>
      </c>
      <c r="AK17" s="446">
        <f t="shared" si="25"/>
        <v>2.8023999031110125</v>
      </c>
    </row>
    <row r="18" spans="1:37" ht="30" x14ac:dyDescent="0.25">
      <c r="B18" s="126" t="s">
        <v>44</v>
      </c>
      <c r="C18" s="182" t="s">
        <v>368</v>
      </c>
      <c r="D18" s="435" t="s">
        <v>450</v>
      </c>
      <c r="E18" s="437">
        <v>677.80079999999998</v>
      </c>
      <c r="F18" s="438" t="s">
        <v>456</v>
      </c>
      <c r="G18" s="437">
        <f t="shared" si="28"/>
        <v>19000</v>
      </c>
      <c r="H18" s="439">
        <v>24000</v>
      </c>
      <c r="I18" s="441">
        <f t="shared" si="26"/>
        <v>21500</v>
      </c>
      <c r="J18" s="442">
        <v>3</v>
      </c>
      <c r="K18" s="443">
        <f t="shared" si="0"/>
        <v>70.305000000000007</v>
      </c>
      <c r="L18" s="437">
        <f>VLOOKUP(D18,'Mileage &amp; vehicle numbers'!$D$10:$V$19,19,0)</f>
        <v>30419.716055913941</v>
      </c>
      <c r="M18" s="447">
        <f t="shared" si="1"/>
        <v>0.59646491425753567</v>
      </c>
      <c r="N18" s="448">
        <f t="shared" si="2"/>
        <v>36894649.601552151</v>
      </c>
      <c r="O18" s="449">
        <f t="shared" si="3"/>
        <v>1.7893947427726071</v>
      </c>
      <c r="P18" s="450">
        <f>MIN(($P$2*$I18+$P$3),H19)</f>
        <v>23529.77</v>
      </c>
      <c r="Q18" s="442">
        <f t="shared" si="5"/>
        <v>3</v>
      </c>
      <c r="R18" s="443">
        <f t="shared" si="6"/>
        <v>76.942347900000001</v>
      </c>
      <c r="S18" s="437">
        <f t="shared" si="19"/>
        <v>30419.716055913941</v>
      </c>
      <c r="T18" s="447">
        <f t="shared" si="7"/>
        <v>0.85566110439251408</v>
      </c>
      <c r="U18" s="448">
        <f t="shared" si="8"/>
        <v>52927365.666655548</v>
      </c>
      <c r="V18" s="449">
        <f t="shared" si="20"/>
        <v>2.5669833131775421</v>
      </c>
      <c r="W18" s="452">
        <f t="shared" si="27"/>
        <v>21801</v>
      </c>
      <c r="X18" s="442">
        <f t="shared" si="9"/>
        <v>3</v>
      </c>
      <c r="Y18" s="443">
        <f t="shared" si="10"/>
        <v>71.289270000000002</v>
      </c>
      <c r="Z18" s="437">
        <f t="shared" si="22"/>
        <v>30419.716055913941</v>
      </c>
      <c r="AA18" s="447">
        <f t="shared" si="11"/>
        <v>0.63057496190781936</v>
      </c>
      <c r="AB18" s="448">
        <f t="shared" si="12"/>
        <v>39004544.460189372</v>
      </c>
      <c r="AC18" s="449">
        <f t="shared" si="23"/>
        <v>1.8917248857234581</v>
      </c>
      <c r="AD18" s="454" t="s">
        <v>173</v>
      </c>
      <c r="AE18" s="450">
        <f t="shared" si="13"/>
        <v>21801</v>
      </c>
      <c r="AF18" s="442">
        <f t="shared" si="14"/>
        <v>3</v>
      </c>
      <c r="AG18" s="443">
        <f t="shared" si="15"/>
        <v>71.289270000000002</v>
      </c>
      <c r="AH18" s="437">
        <f t="shared" si="24"/>
        <v>30419.716055913941</v>
      </c>
      <c r="AI18" s="447">
        <f t="shared" si="16"/>
        <v>0.63057496190781936</v>
      </c>
      <c r="AJ18" s="448">
        <f t="shared" si="17"/>
        <v>39004544.460189372</v>
      </c>
      <c r="AK18" s="449">
        <f t="shared" si="25"/>
        <v>1.8917248857234581</v>
      </c>
    </row>
    <row r="19" spans="1:37" ht="30" x14ac:dyDescent="0.25">
      <c r="B19" s="126" t="s">
        <v>461</v>
      </c>
      <c r="C19" s="182" t="s">
        <v>368</v>
      </c>
      <c r="D19" s="435" t="s">
        <v>451</v>
      </c>
      <c r="E19" s="437">
        <v>5367.1509000000005</v>
      </c>
      <c r="F19" s="438" t="s">
        <v>456</v>
      </c>
      <c r="G19" s="437">
        <f t="shared" si="28"/>
        <v>24000</v>
      </c>
      <c r="H19" s="529">
        <v>27000</v>
      </c>
      <c r="I19" s="441">
        <f t="shared" si="26"/>
        <v>25500</v>
      </c>
      <c r="J19" s="442">
        <v>3</v>
      </c>
      <c r="K19" s="443">
        <f t="shared" si="0"/>
        <v>83.385000000000005</v>
      </c>
      <c r="L19" s="437">
        <f>VLOOKUP(D19,'Mileage &amp; vehicle numbers'!$D$10:$V$19,19,0)</f>
        <v>30419.716055913941</v>
      </c>
      <c r="M19" s="447">
        <f t="shared" si="1"/>
        <v>1.1802983076230504</v>
      </c>
      <c r="N19" s="448">
        <f t="shared" si="2"/>
        <v>578112022.23843646</v>
      </c>
      <c r="O19" s="449">
        <f t="shared" si="3"/>
        <v>3.5408949228691515</v>
      </c>
      <c r="P19" s="450">
        <f t="shared" si="4"/>
        <v>27000</v>
      </c>
      <c r="Q19" s="442">
        <f t="shared" si="5"/>
        <v>3</v>
      </c>
      <c r="R19" s="443">
        <f t="shared" si="6"/>
        <v>88.29</v>
      </c>
      <c r="S19" s="437">
        <f t="shared" si="19"/>
        <v>31351.877554920666</v>
      </c>
      <c r="T19" s="447">
        <f t="shared" si="7"/>
        <v>1.4834951107031451</v>
      </c>
      <c r="U19" s="448">
        <f t="shared" si="8"/>
        <v>748884314.3275317</v>
      </c>
      <c r="V19" s="449">
        <f t="shared" si="20"/>
        <v>4.4504853321094355</v>
      </c>
      <c r="W19" s="452">
        <f t="shared" si="27"/>
        <v>25857</v>
      </c>
      <c r="X19" s="442">
        <f t="shared" si="9"/>
        <v>3</v>
      </c>
      <c r="Y19" s="443">
        <f t="shared" si="10"/>
        <v>84.552390000000003</v>
      </c>
      <c r="Z19" s="437">
        <f t="shared" si="22"/>
        <v>30419.716055913941</v>
      </c>
      <c r="AA19" s="447">
        <f t="shared" si="11"/>
        <v>1.2477960439562705</v>
      </c>
      <c r="AB19" s="448">
        <f t="shared" si="12"/>
        <v>611172522.7882489</v>
      </c>
      <c r="AC19" s="449">
        <f t="shared" si="23"/>
        <v>3.7433881318688114</v>
      </c>
      <c r="AD19" s="454" t="s">
        <v>173</v>
      </c>
      <c r="AE19" s="450">
        <f t="shared" si="13"/>
        <v>25857</v>
      </c>
      <c r="AF19" s="442">
        <f t="shared" si="14"/>
        <v>3</v>
      </c>
      <c r="AG19" s="443">
        <f t="shared" si="15"/>
        <v>84.552390000000003</v>
      </c>
      <c r="AH19" s="437">
        <f t="shared" si="24"/>
        <v>30419.716055913941</v>
      </c>
      <c r="AI19" s="447">
        <f t="shared" si="16"/>
        <v>1.2477960439562705</v>
      </c>
      <c r="AJ19" s="448">
        <f t="shared" si="17"/>
        <v>611172522.7882489</v>
      </c>
      <c r="AK19" s="449">
        <f t="shared" si="25"/>
        <v>3.7433881318688114</v>
      </c>
    </row>
    <row r="20" spans="1:37" ht="30" x14ac:dyDescent="0.25">
      <c r="B20" s="126" t="s">
        <v>461</v>
      </c>
      <c r="C20" s="182" t="s">
        <v>368</v>
      </c>
      <c r="D20" s="5" t="s">
        <v>452</v>
      </c>
      <c r="E20" s="122">
        <v>4446.2259000000004</v>
      </c>
      <c r="F20" s="440" t="s">
        <v>457</v>
      </c>
      <c r="G20" s="122">
        <f>H19</f>
        <v>27000</v>
      </c>
      <c r="H20" s="130">
        <v>32000</v>
      </c>
      <c r="I20" s="124">
        <f t="shared" si="26"/>
        <v>29500</v>
      </c>
      <c r="J20" s="159">
        <v>4</v>
      </c>
      <c r="K20" s="44">
        <f t="shared" si="0"/>
        <v>72.348749999999995</v>
      </c>
      <c r="L20" s="122">
        <f>VLOOKUP(D20,'Mileage &amp; vehicle numbers'!$D$10:$V$19,19,0)</f>
        <v>45692.513219871638</v>
      </c>
      <c r="M20" s="111">
        <f t="shared" si="1"/>
        <v>0.66890459627844123</v>
      </c>
      <c r="N20" s="114">
        <f t="shared" si="2"/>
        <v>543576586.18280387</v>
      </c>
      <c r="O20" s="320">
        <f t="shared" si="3"/>
        <v>2.6756183851137649</v>
      </c>
      <c r="P20" s="140">
        <f t="shared" si="4"/>
        <v>32000</v>
      </c>
      <c r="Q20" s="159">
        <f t="shared" si="5"/>
        <v>4</v>
      </c>
      <c r="R20" s="44">
        <f t="shared" si="6"/>
        <v>78.48</v>
      </c>
      <c r="S20" s="162">
        <f t="shared" si="19"/>
        <v>45870.956762905618</v>
      </c>
      <c r="T20" s="111">
        <f t="shared" si="7"/>
        <v>0.92613869432100027</v>
      </c>
      <c r="U20" s="114">
        <f t="shared" si="8"/>
        <v>755553712.09648359</v>
      </c>
      <c r="V20" s="320">
        <f t="shared" si="20"/>
        <v>3.7045547772840011</v>
      </c>
      <c r="W20" s="259">
        <f t="shared" si="27"/>
        <v>29913</v>
      </c>
      <c r="X20" s="160">
        <f t="shared" si="9"/>
        <v>4</v>
      </c>
      <c r="Y20" s="161">
        <f t="shared" si="10"/>
        <v>73.361632500000013</v>
      </c>
      <c r="Z20" s="162">
        <f t="shared" si="22"/>
        <v>45692.513219871638</v>
      </c>
      <c r="AA20" s="111">
        <f t="shared" si="11"/>
        <v>0.70715725306874566</v>
      </c>
      <c r="AB20" s="114">
        <f t="shared" si="12"/>
        <v>574662108.25304031</v>
      </c>
      <c r="AC20" s="320">
        <f t="shared" si="23"/>
        <v>2.8286290122749826</v>
      </c>
      <c r="AD20" s="168" t="s">
        <v>173</v>
      </c>
      <c r="AE20" s="140">
        <f t="shared" si="13"/>
        <v>29913</v>
      </c>
      <c r="AF20" s="159">
        <f t="shared" si="14"/>
        <v>4</v>
      </c>
      <c r="AG20" s="44">
        <f t="shared" si="15"/>
        <v>73.361632500000013</v>
      </c>
      <c r="AH20" s="122">
        <f t="shared" si="24"/>
        <v>45692.513219871638</v>
      </c>
      <c r="AI20" s="111">
        <f t="shared" si="16"/>
        <v>0.70715725306874566</v>
      </c>
      <c r="AJ20" s="114">
        <f t="shared" si="17"/>
        <v>574662108.25304031</v>
      </c>
      <c r="AK20" s="320">
        <f t="shared" si="25"/>
        <v>2.8286290122749826</v>
      </c>
    </row>
    <row r="21" spans="1:37" ht="30" x14ac:dyDescent="0.25">
      <c r="B21" s="126" t="s">
        <v>461</v>
      </c>
      <c r="C21" s="182" t="s">
        <v>368</v>
      </c>
      <c r="D21" s="5" t="s">
        <v>453</v>
      </c>
      <c r="E21" s="122">
        <v>637.28010000000017</v>
      </c>
      <c r="F21" s="440" t="s">
        <v>458</v>
      </c>
      <c r="G21" s="122">
        <f t="shared" si="28"/>
        <v>32000</v>
      </c>
      <c r="H21" s="130">
        <v>38000</v>
      </c>
      <c r="I21" s="124">
        <f t="shared" si="26"/>
        <v>35000</v>
      </c>
      <c r="J21" s="159">
        <v>4</v>
      </c>
      <c r="K21" s="44">
        <f t="shared" si="0"/>
        <v>85.837500000000006</v>
      </c>
      <c r="L21" s="122">
        <f>VLOOKUP(D21,'Mileage &amp; vehicle numbers'!$D$10:$V$19,19,0)</f>
        <v>173886.06449727292</v>
      </c>
      <c r="M21" s="111">
        <f t="shared" si="1"/>
        <v>1.3254040509848124</v>
      </c>
      <c r="N21" s="114">
        <f t="shared" si="2"/>
        <v>587493979.65969312</v>
      </c>
      <c r="O21" s="320">
        <f t="shared" si="3"/>
        <v>5.3016162039392496</v>
      </c>
      <c r="P21" s="140">
        <f>MIN(($P$2*$I21+$P$3),H21)</f>
        <v>38000</v>
      </c>
      <c r="Q21" s="159">
        <f t="shared" si="5"/>
        <v>4</v>
      </c>
      <c r="R21" s="44">
        <f t="shared" si="6"/>
        <v>93.194999999999993</v>
      </c>
      <c r="S21" s="162">
        <f t="shared" si="19"/>
        <v>174042.42467684849</v>
      </c>
      <c r="T21" s="111">
        <f t="shared" si="7"/>
        <v>1.8416644406525728</v>
      </c>
      <c r="U21" s="114">
        <f t="shared" si="8"/>
        <v>817063812.76114833</v>
      </c>
      <c r="V21" s="320">
        <f t="shared" si="20"/>
        <v>7.3666577626102914</v>
      </c>
      <c r="W21" s="259">
        <f t="shared" si="27"/>
        <v>35490</v>
      </c>
      <c r="X21" s="160">
        <f t="shared" si="9"/>
        <v>4</v>
      </c>
      <c r="Y21" s="161">
        <f t="shared" si="10"/>
        <v>87.039225000000002</v>
      </c>
      <c r="Z21" s="162">
        <f t="shared" si="22"/>
        <v>173886.06449727292</v>
      </c>
      <c r="AA21" s="111">
        <f t="shared" si="11"/>
        <v>1.4011999515555063</v>
      </c>
      <c r="AB21" s="114">
        <f t="shared" si="12"/>
        <v>621091006.34380543</v>
      </c>
      <c r="AC21" s="320">
        <f t="shared" si="23"/>
        <v>5.604799806222025</v>
      </c>
      <c r="AD21" s="168" t="s">
        <v>173</v>
      </c>
      <c r="AE21" s="140">
        <f t="shared" si="13"/>
        <v>35490</v>
      </c>
      <c r="AF21" s="159">
        <f t="shared" si="14"/>
        <v>4</v>
      </c>
      <c r="AG21" s="44">
        <f t="shared" si="15"/>
        <v>87.039225000000002</v>
      </c>
      <c r="AH21" s="122">
        <f t="shared" si="24"/>
        <v>173886.06449727292</v>
      </c>
      <c r="AI21" s="111">
        <f t="shared" si="16"/>
        <v>1.4011999515555063</v>
      </c>
      <c r="AJ21" s="114">
        <f t="shared" si="17"/>
        <v>621091006.34380543</v>
      </c>
      <c r="AK21" s="320">
        <f t="shared" si="25"/>
        <v>5.604799806222025</v>
      </c>
    </row>
    <row r="22" spans="1:37" ht="30" x14ac:dyDescent="0.25">
      <c r="B22" s="126" t="s">
        <v>461</v>
      </c>
      <c r="C22" s="182" t="s">
        <v>368</v>
      </c>
      <c r="D22" s="5" t="s">
        <v>454</v>
      </c>
      <c r="E22" s="122">
        <v>3957.6751875000004</v>
      </c>
      <c r="F22" s="440" t="s">
        <v>459</v>
      </c>
      <c r="G22" s="122">
        <f>H21</f>
        <v>38000</v>
      </c>
      <c r="H22" s="130">
        <v>40000</v>
      </c>
      <c r="I22" s="124">
        <f t="shared" si="26"/>
        <v>39000</v>
      </c>
      <c r="J22" s="159">
        <v>5</v>
      </c>
      <c r="K22" s="44">
        <f t="shared" si="0"/>
        <v>76.518000000000001</v>
      </c>
      <c r="L22" s="122">
        <f>VLOOKUP(D22,'Mileage &amp; vehicle numbers'!$D$10:$V$19,19,0)</f>
        <v>125999.11689226481</v>
      </c>
      <c r="M22" s="111">
        <f t="shared" si="1"/>
        <v>0.83694032309713595</v>
      </c>
      <c r="N22" s="114">
        <f t="shared" si="2"/>
        <v>2086758282.8317273</v>
      </c>
      <c r="O22" s="320">
        <f t="shared" si="3"/>
        <v>4.1847016154856798</v>
      </c>
      <c r="P22" s="140">
        <f t="shared" ref="P22:P25" si="29">MIN(($P$2*$I22+$P$3),H22)</f>
        <v>40000</v>
      </c>
      <c r="Q22" s="159">
        <f t="shared" si="5"/>
        <v>5</v>
      </c>
      <c r="R22" s="44">
        <f t="shared" si="6"/>
        <v>78.48</v>
      </c>
      <c r="S22" s="162">
        <f t="shared" si="19"/>
        <v>133344.1409121617</v>
      </c>
      <c r="T22" s="111">
        <f t="shared" si="7"/>
        <v>0.92613869432100027</v>
      </c>
      <c r="U22" s="114">
        <f t="shared" si="8"/>
        <v>2443768821.9251628</v>
      </c>
      <c r="V22" s="320">
        <f t="shared" si="20"/>
        <v>4.6306934716050012</v>
      </c>
      <c r="W22" s="259">
        <f t="shared" si="27"/>
        <v>39546</v>
      </c>
      <c r="X22" s="159">
        <f t="shared" si="9"/>
        <v>5</v>
      </c>
      <c r="Y22" s="44">
        <f t="shared" si="10"/>
        <v>77.589252000000002</v>
      </c>
      <c r="Z22" s="162">
        <f t="shared" si="22"/>
        <v>125999.11689226481</v>
      </c>
      <c r="AA22" s="111">
        <f t="shared" si="11"/>
        <v>0.88480244141942388</v>
      </c>
      <c r="AB22" s="114">
        <f t="shared" si="12"/>
        <v>2206093758.8347335</v>
      </c>
      <c r="AC22" s="320">
        <f t="shared" si="23"/>
        <v>4.4240122070971193</v>
      </c>
      <c r="AD22" s="168" t="s">
        <v>173</v>
      </c>
      <c r="AE22" s="140">
        <f t="shared" si="13"/>
        <v>39546</v>
      </c>
      <c r="AF22" s="159">
        <f t="shared" si="14"/>
        <v>5</v>
      </c>
      <c r="AG22" s="44">
        <f t="shared" si="15"/>
        <v>77.589252000000002</v>
      </c>
      <c r="AH22" s="122">
        <f t="shared" si="24"/>
        <v>125999.11689226481</v>
      </c>
      <c r="AI22" s="111">
        <f t="shared" si="16"/>
        <v>0.88480244141942388</v>
      </c>
      <c r="AJ22" s="114">
        <f t="shared" si="17"/>
        <v>2206093758.8347335</v>
      </c>
      <c r="AK22" s="320">
        <f t="shared" si="25"/>
        <v>4.4240122070971193</v>
      </c>
    </row>
    <row r="23" spans="1:37" ht="30" x14ac:dyDescent="0.25">
      <c r="B23" s="126" t="s">
        <v>461</v>
      </c>
      <c r="C23" s="182" t="s">
        <v>368</v>
      </c>
      <c r="D23" s="5" t="s">
        <v>445</v>
      </c>
      <c r="E23" s="122">
        <v>6596.1253124999994</v>
      </c>
      <c r="F23" s="440" t="s">
        <v>460</v>
      </c>
      <c r="G23" s="122">
        <f>H22</f>
        <v>40000</v>
      </c>
      <c r="H23" s="130">
        <v>44000</v>
      </c>
      <c r="I23" s="124">
        <f t="shared" si="26"/>
        <v>42000</v>
      </c>
      <c r="J23" s="159">
        <v>6</v>
      </c>
      <c r="K23" s="44">
        <f t="shared" si="0"/>
        <v>68.67</v>
      </c>
      <c r="L23" s="122">
        <f>VLOOKUP(D23,'Mileage &amp; vehicle numbers'!$D$10:$V$19,19,0)</f>
        <v>125999.11689226482</v>
      </c>
      <c r="M23" s="111">
        <f t="shared" si="1"/>
        <v>0.54288549928337926</v>
      </c>
      <c r="N23" s="114">
        <f t="shared" si="2"/>
        <v>2707172258.2718658</v>
      </c>
      <c r="O23" s="320">
        <f t="shared" si="3"/>
        <v>3.2573129957002758</v>
      </c>
      <c r="P23" s="140">
        <f t="shared" si="29"/>
        <v>44000</v>
      </c>
      <c r="Q23" s="159">
        <f t="shared" si="5"/>
        <v>6</v>
      </c>
      <c r="R23" s="44">
        <f t="shared" si="6"/>
        <v>71.94</v>
      </c>
      <c r="S23" s="162">
        <f t="shared" si="19"/>
        <v>130451.95431940038</v>
      </c>
      <c r="T23" s="111">
        <f t="shared" si="7"/>
        <v>0.6539157322315664</v>
      </c>
      <c r="U23" s="114">
        <f t="shared" si="8"/>
        <v>3376078403.4399619</v>
      </c>
      <c r="V23" s="320">
        <f t="shared" si="20"/>
        <v>3.9234943933893982</v>
      </c>
      <c r="W23" s="259">
        <f t="shared" si="27"/>
        <v>42588</v>
      </c>
      <c r="X23" s="159">
        <f t="shared" si="9"/>
        <v>6</v>
      </c>
      <c r="Y23" s="44">
        <f t="shared" si="10"/>
        <v>69.631380000000007</v>
      </c>
      <c r="Z23" s="162">
        <f t="shared" si="22"/>
        <v>125999.11689226482</v>
      </c>
      <c r="AA23" s="111">
        <f t="shared" si="11"/>
        <v>0.57393150015713534</v>
      </c>
      <c r="AB23" s="114">
        <f t="shared" si="12"/>
        <v>2861987357.232255</v>
      </c>
      <c r="AC23" s="320">
        <f t="shared" si="23"/>
        <v>3.4435890009428123</v>
      </c>
      <c r="AD23" s="168" t="s">
        <v>173</v>
      </c>
      <c r="AE23" s="140">
        <f t="shared" si="13"/>
        <v>42588</v>
      </c>
      <c r="AF23" s="159">
        <f t="shared" si="14"/>
        <v>6</v>
      </c>
      <c r="AG23" s="44">
        <f t="shared" si="15"/>
        <v>69.631380000000007</v>
      </c>
      <c r="AH23" s="122">
        <f t="shared" si="24"/>
        <v>125999.11689226482</v>
      </c>
      <c r="AI23" s="111">
        <f t="shared" si="16"/>
        <v>0.57393150015713534</v>
      </c>
      <c r="AJ23" s="114">
        <f t="shared" si="17"/>
        <v>2861987357.232255</v>
      </c>
      <c r="AK23" s="320">
        <f t="shared" si="25"/>
        <v>3.4435890009428123</v>
      </c>
    </row>
    <row r="24" spans="1:37" ht="30" x14ac:dyDescent="0.25">
      <c r="B24" s="126" t="s">
        <v>47</v>
      </c>
      <c r="C24" s="182" t="s">
        <v>367</v>
      </c>
      <c r="D24" s="144" t="s">
        <v>135</v>
      </c>
      <c r="E24" s="127">
        <v>9842.1440000000002</v>
      </c>
      <c r="F24" s="146"/>
      <c r="G24" s="122">
        <v>2500</v>
      </c>
      <c r="H24" s="130">
        <v>3500</v>
      </c>
      <c r="I24" s="35">
        <v>3000</v>
      </c>
      <c r="J24" s="159">
        <v>2</v>
      </c>
      <c r="K24" s="44">
        <f t="shared" si="0"/>
        <v>14.715</v>
      </c>
      <c r="L24" s="122">
        <v>26261.95019929899</v>
      </c>
      <c r="M24" s="111">
        <f t="shared" si="1"/>
        <v>1.1446721533203278E-3</v>
      </c>
      <c r="N24" s="114">
        <f t="shared" si="2"/>
        <v>591735.74126663699</v>
      </c>
      <c r="O24" s="315">
        <f t="shared" si="3"/>
        <v>2.2893443066406556E-3</v>
      </c>
      <c r="P24" s="140">
        <f t="shared" si="29"/>
        <v>3500</v>
      </c>
      <c r="Q24" s="159">
        <f t="shared" si="5"/>
        <v>2</v>
      </c>
      <c r="R24" s="44">
        <f t="shared" si="6"/>
        <v>17.1675</v>
      </c>
      <c r="S24" s="162">
        <f t="shared" si="19"/>
        <v>27412.748857032278</v>
      </c>
      <c r="T24" s="111">
        <f t="shared" si="7"/>
        <v>2.1206464815757002E-3</v>
      </c>
      <c r="U24" s="114">
        <f t="shared" si="8"/>
        <v>1144301.7816966884</v>
      </c>
      <c r="V24" s="315">
        <f t="shared" si="20"/>
        <v>4.2412929631514005E-3</v>
      </c>
      <c r="W24" s="259">
        <f t="shared" si="27"/>
        <v>3042</v>
      </c>
      <c r="X24" s="159">
        <f t="shared" si="9"/>
        <v>2</v>
      </c>
      <c r="Y24" s="44">
        <f t="shared" si="10"/>
        <v>14.921010000000001</v>
      </c>
      <c r="Z24" s="162">
        <f t="shared" si="22"/>
        <v>26261.95019929899</v>
      </c>
      <c r="AA24" s="111">
        <f t="shared" si="11"/>
        <v>1.2101325362538513E-3</v>
      </c>
      <c r="AB24" s="114">
        <f t="shared" si="12"/>
        <v>625575.34163291473</v>
      </c>
      <c r="AC24" s="315">
        <f t="shared" si="23"/>
        <v>2.4202650725077025E-3</v>
      </c>
      <c r="AD24" s="168" t="s">
        <v>172</v>
      </c>
      <c r="AE24" s="140">
        <f t="shared" si="13"/>
        <v>3500</v>
      </c>
      <c r="AF24" s="159">
        <f t="shared" si="14"/>
        <v>2</v>
      </c>
      <c r="AG24" s="44">
        <f t="shared" si="15"/>
        <v>17.1675</v>
      </c>
      <c r="AH24" s="122">
        <f t="shared" si="24"/>
        <v>26261.95019929899</v>
      </c>
      <c r="AI24" s="111">
        <f t="shared" si="16"/>
        <v>2.1206464815757002E-3</v>
      </c>
      <c r="AJ24" s="114">
        <f t="shared" si="17"/>
        <v>1096263.5144916633</v>
      </c>
      <c r="AK24" s="315">
        <f t="shared" si="25"/>
        <v>4.2412929631514005E-3</v>
      </c>
    </row>
    <row r="25" spans="1:37" ht="30" x14ac:dyDescent="0.25">
      <c r="B25" s="126" t="s">
        <v>47</v>
      </c>
      <c r="C25" s="182" t="s">
        <v>367</v>
      </c>
      <c r="D25" s="144" t="s">
        <v>134</v>
      </c>
      <c r="E25" s="127">
        <v>296494.58799999999</v>
      </c>
      <c r="F25" s="145"/>
      <c r="G25" s="127">
        <v>2500</v>
      </c>
      <c r="H25" s="128">
        <v>3500</v>
      </c>
      <c r="I25" s="35">
        <v>3000</v>
      </c>
      <c r="J25" s="159">
        <v>2</v>
      </c>
      <c r="K25" s="44">
        <f t="shared" si="0"/>
        <v>14.715</v>
      </c>
      <c r="L25" s="122">
        <v>26261.95019929899</v>
      </c>
      <c r="M25" s="111">
        <f t="shared" si="1"/>
        <v>1.1446721533203278E-3</v>
      </c>
      <c r="N25" s="114">
        <f t="shared" si="2"/>
        <v>17826039.205657437</v>
      </c>
      <c r="O25" s="315">
        <f t="shared" si="3"/>
        <v>2.2893443066406556E-3</v>
      </c>
      <c r="P25" s="140">
        <f t="shared" si="29"/>
        <v>3500</v>
      </c>
      <c r="Q25" s="159">
        <f t="shared" si="5"/>
        <v>2</v>
      </c>
      <c r="R25" s="44">
        <f t="shared" si="6"/>
        <v>17.1675</v>
      </c>
      <c r="S25" s="162">
        <f t="shared" si="19"/>
        <v>27412.748857032278</v>
      </c>
      <c r="T25" s="111">
        <f t="shared" si="7"/>
        <v>2.1206464815757002E-3</v>
      </c>
      <c r="U25" s="114">
        <f t="shared" si="8"/>
        <v>34472091.173612736</v>
      </c>
      <c r="V25" s="315">
        <f t="shared" si="20"/>
        <v>4.2412929631514005E-3</v>
      </c>
      <c r="W25" s="259">
        <f t="shared" si="27"/>
        <v>3042</v>
      </c>
      <c r="X25" s="159">
        <f t="shared" si="9"/>
        <v>2</v>
      </c>
      <c r="Y25" s="44">
        <f t="shared" si="10"/>
        <v>14.921010000000001</v>
      </c>
      <c r="Z25" s="162">
        <f t="shared" si="22"/>
        <v>26261.95019929899</v>
      </c>
      <c r="AA25" s="111">
        <f t="shared" si="11"/>
        <v>1.2101325362538513E-3</v>
      </c>
      <c r="AB25" s="114">
        <f t="shared" si="12"/>
        <v>18845457.166691557</v>
      </c>
      <c r="AC25" s="315">
        <f t="shared" si="23"/>
        <v>2.4202650725077025E-3</v>
      </c>
      <c r="AD25" s="168" t="s">
        <v>173</v>
      </c>
      <c r="AE25" s="140">
        <f t="shared" si="13"/>
        <v>3042</v>
      </c>
      <c r="AF25" s="159">
        <f t="shared" si="14"/>
        <v>2</v>
      </c>
      <c r="AG25" s="44">
        <f t="shared" si="15"/>
        <v>14.921010000000001</v>
      </c>
      <c r="AH25" s="122">
        <f t="shared" si="24"/>
        <v>26261.95019929899</v>
      </c>
      <c r="AI25" s="111">
        <f t="shared" si="16"/>
        <v>1.2101325362538513E-3</v>
      </c>
      <c r="AJ25" s="114">
        <f t="shared" si="17"/>
        <v>18845457.166691557</v>
      </c>
      <c r="AK25" s="315">
        <f t="shared" si="25"/>
        <v>2.4202650725077025E-3</v>
      </c>
    </row>
    <row r="26" spans="1:37" x14ac:dyDescent="0.25">
      <c r="B26" s="126"/>
      <c r="C26" s="112"/>
      <c r="D26" s="57"/>
      <c r="F26" s="129"/>
      <c r="G26" s="127"/>
      <c r="H26" s="128"/>
      <c r="I26" s="35"/>
      <c r="J26" s="125"/>
      <c r="K26" s="44"/>
      <c r="L26" s="122"/>
      <c r="M26" s="111"/>
      <c r="N26" s="114"/>
      <c r="O26" s="123"/>
      <c r="P26" s="140"/>
      <c r="Q26" s="125"/>
      <c r="R26" s="44"/>
      <c r="S26" s="122"/>
      <c r="T26" s="111"/>
      <c r="U26" s="114"/>
      <c r="V26" s="123"/>
      <c r="W26" s="140"/>
      <c r="X26" s="125"/>
      <c r="Y26" s="44"/>
      <c r="Z26" s="122"/>
      <c r="AA26" s="111"/>
      <c r="AB26" s="114"/>
      <c r="AC26" s="123"/>
      <c r="AD26" s="137"/>
      <c r="AE26" s="140"/>
      <c r="AF26" s="125"/>
      <c r="AG26" s="44"/>
      <c r="AH26" s="122"/>
      <c r="AI26" s="111"/>
      <c r="AJ26" s="114"/>
      <c r="AK26" s="123"/>
    </row>
    <row r="27" spans="1:37" x14ac:dyDescent="0.25">
      <c r="A27" t="s">
        <v>9</v>
      </c>
      <c r="B27" s="35" t="s">
        <v>185</v>
      </c>
      <c r="C27" s="112" t="s">
        <v>9</v>
      </c>
      <c r="D27" s="57"/>
      <c r="E27" s="127">
        <f>SUM(E14:E23)</f>
        <v>36837</v>
      </c>
      <c r="F27" s="57"/>
      <c r="G27" s="60"/>
      <c r="H27" s="119"/>
      <c r="I27" s="125">
        <f>SUMPRODUCT(I14:I23,$E$14:$E$23)/SUM($E$14:$E$23)</f>
        <v>24199.937500000004</v>
      </c>
      <c r="J27" s="170" t="s">
        <v>198</v>
      </c>
      <c r="K27" s="125">
        <f>AVERAGE(K14:K23)</f>
        <v>68.637299999999996</v>
      </c>
      <c r="L27" s="125">
        <f>SUMPRODUCT(L14:L23,$E$14:$E$23)/SUM($E$14:$E$23)</f>
        <v>70170.168580503305</v>
      </c>
      <c r="M27" s="525">
        <f>SUMPRODUCT(M14:M23,$E$14:$E$23)/SUM($E$14:$E$23)</f>
        <v>0.66673412494189088</v>
      </c>
      <c r="N27" s="147">
        <f>SUM(N14:N23)</f>
        <v>7250464711.031146</v>
      </c>
      <c r="O27" s="78">
        <f>SUMPRODUCT(O14:O23,$E$14:$E$23)/SUM($E$14:$E$23)</f>
        <v>2.3823432841824554</v>
      </c>
      <c r="P27" s="125">
        <f>SUMPRODUCT(P14:P23,$E$14:$E$23)/SUM($E$14:$E$23)</f>
        <v>25765.403666000002</v>
      </c>
      <c r="Q27" s="170"/>
      <c r="R27" s="125">
        <f>AVERAGE(R14:R23)</f>
        <v>74.213660430000004</v>
      </c>
      <c r="S27" s="125">
        <f>SUMPRODUCT(S14:S23,$E$14:$E$23)/SUM($E$14:$E$23)</f>
        <v>71916.694897593581</v>
      </c>
      <c r="T27" s="525">
        <f>SUMPRODUCT(T14:T23,$E$14:$E$23)/SUM($E$14:$E$23)</f>
        <v>0.87557590605837998</v>
      </c>
      <c r="U27" s="147">
        <f>SUM(U14:U23)</f>
        <v>9237711067.6071072</v>
      </c>
      <c r="V27" s="78">
        <f>SUMPRODUCT(V14:V23,$E$14:$E$23)/SUM($E$14:$E$23)</f>
        <v>3.0372059056468954</v>
      </c>
      <c r="W27" s="125">
        <f>SUMPRODUCT(W14:W23,$E$14:$E$23)/SUM($E$14:$E$23)</f>
        <v>24538.736625000001</v>
      </c>
      <c r="X27" s="170"/>
      <c r="Y27" s="125">
        <f>AVERAGE(Y14:Y23)</f>
        <v>69.598222199999995</v>
      </c>
      <c r="Z27" s="125">
        <f>SUMPRODUCT(Z14:Z23,$E$14:$E$23)/SUM($E$14:$E$23)</f>
        <v>70170.168580503305</v>
      </c>
      <c r="AA27" s="525">
        <f>SUMPRODUCT(AA14:AA23,$E$14:$E$23)/SUM($E$14:$E$23)</f>
        <v>0.70486265895658207</v>
      </c>
      <c r="AB27" s="147">
        <f>SUM(AB14:AB23)</f>
        <v>7665097140.9835863</v>
      </c>
      <c r="AC27" s="78">
        <f>SUMPRODUCT(AC14:AC23,$E$14:$E$23)/SUM($E$14:$E$23)</f>
        <v>2.5185823839188588</v>
      </c>
      <c r="AD27" s="124"/>
      <c r="AE27" s="125">
        <f>SUMPRODUCT(AE14:AE23,$E$14:$E$23)/SUM($E$14:$E$23)</f>
        <v>24538.736625000001</v>
      </c>
      <c r="AF27" s="170"/>
      <c r="AG27" s="125">
        <f>AVERAGE(AG14:AG23)</f>
        <v>69.598222199999995</v>
      </c>
      <c r="AH27" s="125">
        <f>SUMPRODUCT(AH14:AH23,$E$14:$E$23)/SUM($E$14:$E$23)</f>
        <v>70170.168580503305</v>
      </c>
      <c r="AI27" s="525">
        <f>SUMPRODUCT(AI14:AI23,$E$14:$E$23)/SUM($E$14:$E$23)</f>
        <v>0.70486265895658207</v>
      </c>
      <c r="AJ27" s="147">
        <f>SUM(AJ14:AJ23)</f>
        <v>7665097140.9835863</v>
      </c>
      <c r="AK27" s="78">
        <f>SUMPRODUCT(AK14:AK23,$E$14:$E$23)/SUM($E$14:$E$23)</f>
        <v>2.5185823839188588</v>
      </c>
    </row>
    <row r="28" spans="1:37" x14ac:dyDescent="0.25">
      <c r="A28" t="s">
        <v>2</v>
      </c>
      <c r="B28" s="35" t="s">
        <v>186</v>
      </c>
      <c r="C28" s="112" t="s">
        <v>2</v>
      </c>
      <c r="D28" s="57"/>
      <c r="E28" s="127">
        <v>2524000</v>
      </c>
      <c r="F28" s="57"/>
      <c r="G28" s="60"/>
      <c r="H28" s="119"/>
      <c r="I28" s="125">
        <f>SUMPRODUCT(I11:I12,$E$11:$E$12)/SUM($E$11:$E$12)</f>
        <v>1800</v>
      </c>
      <c r="J28" s="159">
        <f>J11</f>
        <v>2</v>
      </c>
      <c r="K28" s="125">
        <f>AVERAGE(K11:K12)</f>
        <v>8.8290000000000006</v>
      </c>
      <c r="L28" s="125">
        <f>SUMPRODUCT(L11:L12,$E$11:$E$12)/SUM($E$11:$E$12)</f>
        <v>14570.798265265224</v>
      </c>
      <c r="M28" s="525">
        <f>SUMPRODUCT(M11:M12,$E$11:$E$12)/SUM($E$11:$E$12)</f>
        <v>1.483495110703145E-4</v>
      </c>
      <c r="N28" s="167">
        <f>SUM(N11:N12)</f>
        <v>10884462.967033401</v>
      </c>
      <c r="O28" s="526">
        <f>SUMPRODUCT(O11:O12,$E$11:$E$12)/SUM($E$11:$E$12)</f>
        <v>2.96699022140629E-4</v>
      </c>
      <c r="P28" s="125">
        <f>SUMPRODUCT(P11:P12,$E$11:$E$12)/SUM($E$11:$E$12)</f>
        <v>2364.09</v>
      </c>
      <c r="Q28" s="159"/>
      <c r="R28" s="125">
        <f>AVERAGE(R11:R12)</f>
        <v>11.595861450000003</v>
      </c>
      <c r="S28" s="125">
        <f>SUMPRODUCT(S11:S12,$E$11:$E$12)/SUM($E$11:$E$12)</f>
        <v>14570.798265265224</v>
      </c>
      <c r="T28" s="525">
        <f>SUMPRODUCT(T11:T12,$E$11:$E$12)/SUM($E$11:$E$12)</f>
        <v>4.4142011817099869E-4</v>
      </c>
      <c r="U28" s="167">
        <f>SUM(U11:U12)</f>
        <v>32387170.638253443</v>
      </c>
      <c r="V28" s="526">
        <f>SUMPRODUCT(V11:V12,$E$11:$E$12)/SUM($E$11:$E$12)</f>
        <v>8.8284023634199738E-4</v>
      </c>
      <c r="W28" s="125">
        <f>SUMPRODUCT(W11:W12,$E$11:$E$12)/SUM($E$11:$E$12)</f>
        <v>1825.1999999999998</v>
      </c>
      <c r="X28" s="159"/>
      <c r="Y28" s="125">
        <f>AVERAGE(Y11:Y12)</f>
        <v>8.9526059999999994</v>
      </c>
      <c r="Z28" s="125">
        <f>SUMPRODUCT(Z11:Z12,$E$11:$E$12)/SUM($E$11:$E$12)</f>
        <v>14570.798265265224</v>
      </c>
      <c r="AA28" s="525">
        <f>SUMPRODUCT(AA11:AA12,$E$11:$E$12)/SUM($E$11:$E$12)</f>
        <v>1.5683317669849909E-4</v>
      </c>
      <c r="AB28" s="167">
        <f>SUM(AB11:AB12)</f>
        <v>11506912.907639556</v>
      </c>
      <c r="AC28" s="526">
        <f>SUMPRODUCT(AC11:AC12,$E$11:$E$12)/SUM($E$11:$E$12)</f>
        <v>3.1366635339699818E-4</v>
      </c>
      <c r="AD28" s="124"/>
      <c r="AE28" s="125">
        <f>SUMPRODUCT(AE11:AE12,$E$11:$E$12)/SUM($E$11:$E$12)</f>
        <v>2155.7841265060242</v>
      </c>
      <c r="AF28" s="159"/>
      <c r="AG28" s="125">
        <f>AVERAGE(AG11:AG12)</f>
        <v>10.274233725000002</v>
      </c>
      <c r="AH28" s="125">
        <f>SUMPRODUCT(AH11:AH12,$E$11:$E$12)/SUM($E$11:$E$12)</f>
        <v>14570.798265265224</v>
      </c>
      <c r="AI28" s="525">
        <f>SUMPRODUCT(AI11:AI12,$E$11:$E$12)/SUM($E$11:$E$12)</f>
        <v>3.3141412171827547E-4</v>
      </c>
      <c r="AJ28" s="167">
        <f>SUM(AJ11:AJ12)</f>
        <v>24315986.67611856</v>
      </c>
      <c r="AK28" s="526">
        <f>SUMPRODUCT(AK11:AK12,$E$11:$E$12)/SUM($E$11:$E$12)</f>
        <v>6.6282824343655094E-4</v>
      </c>
    </row>
    <row r="29" spans="1:37" x14ac:dyDescent="0.25">
      <c r="A29" t="s">
        <v>188</v>
      </c>
      <c r="B29" s="35" t="s">
        <v>187</v>
      </c>
      <c r="C29" t="s">
        <v>188</v>
      </c>
      <c r="D29" s="57"/>
      <c r="E29" s="127">
        <v>308000</v>
      </c>
      <c r="F29" s="57"/>
      <c r="G29" s="60"/>
      <c r="H29" s="119"/>
      <c r="I29" s="125">
        <f>SUMPRODUCT(I24:I25,$E$24:$E$25)/SUM($E$24:$E$25)</f>
        <v>3000.0000000000005</v>
      </c>
      <c r="J29" s="159">
        <f>J24</f>
        <v>2</v>
      </c>
      <c r="K29" s="125">
        <f>AVERAGE(K24:K25)</f>
        <v>14.715</v>
      </c>
      <c r="L29" s="125">
        <f>SUMPRODUCT(L24:L25,$E$24:$E$25)/SUM($E$24:$E$25)</f>
        <v>26261.950199298994</v>
      </c>
      <c r="M29" s="525">
        <f>SUMPRODUCT(M24:M25,$E$24:$E$25)/SUM($E$24:$E$25)</f>
        <v>1.1446721533203278E-3</v>
      </c>
      <c r="N29" s="147">
        <f>SUM(N24:N25)</f>
        <v>18417774.946924075</v>
      </c>
      <c r="O29" s="526">
        <f>SUMPRODUCT(O24:O25,$E$24:$E$25)/SUM($E$24:$E$25)</f>
        <v>2.2893443066406556E-3</v>
      </c>
      <c r="P29" s="125">
        <f>SUMPRODUCT(P24:P25,$E$24:$E$25)/SUM($E$24:$E$25)</f>
        <v>3500.0000000000005</v>
      </c>
      <c r="Q29" s="159"/>
      <c r="R29" s="125">
        <f>AVERAGE(R24:R25)</f>
        <v>17.1675</v>
      </c>
      <c r="S29" s="125">
        <f>SUMPRODUCT(S24:S25,$E$24:$E$25)/SUM($E$24:$E$25)</f>
        <v>27412.748857032282</v>
      </c>
      <c r="T29" s="525">
        <f>SUMPRODUCT(T24:T25,$E$24:$E$25)/SUM($E$24:$E$25)</f>
        <v>2.1206464815757007E-3</v>
      </c>
      <c r="U29" s="147">
        <f>SUM(U24:U25)</f>
        <v>35616392.955309421</v>
      </c>
      <c r="V29" s="526">
        <f>SUMPRODUCT(V24:V25,$E$24:$E$25)/SUM($E$24:$E$25)</f>
        <v>4.2412929631514013E-3</v>
      </c>
      <c r="W29" s="125">
        <f>SUMPRODUCT(W24:W25,$E$24:$E$25)/SUM($E$24:$E$25)</f>
        <v>3042.0000000000005</v>
      </c>
      <c r="X29" s="159"/>
      <c r="Y29" s="125">
        <f>AVERAGE(Y24:Y25)</f>
        <v>14.921010000000001</v>
      </c>
      <c r="Z29" s="125">
        <f>SUMPRODUCT(Z24:Z25,$E$24:$E$25)/SUM($E$24:$E$25)</f>
        <v>26261.950199298994</v>
      </c>
      <c r="AA29" s="525">
        <f>SUMPRODUCT(AA24:AA25,$E$24:$E$25)/SUM($E$24:$E$25)</f>
        <v>1.2101325362538515E-3</v>
      </c>
      <c r="AB29" s="147">
        <f>SUM(AB24:AB25)</f>
        <v>19471032.50832447</v>
      </c>
      <c r="AC29" s="526">
        <f>SUMPRODUCT(AC24:AC25,$E$24:$E$25)/SUM($E$24:$E$25)</f>
        <v>2.420265072507703E-3</v>
      </c>
      <c r="AD29" s="124"/>
      <c r="AE29" s="125">
        <f>SUMPRODUCT(AE24:AE25,$E$24:$E$25)/SUM($E$24:$E$25)</f>
        <v>3056.7148594377513</v>
      </c>
      <c r="AF29" s="159"/>
      <c r="AG29" s="125">
        <f>AVERAGE(AG24:AG25)</f>
        <v>16.044255</v>
      </c>
      <c r="AH29" s="125">
        <f>SUMPRODUCT(AH24:AH25,$E$24:$E$25)/SUM($E$24:$E$25)</f>
        <v>26261.950199298994</v>
      </c>
      <c r="AI29" s="525">
        <f>SUMPRODUCT(AI24:AI25,$E$24:$E$25)/SUM($E$24:$E$25)</f>
        <v>1.2393859963445132E-3</v>
      </c>
      <c r="AJ29" s="147">
        <f>SUM(AJ24:AJ25)</f>
        <v>19941720.681183219</v>
      </c>
      <c r="AK29" s="526">
        <f>SUMPRODUCT(AK24:AK25,$E$24:$E$25)/SUM($E$24:$E$25)</f>
        <v>2.4787719926890263E-3</v>
      </c>
    </row>
    <row r="30" spans="1:37" x14ac:dyDescent="0.25">
      <c r="B30" s="35"/>
      <c r="C30" s="57"/>
      <c r="D30" s="57"/>
      <c r="E30" s="60"/>
      <c r="F30" s="57"/>
      <c r="G30" s="60"/>
      <c r="H30" s="119"/>
      <c r="I30" s="35"/>
      <c r="J30" s="57"/>
      <c r="K30" s="57"/>
      <c r="L30" s="57"/>
      <c r="M30" s="57"/>
      <c r="N30" s="147"/>
      <c r="O30" s="143"/>
      <c r="P30" s="57"/>
      <c r="Q30" s="57"/>
      <c r="R30" s="57"/>
      <c r="S30" s="57"/>
      <c r="T30" s="57"/>
      <c r="U30" s="147"/>
      <c r="V30" s="143"/>
      <c r="W30" s="35"/>
      <c r="X30" s="57"/>
      <c r="Y30" s="57"/>
      <c r="Z30" s="57"/>
      <c r="AA30" s="57"/>
      <c r="AB30" s="147"/>
      <c r="AC30" s="143"/>
      <c r="AD30" s="169"/>
      <c r="AE30" s="57"/>
      <c r="AF30" s="57"/>
      <c r="AG30" s="57"/>
      <c r="AH30" s="125"/>
      <c r="AI30" s="57"/>
      <c r="AJ30" s="147"/>
      <c r="AK30" s="143"/>
    </row>
    <row r="31" spans="1:37" ht="15.75" thickBot="1" x14ac:dyDescent="0.3">
      <c r="B31" s="46"/>
      <c r="C31" s="47"/>
      <c r="D31" s="47"/>
      <c r="E31" s="131"/>
      <c r="F31" s="47"/>
      <c r="G31" s="131"/>
      <c r="H31" s="132"/>
      <c r="I31" s="46"/>
      <c r="J31" s="47"/>
      <c r="K31" s="47"/>
      <c r="L31" s="47"/>
      <c r="M31" s="156" t="s">
        <v>349</v>
      </c>
      <c r="N31" s="313">
        <f>SUM(N10:N25)</f>
        <v>8799046945.0698109</v>
      </c>
      <c r="O31" s="166"/>
      <c r="P31" s="47"/>
      <c r="Q31" s="47"/>
      <c r="R31" s="47"/>
      <c r="S31" s="47"/>
      <c r="T31" s="156" t="s">
        <v>146</v>
      </c>
      <c r="U31" s="313">
        <f>SUM(U10:U25)</f>
        <v>11527701704.542952</v>
      </c>
      <c r="V31" s="166"/>
      <c r="W31" s="46"/>
      <c r="X31" s="47"/>
      <c r="Y31" s="47"/>
      <c r="Z31" s="47"/>
      <c r="AA31" s="156" t="s">
        <v>146</v>
      </c>
      <c r="AB31" s="313">
        <f>SUM(AB10:AB25)</f>
        <v>9302238169.5645809</v>
      </c>
      <c r="AC31" s="166"/>
      <c r="AD31" s="138"/>
      <c r="AE31" s="47"/>
      <c r="AF31" s="47"/>
      <c r="AG31" s="47"/>
      <c r="AH31" s="47"/>
      <c r="AI31" s="156" t="s">
        <v>146</v>
      </c>
      <c r="AJ31" s="313">
        <f>SUM(AJ10:AJ25)</f>
        <v>9315519490.777256</v>
      </c>
      <c r="AK31" s="166"/>
    </row>
    <row r="32" spans="1:37" x14ac:dyDescent="0.25">
      <c r="B32" s="112" t="s">
        <v>462</v>
      </c>
      <c r="C32" s="57"/>
      <c r="D32" s="57"/>
      <c r="E32" s="57"/>
      <c r="F32" s="60"/>
      <c r="G32" s="60"/>
      <c r="H32" s="60"/>
      <c r="I32" s="57"/>
      <c r="J32" s="57"/>
      <c r="K32" s="57"/>
      <c r="L32" s="57"/>
      <c r="M32" s="260"/>
      <c r="N32" s="147"/>
      <c r="P32" s="57"/>
      <c r="Q32" s="57"/>
      <c r="R32" s="57"/>
      <c r="S32" s="57"/>
      <c r="T32" s="57"/>
      <c r="U32" s="57">
        <f>U31/N31</f>
        <v>1.3101079897070025</v>
      </c>
      <c r="V32" s="295">
        <f>U31/N31</f>
        <v>1.3101079897070025</v>
      </c>
      <c r="X32" s="57"/>
      <c r="Y32" s="57"/>
      <c r="Z32" s="57"/>
      <c r="AA32" s="57"/>
      <c r="AB32" s="260"/>
      <c r="AD32" s="57"/>
      <c r="AE32" s="57"/>
      <c r="AF32" s="60"/>
      <c r="AG32" s="60"/>
      <c r="AH32" s="60"/>
      <c r="AI32" s="57"/>
      <c r="AJ32" s="57"/>
      <c r="AK32" s="57"/>
    </row>
    <row r="33" spans="2:37" x14ac:dyDescent="0.25">
      <c r="B33" s="356" t="s">
        <v>481</v>
      </c>
      <c r="C33" s="112"/>
      <c r="N33" s="112"/>
      <c r="P33" s="112"/>
      <c r="Q33" s="112"/>
      <c r="R33" s="112"/>
      <c r="S33" s="112"/>
      <c r="T33" s="112"/>
      <c r="U33" s="112"/>
      <c r="V33" s="112"/>
      <c r="W33" s="112"/>
      <c r="X33" s="112"/>
      <c r="Y33" s="112"/>
      <c r="Z33" s="112"/>
      <c r="AA33" s="112"/>
      <c r="AB33" s="112"/>
      <c r="AC33" s="25">
        <f>AB31/$N$31</f>
        <v>1.0571870144160003</v>
      </c>
      <c r="AD33" s="112"/>
      <c r="AE33" s="112"/>
      <c r="AF33" s="112"/>
      <c r="AG33" s="112"/>
      <c r="AH33" s="112"/>
      <c r="AI33" s="112"/>
      <c r="AJ33" s="25"/>
      <c r="AK33" s="25">
        <f>AJ31/$N$31</f>
        <v>1.0586964189339654</v>
      </c>
    </row>
    <row r="34" spans="2:37" x14ac:dyDescent="0.25">
      <c r="I34" t="s">
        <v>339</v>
      </c>
      <c r="N34" s="112"/>
      <c r="O34" s="112"/>
      <c r="P34" s="112"/>
      <c r="Q34" s="112"/>
      <c r="R34" s="396"/>
      <c r="S34" s="112"/>
      <c r="U34" s="112"/>
      <c r="V34" s="112"/>
      <c r="W34" s="112"/>
      <c r="X34" s="112"/>
      <c r="Y34" s="112"/>
      <c r="Z34" s="295"/>
      <c r="AA34" s="112"/>
      <c r="AB34" s="112"/>
      <c r="AC34" s="112"/>
      <c r="AD34" s="112"/>
      <c r="AE34" s="112"/>
      <c r="AF34" s="112"/>
      <c r="AG34" s="295"/>
      <c r="AH34" s="112"/>
      <c r="AI34" s="112"/>
      <c r="AJ34" s="112"/>
      <c r="AK34" s="112"/>
    </row>
    <row r="35" spans="2:37" x14ac:dyDescent="0.25">
      <c r="I35" s="1" t="s">
        <v>340</v>
      </c>
      <c r="N35" s="112"/>
      <c r="P35" s="112"/>
      <c r="Q35" s="112"/>
      <c r="R35" s="112"/>
      <c r="S35" s="112"/>
      <c r="T35" s="295"/>
      <c r="U35" s="112"/>
      <c r="V35" s="112"/>
      <c r="W35" s="112"/>
      <c r="X35" s="112"/>
      <c r="Y35" s="112"/>
      <c r="Z35" s="295"/>
      <c r="AA35" s="112"/>
      <c r="AB35" s="112"/>
      <c r="AC35" s="112"/>
      <c r="AD35" s="112"/>
      <c r="AE35" s="112"/>
      <c r="AF35" s="112"/>
      <c r="AG35" s="295"/>
      <c r="AH35" s="112"/>
      <c r="AI35" s="112"/>
      <c r="AJ35" s="112"/>
      <c r="AK35" s="112"/>
    </row>
    <row r="36" spans="2:37" ht="60" customHeight="1" x14ac:dyDescent="0.25">
      <c r="E36" s="629" t="s">
        <v>7</v>
      </c>
      <c r="F36" s="629"/>
      <c r="G36" s="629"/>
      <c r="H36" s="629"/>
      <c r="I36" s="3"/>
      <c r="L36" s="3" t="s">
        <v>140</v>
      </c>
      <c r="M36" t="s">
        <v>142</v>
      </c>
      <c r="N36" s="115" t="s">
        <v>144</v>
      </c>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row>
    <row r="37" spans="2:37" ht="108.75" customHeight="1" x14ac:dyDescent="0.25">
      <c r="E37" s="630" t="s">
        <v>8</v>
      </c>
      <c r="F37" s="630"/>
      <c r="G37" s="630"/>
      <c r="H37" s="630"/>
      <c r="I37" s="3" t="s">
        <v>145</v>
      </c>
      <c r="M37" s="3" t="s">
        <v>143</v>
      </c>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row>
    <row r="38" spans="2:37" x14ac:dyDescent="0.25">
      <c r="E38" s="630" t="s">
        <v>17</v>
      </c>
      <c r="F38" s="630"/>
      <c r="G38" s="630"/>
      <c r="H38" s="630"/>
      <c r="N38" s="112"/>
      <c r="O38" s="112" t="s">
        <v>147</v>
      </c>
      <c r="P38" s="112"/>
      <c r="Q38" s="112" t="s">
        <v>149</v>
      </c>
      <c r="R38" s="625" t="s">
        <v>150</v>
      </c>
      <c r="S38" s="625"/>
      <c r="T38" s="625" t="s">
        <v>151</v>
      </c>
      <c r="U38" s="625"/>
      <c r="V38" s="112"/>
      <c r="W38" s="112"/>
      <c r="X38" s="112"/>
      <c r="Y38" s="112"/>
      <c r="Z38" s="112"/>
      <c r="AA38" s="112"/>
      <c r="AB38" s="112"/>
      <c r="AC38" s="112"/>
      <c r="AD38" s="112"/>
      <c r="AE38" s="112"/>
      <c r="AF38" s="112"/>
      <c r="AG38" s="112"/>
      <c r="AH38" s="112"/>
      <c r="AI38" s="112"/>
      <c r="AJ38" s="112"/>
      <c r="AK38" s="112"/>
    </row>
    <row r="39" spans="2:37" x14ac:dyDescent="0.25">
      <c r="E39" s="4"/>
      <c r="N39" s="112"/>
      <c r="O39" s="112"/>
      <c r="P39" s="112"/>
      <c r="Q39" t="s">
        <v>4</v>
      </c>
      <c r="R39" t="s">
        <v>4</v>
      </c>
      <c r="S39" t="s">
        <v>152</v>
      </c>
      <c r="T39" t="s">
        <v>4</v>
      </c>
      <c r="U39" s="112" t="s">
        <v>152</v>
      </c>
      <c r="V39" s="112"/>
      <c r="W39" s="112"/>
      <c r="X39" s="112"/>
      <c r="Y39" s="112"/>
      <c r="Z39" s="112"/>
      <c r="AA39" s="112"/>
      <c r="AB39" s="112"/>
      <c r="AC39" s="112"/>
      <c r="AD39" s="112"/>
      <c r="AE39" s="112"/>
      <c r="AF39" s="112"/>
      <c r="AG39" s="112"/>
      <c r="AH39" s="112"/>
      <c r="AI39" s="112"/>
      <c r="AJ39" s="112"/>
      <c r="AK39" s="112"/>
    </row>
    <row r="40" spans="2:37" ht="30" x14ac:dyDescent="0.25">
      <c r="C40" s="122"/>
      <c r="E40" s="9" t="s">
        <v>18</v>
      </c>
      <c r="N40" s="112"/>
      <c r="O40" s="113" t="s">
        <v>148</v>
      </c>
      <c r="P40" s="113" t="s">
        <v>154</v>
      </c>
      <c r="Q40" s="265">
        <v>1950</v>
      </c>
      <c r="R40" s="265">
        <v>2455</v>
      </c>
      <c r="S40" s="148">
        <f>R40/Q40</f>
        <v>1.2589743589743589</v>
      </c>
      <c r="T40" s="265">
        <v>1970</v>
      </c>
      <c r="U40" s="150">
        <f>T40/Q40</f>
        <v>1.0102564102564102</v>
      </c>
      <c r="V40" s="112" t="s">
        <v>156</v>
      </c>
      <c r="W40" s="112"/>
      <c r="X40" s="112"/>
      <c r="Y40" s="112"/>
      <c r="Z40" s="112"/>
      <c r="AA40" s="112"/>
      <c r="AB40" s="112"/>
      <c r="AC40" s="112"/>
      <c r="AD40" s="112"/>
      <c r="AE40" s="112"/>
      <c r="AF40" s="112"/>
      <c r="AG40" s="112"/>
      <c r="AH40" s="112"/>
      <c r="AI40" s="112"/>
      <c r="AJ40" s="112"/>
      <c r="AK40" s="112"/>
    </row>
    <row r="41" spans="2:37" ht="30" x14ac:dyDescent="0.25">
      <c r="C41" s="122"/>
      <c r="E41" s="7" t="s">
        <v>19</v>
      </c>
      <c r="N41" s="112"/>
      <c r="O41" s="112" t="s">
        <v>153</v>
      </c>
      <c r="P41" s="113" t="s">
        <v>155</v>
      </c>
      <c r="Q41" s="11">
        <f>(13000+14400)/2</f>
        <v>13700</v>
      </c>
      <c r="R41" s="265">
        <v>18700</v>
      </c>
      <c r="S41" s="148">
        <f>R41/Q41</f>
        <v>1.364963503649635</v>
      </c>
      <c r="T41" s="265"/>
      <c r="U41" s="265"/>
      <c r="V41" s="112" t="s">
        <v>157</v>
      </c>
      <c r="W41" s="112"/>
      <c r="X41" s="112"/>
      <c r="Y41" s="112"/>
      <c r="Z41" s="112"/>
      <c r="AA41" s="112"/>
      <c r="AB41" s="112"/>
      <c r="AC41" s="112"/>
      <c r="AD41" s="112"/>
      <c r="AE41" s="112"/>
      <c r="AF41" s="112"/>
      <c r="AG41" s="112"/>
      <c r="AH41" s="112"/>
      <c r="AI41" s="112"/>
      <c r="AJ41" s="112"/>
      <c r="AK41" s="112"/>
    </row>
    <row r="42" spans="2:37" ht="30" x14ac:dyDescent="0.25">
      <c r="C42" s="122"/>
      <c r="E42" s="8" t="s">
        <v>20</v>
      </c>
      <c r="N42" s="112"/>
      <c r="O42" s="112" t="s">
        <v>158</v>
      </c>
      <c r="P42" s="113" t="s">
        <v>159</v>
      </c>
      <c r="Q42" s="265">
        <v>17750</v>
      </c>
      <c r="R42" s="265">
        <v>19200</v>
      </c>
      <c r="S42" s="148">
        <f>R42/Q42</f>
        <v>1.0816901408450703</v>
      </c>
      <c r="T42" s="112"/>
      <c r="U42" s="112"/>
      <c r="V42" s="112" t="s">
        <v>160</v>
      </c>
      <c r="W42" s="112"/>
      <c r="X42" s="112"/>
      <c r="Y42" s="112"/>
      <c r="Z42" s="112"/>
      <c r="AA42" s="112"/>
      <c r="AB42" s="112"/>
      <c r="AC42" s="112"/>
      <c r="AD42" s="112"/>
      <c r="AE42" s="112"/>
      <c r="AF42" s="112"/>
      <c r="AG42" s="112"/>
      <c r="AH42" s="112"/>
      <c r="AI42" s="112"/>
      <c r="AJ42" s="112"/>
      <c r="AK42" s="112"/>
    </row>
    <row r="43" spans="2:37" ht="30" x14ac:dyDescent="0.25">
      <c r="C43" s="122"/>
      <c r="E43" s="8" t="s">
        <v>21</v>
      </c>
      <c r="N43" s="112"/>
      <c r="O43" s="112" t="s">
        <v>161</v>
      </c>
      <c r="P43" s="113" t="s">
        <v>162</v>
      </c>
      <c r="Q43" s="265">
        <v>24800</v>
      </c>
      <c r="R43" s="112"/>
      <c r="S43" s="112"/>
      <c r="T43" s="112"/>
      <c r="U43" s="112"/>
      <c r="V43" s="112" t="s">
        <v>157</v>
      </c>
      <c r="W43" s="112"/>
      <c r="X43" s="112"/>
      <c r="Y43" s="112"/>
      <c r="Z43" s="112"/>
      <c r="AA43" s="112"/>
      <c r="AB43" s="112"/>
      <c r="AC43" s="112"/>
      <c r="AD43" s="112"/>
      <c r="AE43" s="112"/>
      <c r="AF43" s="112"/>
      <c r="AG43" s="112"/>
      <c r="AH43" s="112"/>
      <c r="AI43" s="112"/>
      <c r="AJ43" s="112"/>
      <c r="AK43" s="112"/>
    </row>
    <row r="44" spans="2:37" ht="45" x14ac:dyDescent="0.25">
      <c r="C44" s="122"/>
      <c r="E44" s="8" t="s">
        <v>22</v>
      </c>
      <c r="N44" s="112"/>
      <c r="O44" s="113" t="s">
        <v>163</v>
      </c>
      <c r="P44" s="113" t="s">
        <v>167</v>
      </c>
      <c r="Q44" s="265"/>
      <c r="R44" s="112"/>
      <c r="S44" s="112"/>
      <c r="T44" s="112">
        <v>19000</v>
      </c>
      <c r="U44" s="112">
        <f>T44/Q45</f>
        <v>1.1875</v>
      </c>
      <c r="V44" s="112" t="s">
        <v>165</v>
      </c>
      <c r="X44" s="112"/>
      <c r="Y44" s="112"/>
      <c r="Z44" s="112"/>
      <c r="AA44" s="112"/>
      <c r="AB44" s="112"/>
      <c r="AC44" s="112"/>
      <c r="AD44" s="112"/>
      <c r="AE44" s="112"/>
      <c r="AF44" s="112"/>
      <c r="AG44" s="112"/>
      <c r="AH44" s="112"/>
      <c r="AI44" s="112"/>
      <c r="AJ44" s="112"/>
      <c r="AK44" s="112"/>
    </row>
    <row r="45" spans="2:37" ht="45" x14ac:dyDescent="0.25">
      <c r="C45" s="122"/>
      <c r="E45" s="8" t="s">
        <v>23</v>
      </c>
      <c r="G45" s="4"/>
      <c r="H45" s="4"/>
      <c r="N45" s="112"/>
      <c r="O45" s="113" t="s">
        <v>164</v>
      </c>
      <c r="P45" s="113" t="s">
        <v>168</v>
      </c>
      <c r="Q45" s="265">
        <v>16000</v>
      </c>
      <c r="R45" s="112"/>
      <c r="S45" s="112"/>
      <c r="T45" s="112"/>
      <c r="U45" s="112"/>
      <c r="V45" s="112" t="s">
        <v>165</v>
      </c>
      <c r="X45" s="112"/>
      <c r="Y45" s="112"/>
      <c r="Z45" s="112"/>
      <c r="AA45" s="112"/>
      <c r="AB45" s="112"/>
      <c r="AC45" s="112"/>
      <c r="AD45" s="112"/>
      <c r="AE45" s="112"/>
      <c r="AF45" s="112"/>
      <c r="AG45" s="112"/>
      <c r="AH45" s="112"/>
      <c r="AI45" s="112"/>
      <c r="AJ45" s="112"/>
      <c r="AK45" s="112"/>
    </row>
    <row r="46" spans="2:37" x14ac:dyDescent="0.25">
      <c r="C46" s="122"/>
      <c r="E46" s="8" t="s">
        <v>24</v>
      </c>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row>
    <row r="47" spans="2:37" x14ac:dyDescent="0.25">
      <c r="C47" s="122"/>
      <c r="F47" s="8"/>
      <c r="N47" s="112"/>
      <c r="O47" s="112"/>
      <c r="P47" s="112"/>
      <c r="Q47" s="112"/>
      <c r="S47" s="112" t="s">
        <v>166</v>
      </c>
      <c r="T47" s="112"/>
      <c r="U47" s="112" t="s">
        <v>166</v>
      </c>
      <c r="V47" s="112"/>
      <c r="W47" s="112"/>
      <c r="X47" s="112"/>
      <c r="Y47" s="112"/>
      <c r="Z47" s="112"/>
      <c r="AA47" s="112"/>
      <c r="AB47" s="112"/>
      <c r="AC47" s="112"/>
      <c r="AD47" s="112"/>
      <c r="AE47" s="112"/>
      <c r="AF47" s="112"/>
      <c r="AG47" s="112"/>
      <c r="AH47" s="112"/>
      <c r="AI47" s="112"/>
      <c r="AJ47" s="112"/>
      <c r="AK47" s="112"/>
    </row>
    <row r="48" spans="2:37" x14ac:dyDescent="0.25">
      <c r="C48" s="122"/>
      <c r="F48" s="8"/>
      <c r="N48" s="112"/>
      <c r="O48" s="112"/>
      <c r="P48" s="112"/>
      <c r="Q48" s="112"/>
      <c r="S48" s="149">
        <f>AVERAGE(S40:S45)</f>
        <v>1.2352093344896882</v>
      </c>
      <c r="T48" s="112"/>
      <c r="U48" s="149">
        <f>AVERAGE(U40:U45)</f>
        <v>1.0988782051282051</v>
      </c>
      <c r="V48" s="112"/>
      <c r="W48" s="112"/>
      <c r="X48" s="112"/>
      <c r="Y48" s="112"/>
      <c r="Z48" s="112"/>
      <c r="AA48" s="112"/>
      <c r="AB48" s="112"/>
      <c r="AC48" s="112"/>
      <c r="AD48" s="112"/>
      <c r="AE48" s="112"/>
      <c r="AF48" s="112"/>
      <c r="AG48" s="112"/>
      <c r="AH48" s="112"/>
      <c r="AI48" s="112"/>
      <c r="AJ48" s="112"/>
      <c r="AK48" s="112"/>
    </row>
    <row r="49" spans="3:37" x14ac:dyDescent="0.25">
      <c r="C49" s="122"/>
      <c r="E49" t="s">
        <v>29</v>
      </c>
      <c r="F49" s="8"/>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row>
    <row r="50" spans="3:37" x14ac:dyDescent="0.25">
      <c r="E50" s="1" t="s">
        <v>28</v>
      </c>
      <c r="F50" s="8"/>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row>
    <row r="51" spans="3:37" x14ac:dyDescent="0.25">
      <c r="E51" t="s">
        <v>30</v>
      </c>
      <c r="F51" s="8"/>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row>
    <row r="52" spans="3:37" x14ac:dyDescent="0.25">
      <c r="F52" s="8"/>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row>
    <row r="53" spans="3:37" x14ac:dyDescent="0.25">
      <c r="F53" s="8"/>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row>
    <row r="54" spans="3:37" x14ac:dyDescent="0.25">
      <c r="F54" s="8"/>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row>
    <row r="55" spans="3:37" x14ac:dyDescent="0.25">
      <c r="F55" s="8"/>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row>
    <row r="56" spans="3:37" ht="15.75" thickBot="1" x14ac:dyDescent="0.3">
      <c r="F56" s="8"/>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row>
    <row r="57" spans="3:37" x14ac:dyDescent="0.25">
      <c r="F57" s="8"/>
      <c r="K57" s="28" t="s">
        <v>169</v>
      </c>
      <c r="L57" s="29" t="s">
        <v>180</v>
      </c>
      <c r="M57" s="29"/>
      <c r="N57" s="151"/>
      <c r="O57" s="151" t="s">
        <v>181</v>
      </c>
      <c r="P57" s="151"/>
      <c r="Q57" s="151"/>
      <c r="R57" s="151"/>
      <c r="S57" s="151"/>
      <c r="T57" s="151"/>
      <c r="U57" s="151"/>
      <c r="V57" s="151" t="s">
        <v>182</v>
      </c>
      <c r="W57" s="152"/>
      <c r="X57" s="112"/>
      <c r="Y57" s="112"/>
      <c r="Z57" s="112"/>
      <c r="AA57" s="112"/>
      <c r="AB57" s="112"/>
      <c r="AC57" s="112"/>
      <c r="AD57" s="112"/>
      <c r="AE57" s="112"/>
      <c r="AF57" s="112"/>
      <c r="AG57" s="112"/>
      <c r="AH57" s="112"/>
      <c r="AI57" s="112"/>
      <c r="AJ57" s="112"/>
      <c r="AK57" s="112"/>
    </row>
    <row r="58" spans="3:37" x14ac:dyDescent="0.25">
      <c r="F58" s="8"/>
      <c r="K58" s="153" t="s">
        <v>170</v>
      </c>
      <c r="L58" s="57"/>
      <c r="M58" s="57"/>
      <c r="N58" s="133"/>
      <c r="O58" s="133"/>
      <c r="P58" s="133"/>
      <c r="Q58" s="133"/>
      <c r="R58" s="133"/>
      <c r="S58" s="133"/>
      <c r="T58" s="133"/>
      <c r="U58" s="133"/>
      <c r="V58" s="133"/>
      <c r="W58" s="120"/>
      <c r="X58" s="112"/>
      <c r="Y58" s="112"/>
      <c r="Z58" s="112"/>
      <c r="AA58" s="112"/>
      <c r="AB58" s="112"/>
      <c r="AC58" s="112"/>
      <c r="AD58" s="112"/>
      <c r="AE58" s="112"/>
      <c r="AF58" s="112"/>
      <c r="AG58" s="112"/>
      <c r="AH58" s="112"/>
      <c r="AI58" s="112"/>
      <c r="AJ58" s="112"/>
      <c r="AK58" s="112"/>
    </row>
    <row r="59" spans="3:37" ht="30.75" customHeight="1" x14ac:dyDescent="0.25">
      <c r="F59" s="8"/>
      <c r="K59" s="35"/>
      <c r="L59" s="626" t="s">
        <v>174</v>
      </c>
      <c r="M59" s="626"/>
      <c r="N59" s="626"/>
      <c r="O59" s="627" t="s">
        <v>175</v>
      </c>
      <c r="P59" s="627"/>
      <c r="Q59" s="627"/>
      <c r="R59" s="627" t="s">
        <v>176</v>
      </c>
      <c r="S59" s="627"/>
      <c r="T59" s="628" t="s">
        <v>177</v>
      </c>
      <c r="U59" s="628"/>
      <c r="V59" s="133" t="s">
        <v>178</v>
      </c>
      <c r="W59" s="120"/>
      <c r="X59" s="112"/>
      <c r="Y59" s="112"/>
      <c r="Z59" s="112"/>
      <c r="AA59" s="112"/>
      <c r="AB59" s="112"/>
      <c r="AC59" s="112"/>
      <c r="AD59" s="112"/>
      <c r="AE59" s="112"/>
      <c r="AF59" s="112"/>
      <c r="AG59" s="112"/>
      <c r="AH59" s="112"/>
      <c r="AI59" s="112"/>
      <c r="AJ59" s="112"/>
      <c r="AK59" s="112"/>
    </row>
    <row r="60" spans="3:37" x14ac:dyDescent="0.25">
      <c r="K60" s="35" t="s">
        <v>335</v>
      </c>
      <c r="L60" s="57" t="s">
        <v>171</v>
      </c>
      <c r="M60" s="57" t="s">
        <v>172</v>
      </c>
      <c r="N60" s="57" t="s">
        <v>173</v>
      </c>
      <c r="O60" s="57" t="s">
        <v>171</v>
      </c>
      <c r="P60" s="57" t="s">
        <v>172</v>
      </c>
      <c r="Q60" s="57" t="s">
        <v>173</v>
      </c>
      <c r="R60" s="57" t="s">
        <v>172</v>
      </c>
      <c r="S60" s="57" t="s">
        <v>173</v>
      </c>
      <c r="T60" s="57" t="s">
        <v>172</v>
      </c>
      <c r="U60" s="57" t="s">
        <v>173</v>
      </c>
      <c r="V60" s="57" t="s">
        <v>172</v>
      </c>
      <c r="W60" s="67" t="s">
        <v>173</v>
      </c>
    </row>
    <row r="61" spans="3:37" x14ac:dyDescent="0.25">
      <c r="K61" s="35">
        <v>3500</v>
      </c>
      <c r="L61" s="57">
        <v>1457</v>
      </c>
      <c r="M61" s="57">
        <v>733</v>
      </c>
      <c r="N61" s="57">
        <v>1391</v>
      </c>
      <c r="O61" s="57">
        <f t="shared" ref="O61:Q64" si="30">$K61-L61</f>
        <v>2043</v>
      </c>
      <c r="P61" s="57">
        <f t="shared" si="30"/>
        <v>2767</v>
      </c>
      <c r="Q61" s="57">
        <f t="shared" si="30"/>
        <v>2109</v>
      </c>
      <c r="R61" s="57">
        <f>P61-$O61</f>
        <v>724</v>
      </c>
      <c r="S61" s="57">
        <f>Q61-$O61</f>
        <v>66</v>
      </c>
      <c r="T61" s="57">
        <f>R61+$K61</f>
        <v>4224</v>
      </c>
      <c r="U61" s="57">
        <f>S61+$K61</f>
        <v>3566</v>
      </c>
      <c r="V61" s="154">
        <f>T61/$K61</f>
        <v>1.2068571428571429</v>
      </c>
      <c r="W61" s="155">
        <f>U61/$K61</f>
        <v>1.0188571428571429</v>
      </c>
    </row>
    <row r="62" spans="3:37" x14ac:dyDescent="0.25">
      <c r="K62" s="35">
        <v>5200</v>
      </c>
      <c r="L62" s="57">
        <v>2957</v>
      </c>
      <c r="M62" s="57">
        <v>2129</v>
      </c>
      <c r="N62" s="57">
        <v>2902</v>
      </c>
      <c r="O62" s="57">
        <f t="shared" si="30"/>
        <v>2243</v>
      </c>
      <c r="P62" s="57">
        <f t="shared" si="30"/>
        <v>3071</v>
      </c>
      <c r="Q62" s="57">
        <f t="shared" si="30"/>
        <v>2298</v>
      </c>
      <c r="R62" s="57">
        <f t="shared" ref="R62:S64" si="31">P62-$O62</f>
        <v>828</v>
      </c>
      <c r="S62" s="57">
        <f t="shared" si="31"/>
        <v>55</v>
      </c>
      <c r="T62" s="57">
        <f t="shared" ref="T62:U64" si="32">R62+$K62</f>
        <v>6028</v>
      </c>
      <c r="U62" s="57">
        <f t="shared" si="32"/>
        <v>5255</v>
      </c>
      <c r="V62" s="154">
        <f t="shared" ref="V62:W64" si="33">T62/$K62</f>
        <v>1.1592307692307693</v>
      </c>
      <c r="W62" s="155">
        <f t="shared" si="33"/>
        <v>1.010576923076923</v>
      </c>
    </row>
    <row r="63" spans="3:37" x14ac:dyDescent="0.25">
      <c r="K63" s="35">
        <v>18000</v>
      </c>
      <c r="L63" s="57">
        <v>14335</v>
      </c>
      <c r="M63" s="57">
        <v>12519</v>
      </c>
      <c r="N63" s="57">
        <v>14099</v>
      </c>
      <c r="O63" s="57">
        <f t="shared" si="30"/>
        <v>3665</v>
      </c>
      <c r="P63" s="57">
        <f t="shared" si="30"/>
        <v>5481</v>
      </c>
      <c r="Q63" s="57">
        <f t="shared" si="30"/>
        <v>3901</v>
      </c>
      <c r="R63" s="57">
        <f t="shared" si="31"/>
        <v>1816</v>
      </c>
      <c r="S63" s="57">
        <f t="shared" si="31"/>
        <v>236</v>
      </c>
      <c r="T63" s="57">
        <f t="shared" si="32"/>
        <v>19816</v>
      </c>
      <c r="U63" s="57">
        <f t="shared" si="32"/>
        <v>18236</v>
      </c>
      <c r="V63" s="154">
        <f t="shared" si="33"/>
        <v>1.1008888888888888</v>
      </c>
      <c r="W63" s="155">
        <f t="shared" si="33"/>
        <v>1.0131111111111111</v>
      </c>
    </row>
    <row r="64" spans="3:37" x14ac:dyDescent="0.25">
      <c r="K64" s="35">
        <v>44000</v>
      </c>
      <c r="L64" s="57">
        <v>36347</v>
      </c>
      <c r="M64" s="57">
        <v>32661</v>
      </c>
      <c r="N64" s="57">
        <v>35587</v>
      </c>
      <c r="O64" s="57">
        <f t="shared" si="30"/>
        <v>7653</v>
      </c>
      <c r="P64" s="57">
        <f t="shared" si="30"/>
        <v>11339</v>
      </c>
      <c r="Q64" s="57">
        <f t="shared" si="30"/>
        <v>8413</v>
      </c>
      <c r="R64" s="57">
        <f t="shared" si="31"/>
        <v>3686</v>
      </c>
      <c r="S64" s="57">
        <f t="shared" si="31"/>
        <v>760</v>
      </c>
      <c r="T64" s="57">
        <f t="shared" si="32"/>
        <v>47686</v>
      </c>
      <c r="U64" s="57">
        <f t="shared" si="32"/>
        <v>44760</v>
      </c>
      <c r="V64" s="154">
        <f t="shared" si="33"/>
        <v>1.0837727272727273</v>
      </c>
      <c r="W64" s="155">
        <f t="shared" si="33"/>
        <v>1.0172727272727273</v>
      </c>
    </row>
    <row r="65" spans="10:23" ht="15.75" thickBot="1" x14ac:dyDescent="0.3">
      <c r="K65" s="46"/>
      <c r="L65" s="47"/>
      <c r="M65" s="47"/>
      <c r="N65" s="47"/>
      <c r="O65" s="47"/>
      <c r="P65" s="47"/>
      <c r="Q65" s="47"/>
      <c r="R65" s="47"/>
      <c r="S65" s="47"/>
      <c r="T65" s="156" t="s">
        <v>179</v>
      </c>
      <c r="U65" s="156" t="s">
        <v>183</v>
      </c>
      <c r="V65" s="157">
        <f>AVERAGE(V61:V64)</f>
        <v>1.1376873820623821</v>
      </c>
      <c r="W65" s="158">
        <f>AVERAGE(W61:W64)</f>
        <v>1.0149544760794762</v>
      </c>
    </row>
    <row r="66" spans="10:23" x14ac:dyDescent="0.25">
      <c r="W66" s="294"/>
    </row>
    <row r="67" spans="10:23" x14ac:dyDescent="0.25">
      <c r="K67" t="s">
        <v>336</v>
      </c>
    </row>
    <row r="69" spans="10:23" x14ac:dyDescent="0.25">
      <c r="K69" t="s">
        <v>337</v>
      </c>
      <c r="L69" t="s">
        <v>338</v>
      </c>
      <c r="M69" t="s">
        <v>341</v>
      </c>
      <c r="N69" t="s">
        <v>355</v>
      </c>
    </row>
    <row r="70" spans="10:23" x14ac:dyDescent="0.25">
      <c r="J70" s="57"/>
      <c r="K70" s="57">
        <v>1950</v>
      </c>
      <c r="L70">
        <f>R40</f>
        <v>2455</v>
      </c>
      <c r="M70">
        <f>T40</f>
        <v>1970</v>
      </c>
      <c r="N70">
        <f>K70*1.015</f>
        <v>1979.2499999999998</v>
      </c>
    </row>
    <row r="71" spans="10:23" x14ac:dyDescent="0.25">
      <c r="J71" s="57"/>
      <c r="K71" s="57">
        <v>3500</v>
      </c>
      <c r="L71">
        <f t="shared" ref="L71:M74" si="34">T61</f>
        <v>4224</v>
      </c>
      <c r="M71" s="293">
        <f t="shared" si="34"/>
        <v>3566</v>
      </c>
      <c r="N71">
        <f t="shared" ref="N71:N74" si="35">K71*1.015</f>
        <v>3552.4999999999995</v>
      </c>
    </row>
    <row r="72" spans="10:23" x14ac:dyDescent="0.25">
      <c r="J72" s="57"/>
      <c r="K72" s="57">
        <v>5200</v>
      </c>
      <c r="L72">
        <f t="shared" si="34"/>
        <v>6028</v>
      </c>
      <c r="M72" s="293">
        <f t="shared" si="34"/>
        <v>5255</v>
      </c>
      <c r="N72">
        <f t="shared" si="35"/>
        <v>5277.9999999999991</v>
      </c>
    </row>
    <row r="73" spans="10:23" x14ac:dyDescent="0.25">
      <c r="J73" s="57"/>
      <c r="K73" s="57">
        <v>18000</v>
      </c>
      <c r="L73">
        <f t="shared" si="34"/>
        <v>19816</v>
      </c>
      <c r="M73" s="293">
        <f t="shared" si="34"/>
        <v>18236</v>
      </c>
      <c r="N73">
        <f t="shared" si="35"/>
        <v>18270</v>
      </c>
    </row>
    <row r="74" spans="10:23" x14ac:dyDescent="0.25">
      <c r="J74" s="57"/>
      <c r="K74" s="57">
        <v>44000</v>
      </c>
      <c r="L74">
        <f t="shared" si="34"/>
        <v>47686</v>
      </c>
      <c r="M74" s="293">
        <f t="shared" si="34"/>
        <v>44760</v>
      </c>
      <c r="N74">
        <f t="shared" si="35"/>
        <v>44659.999999999993</v>
      </c>
    </row>
  </sheetData>
  <sheetProtection algorithmName="SHA-512" hashValue="wKlWgMDaRIzEkZmnsgFEU3MrLEQWBZbO/Ebxvya3jU6wkie7LYkFIFJpMQHKY+qtKYYYoTgmesYta7PQHIn6bg==" saltValue="onktxEnx/WJv7j2mRv5Dzw==" spinCount="100000" sheet="1" objects="1" scenarios="1"/>
  <mergeCells count="14">
    <mergeCell ref="G7:H7"/>
    <mergeCell ref="W5:Y5"/>
    <mergeCell ref="W6:Y6"/>
    <mergeCell ref="T38:U38"/>
    <mergeCell ref="L59:N59"/>
    <mergeCell ref="O59:Q59"/>
    <mergeCell ref="R59:S59"/>
    <mergeCell ref="T59:U59"/>
    <mergeCell ref="E36:H36"/>
    <mergeCell ref="E37:H37"/>
    <mergeCell ref="E38:H38"/>
    <mergeCell ref="R38:S38"/>
    <mergeCell ref="P5:S5"/>
    <mergeCell ref="P6:S6"/>
  </mergeCells>
  <hyperlinks>
    <hyperlink ref="E36" r:id="rId1" display="https://www.transport.gov.scot/publication/scottish-transport-statistics-no-39-2020-edition-pdf-only/"/>
    <hyperlink ref="E50" r:id="rId2" display="https://trl.co.uk/uploads/trl/documents/LR979.pdf"/>
    <hyperlink ref="K58" r:id="rId3" display="https://www.sciencedirect.com/science/article/pii/S0360319920307989"/>
    <hyperlink ref="I35" r:id="rId4" display="https://www.gov.uk/government/publications/hgv-maximum-weights/hgv-maximum-weights"/>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74"/>
  <sheetViews>
    <sheetView topLeftCell="A11" workbookViewId="0">
      <selection activeCell="D18" sqref="D18:D20"/>
    </sheetView>
  </sheetViews>
  <sheetFormatPr defaultRowHeight="15" x14ac:dyDescent="0.25"/>
  <cols>
    <col min="1" max="1" width="13.7109375" customWidth="1"/>
    <col min="2" max="3" width="11.85546875" customWidth="1"/>
    <col min="4" max="4" width="16.28515625" customWidth="1"/>
    <col min="5" max="5" width="13.5703125" customWidth="1"/>
    <col min="6" max="6" width="10.42578125" style="3" customWidth="1"/>
    <col min="7" max="7" width="10.7109375" style="3" customWidth="1"/>
    <col min="8" max="8" width="10" style="3" customWidth="1"/>
    <col min="9" max="9" width="13.85546875" customWidth="1"/>
    <col min="10" max="10" width="13.42578125" customWidth="1"/>
    <col min="11" max="11" width="12.7109375" customWidth="1"/>
    <col min="12" max="14" width="11" customWidth="1"/>
    <col min="15" max="15" width="13.7109375" customWidth="1"/>
    <col min="16" max="16" width="14.140625" customWidth="1"/>
    <col min="17" max="17" width="16.28515625" customWidth="1"/>
    <col min="18" max="20" width="15.7109375" customWidth="1"/>
    <col min="21" max="21" width="15.140625" customWidth="1"/>
    <col min="22" max="22" width="12.5703125" customWidth="1"/>
    <col min="23" max="23" width="16.28515625" customWidth="1"/>
    <col min="24" max="27" width="15.5703125" customWidth="1"/>
    <col min="28" max="28" width="14.85546875" customWidth="1"/>
    <col min="29" max="30" width="19.28515625" customWidth="1"/>
    <col min="31" max="31" width="16.140625" customWidth="1"/>
    <col min="32" max="32" width="12.7109375" customWidth="1"/>
    <col min="33" max="33" width="16.28515625" customWidth="1"/>
    <col min="34" max="34" width="15.85546875" customWidth="1"/>
    <col min="35" max="35" width="21" customWidth="1"/>
    <col min="36" max="36" width="10.42578125" customWidth="1"/>
    <col min="37" max="37" width="12.7109375" customWidth="1"/>
    <col min="38" max="38" width="15.42578125" customWidth="1"/>
    <col min="39" max="39" width="15.85546875" customWidth="1"/>
    <col min="40" max="41" width="13.28515625" customWidth="1"/>
    <col min="42" max="42" width="12.140625" customWidth="1"/>
    <col min="43" max="43" width="17.5703125" customWidth="1"/>
    <col min="44" max="44" width="14" customWidth="1"/>
    <col min="46" max="46" width="13" customWidth="1"/>
    <col min="47" max="47" width="12.7109375" bestFit="1" customWidth="1"/>
    <col min="49" max="49" width="14.28515625" customWidth="1"/>
    <col min="50" max="50" width="16.5703125" customWidth="1"/>
    <col min="51" max="51" width="13.28515625" customWidth="1"/>
    <col min="52" max="53" width="16.140625" customWidth="1"/>
    <col min="54" max="54" width="12.5703125" customWidth="1"/>
    <col min="55" max="55" width="18.7109375" customWidth="1"/>
    <col min="61" max="61" width="12.42578125" bestFit="1" customWidth="1"/>
    <col min="62" max="62" width="15" customWidth="1"/>
    <col min="63" max="63" width="12.7109375" bestFit="1" customWidth="1"/>
    <col min="64" max="64" width="12.42578125" bestFit="1" customWidth="1"/>
    <col min="66" max="66" width="13.42578125" customWidth="1"/>
  </cols>
  <sheetData>
    <row r="1" spans="1:67" ht="15.75" thickBot="1" x14ac:dyDescent="0.3">
      <c r="A1" t="s">
        <v>373</v>
      </c>
    </row>
    <row r="2" spans="1:67" x14ac:dyDescent="0.25">
      <c r="A2" t="s">
        <v>374</v>
      </c>
      <c r="K2" s="141" t="s">
        <v>14</v>
      </c>
      <c r="P2" s="139" t="s">
        <v>141</v>
      </c>
      <c r="T2" s="7">
        <v>1.0744</v>
      </c>
    </row>
    <row r="3" spans="1:67" x14ac:dyDescent="0.25">
      <c r="K3" s="142">
        <v>9.81</v>
      </c>
      <c r="L3" s="3"/>
      <c r="M3" s="3"/>
      <c r="N3" s="3"/>
      <c r="O3" s="3"/>
      <c r="P3" s="298">
        <v>80</v>
      </c>
      <c r="T3" s="7">
        <v>430.17</v>
      </c>
      <c r="AF3" s="631"/>
      <c r="AG3" s="631"/>
      <c r="AH3" s="631"/>
    </row>
    <row r="4" spans="1:67" ht="15.75" thickBot="1" x14ac:dyDescent="0.3">
      <c r="A4" t="s">
        <v>376</v>
      </c>
      <c r="B4" s="77">
        <v>0</v>
      </c>
      <c r="K4" s="297" t="s">
        <v>15</v>
      </c>
      <c r="L4" s="8"/>
      <c r="M4" s="8"/>
      <c r="N4" s="8"/>
      <c r="O4" s="8"/>
      <c r="P4" s="297" t="s">
        <v>16</v>
      </c>
      <c r="T4" s="7">
        <v>1.014</v>
      </c>
      <c r="AF4" s="632"/>
      <c r="AG4" s="632"/>
      <c r="AH4" s="632"/>
    </row>
    <row r="5" spans="1:67" ht="15" customHeight="1" thickBot="1" x14ac:dyDescent="0.3">
      <c r="Q5" s="324"/>
      <c r="R5" s="3"/>
      <c r="S5" s="3"/>
      <c r="T5" s="619" t="s">
        <v>351</v>
      </c>
      <c r="U5" s="620"/>
      <c r="V5" s="620"/>
      <c r="W5" s="621"/>
      <c r="X5" s="118"/>
      <c r="Y5" s="330"/>
      <c r="Z5" s="330"/>
      <c r="AA5" s="330"/>
      <c r="AE5" s="619" t="s">
        <v>352</v>
      </c>
      <c r="AF5" s="620"/>
      <c r="AG5" s="621"/>
    </row>
    <row r="6" spans="1:67" ht="15.75" customHeight="1" thickBot="1" x14ac:dyDescent="0.3">
      <c r="G6"/>
      <c r="I6" s="87" t="s">
        <v>350</v>
      </c>
      <c r="J6" s="88"/>
      <c r="K6" s="89"/>
      <c r="M6" s="8" t="s">
        <v>171</v>
      </c>
      <c r="N6" s="8" t="s">
        <v>171</v>
      </c>
      <c r="O6" s="8" t="s">
        <v>171</v>
      </c>
      <c r="P6" s="8" t="s">
        <v>171</v>
      </c>
      <c r="Q6" s="8" t="s">
        <v>171</v>
      </c>
      <c r="R6" s="8" t="s">
        <v>171</v>
      </c>
      <c r="S6" s="8"/>
      <c r="T6" s="622" t="s">
        <v>354</v>
      </c>
      <c r="U6" s="623"/>
      <c r="V6" s="623"/>
      <c r="W6" s="624"/>
      <c r="X6" s="479"/>
      <c r="Y6" s="353" t="s">
        <v>172</v>
      </c>
      <c r="Z6" s="353" t="s">
        <v>172</v>
      </c>
      <c r="AA6" s="353" t="s">
        <v>172</v>
      </c>
      <c r="AB6" t="s">
        <v>172</v>
      </c>
      <c r="AC6" t="s">
        <v>172</v>
      </c>
      <c r="AE6" s="622" t="s">
        <v>353</v>
      </c>
      <c r="AF6" s="623"/>
      <c r="AG6" s="624"/>
      <c r="AH6" t="s">
        <v>173</v>
      </c>
      <c r="AI6" t="s">
        <v>173</v>
      </c>
      <c r="AJ6" t="s">
        <v>173</v>
      </c>
      <c r="AK6" t="s">
        <v>173</v>
      </c>
      <c r="AL6" t="s">
        <v>173</v>
      </c>
      <c r="AM6" t="s">
        <v>173</v>
      </c>
      <c r="AN6" t="s">
        <v>173</v>
      </c>
      <c r="AP6" s="321" t="s">
        <v>189</v>
      </c>
      <c r="AQ6" s="322"/>
      <c r="AR6" s="322"/>
      <c r="AS6" s="323"/>
      <c r="AT6" t="s">
        <v>360</v>
      </c>
      <c r="AU6" t="s">
        <v>360</v>
      </c>
      <c r="AV6" t="s">
        <v>360</v>
      </c>
      <c r="AW6" t="s">
        <v>360</v>
      </c>
      <c r="AX6" t="s">
        <v>360</v>
      </c>
      <c r="AY6" t="s">
        <v>360</v>
      </c>
      <c r="AZ6" t="s">
        <v>360</v>
      </c>
      <c r="BE6" s="57"/>
      <c r="BF6" s="57"/>
      <c r="BG6" s="57"/>
      <c r="BH6" s="57"/>
      <c r="BI6" s="57"/>
      <c r="BJ6" s="57"/>
      <c r="BK6" s="57"/>
      <c r="BL6" s="57"/>
      <c r="BM6" s="57"/>
      <c r="BN6" s="57"/>
    </row>
    <row r="7" spans="1:67" ht="75" x14ac:dyDescent="0.25">
      <c r="B7" s="28" t="s">
        <v>0</v>
      </c>
      <c r="C7" s="29"/>
      <c r="D7" s="29" t="s">
        <v>10</v>
      </c>
      <c r="E7" s="117" t="s">
        <v>6</v>
      </c>
      <c r="F7" s="117" t="s">
        <v>184</v>
      </c>
      <c r="G7" s="617" t="s">
        <v>342</v>
      </c>
      <c r="H7" s="618"/>
      <c r="I7" s="116" t="s">
        <v>343</v>
      </c>
      <c r="J7" s="117" t="s">
        <v>12</v>
      </c>
      <c r="K7" s="117" t="s">
        <v>379</v>
      </c>
      <c r="L7" s="117" t="s">
        <v>32</v>
      </c>
      <c r="M7" s="117" t="s">
        <v>375</v>
      </c>
      <c r="N7" s="117" t="s">
        <v>378</v>
      </c>
      <c r="O7" s="117" t="s">
        <v>377</v>
      </c>
      <c r="P7" s="117" t="s">
        <v>380</v>
      </c>
      <c r="Q7" s="117" t="s">
        <v>382</v>
      </c>
      <c r="R7" s="118" t="s">
        <v>381</v>
      </c>
      <c r="S7" s="496" t="s">
        <v>480</v>
      </c>
      <c r="T7" s="117" t="s">
        <v>344</v>
      </c>
      <c r="U7" s="117" t="s">
        <v>12</v>
      </c>
      <c r="V7" s="117" t="s">
        <v>13</v>
      </c>
      <c r="W7" s="117" t="s">
        <v>32</v>
      </c>
      <c r="X7" s="117" t="s">
        <v>375</v>
      </c>
      <c r="Y7" s="117" t="s">
        <v>378</v>
      </c>
      <c r="Z7" s="117" t="s">
        <v>463</v>
      </c>
      <c r="AA7" s="117" t="s">
        <v>464</v>
      </c>
      <c r="AB7" s="117" t="s">
        <v>465</v>
      </c>
      <c r="AC7" s="118" t="s">
        <v>466</v>
      </c>
      <c r="AD7" s="509" t="s">
        <v>480</v>
      </c>
      <c r="AE7" s="116" t="s">
        <v>345</v>
      </c>
      <c r="AF7" s="117" t="s">
        <v>12</v>
      </c>
      <c r="AG7" s="117" t="s">
        <v>13</v>
      </c>
      <c r="AH7" s="117" t="s">
        <v>32</v>
      </c>
      <c r="AI7" s="117" t="s">
        <v>375</v>
      </c>
      <c r="AJ7" s="117" t="s">
        <v>378</v>
      </c>
      <c r="AK7" s="117" t="s">
        <v>467</v>
      </c>
      <c r="AL7" s="117" t="s">
        <v>468</v>
      </c>
      <c r="AM7" s="117" t="s">
        <v>469</v>
      </c>
      <c r="AN7" s="118" t="s">
        <v>470</v>
      </c>
      <c r="AO7" s="509" t="s">
        <v>480</v>
      </c>
      <c r="AP7" s="116" t="s">
        <v>102</v>
      </c>
      <c r="AQ7" s="117" t="s">
        <v>346</v>
      </c>
      <c r="AR7" s="117" t="s">
        <v>12</v>
      </c>
      <c r="AS7" s="117" t="s">
        <v>13</v>
      </c>
      <c r="AT7" s="117" t="s">
        <v>32</v>
      </c>
      <c r="AU7" s="117" t="s">
        <v>375</v>
      </c>
      <c r="AV7" s="117" t="s">
        <v>378</v>
      </c>
      <c r="AW7" s="117" t="s">
        <v>471</v>
      </c>
      <c r="AX7" s="117" t="s">
        <v>472</v>
      </c>
      <c r="AY7" s="117" t="s">
        <v>473</v>
      </c>
      <c r="AZ7" s="118" t="s">
        <v>474</v>
      </c>
      <c r="BA7" s="496" t="s">
        <v>480</v>
      </c>
      <c r="BF7" s="60"/>
      <c r="BG7" s="60"/>
      <c r="BH7" s="60"/>
      <c r="BI7" s="60"/>
      <c r="BJ7" s="60"/>
      <c r="BK7" s="60"/>
      <c r="BL7" s="60"/>
      <c r="BM7" s="57"/>
      <c r="BN7" s="57"/>
      <c r="BO7" s="57"/>
    </row>
    <row r="8" spans="1:67" x14ac:dyDescent="0.25">
      <c r="B8" s="35"/>
      <c r="C8" s="57"/>
      <c r="D8" s="57"/>
      <c r="E8" s="60" t="s">
        <v>5</v>
      </c>
      <c r="F8" s="57" t="s">
        <v>25</v>
      </c>
      <c r="G8" s="60" t="s">
        <v>26</v>
      </c>
      <c r="H8" s="119" t="s">
        <v>27</v>
      </c>
      <c r="I8" s="387" t="s">
        <v>4</v>
      </c>
      <c r="J8" s="337" t="s">
        <v>11</v>
      </c>
      <c r="K8" s="337" t="s">
        <v>16</v>
      </c>
      <c r="L8" s="337" t="s">
        <v>31</v>
      </c>
      <c r="M8" s="337" t="s">
        <v>16</v>
      </c>
      <c r="N8" s="337" t="s">
        <v>16</v>
      </c>
      <c r="O8" s="60"/>
      <c r="P8" s="60"/>
      <c r="Q8" s="60"/>
      <c r="R8" s="119"/>
      <c r="S8" s="497"/>
      <c r="T8" s="57" t="s">
        <v>4</v>
      </c>
      <c r="U8" s="60" t="s">
        <v>11</v>
      </c>
      <c r="V8" s="60" t="s">
        <v>16</v>
      </c>
      <c r="W8" s="60" t="s">
        <v>31</v>
      </c>
      <c r="X8" s="337" t="s">
        <v>16</v>
      </c>
      <c r="Y8" s="337" t="s">
        <v>16</v>
      </c>
      <c r="Z8" s="60"/>
      <c r="AA8" s="60"/>
      <c r="AB8" s="60"/>
      <c r="AC8" s="119"/>
      <c r="AD8" s="510"/>
      <c r="AE8" s="35" t="s">
        <v>4</v>
      </c>
      <c r="AF8" s="60" t="s">
        <v>11</v>
      </c>
      <c r="AG8" s="60" t="s">
        <v>16</v>
      </c>
      <c r="AH8" s="60" t="s">
        <v>31</v>
      </c>
      <c r="AI8" s="337" t="s">
        <v>16</v>
      </c>
      <c r="AJ8" s="337" t="s">
        <v>16</v>
      </c>
      <c r="AK8" s="60"/>
      <c r="AL8" s="60"/>
      <c r="AM8" s="60"/>
      <c r="AN8" s="119"/>
      <c r="AO8" s="510"/>
      <c r="AP8" s="72"/>
      <c r="AQ8" s="57" t="s">
        <v>4</v>
      </c>
      <c r="AR8" s="60" t="s">
        <v>11</v>
      </c>
      <c r="AS8" s="60" t="s">
        <v>16</v>
      </c>
      <c r="AT8" s="60" t="s">
        <v>31</v>
      </c>
      <c r="AU8" s="337" t="s">
        <v>16</v>
      </c>
      <c r="AV8" s="337" t="s">
        <v>16</v>
      </c>
      <c r="AW8" s="60"/>
      <c r="AX8" s="60"/>
      <c r="AY8" s="60"/>
      <c r="AZ8" s="119"/>
      <c r="BA8" s="497"/>
      <c r="BB8" s="455" t="s">
        <v>475</v>
      </c>
      <c r="BC8" s="455"/>
      <c r="BD8" s="455"/>
      <c r="BE8" s="455"/>
      <c r="BF8" s="60"/>
      <c r="BG8" s="337"/>
      <c r="BH8" s="337"/>
      <c r="BI8" s="60"/>
      <c r="BJ8" s="60"/>
      <c r="BK8" s="60"/>
      <c r="BL8" s="60"/>
      <c r="BM8" s="57"/>
      <c r="BN8" s="57"/>
      <c r="BO8" s="57"/>
    </row>
    <row r="9" spans="1:67" x14ac:dyDescent="0.25">
      <c r="B9" s="35"/>
      <c r="C9" s="57"/>
      <c r="D9" s="57"/>
      <c r="E9" s="60"/>
      <c r="F9" s="57"/>
      <c r="G9" s="60"/>
      <c r="H9" s="119"/>
      <c r="I9" s="35"/>
      <c r="J9" s="60"/>
      <c r="K9" s="60"/>
      <c r="L9" s="57"/>
      <c r="M9" s="57"/>
      <c r="N9" s="57"/>
      <c r="O9" s="57"/>
      <c r="P9" s="57"/>
      <c r="Q9" s="133"/>
      <c r="R9" s="120"/>
      <c r="S9" s="498"/>
      <c r="T9" s="57"/>
      <c r="U9" s="60"/>
      <c r="V9" s="60"/>
      <c r="W9" s="57"/>
      <c r="X9" s="57"/>
      <c r="Y9" s="57"/>
      <c r="Z9" s="57"/>
      <c r="AA9" s="57"/>
      <c r="AB9" s="133"/>
      <c r="AC9" s="120"/>
      <c r="AD9" s="511"/>
      <c r="AE9" s="35"/>
      <c r="AF9" s="60"/>
      <c r="AG9" s="60"/>
      <c r="AH9" s="57"/>
      <c r="AI9" s="57"/>
      <c r="AJ9" s="57"/>
      <c r="AK9" s="57"/>
      <c r="AL9" s="57"/>
      <c r="AM9" s="133"/>
      <c r="AN9" s="120"/>
      <c r="AO9" s="511"/>
      <c r="AP9" s="135"/>
      <c r="AQ9" s="57"/>
      <c r="AR9" s="60"/>
      <c r="AS9" s="60"/>
      <c r="AT9" s="57"/>
      <c r="AU9" s="57"/>
      <c r="AV9" s="57"/>
      <c r="AW9" s="57"/>
      <c r="AX9" s="57"/>
      <c r="AY9" s="133"/>
      <c r="AZ9" s="120"/>
      <c r="BA9" s="498"/>
      <c r="BB9" s="455" t="s">
        <v>476</v>
      </c>
      <c r="BC9" s="455" t="s">
        <v>477</v>
      </c>
      <c r="BD9" s="455" t="s">
        <v>478</v>
      </c>
      <c r="BE9" s="455"/>
      <c r="BF9" s="57"/>
      <c r="BG9" s="57"/>
      <c r="BH9" s="57"/>
      <c r="BI9" s="57"/>
      <c r="BJ9" s="57"/>
      <c r="BK9" s="133"/>
      <c r="BL9" s="133"/>
      <c r="BM9" s="57"/>
      <c r="BN9" s="57"/>
      <c r="BO9" s="57"/>
    </row>
    <row r="10" spans="1:67" x14ac:dyDescent="0.25">
      <c r="B10" s="35"/>
      <c r="C10" s="57"/>
      <c r="D10" s="57"/>
      <c r="E10" s="60"/>
      <c r="F10" s="57"/>
      <c r="G10" s="60"/>
      <c r="H10" s="119"/>
      <c r="I10" s="35"/>
      <c r="J10" s="57"/>
      <c r="K10" s="57"/>
      <c r="L10" s="57"/>
      <c r="M10" s="57"/>
      <c r="N10" s="57"/>
      <c r="O10" s="57"/>
      <c r="P10" s="60"/>
      <c r="Q10" s="134"/>
      <c r="R10" s="121"/>
      <c r="S10" s="499"/>
      <c r="T10" s="57"/>
      <c r="U10" s="57"/>
      <c r="V10" s="57"/>
      <c r="W10" s="57"/>
      <c r="X10" s="57"/>
      <c r="Y10" s="57"/>
      <c r="Z10" s="57"/>
      <c r="AA10" s="60"/>
      <c r="AB10" s="134"/>
      <c r="AC10" s="121"/>
      <c r="AD10" s="512"/>
      <c r="AE10" s="35"/>
      <c r="AF10" s="57"/>
      <c r="AG10" s="57"/>
      <c r="AH10" s="57"/>
      <c r="AI10" s="57"/>
      <c r="AJ10" s="57"/>
      <c r="AK10" s="57"/>
      <c r="AL10" s="60"/>
      <c r="AM10" s="134"/>
      <c r="AN10" s="121"/>
      <c r="AO10" s="512"/>
      <c r="AP10" s="136"/>
      <c r="AQ10" s="57"/>
      <c r="AR10" s="57"/>
      <c r="AS10" s="57"/>
      <c r="AT10" s="57"/>
      <c r="AU10" s="57"/>
      <c r="AV10" s="57"/>
      <c r="AW10" s="57"/>
      <c r="AX10" s="60"/>
      <c r="AY10" s="134"/>
      <c r="AZ10" s="121"/>
      <c r="BA10" s="499"/>
      <c r="BB10" s="455"/>
      <c r="BC10" s="455"/>
      <c r="BD10" s="455"/>
      <c r="BE10" s="455" t="s">
        <v>479</v>
      </c>
      <c r="BF10" s="122"/>
      <c r="BG10" s="480"/>
      <c r="BH10" s="354"/>
      <c r="BI10" s="348"/>
      <c r="BJ10" s="348"/>
      <c r="BK10" s="114"/>
      <c r="BL10" s="348"/>
      <c r="BM10" s="57"/>
      <c r="BN10" s="481"/>
      <c r="BO10" s="57"/>
    </row>
    <row r="11" spans="1:67" ht="30" x14ac:dyDescent="0.25">
      <c r="A11" s="126" t="s">
        <v>41</v>
      </c>
      <c r="B11" s="126" t="s">
        <v>41</v>
      </c>
      <c r="C11" s="312" t="s">
        <v>365</v>
      </c>
      <c r="D11" s="57"/>
      <c r="E11" s="127">
        <v>14154</v>
      </c>
      <c r="F11" s="57"/>
      <c r="G11" s="127">
        <v>14000</v>
      </c>
      <c r="H11" s="128">
        <v>19500</v>
      </c>
      <c r="I11" s="35">
        <v>17000</v>
      </c>
      <c r="J11" s="159">
        <v>2</v>
      </c>
      <c r="K11" s="44">
        <f t="shared" ref="K11:K26" si="0">$K$3*I11/(J11*1000)</f>
        <v>83.385000000000005</v>
      </c>
      <c r="L11" s="122">
        <v>45471.244877773075</v>
      </c>
      <c r="M11" s="43">
        <f>N11*(1+$B$4)</f>
        <v>83.385000000000005</v>
      </c>
      <c r="N11" s="354">
        <f>($K$3*I11/(J11+$B$4))/1000</f>
        <v>83.385000000000005</v>
      </c>
      <c r="O11" s="348">
        <f>(M11/$P$3)^4</f>
        <v>1.1802983076230504</v>
      </c>
      <c r="P11" s="348">
        <f>(N11/$P$3)^4</f>
        <v>1.1802983076230504</v>
      </c>
      <c r="Q11" s="114">
        <f>R11*$E11*L11</f>
        <v>1519279981.5723908</v>
      </c>
      <c r="R11" s="350">
        <f>O11+(P11*(J11-1))</f>
        <v>2.3605966152461009</v>
      </c>
      <c r="S11" s="430">
        <f>'Main table (road wear)'!O10</f>
        <v>2.3605966152461009</v>
      </c>
      <c r="T11" s="140">
        <f>MIN($T$2*$I11+$T$3,H11)</f>
        <v>18694.969999999998</v>
      </c>
      <c r="U11" s="159">
        <v>2</v>
      </c>
      <c r="V11" s="44">
        <f t="shared" ref="V11:V26" si="1">$K$3*T11/(U11*1000)</f>
        <v>91.698827849999986</v>
      </c>
      <c r="W11" s="122">
        <f t="shared" ref="W11:W26" si="2">L11*($T$2*$I11+$T$3)/T11</f>
        <v>45471.244877773075</v>
      </c>
      <c r="X11" s="43">
        <f>Y11*(1+$B$4)</f>
        <v>91.698827849999986</v>
      </c>
      <c r="Y11" s="354">
        <f>($K$3*T11/(U11+$B$4))/1000</f>
        <v>91.698827849999986</v>
      </c>
      <c r="Z11" s="348">
        <f>(X11/$P$3)^4</f>
        <v>1.726216204697347</v>
      </c>
      <c r="AA11" s="348">
        <f>(Y11/$P$3)^4</f>
        <v>1.726216204697347</v>
      </c>
      <c r="AB11" s="114">
        <f>AC11*$E11*W11</f>
        <v>2221985498.6864252</v>
      </c>
      <c r="AC11" s="350">
        <f>Z11+(AA11*(U11-1))</f>
        <v>3.4524324093946941</v>
      </c>
      <c r="AD11" s="430">
        <f>'Main table (road wear)'!V10</f>
        <v>3.4524324093946941</v>
      </c>
      <c r="AE11" s="259">
        <f>MIN($I11*$T$4,H11)</f>
        <v>17238</v>
      </c>
      <c r="AF11" s="159">
        <f t="shared" ref="AF11:AF26" si="3">$J11</f>
        <v>2</v>
      </c>
      <c r="AG11" s="44">
        <f t="shared" ref="AG11:AG26" si="4">$K$3*AE11/(AF11*1000)</f>
        <v>84.552390000000003</v>
      </c>
      <c r="AH11" s="122">
        <f>L11*($T$4*$I11)/AE11</f>
        <v>45471.244877773075</v>
      </c>
      <c r="AI11" s="43">
        <f>AJ11*(1+$B$4)</f>
        <v>84.552390000000003</v>
      </c>
      <c r="AJ11" s="354">
        <f>($K$3*AE11/(AF11+$B$4))/1000</f>
        <v>84.552390000000003</v>
      </c>
      <c r="AK11" s="348">
        <f>(AI11/$P$3)^4</f>
        <v>1.2477960439562705</v>
      </c>
      <c r="AL11" s="348">
        <f>(AJ11/$P$3)^4</f>
        <v>1.2477960439562705</v>
      </c>
      <c r="AM11" s="114">
        <f>AN11*$E11*AH11</f>
        <v>1606163067.7805116</v>
      </c>
      <c r="AN11" s="350">
        <f>AK11+(AL11*(AF11-1))</f>
        <v>2.4955920879125411</v>
      </c>
      <c r="AO11" s="430">
        <f>'Main table (road wear)'!AC10</f>
        <v>2.4955920879125411</v>
      </c>
      <c r="AP11" s="168" t="s">
        <v>173</v>
      </c>
      <c r="AQ11" s="140">
        <f t="shared" ref="AQ11:AQ26" si="5">IF(AP11="FCEV",AE11,IF(AP11="BEV",T11,"error"))</f>
        <v>17238</v>
      </c>
      <c r="AR11" s="159">
        <f t="shared" ref="AR11:AR26" si="6">$J11</f>
        <v>2</v>
      </c>
      <c r="AS11" s="44">
        <f t="shared" ref="AS11:AS26" si="7">$K$3*AQ11/(AR11*1000)</f>
        <v>84.552390000000003</v>
      </c>
      <c r="AT11" s="122">
        <f>IF(AP11="FCEV",AH11,IF(AP11="BEV",W11))</f>
        <v>45471.244877773075</v>
      </c>
      <c r="AU11" s="43">
        <f>AV11*(1+$B$4)</f>
        <v>84.552390000000003</v>
      </c>
      <c r="AV11" s="354">
        <f>($K$3*AQ11/(AR11+$B$4))/1000</f>
        <v>84.552390000000003</v>
      </c>
      <c r="AW11" s="348">
        <f>(AU11/$P$3)^4</f>
        <v>1.2477960439562705</v>
      </c>
      <c r="AX11" s="348">
        <f>(AV11/$P$3)^4</f>
        <v>1.2477960439562705</v>
      </c>
      <c r="AY11" s="114">
        <f>AZ11*$E11*AT11</f>
        <v>1606163067.7805116</v>
      </c>
      <c r="AZ11" s="350">
        <f>AW11+(AX11*(AR11-1))</f>
        <v>2.4955920879125411</v>
      </c>
      <c r="BA11" s="516">
        <f>'Main table (road wear)'!AK10</f>
        <v>2.4955920879125411</v>
      </c>
      <c r="BB11" s="456">
        <f>AB11/Q11</f>
        <v>1.4625253578255957</v>
      </c>
      <c r="BC11" s="456">
        <v>1.4625253578255959</v>
      </c>
      <c r="BD11" s="456">
        <f>AB11/'[2]Revised Final table'!N10</f>
        <v>1.4625253578255957</v>
      </c>
      <c r="BE11" s="456">
        <f>BD11-BB11</f>
        <v>0</v>
      </c>
      <c r="BF11" s="122"/>
      <c r="BG11" s="480"/>
      <c r="BH11" s="354"/>
      <c r="BI11" s="172"/>
      <c r="BJ11" s="172"/>
      <c r="BK11" s="114"/>
      <c r="BL11" s="172"/>
      <c r="BM11" s="57"/>
      <c r="BN11" s="481"/>
      <c r="BO11" s="57"/>
    </row>
    <row r="12" spans="1:67" ht="15.75" x14ac:dyDescent="0.25">
      <c r="B12" s="126" t="s">
        <v>2</v>
      </c>
      <c r="C12" s="312" t="s">
        <v>2</v>
      </c>
      <c r="D12" s="144" t="s">
        <v>135</v>
      </c>
      <c r="E12" s="127">
        <v>1544505.3520000002</v>
      </c>
      <c r="F12" s="145"/>
      <c r="G12" s="127">
        <v>1000</v>
      </c>
      <c r="H12" s="128">
        <v>2600</v>
      </c>
      <c r="I12" s="124">
        <f>AVERAGE(G12:H12)</f>
        <v>1800</v>
      </c>
      <c r="J12" s="159">
        <v>2</v>
      </c>
      <c r="K12" s="44">
        <f t="shared" si="0"/>
        <v>8.8290000000000006</v>
      </c>
      <c r="L12" s="122">
        <v>14570.798265265224</v>
      </c>
      <c r="M12" s="43">
        <f t="shared" ref="M12:M26" si="8">N12*(1+$B$4)</f>
        <v>8.8290000000000006</v>
      </c>
      <c r="N12" s="354">
        <f t="shared" ref="N12:N26" si="9">($K$3*I12/(J12+$B$4))/1000</f>
        <v>8.8290000000000006</v>
      </c>
      <c r="O12" s="172">
        <f t="shared" ref="O12:P26" si="10">(M12/$P$3)^4</f>
        <v>1.483495110703145E-4</v>
      </c>
      <c r="P12" s="172">
        <f t="shared" si="10"/>
        <v>1.483495110703145E-4</v>
      </c>
      <c r="Q12" s="114">
        <f t="shared" ref="Q12:Q26" si="11">R12*$E12*L12</f>
        <v>6677115.3341941861</v>
      </c>
      <c r="R12" s="173">
        <f t="shared" ref="R12:R26" si="12">O12+(P12*(J12-1))</f>
        <v>2.96699022140629E-4</v>
      </c>
      <c r="S12" s="500">
        <f>'Main table (road wear)'!O11</f>
        <v>2.96699022140629E-4</v>
      </c>
      <c r="T12" s="140">
        <f>$T$2*$I12+$T$3</f>
        <v>2364.09</v>
      </c>
      <c r="U12" s="159">
        <v>2</v>
      </c>
      <c r="V12" s="44">
        <f t="shared" si="1"/>
        <v>11.595861450000003</v>
      </c>
      <c r="W12" s="122">
        <f t="shared" si="2"/>
        <v>14570.798265265224</v>
      </c>
      <c r="X12" s="43">
        <f t="shared" ref="X12:X26" si="13">Y12*(1+$B$4)</f>
        <v>11.595861450000003</v>
      </c>
      <c r="Y12" s="354">
        <f t="shared" ref="Y12:Y26" si="14">($K$3*T12/(U12+$B$4))/1000</f>
        <v>11.595861450000003</v>
      </c>
      <c r="Z12" s="172">
        <f t="shared" ref="Z12:AA26" si="15">(X12/$P$3)^4</f>
        <v>4.4142011817099869E-4</v>
      </c>
      <c r="AA12" s="172">
        <f t="shared" si="15"/>
        <v>4.4142011817099869E-4</v>
      </c>
      <c r="AB12" s="114">
        <f t="shared" ref="AB12:AB26" si="16">AC12*$E12*W12</f>
        <v>19868033.393547043</v>
      </c>
      <c r="AC12" s="173">
        <f t="shared" ref="AC12:AC26" si="17">Z12+(AA12*(U12-1))</f>
        <v>8.8284023634199738E-4</v>
      </c>
      <c r="AD12" s="500">
        <f>'Main table (road wear)'!V11</f>
        <v>8.8284023634199738E-4</v>
      </c>
      <c r="AE12" s="259">
        <f t="shared" ref="AE12:AE26" si="18">MIN($I12*$T$4,H12)</f>
        <v>1825.2</v>
      </c>
      <c r="AF12" s="159">
        <f t="shared" si="3"/>
        <v>2</v>
      </c>
      <c r="AG12" s="44">
        <f t="shared" si="4"/>
        <v>8.9526059999999994</v>
      </c>
      <c r="AH12" s="122">
        <f t="shared" ref="AH12:AH26" si="19">L12*($T$4*$I12)/AE12</f>
        <v>14570.798265265224</v>
      </c>
      <c r="AI12" s="43">
        <f t="shared" ref="AI12:AI26" si="20">AJ12*(1+$B$4)</f>
        <v>8.9526059999999994</v>
      </c>
      <c r="AJ12" s="354">
        <f t="shared" ref="AJ12:AJ26" si="21">($K$3*AE12/(AF12+$B$4))/1000</f>
        <v>8.9526059999999994</v>
      </c>
      <c r="AK12" s="172">
        <f t="shared" ref="AK12:AL26" si="22">(AI12/$P$3)^4</f>
        <v>1.5683317669849909E-4</v>
      </c>
      <c r="AL12" s="172">
        <f t="shared" si="22"/>
        <v>1.5683317669849909E-4</v>
      </c>
      <c r="AM12" s="114">
        <f t="shared" ref="AM12:AM26" si="23">AN12*$E12*AH12</f>
        <v>7058959.6250680415</v>
      </c>
      <c r="AN12" s="173">
        <f t="shared" ref="AN12:AN26" si="24">AK12+(AL12*(AF12-1))</f>
        <v>3.1366635339699818E-4</v>
      </c>
      <c r="AO12" s="502">
        <f>'Main table (road wear)'!AC11</f>
        <v>3.1366635339699818E-4</v>
      </c>
      <c r="AP12" s="168" t="s">
        <v>172</v>
      </c>
      <c r="AQ12" s="140">
        <f t="shared" si="5"/>
        <v>2364.09</v>
      </c>
      <c r="AR12" s="159">
        <f t="shared" si="6"/>
        <v>2</v>
      </c>
      <c r="AS12" s="44">
        <f t="shared" si="7"/>
        <v>11.595861450000003</v>
      </c>
      <c r="AT12" s="122">
        <f t="shared" ref="AT12:AT26" si="25">IF(AP12="FCEV",AH12,IF(AP12="BEV",W12))</f>
        <v>14570.798265265224</v>
      </c>
      <c r="AU12" s="43">
        <f t="shared" ref="AU12:AU26" si="26">AV12*(1+$B$4)</f>
        <v>11.595861450000003</v>
      </c>
      <c r="AV12" s="354">
        <f t="shared" ref="AV12:AV26" si="27">($K$3*AQ12/(AR12+$B$4))/1000</f>
        <v>11.595861450000003</v>
      </c>
      <c r="AW12" s="172">
        <f t="shared" ref="AW12:AX26" si="28">(AU12/$P$3)^4</f>
        <v>4.4142011817099869E-4</v>
      </c>
      <c r="AX12" s="172">
        <f t="shared" si="28"/>
        <v>4.4142011817099869E-4</v>
      </c>
      <c r="AY12" s="114">
        <f t="shared" ref="AY12:AY26" si="29">AZ12*$E12*AT12</f>
        <v>19868033.393547043</v>
      </c>
      <c r="AZ12" s="173">
        <f t="shared" ref="AZ12:AZ26" si="30">AW12+(AX12*(AR12-1))</f>
        <v>8.8284023634199738E-4</v>
      </c>
      <c r="BA12" s="517">
        <f>'Main table (road wear)'!AK11</f>
        <v>8.8284023634199738E-4</v>
      </c>
      <c r="BB12" s="456">
        <f t="shared" ref="BB12:BB32" si="31">AB12/Q12</f>
        <v>2.9755414425449302</v>
      </c>
      <c r="BC12" s="456">
        <v>2.9755414425449307</v>
      </c>
      <c r="BD12" s="456">
        <f>AB12/'[2]Revised Final table'!N11</f>
        <v>2.9755414425449307</v>
      </c>
      <c r="BE12" s="456">
        <f t="shared" ref="BE12:BE32" si="32">BD12-BB12</f>
        <v>0</v>
      </c>
      <c r="BF12" s="122"/>
      <c r="BG12" s="480"/>
      <c r="BH12" s="354"/>
      <c r="BI12" s="172"/>
      <c r="BJ12" s="172"/>
      <c r="BK12" s="114"/>
      <c r="BL12" s="172"/>
      <c r="BM12" s="57"/>
      <c r="BN12" s="481"/>
      <c r="BO12" s="57"/>
    </row>
    <row r="13" spans="1:67" x14ac:dyDescent="0.25">
      <c r="B13" s="126" t="s">
        <v>2</v>
      </c>
      <c r="C13" s="24" t="s">
        <v>2</v>
      </c>
      <c r="D13" s="57" t="s">
        <v>134</v>
      </c>
      <c r="E13" s="127">
        <v>973215.32</v>
      </c>
      <c r="F13" s="145"/>
      <c r="G13" s="127">
        <v>1000</v>
      </c>
      <c r="H13" s="128">
        <v>2600</v>
      </c>
      <c r="I13" s="124">
        <f>AVERAGE(G13:H13)</f>
        <v>1800</v>
      </c>
      <c r="J13" s="159">
        <v>2</v>
      </c>
      <c r="K13" s="44">
        <f t="shared" si="0"/>
        <v>8.8290000000000006</v>
      </c>
      <c r="L13" s="122">
        <v>14570.798265265224</v>
      </c>
      <c r="M13" s="43">
        <f t="shared" si="8"/>
        <v>8.8290000000000006</v>
      </c>
      <c r="N13" s="354">
        <f t="shared" si="9"/>
        <v>8.8290000000000006</v>
      </c>
      <c r="O13" s="172">
        <f t="shared" si="10"/>
        <v>1.483495110703145E-4</v>
      </c>
      <c r="P13" s="172">
        <f t="shared" si="10"/>
        <v>1.483495110703145E-4</v>
      </c>
      <c r="Q13" s="114">
        <f t="shared" si="11"/>
        <v>4207347.6328392169</v>
      </c>
      <c r="R13" s="173">
        <f t="shared" si="12"/>
        <v>2.96699022140629E-4</v>
      </c>
      <c r="S13" s="500">
        <f>'Main table (road wear)'!O12</f>
        <v>2.96699022140629E-4</v>
      </c>
      <c r="T13" s="140">
        <f>$T$2*$I13+$T$3</f>
        <v>2364.09</v>
      </c>
      <c r="U13" s="159">
        <v>2</v>
      </c>
      <c r="V13" s="44">
        <f t="shared" si="1"/>
        <v>11.595861450000003</v>
      </c>
      <c r="W13" s="122">
        <f t="shared" si="2"/>
        <v>14570.798265265224</v>
      </c>
      <c r="X13" s="43">
        <f t="shared" si="13"/>
        <v>11.595861450000003</v>
      </c>
      <c r="Y13" s="354">
        <f t="shared" si="14"/>
        <v>11.595861450000003</v>
      </c>
      <c r="Z13" s="172">
        <f t="shared" si="15"/>
        <v>4.4142011817099869E-4</v>
      </c>
      <c r="AA13" s="172">
        <f t="shared" si="15"/>
        <v>4.4142011817099869E-4</v>
      </c>
      <c r="AB13" s="114">
        <f t="shared" si="16"/>
        <v>12519137.244706398</v>
      </c>
      <c r="AC13" s="173">
        <f t="shared" si="17"/>
        <v>8.8284023634199738E-4</v>
      </c>
      <c r="AD13" s="500">
        <f>'Main table (road wear)'!V12</f>
        <v>8.8284023634199738E-4</v>
      </c>
      <c r="AE13" s="259">
        <f t="shared" si="18"/>
        <v>1825.2</v>
      </c>
      <c r="AF13" s="159">
        <f t="shared" si="3"/>
        <v>2</v>
      </c>
      <c r="AG13" s="44">
        <f t="shared" si="4"/>
        <v>8.9526059999999994</v>
      </c>
      <c r="AH13" s="122">
        <f t="shared" si="19"/>
        <v>14570.798265265224</v>
      </c>
      <c r="AI13" s="43">
        <f t="shared" si="20"/>
        <v>8.9526059999999994</v>
      </c>
      <c r="AJ13" s="354">
        <f t="shared" si="21"/>
        <v>8.9526059999999994</v>
      </c>
      <c r="AK13" s="172">
        <f t="shared" si="22"/>
        <v>1.5683317669849909E-4</v>
      </c>
      <c r="AL13" s="172">
        <f t="shared" si="22"/>
        <v>1.5683317669849909E-4</v>
      </c>
      <c r="AM13" s="114">
        <f t="shared" si="23"/>
        <v>4447953.2825715151</v>
      </c>
      <c r="AN13" s="173">
        <f t="shared" si="24"/>
        <v>3.1366635339699818E-4</v>
      </c>
      <c r="AO13" s="502">
        <f>'Main table (road wear)'!AC12</f>
        <v>3.1366635339699818E-4</v>
      </c>
      <c r="AP13" s="168" t="s">
        <v>173</v>
      </c>
      <c r="AQ13" s="140">
        <f t="shared" si="5"/>
        <v>1825.2</v>
      </c>
      <c r="AR13" s="159">
        <f t="shared" si="6"/>
        <v>2</v>
      </c>
      <c r="AS13" s="44">
        <f t="shared" si="7"/>
        <v>8.9526059999999994</v>
      </c>
      <c r="AT13" s="122">
        <f t="shared" si="25"/>
        <v>14570.798265265224</v>
      </c>
      <c r="AU13" s="43">
        <f t="shared" si="26"/>
        <v>8.9526059999999994</v>
      </c>
      <c r="AV13" s="354">
        <f t="shared" si="27"/>
        <v>8.9526059999999994</v>
      </c>
      <c r="AW13" s="172">
        <f t="shared" si="28"/>
        <v>1.5683317669849909E-4</v>
      </c>
      <c r="AX13" s="172">
        <f t="shared" si="28"/>
        <v>1.5683317669849909E-4</v>
      </c>
      <c r="AY13" s="114">
        <f t="shared" si="29"/>
        <v>4447953.2825715151</v>
      </c>
      <c r="AZ13" s="173">
        <f t="shared" si="30"/>
        <v>3.1366635339699818E-4</v>
      </c>
      <c r="BA13" s="517">
        <f>'Main table (road wear)'!AK12</f>
        <v>3.1366635339699818E-4</v>
      </c>
      <c r="BB13" s="456">
        <f t="shared" si="31"/>
        <v>2.9755414425449294</v>
      </c>
      <c r="BC13" s="456">
        <v>2.9755414425449311</v>
      </c>
      <c r="BD13" s="456">
        <f>AB13/'[2]Revised Final table'!N12</f>
        <v>2.9755414425449302</v>
      </c>
      <c r="BE13" s="456">
        <f t="shared" si="32"/>
        <v>0</v>
      </c>
      <c r="BF13" s="122"/>
      <c r="BG13" s="480"/>
      <c r="BH13" s="354"/>
      <c r="BI13" s="349"/>
      <c r="BJ13" s="349"/>
      <c r="BK13" s="114"/>
      <c r="BL13" s="349"/>
      <c r="BM13" s="57"/>
      <c r="BN13" s="481"/>
      <c r="BO13" s="57"/>
    </row>
    <row r="14" spans="1:67" ht="30" x14ac:dyDescent="0.25">
      <c r="A14" s="126"/>
      <c r="B14" s="126" t="s">
        <v>3</v>
      </c>
      <c r="C14" s="182" t="s">
        <v>366</v>
      </c>
      <c r="D14" s="57"/>
      <c r="E14" s="127">
        <v>71666</v>
      </c>
      <c r="F14" s="129"/>
      <c r="G14" s="127"/>
      <c r="H14" s="128"/>
      <c r="I14" s="35">
        <v>200</v>
      </c>
      <c r="J14" s="159">
        <v>2</v>
      </c>
      <c r="K14" s="44">
        <f t="shared" si="0"/>
        <v>0.98099999999999998</v>
      </c>
      <c r="L14" s="122">
        <v>4490.274328133286</v>
      </c>
      <c r="M14" s="43">
        <f t="shared" si="8"/>
        <v>0.98099999999999998</v>
      </c>
      <c r="N14" s="354">
        <f t="shared" si="9"/>
        <v>0.98099999999999998</v>
      </c>
      <c r="O14" s="349">
        <f t="shared" si="10"/>
        <v>2.2610807966821278E-8</v>
      </c>
      <c r="P14" s="349">
        <f t="shared" si="10"/>
        <v>2.2610807966821278E-8</v>
      </c>
      <c r="Q14" s="114">
        <f t="shared" si="11"/>
        <v>14.552316007446176</v>
      </c>
      <c r="R14" s="351">
        <f t="shared" si="12"/>
        <v>4.5221615933642555E-8</v>
      </c>
      <c r="S14" s="501">
        <f>'Main table (road wear)'!O13</f>
        <v>4.5221615933642555E-8</v>
      </c>
      <c r="T14" s="140">
        <f>MIN($T$2*$I14+$T$3,H14)</f>
        <v>645.04999999999995</v>
      </c>
      <c r="U14" s="159">
        <v>2</v>
      </c>
      <c r="V14" s="44">
        <f t="shared" si="1"/>
        <v>3.1639702499999998</v>
      </c>
      <c r="W14" s="122">
        <f t="shared" si="2"/>
        <v>4490.274328133286</v>
      </c>
      <c r="X14" s="43">
        <f t="shared" si="13"/>
        <v>3.1639702499999998</v>
      </c>
      <c r="Y14" s="354">
        <f t="shared" si="14"/>
        <v>3.1639702499999998</v>
      </c>
      <c r="Z14" s="349">
        <f t="shared" si="15"/>
        <v>2.4466374392934312E-6</v>
      </c>
      <c r="AA14" s="349">
        <f t="shared" si="15"/>
        <v>2.4466374392934312E-6</v>
      </c>
      <c r="AB14" s="114">
        <f t="shared" si="16"/>
        <v>1574.6558559292528</v>
      </c>
      <c r="AC14" s="351">
        <f t="shared" si="17"/>
        <v>4.8932748785868625E-6</v>
      </c>
      <c r="AD14" s="513">
        <f>'Main table (road wear)'!V13</f>
        <v>4.8932748785868625E-6</v>
      </c>
      <c r="AE14" s="259">
        <f t="shared" si="18"/>
        <v>202.8</v>
      </c>
      <c r="AF14" s="159">
        <f t="shared" si="3"/>
        <v>2</v>
      </c>
      <c r="AG14" s="44">
        <f t="shared" si="4"/>
        <v>0.99473400000000012</v>
      </c>
      <c r="AH14" s="122">
        <f t="shared" si="19"/>
        <v>4490.274328133286</v>
      </c>
      <c r="AI14" s="43">
        <f t="shared" si="20"/>
        <v>0.99473400000000012</v>
      </c>
      <c r="AJ14" s="354">
        <f t="shared" si="21"/>
        <v>0.99473400000000012</v>
      </c>
      <c r="AK14" s="349">
        <f t="shared" si="22"/>
        <v>2.390385256797732E-8</v>
      </c>
      <c r="AL14" s="349">
        <f t="shared" si="22"/>
        <v>2.390385256797732E-8</v>
      </c>
      <c r="AM14" s="114">
        <f t="shared" si="23"/>
        <v>15.384519512750206</v>
      </c>
      <c r="AN14" s="351">
        <f t="shared" si="24"/>
        <v>4.780770513595464E-8</v>
      </c>
      <c r="AO14" s="527">
        <f>'Main table (road wear)'!AC13</f>
        <v>4.780770513595464E-8</v>
      </c>
      <c r="AP14" s="168" t="s">
        <v>172</v>
      </c>
      <c r="AQ14" s="140">
        <f t="shared" si="5"/>
        <v>645.04999999999995</v>
      </c>
      <c r="AR14" s="159">
        <f t="shared" si="6"/>
        <v>2</v>
      </c>
      <c r="AS14" s="44">
        <f t="shared" si="7"/>
        <v>3.1639702499999998</v>
      </c>
      <c r="AT14" s="122">
        <f t="shared" si="25"/>
        <v>4490.274328133286</v>
      </c>
      <c r="AU14" s="43">
        <f t="shared" si="26"/>
        <v>3.1639702499999998</v>
      </c>
      <c r="AV14" s="354">
        <f t="shared" si="27"/>
        <v>3.1639702499999998</v>
      </c>
      <c r="AW14" s="349">
        <f t="shared" si="28"/>
        <v>2.4466374392934312E-6</v>
      </c>
      <c r="AX14" s="349">
        <f t="shared" si="28"/>
        <v>2.4466374392934312E-6</v>
      </c>
      <c r="AY14" s="114">
        <f t="shared" si="29"/>
        <v>1574.6558559292528</v>
      </c>
      <c r="AZ14" s="351">
        <f t="shared" si="30"/>
        <v>4.8932748785868625E-6</v>
      </c>
      <c r="BA14" s="518">
        <f>'Main table (road wear)'!AK13</f>
        <v>4.8932748785868625E-6</v>
      </c>
      <c r="BB14" s="456">
        <f t="shared" si="31"/>
        <v>108.20654630668601</v>
      </c>
      <c r="BC14" s="456">
        <v>108.20654630668591</v>
      </c>
      <c r="BD14" s="456">
        <f>AB14/'[2]Revised Final table'!N13</f>
        <v>108.20654630668599</v>
      </c>
      <c r="BE14" s="456">
        <f t="shared" si="32"/>
        <v>0</v>
      </c>
      <c r="BF14" s="122"/>
      <c r="BG14" s="480"/>
      <c r="BH14" s="354"/>
      <c r="BI14" s="342"/>
      <c r="BJ14" s="342"/>
      <c r="BK14" s="114"/>
      <c r="BL14" s="342"/>
      <c r="BM14" s="57"/>
      <c r="BN14" s="481"/>
      <c r="BO14" s="57"/>
    </row>
    <row r="15" spans="1:67" ht="30" x14ac:dyDescent="0.25">
      <c r="B15" s="420" t="s">
        <v>44</v>
      </c>
      <c r="C15" s="421" t="s">
        <v>368</v>
      </c>
      <c r="D15" s="434" t="s">
        <v>446</v>
      </c>
      <c r="E15" s="423">
        <v>7986.2615999999998</v>
      </c>
      <c r="F15" s="424"/>
      <c r="G15" s="423">
        <v>3500</v>
      </c>
      <c r="H15" s="425">
        <v>7500</v>
      </c>
      <c r="I15" s="426">
        <f>AVERAGE(G15:H15)</f>
        <v>5500</v>
      </c>
      <c r="J15" s="418">
        <v>2</v>
      </c>
      <c r="K15" s="427">
        <f t="shared" si="0"/>
        <v>26.977499999999999</v>
      </c>
      <c r="L15" s="423">
        <f>VLOOKUP(D15,'Mileage &amp; vehicle numbers'!$D$10:$V$19,19,0)</f>
        <v>49966.531173195472</v>
      </c>
      <c r="M15" s="457">
        <f t="shared" si="8"/>
        <v>26.977499999999999</v>
      </c>
      <c r="N15" s="458">
        <f t="shared" si="9"/>
        <v>26.977499999999999</v>
      </c>
      <c r="O15" s="459">
        <f t="shared" si="10"/>
        <v>1.2931439040712131E-2</v>
      </c>
      <c r="P15" s="459">
        <f t="shared" si="10"/>
        <v>1.2931439040712131E-2</v>
      </c>
      <c r="Q15" s="429">
        <f t="shared" si="11"/>
        <v>10320472.594822234</v>
      </c>
      <c r="R15" s="460">
        <f t="shared" si="12"/>
        <v>2.5862878081424262E-2</v>
      </c>
      <c r="S15" s="445">
        <f>'Main table (road wear)'!O14</f>
        <v>2.5862878081424262E-2</v>
      </c>
      <c r="T15" s="431">
        <f>MIN($T$2*$I15+$T$3,H17)</f>
        <v>6339.37</v>
      </c>
      <c r="U15" s="418">
        <v>2</v>
      </c>
      <c r="V15" s="427">
        <f t="shared" si="1"/>
        <v>31.094609850000001</v>
      </c>
      <c r="W15" s="423">
        <f t="shared" si="2"/>
        <v>49966.531173195464</v>
      </c>
      <c r="X15" s="457">
        <f t="shared" si="13"/>
        <v>31.094609850000001</v>
      </c>
      <c r="Y15" s="458">
        <f t="shared" si="14"/>
        <v>31.094609850000001</v>
      </c>
      <c r="Z15" s="459">
        <f t="shared" si="15"/>
        <v>2.2823408321735711E-2</v>
      </c>
      <c r="AA15" s="459">
        <f t="shared" si="15"/>
        <v>2.2823408321735711E-2</v>
      </c>
      <c r="AB15" s="429">
        <f t="shared" si="16"/>
        <v>18215169.971673895</v>
      </c>
      <c r="AC15" s="460">
        <f t="shared" si="17"/>
        <v>4.5646816643471422E-2</v>
      </c>
      <c r="AD15" s="445">
        <f>'Main table (road wear)'!V14</f>
        <v>4.5646816643471422E-2</v>
      </c>
      <c r="AE15" s="451">
        <f>MIN($I15*$T$4,H17)</f>
        <v>5577</v>
      </c>
      <c r="AF15" s="418">
        <f t="shared" si="3"/>
        <v>2</v>
      </c>
      <c r="AG15" s="427">
        <f t="shared" si="4"/>
        <v>27.355185000000002</v>
      </c>
      <c r="AH15" s="423">
        <f t="shared" si="19"/>
        <v>49966.531173195479</v>
      </c>
      <c r="AI15" s="457">
        <f t="shared" si="20"/>
        <v>27.355185000000002</v>
      </c>
      <c r="AJ15" s="458">
        <f t="shared" si="21"/>
        <v>27.355185000000002</v>
      </c>
      <c r="AK15" s="459">
        <f t="shared" si="22"/>
        <v>1.3670949431552965E-2</v>
      </c>
      <c r="AL15" s="459">
        <f t="shared" si="22"/>
        <v>1.3670949431552965E-2</v>
      </c>
      <c r="AM15" s="429">
        <f t="shared" si="23"/>
        <v>10910669.609882271</v>
      </c>
      <c r="AN15" s="460">
        <f t="shared" si="24"/>
        <v>2.734189886310593E-2</v>
      </c>
      <c r="AO15" s="446">
        <f>'Main table (road wear)'!AC14</f>
        <v>2.734189886310593E-2</v>
      </c>
      <c r="AP15" s="453" t="s">
        <v>173</v>
      </c>
      <c r="AQ15" s="431">
        <f t="shared" si="5"/>
        <v>5577</v>
      </c>
      <c r="AR15" s="418">
        <f t="shared" si="6"/>
        <v>2</v>
      </c>
      <c r="AS15" s="427">
        <f t="shared" si="7"/>
        <v>27.355185000000002</v>
      </c>
      <c r="AT15" s="423">
        <f t="shared" si="25"/>
        <v>49966.531173195479</v>
      </c>
      <c r="AU15" s="457">
        <f t="shared" si="26"/>
        <v>27.355185000000002</v>
      </c>
      <c r="AV15" s="458">
        <f t="shared" si="27"/>
        <v>27.355185000000002</v>
      </c>
      <c r="AW15" s="459">
        <f t="shared" si="28"/>
        <v>1.3670949431552965E-2</v>
      </c>
      <c r="AX15" s="459">
        <f t="shared" si="28"/>
        <v>1.3670949431552965E-2</v>
      </c>
      <c r="AY15" s="429">
        <f t="shared" si="29"/>
        <v>10910669.609882271</v>
      </c>
      <c r="AZ15" s="460">
        <f t="shared" si="30"/>
        <v>2.734189886310593E-2</v>
      </c>
      <c r="BA15" s="520">
        <f>'Main table (road wear)'!AK14</f>
        <v>2.734189886310593E-2</v>
      </c>
      <c r="BB15" s="456">
        <f t="shared" si="31"/>
        <v>1.7649550254910245</v>
      </c>
      <c r="BC15" s="456">
        <v>1.7649550254910258</v>
      </c>
      <c r="BD15" s="456">
        <f>AB15/'[2]Revised Final table'!N14</f>
        <v>1.222683962724701</v>
      </c>
      <c r="BE15" s="456">
        <f t="shared" si="32"/>
        <v>-0.54227106276632342</v>
      </c>
      <c r="BF15" s="122"/>
      <c r="BG15" s="480"/>
      <c r="BH15" s="354"/>
      <c r="BI15" s="348"/>
      <c r="BJ15" s="348"/>
      <c r="BK15" s="114"/>
      <c r="BL15" s="348"/>
      <c r="BM15" s="57"/>
      <c r="BN15" s="481"/>
      <c r="BO15" s="57"/>
    </row>
    <row r="16" spans="1:67" ht="30" x14ac:dyDescent="0.25">
      <c r="B16" s="420" t="s">
        <v>44</v>
      </c>
      <c r="C16" s="421" t="s">
        <v>368</v>
      </c>
      <c r="D16" s="422" t="s">
        <v>447</v>
      </c>
      <c r="E16" s="423">
        <v>1274.5602000000003</v>
      </c>
      <c r="F16" s="424"/>
      <c r="G16" s="423">
        <f>H15</f>
        <v>7500</v>
      </c>
      <c r="H16" s="425">
        <v>12000</v>
      </c>
      <c r="I16" s="426">
        <f t="shared" ref="I16:I24" si="33">AVERAGE(G16:H16)</f>
        <v>9750</v>
      </c>
      <c r="J16" s="418">
        <v>2</v>
      </c>
      <c r="K16" s="427">
        <f t="shared" si="0"/>
        <v>47.823749999999997</v>
      </c>
      <c r="L16" s="423">
        <f>VLOOKUP(D16,'Mileage &amp; vehicle numbers'!$D$10:$V$19,19,0)</f>
        <v>49966.531173195472</v>
      </c>
      <c r="M16" s="457">
        <f t="shared" si="8"/>
        <v>47.823749999999997</v>
      </c>
      <c r="N16" s="458">
        <f t="shared" si="9"/>
        <v>47.823749999999997</v>
      </c>
      <c r="O16" s="461">
        <f t="shared" si="10"/>
        <v>0.12770695848039798</v>
      </c>
      <c r="P16" s="461">
        <f t="shared" si="10"/>
        <v>0.12770695848039798</v>
      </c>
      <c r="Q16" s="429">
        <f t="shared" si="11"/>
        <v>16266125.198513385</v>
      </c>
      <c r="R16" s="462">
        <f t="shared" si="12"/>
        <v>0.25541391696079596</v>
      </c>
      <c r="S16" s="446">
        <f>'Main table (road wear)'!O15</f>
        <v>0.25541391696079596</v>
      </c>
      <c r="T16" s="431">
        <f>MIN($T$2*$I16+$T$3,H17)</f>
        <v>10905.57</v>
      </c>
      <c r="U16" s="418">
        <v>2</v>
      </c>
      <c r="V16" s="427">
        <f t="shared" si="1"/>
        <v>53.491820850000003</v>
      </c>
      <c r="W16" s="423">
        <f t="shared" si="2"/>
        <v>49966.531173195472</v>
      </c>
      <c r="X16" s="457">
        <f t="shared" si="13"/>
        <v>53.491820850000003</v>
      </c>
      <c r="Y16" s="458">
        <f t="shared" si="14"/>
        <v>53.491820850000003</v>
      </c>
      <c r="Z16" s="461">
        <f t="shared" si="15"/>
        <v>0.19988931411224337</v>
      </c>
      <c r="AA16" s="461">
        <f t="shared" si="15"/>
        <v>0.19988931411224337</v>
      </c>
      <c r="AB16" s="429">
        <f t="shared" si="16"/>
        <v>25460042.646726936</v>
      </c>
      <c r="AC16" s="462">
        <f t="shared" si="17"/>
        <v>0.39977862822448673</v>
      </c>
      <c r="AD16" s="446">
        <f>'Main table (road wear)'!V15</f>
        <v>0.39977862822448673</v>
      </c>
      <c r="AE16" s="451">
        <f>MIN($I16*$T$4,H17)</f>
        <v>9886.5</v>
      </c>
      <c r="AF16" s="418">
        <f t="shared" si="3"/>
        <v>2</v>
      </c>
      <c r="AG16" s="427">
        <f t="shared" si="4"/>
        <v>48.493282499999999</v>
      </c>
      <c r="AH16" s="423">
        <f t="shared" si="19"/>
        <v>49966.531173195472</v>
      </c>
      <c r="AI16" s="457">
        <f t="shared" si="20"/>
        <v>48.493282499999999</v>
      </c>
      <c r="AJ16" s="458">
        <f t="shared" si="21"/>
        <v>48.493282499999999</v>
      </c>
      <c r="AK16" s="461">
        <f t="shared" si="22"/>
        <v>0.13501013815604002</v>
      </c>
      <c r="AL16" s="461">
        <f t="shared" si="22"/>
        <v>0.13501013815604002</v>
      </c>
      <c r="AM16" s="429">
        <f t="shared" si="23"/>
        <v>17196336.334733233</v>
      </c>
      <c r="AN16" s="462">
        <f t="shared" si="24"/>
        <v>0.27002027631208003</v>
      </c>
      <c r="AO16" s="430">
        <f>'Main table (road wear)'!AC15</f>
        <v>0.27002027631208003</v>
      </c>
      <c r="AP16" s="453" t="s">
        <v>173</v>
      </c>
      <c r="AQ16" s="431">
        <f t="shared" si="5"/>
        <v>9886.5</v>
      </c>
      <c r="AR16" s="418">
        <f t="shared" si="6"/>
        <v>2</v>
      </c>
      <c r="AS16" s="427">
        <f t="shared" si="7"/>
        <v>48.493282499999999</v>
      </c>
      <c r="AT16" s="423">
        <f t="shared" si="25"/>
        <v>49966.531173195472</v>
      </c>
      <c r="AU16" s="457">
        <f t="shared" si="26"/>
        <v>48.493282499999999</v>
      </c>
      <c r="AV16" s="458">
        <f t="shared" si="27"/>
        <v>48.493282499999999</v>
      </c>
      <c r="AW16" s="461">
        <f t="shared" si="28"/>
        <v>0.13501013815604002</v>
      </c>
      <c r="AX16" s="461">
        <f t="shared" si="28"/>
        <v>0.13501013815604002</v>
      </c>
      <c r="AY16" s="429">
        <f t="shared" si="29"/>
        <v>17196336.334733233</v>
      </c>
      <c r="AZ16" s="462">
        <f t="shared" si="30"/>
        <v>0.27002027631208003</v>
      </c>
      <c r="BA16" s="520">
        <f>'Main table (road wear)'!AK15</f>
        <v>0.27002027631208003</v>
      </c>
      <c r="BB16" s="456">
        <f t="shared" si="31"/>
        <v>1.5652186575481304</v>
      </c>
      <c r="BC16" s="456">
        <v>1.5652186575481306</v>
      </c>
      <c r="BD16" s="456">
        <f>AB16/'[2]Revised Final table'!N15</f>
        <v>1.0843153072465173</v>
      </c>
      <c r="BE16" s="456">
        <f t="shared" si="32"/>
        <v>-0.48090335030161313</v>
      </c>
      <c r="BF16" s="122"/>
      <c r="BG16" s="480"/>
      <c r="BH16" s="354"/>
      <c r="BI16" s="348"/>
      <c r="BJ16" s="348"/>
      <c r="BK16" s="114"/>
      <c r="BL16" s="348"/>
      <c r="BM16" s="57"/>
      <c r="BN16" s="481"/>
      <c r="BO16" s="57"/>
    </row>
    <row r="17" spans="1:67" ht="30" x14ac:dyDescent="0.25">
      <c r="B17" s="420" t="s">
        <v>44</v>
      </c>
      <c r="C17" s="421" t="s">
        <v>368</v>
      </c>
      <c r="D17" s="422" t="s">
        <v>448</v>
      </c>
      <c r="E17" s="423">
        <v>1237.7231999999999</v>
      </c>
      <c r="F17" s="424"/>
      <c r="G17" s="423">
        <f t="shared" ref="G17:G22" si="34">H16</f>
        <v>12000</v>
      </c>
      <c r="H17" s="425">
        <v>16000</v>
      </c>
      <c r="I17" s="426">
        <f t="shared" si="33"/>
        <v>14000</v>
      </c>
      <c r="J17" s="418">
        <v>2</v>
      </c>
      <c r="K17" s="427">
        <f t="shared" si="0"/>
        <v>68.67</v>
      </c>
      <c r="L17" s="423">
        <f>VLOOKUP(D17,'Mileage &amp; vehicle numbers'!$D$10:$V$19,19,0)</f>
        <v>49966.531173195472</v>
      </c>
      <c r="M17" s="457">
        <f t="shared" si="8"/>
        <v>68.67</v>
      </c>
      <c r="N17" s="458">
        <f t="shared" si="9"/>
        <v>68.67</v>
      </c>
      <c r="O17" s="461">
        <f t="shared" si="10"/>
        <v>0.54288549928337926</v>
      </c>
      <c r="P17" s="461">
        <f t="shared" si="10"/>
        <v>0.54288549928337926</v>
      </c>
      <c r="Q17" s="429">
        <f t="shared" si="11"/>
        <v>67149219.521333158</v>
      </c>
      <c r="R17" s="462">
        <f t="shared" si="12"/>
        <v>1.0857709985667585</v>
      </c>
      <c r="S17" s="430">
        <f>'Main table (road wear)'!O16</f>
        <v>1.0857709985667585</v>
      </c>
      <c r="T17" s="431">
        <f>MIN($T$2*$I17+$T$3,H17)</f>
        <v>15471.77</v>
      </c>
      <c r="U17" s="418">
        <v>2</v>
      </c>
      <c r="V17" s="427">
        <f t="shared" si="1"/>
        <v>75.889031849999995</v>
      </c>
      <c r="W17" s="423">
        <f t="shared" si="2"/>
        <v>49966.531173195472</v>
      </c>
      <c r="X17" s="457">
        <f t="shared" si="13"/>
        <v>75.889031849999995</v>
      </c>
      <c r="Y17" s="458">
        <f t="shared" si="14"/>
        <v>75.889031849999995</v>
      </c>
      <c r="Z17" s="461">
        <f t="shared" si="15"/>
        <v>0.809759592721215</v>
      </c>
      <c r="AA17" s="461">
        <f t="shared" si="15"/>
        <v>0.809759592721215</v>
      </c>
      <c r="AB17" s="429">
        <f t="shared" si="16"/>
        <v>100158734.61884324</v>
      </c>
      <c r="AC17" s="462">
        <f t="shared" si="17"/>
        <v>1.61951918544243</v>
      </c>
      <c r="AD17" s="430">
        <f>'Main table (road wear)'!V16</f>
        <v>1.61951918544243</v>
      </c>
      <c r="AE17" s="451">
        <f t="shared" si="18"/>
        <v>14196</v>
      </c>
      <c r="AF17" s="418">
        <f t="shared" si="3"/>
        <v>2</v>
      </c>
      <c r="AG17" s="427">
        <f t="shared" si="4"/>
        <v>69.631380000000007</v>
      </c>
      <c r="AH17" s="423">
        <f t="shared" si="19"/>
        <v>49966.531173195472</v>
      </c>
      <c r="AI17" s="457">
        <f t="shared" si="20"/>
        <v>69.631380000000007</v>
      </c>
      <c r="AJ17" s="458">
        <f t="shared" si="21"/>
        <v>69.631380000000007</v>
      </c>
      <c r="AK17" s="461">
        <f t="shared" si="22"/>
        <v>0.57393150015713534</v>
      </c>
      <c r="AL17" s="461">
        <f t="shared" si="22"/>
        <v>0.57393150015713534</v>
      </c>
      <c r="AM17" s="429">
        <f t="shared" si="23"/>
        <v>70989282.906122804</v>
      </c>
      <c r="AN17" s="462">
        <f t="shared" si="24"/>
        <v>1.1478630003142707</v>
      </c>
      <c r="AO17" s="430">
        <f>'Main table (road wear)'!AC16</f>
        <v>1.1478630003142707</v>
      </c>
      <c r="AP17" s="453" t="s">
        <v>173</v>
      </c>
      <c r="AQ17" s="431">
        <f t="shared" si="5"/>
        <v>14196</v>
      </c>
      <c r="AR17" s="418">
        <f t="shared" si="6"/>
        <v>2</v>
      </c>
      <c r="AS17" s="427">
        <f t="shared" si="7"/>
        <v>69.631380000000007</v>
      </c>
      <c r="AT17" s="423">
        <f t="shared" si="25"/>
        <v>49966.531173195472</v>
      </c>
      <c r="AU17" s="457">
        <f t="shared" si="26"/>
        <v>69.631380000000007</v>
      </c>
      <c r="AV17" s="458">
        <f t="shared" si="27"/>
        <v>69.631380000000007</v>
      </c>
      <c r="AW17" s="461">
        <f t="shared" si="28"/>
        <v>0.57393150015713534</v>
      </c>
      <c r="AX17" s="461">
        <f t="shared" si="28"/>
        <v>0.57393150015713534</v>
      </c>
      <c r="AY17" s="429">
        <f t="shared" si="29"/>
        <v>70989282.906122804</v>
      </c>
      <c r="AZ17" s="462">
        <f t="shared" si="30"/>
        <v>1.1478630003142707</v>
      </c>
      <c r="BA17" s="516">
        <f>'Main table (road wear)'!AK16</f>
        <v>1.1478630003142707</v>
      </c>
      <c r="BB17" s="456">
        <f t="shared" si="31"/>
        <v>1.4915844939496734</v>
      </c>
      <c r="BC17" s="456">
        <v>1.4915844939496725</v>
      </c>
      <c r="BD17" s="456">
        <f>AB17/'[2]Revised Final table'!N16</f>
        <v>1.0333047661051455</v>
      </c>
      <c r="BE17" s="456">
        <f t="shared" si="32"/>
        <v>-0.45827972784452786</v>
      </c>
      <c r="BF17" s="122"/>
      <c r="BG17" s="480"/>
      <c r="BH17" s="354"/>
      <c r="BI17" s="348"/>
      <c r="BJ17" s="348"/>
      <c r="BK17" s="114"/>
      <c r="BL17" s="348"/>
      <c r="BM17" s="57"/>
      <c r="BN17" s="481"/>
      <c r="BO17" s="57"/>
    </row>
    <row r="18" spans="1:67" ht="30" x14ac:dyDescent="0.25">
      <c r="B18" s="420" t="s">
        <v>44</v>
      </c>
      <c r="C18" s="421" t="s">
        <v>368</v>
      </c>
      <c r="D18" s="422" t="s">
        <v>449</v>
      </c>
      <c r="E18" s="423">
        <v>4656.1968000000006</v>
      </c>
      <c r="F18" s="424"/>
      <c r="G18" s="423">
        <f t="shared" si="34"/>
        <v>16000</v>
      </c>
      <c r="H18" s="528">
        <v>19000</v>
      </c>
      <c r="I18" s="426">
        <f t="shared" si="33"/>
        <v>17500</v>
      </c>
      <c r="J18" s="418">
        <v>2</v>
      </c>
      <c r="K18" s="427">
        <f t="shared" si="0"/>
        <v>85.837500000000006</v>
      </c>
      <c r="L18" s="423">
        <f>VLOOKUP(D18,'Mileage &amp; vehicle numbers'!$D$10:$V$19,19,0)</f>
        <v>49966.531173195472</v>
      </c>
      <c r="M18" s="457">
        <f t="shared" si="8"/>
        <v>85.837500000000006</v>
      </c>
      <c r="N18" s="458">
        <f t="shared" si="9"/>
        <v>85.837500000000006</v>
      </c>
      <c r="O18" s="461">
        <f t="shared" si="10"/>
        <v>1.3254040509848124</v>
      </c>
      <c r="P18" s="461">
        <f t="shared" si="10"/>
        <v>1.3254040509848124</v>
      </c>
      <c r="Q18" s="429">
        <f t="shared" si="11"/>
        <v>616721114.93039894</v>
      </c>
      <c r="R18" s="462">
        <f t="shared" si="12"/>
        <v>2.6508081019696248</v>
      </c>
      <c r="S18" s="446">
        <f>'Main table (road wear)'!O17</f>
        <v>2.6508081019696248</v>
      </c>
      <c r="T18" s="431">
        <f>MIN($T$2*$I18+$T$3,H20)</f>
        <v>19232.169999999998</v>
      </c>
      <c r="U18" s="418">
        <v>2</v>
      </c>
      <c r="V18" s="427">
        <f t="shared" si="1"/>
        <v>94.333793850000006</v>
      </c>
      <c r="W18" s="423">
        <f t="shared" si="2"/>
        <v>49966.531173195472</v>
      </c>
      <c r="X18" s="457">
        <f t="shared" si="13"/>
        <v>94.333793850000006</v>
      </c>
      <c r="Y18" s="458">
        <f t="shared" si="14"/>
        <v>94.333793850000006</v>
      </c>
      <c r="Z18" s="461">
        <f t="shared" si="15"/>
        <v>1.9333445379634417</v>
      </c>
      <c r="AA18" s="461">
        <f t="shared" si="15"/>
        <v>1.9333445379634417</v>
      </c>
      <c r="AB18" s="429">
        <f t="shared" si="16"/>
        <v>899600690.15291822</v>
      </c>
      <c r="AC18" s="462">
        <f t="shared" si="17"/>
        <v>3.8666890759268835</v>
      </c>
      <c r="AD18" s="446">
        <f>'Main table (road wear)'!V17</f>
        <v>3.8666890759268835</v>
      </c>
      <c r="AE18" s="451">
        <f>MIN($I18*$T$4,H20)</f>
        <v>17745</v>
      </c>
      <c r="AF18" s="418">
        <f t="shared" si="3"/>
        <v>2</v>
      </c>
      <c r="AG18" s="427">
        <f t="shared" si="4"/>
        <v>87.039225000000002</v>
      </c>
      <c r="AH18" s="423">
        <f t="shared" si="19"/>
        <v>49966.531173195472</v>
      </c>
      <c r="AI18" s="457">
        <f t="shared" si="20"/>
        <v>87.039225000000002</v>
      </c>
      <c r="AJ18" s="458">
        <f t="shared" si="21"/>
        <v>87.039225000000002</v>
      </c>
      <c r="AK18" s="461">
        <f t="shared" si="22"/>
        <v>1.4011999515555063</v>
      </c>
      <c r="AL18" s="461">
        <f t="shared" si="22"/>
        <v>1.4011999515555063</v>
      </c>
      <c r="AM18" s="429">
        <f t="shared" si="23"/>
        <v>651989554.22057557</v>
      </c>
      <c r="AN18" s="462">
        <f t="shared" si="24"/>
        <v>2.8023999031110125</v>
      </c>
      <c r="AO18" s="430">
        <f>'Main table (road wear)'!AC17</f>
        <v>2.8023999031110125</v>
      </c>
      <c r="AP18" s="453" t="s">
        <v>173</v>
      </c>
      <c r="AQ18" s="431">
        <f t="shared" si="5"/>
        <v>17745</v>
      </c>
      <c r="AR18" s="418">
        <f t="shared" si="6"/>
        <v>2</v>
      </c>
      <c r="AS18" s="427">
        <f t="shared" si="7"/>
        <v>87.039225000000002</v>
      </c>
      <c r="AT18" s="423">
        <f t="shared" si="25"/>
        <v>49966.531173195472</v>
      </c>
      <c r="AU18" s="457">
        <f t="shared" si="26"/>
        <v>87.039225000000002</v>
      </c>
      <c r="AV18" s="458">
        <f t="shared" si="27"/>
        <v>87.039225000000002</v>
      </c>
      <c r="AW18" s="461">
        <f t="shared" si="28"/>
        <v>1.4011999515555063</v>
      </c>
      <c r="AX18" s="461">
        <f t="shared" si="28"/>
        <v>1.4011999515555063</v>
      </c>
      <c r="AY18" s="429">
        <f t="shared" si="29"/>
        <v>651989554.22057557</v>
      </c>
      <c r="AZ18" s="462">
        <f t="shared" si="30"/>
        <v>2.8023999031110125</v>
      </c>
      <c r="BA18" s="516">
        <f>'Main table (road wear)'!AK17</f>
        <v>2.8023999031110125</v>
      </c>
      <c r="BB18" s="456">
        <f t="shared" si="31"/>
        <v>1.4586831363061796</v>
      </c>
      <c r="BC18" s="456">
        <v>1.4550613275543756</v>
      </c>
      <c r="BD18" s="456">
        <f>AB18/'[2]Revised Final table'!N17</f>
        <v>12.733934737403549</v>
      </c>
      <c r="BE18" s="456">
        <f t="shared" si="32"/>
        <v>11.27525160109737</v>
      </c>
      <c r="BF18" s="122"/>
      <c r="BG18" s="480"/>
      <c r="BH18" s="354"/>
      <c r="BI18" s="348"/>
      <c r="BJ18" s="348"/>
      <c r="BK18" s="114"/>
      <c r="BL18" s="348"/>
      <c r="BM18" s="57"/>
      <c r="BN18" s="481"/>
      <c r="BO18" s="57"/>
    </row>
    <row r="19" spans="1:67" ht="30" x14ac:dyDescent="0.25">
      <c r="B19" s="463" t="s">
        <v>44</v>
      </c>
      <c r="C19" s="464" t="s">
        <v>368</v>
      </c>
      <c r="D19" s="435" t="s">
        <v>450</v>
      </c>
      <c r="E19" s="465">
        <v>677.80079999999998</v>
      </c>
      <c r="F19" s="466"/>
      <c r="G19" s="465">
        <f t="shared" si="34"/>
        <v>19000</v>
      </c>
      <c r="H19" s="439">
        <v>24000</v>
      </c>
      <c r="I19" s="467">
        <f t="shared" si="33"/>
        <v>21500</v>
      </c>
      <c r="J19" s="468">
        <v>3</v>
      </c>
      <c r="K19" s="469">
        <f t="shared" si="0"/>
        <v>70.305000000000007</v>
      </c>
      <c r="L19" s="465">
        <f>VLOOKUP(D19,'Mileage &amp; vehicle numbers'!$D$10:$V$19,19,0)</f>
        <v>30419.716055913941</v>
      </c>
      <c r="M19" s="470">
        <f t="shared" si="8"/>
        <v>70.305000000000007</v>
      </c>
      <c r="N19" s="471">
        <f t="shared" si="9"/>
        <v>70.305000000000007</v>
      </c>
      <c r="O19" s="472">
        <f t="shared" si="10"/>
        <v>0.59646491425753567</v>
      </c>
      <c r="P19" s="472">
        <f t="shared" si="10"/>
        <v>0.59646491425753567</v>
      </c>
      <c r="Q19" s="473">
        <f t="shared" si="11"/>
        <v>36894649.601552151</v>
      </c>
      <c r="R19" s="474">
        <f t="shared" si="12"/>
        <v>1.7893947427726071</v>
      </c>
      <c r="S19" s="430">
        <f>'Main table (road wear)'!O18</f>
        <v>1.7893947427726071</v>
      </c>
      <c r="T19" s="475">
        <f>MIN($T$2*$I19+$T$3,H20)</f>
        <v>23529.77</v>
      </c>
      <c r="U19" s="468">
        <v>3</v>
      </c>
      <c r="V19" s="469">
        <f t="shared" si="1"/>
        <v>76.942347900000001</v>
      </c>
      <c r="W19" s="465">
        <f t="shared" si="2"/>
        <v>30419.716055913937</v>
      </c>
      <c r="X19" s="470">
        <f t="shared" si="13"/>
        <v>76.942347900000001</v>
      </c>
      <c r="Y19" s="471">
        <f t="shared" si="14"/>
        <v>76.942347900000001</v>
      </c>
      <c r="Z19" s="472">
        <f t="shared" si="15"/>
        <v>0.85566110439251408</v>
      </c>
      <c r="AA19" s="472">
        <f t="shared" si="15"/>
        <v>0.85566110439251408</v>
      </c>
      <c r="AB19" s="473">
        <f t="shared" si="16"/>
        <v>52927365.66665554</v>
      </c>
      <c r="AC19" s="474">
        <f t="shared" si="17"/>
        <v>2.5669833131775421</v>
      </c>
      <c r="AD19" s="430">
        <f>'Main table (road wear)'!V18</f>
        <v>2.5669833131775421</v>
      </c>
      <c r="AE19" s="476">
        <f>MIN($I19*$T$4,H20)</f>
        <v>21801</v>
      </c>
      <c r="AF19" s="468">
        <f t="shared" si="3"/>
        <v>3</v>
      </c>
      <c r="AG19" s="469">
        <f t="shared" si="4"/>
        <v>71.289270000000002</v>
      </c>
      <c r="AH19" s="465">
        <f t="shared" si="19"/>
        <v>30419.716055913941</v>
      </c>
      <c r="AI19" s="470">
        <f t="shared" si="20"/>
        <v>71.289270000000002</v>
      </c>
      <c r="AJ19" s="471">
        <f t="shared" si="21"/>
        <v>71.289270000000002</v>
      </c>
      <c r="AK19" s="472">
        <f t="shared" si="22"/>
        <v>0.63057496190781936</v>
      </c>
      <c r="AL19" s="472">
        <f t="shared" si="22"/>
        <v>0.63057496190781936</v>
      </c>
      <c r="AM19" s="473">
        <f t="shared" si="23"/>
        <v>39004544.460189365</v>
      </c>
      <c r="AN19" s="474">
        <f t="shared" si="24"/>
        <v>1.8917248857234581</v>
      </c>
      <c r="AO19" s="430">
        <f>'Main table (road wear)'!AC18</f>
        <v>1.8917248857234581</v>
      </c>
      <c r="AP19" s="477" t="s">
        <v>173</v>
      </c>
      <c r="AQ19" s="475">
        <f t="shared" si="5"/>
        <v>21801</v>
      </c>
      <c r="AR19" s="468">
        <f t="shared" si="6"/>
        <v>3</v>
      </c>
      <c r="AS19" s="469">
        <f t="shared" si="7"/>
        <v>71.289270000000002</v>
      </c>
      <c r="AT19" s="465">
        <f t="shared" si="25"/>
        <v>30419.716055913941</v>
      </c>
      <c r="AU19" s="470">
        <f t="shared" si="26"/>
        <v>71.289270000000002</v>
      </c>
      <c r="AV19" s="471">
        <f t="shared" si="27"/>
        <v>71.289270000000002</v>
      </c>
      <c r="AW19" s="472">
        <f t="shared" si="28"/>
        <v>0.63057496190781936</v>
      </c>
      <c r="AX19" s="472">
        <f t="shared" si="28"/>
        <v>0.63057496190781936</v>
      </c>
      <c r="AY19" s="473">
        <f t="shared" si="29"/>
        <v>39004544.460189365</v>
      </c>
      <c r="AZ19" s="474">
        <f t="shared" si="30"/>
        <v>1.8917248857234581</v>
      </c>
      <c r="BA19" s="516">
        <f>'Main table (road wear)'!AK18</f>
        <v>1.8917248857234581</v>
      </c>
      <c r="BB19" s="456">
        <f t="shared" si="31"/>
        <v>1.4345539594019858</v>
      </c>
      <c r="BC19" s="456">
        <v>1.4321712232283739</v>
      </c>
      <c r="BD19" s="456">
        <f>AB19/'[2]Revised Final table'!N18</f>
        <v>2.3063311588031783</v>
      </c>
      <c r="BE19" s="456">
        <f t="shared" si="32"/>
        <v>0.87177719940119247</v>
      </c>
      <c r="BF19" s="122"/>
      <c r="BG19" s="480"/>
      <c r="BH19" s="354"/>
      <c r="BI19" s="348"/>
      <c r="BJ19" s="348"/>
      <c r="BK19" s="114"/>
      <c r="BL19" s="348"/>
      <c r="BM19" s="57"/>
      <c r="BN19" s="481"/>
      <c r="BO19" s="57"/>
    </row>
    <row r="20" spans="1:67" ht="30" x14ac:dyDescent="0.25">
      <c r="B20" s="463" t="s">
        <v>44</v>
      </c>
      <c r="C20" s="464" t="s">
        <v>368</v>
      </c>
      <c r="D20" s="435" t="s">
        <v>451</v>
      </c>
      <c r="E20" s="465">
        <v>5367.1509000000005</v>
      </c>
      <c r="F20" s="466"/>
      <c r="G20" s="465">
        <f t="shared" si="34"/>
        <v>24000</v>
      </c>
      <c r="H20" s="529">
        <v>27000</v>
      </c>
      <c r="I20" s="467">
        <f t="shared" si="33"/>
        <v>25500</v>
      </c>
      <c r="J20" s="468">
        <v>3</v>
      </c>
      <c r="K20" s="469">
        <f t="shared" si="0"/>
        <v>83.385000000000005</v>
      </c>
      <c r="L20" s="465">
        <f>VLOOKUP(D20,'Mileage &amp; vehicle numbers'!$D$10:$V$19,19,0)</f>
        <v>30419.716055913941</v>
      </c>
      <c r="M20" s="470">
        <f t="shared" si="8"/>
        <v>83.385000000000005</v>
      </c>
      <c r="N20" s="471">
        <f t="shared" si="9"/>
        <v>83.385000000000005</v>
      </c>
      <c r="O20" s="472">
        <f t="shared" si="10"/>
        <v>1.1802983076230504</v>
      </c>
      <c r="P20" s="472">
        <f t="shared" si="10"/>
        <v>1.1802983076230504</v>
      </c>
      <c r="Q20" s="473">
        <f t="shared" si="11"/>
        <v>578112022.23843646</v>
      </c>
      <c r="R20" s="474">
        <f t="shared" si="12"/>
        <v>3.5408949228691515</v>
      </c>
      <c r="S20" s="430">
        <f>'Main table (road wear)'!O19</f>
        <v>3.5408949228691515</v>
      </c>
      <c r="T20" s="475">
        <f t="shared" ref="T20:T26" si="35">MIN($T$2*$I20+$T$3,H20)</f>
        <v>27000</v>
      </c>
      <c r="U20" s="468">
        <v>3</v>
      </c>
      <c r="V20" s="469">
        <f t="shared" si="1"/>
        <v>88.29</v>
      </c>
      <c r="W20" s="465">
        <f t="shared" si="2"/>
        <v>31351.877554920666</v>
      </c>
      <c r="X20" s="470">
        <f t="shared" si="13"/>
        <v>88.29</v>
      </c>
      <c r="Y20" s="471">
        <f t="shared" si="14"/>
        <v>88.29</v>
      </c>
      <c r="Z20" s="472">
        <f t="shared" si="15"/>
        <v>1.4834951107031451</v>
      </c>
      <c r="AA20" s="472">
        <f t="shared" si="15"/>
        <v>1.4834951107031451</v>
      </c>
      <c r="AB20" s="473">
        <f t="shared" si="16"/>
        <v>748884314.3275317</v>
      </c>
      <c r="AC20" s="474">
        <f t="shared" si="17"/>
        <v>4.4504853321094355</v>
      </c>
      <c r="AD20" s="430">
        <f>'Main table (road wear)'!V19</f>
        <v>4.4504853321094355</v>
      </c>
      <c r="AE20" s="476">
        <f t="shared" si="18"/>
        <v>25857</v>
      </c>
      <c r="AF20" s="468">
        <f t="shared" si="3"/>
        <v>3</v>
      </c>
      <c r="AG20" s="469">
        <f t="shared" si="4"/>
        <v>84.552390000000003</v>
      </c>
      <c r="AH20" s="465">
        <f t="shared" si="19"/>
        <v>30419.716055913941</v>
      </c>
      <c r="AI20" s="470">
        <f t="shared" si="20"/>
        <v>84.552390000000003</v>
      </c>
      <c r="AJ20" s="471">
        <f t="shared" si="21"/>
        <v>84.552390000000003</v>
      </c>
      <c r="AK20" s="472">
        <f t="shared" si="22"/>
        <v>1.2477960439562705</v>
      </c>
      <c r="AL20" s="472">
        <f t="shared" si="22"/>
        <v>1.2477960439562705</v>
      </c>
      <c r="AM20" s="473">
        <f t="shared" si="23"/>
        <v>611172522.7882489</v>
      </c>
      <c r="AN20" s="474">
        <f t="shared" si="24"/>
        <v>3.7433881318688114</v>
      </c>
      <c r="AO20" s="430">
        <f>'Main table (road wear)'!AC19</f>
        <v>3.7433881318688114</v>
      </c>
      <c r="AP20" s="477" t="s">
        <v>173</v>
      </c>
      <c r="AQ20" s="475">
        <f t="shared" si="5"/>
        <v>25857</v>
      </c>
      <c r="AR20" s="468">
        <f t="shared" si="6"/>
        <v>3</v>
      </c>
      <c r="AS20" s="469">
        <f t="shared" si="7"/>
        <v>84.552390000000003</v>
      </c>
      <c r="AT20" s="465">
        <f t="shared" si="25"/>
        <v>30419.716055913941</v>
      </c>
      <c r="AU20" s="470">
        <f t="shared" si="26"/>
        <v>84.552390000000003</v>
      </c>
      <c r="AV20" s="471">
        <f t="shared" si="27"/>
        <v>84.552390000000003</v>
      </c>
      <c r="AW20" s="472">
        <f t="shared" si="28"/>
        <v>1.2477960439562705</v>
      </c>
      <c r="AX20" s="472">
        <f t="shared" si="28"/>
        <v>1.2477960439562705</v>
      </c>
      <c r="AY20" s="473">
        <f t="shared" si="29"/>
        <v>611172522.7882489</v>
      </c>
      <c r="AZ20" s="474">
        <f t="shared" si="30"/>
        <v>3.7433881318688114</v>
      </c>
      <c r="BA20" s="516">
        <f>'Main table (road wear)'!AK19</f>
        <v>3.7433881318688114</v>
      </c>
      <c r="BB20" s="456">
        <f t="shared" si="31"/>
        <v>1.2953965417080739</v>
      </c>
      <c r="BC20" s="456">
        <v>1.2953965417080726</v>
      </c>
      <c r="BD20" s="456">
        <f>AB20/'[2]Revised Final table'!N19</f>
        <v>2.2832023084028439</v>
      </c>
      <c r="BE20" s="456">
        <f t="shared" si="32"/>
        <v>0.98780576669476994</v>
      </c>
      <c r="BF20" s="122"/>
      <c r="BG20" s="480"/>
      <c r="BH20" s="354"/>
      <c r="BI20" s="348"/>
      <c r="BJ20" s="348"/>
      <c r="BK20" s="114"/>
      <c r="BL20" s="348"/>
      <c r="BM20" s="57"/>
      <c r="BN20" s="481"/>
      <c r="BO20" s="57"/>
    </row>
    <row r="21" spans="1:67" ht="30" x14ac:dyDescent="0.25">
      <c r="B21" s="126" t="s">
        <v>44</v>
      </c>
      <c r="C21" s="182" t="s">
        <v>368</v>
      </c>
      <c r="D21" s="5" t="s">
        <v>452</v>
      </c>
      <c r="E21" s="122">
        <v>4446.2259000000004</v>
      </c>
      <c r="F21" s="10" t="s">
        <v>386</v>
      </c>
      <c r="G21" s="122">
        <f>H20</f>
        <v>27000</v>
      </c>
      <c r="H21" s="130">
        <v>32000</v>
      </c>
      <c r="I21" s="124">
        <f t="shared" si="33"/>
        <v>29500</v>
      </c>
      <c r="J21" s="159">
        <v>4</v>
      </c>
      <c r="K21" s="44">
        <f t="shared" si="0"/>
        <v>72.348749999999995</v>
      </c>
      <c r="L21" s="122">
        <f>VLOOKUP(D21,'Mileage &amp; vehicle numbers'!$D$10:$V$19,19,0)</f>
        <v>45692.513219871638</v>
      </c>
      <c r="M21" s="43">
        <f t="shared" si="8"/>
        <v>72.348749999999995</v>
      </c>
      <c r="N21" s="354">
        <f t="shared" si="9"/>
        <v>72.348749999999995</v>
      </c>
      <c r="O21" s="348">
        <f t="shared" si="10"/>
        <v>0.66890459627844123</v>
      </c>
      <c r="P21" s="348">
        <f t="shared" si="10"/>
        <v>0.66890459627844123</v>
      </c>
      <c r="Q21" s="114">
        <f t="shared" si="11"/>
        <v>543576586.18280387</v>
      </c>
      <c r="R21" s="350">
        <f t="shared" si="12"/>
        <v>2.6756183851137649</v>
      </c>
      <c r="S21" s="430">
        <f>'Main table (road wear)'!O20</f>
        <v>2.6756183851137649</v>
      </c>
      <c r="T21" s="140">
        <f t="shared" si="35"/>
        <v>32000</v>
      </c>
      <c r="U21" s="159">
        <v>4</v>
      </c>
      <c r="V21" s="44">
        <f t="shared" si="1"/>
        <v>78.48</v>
      </c>
      <c r="W21" s="122">
        <f t="shared" si="2"/>
        <v>45870.956762905611</v>
      </c>
      <c r="X21" s="43">
        <f t="shared" si="13"/>
        <v>78.48</v>
      </c>
      <c r="Y21" s="354">
        <f t="shared" si="14"/>
        <v>78.48</v>
      </c>
      <c r="Z21" s="348">
        <f t="shared" si="15"/>
        <v>0.92613869432100027</v>
      </c>
      <c r="AA21" s="348">
        <f t="shared" si="15"/>
        <v>0.92613869432100027</v>
      </c>
      <c r="AB21" s="114">
        <f t="shared" si="16"/>
        <v>755553712.09648347</v>
      </c>
      <c r="AC21" s="350">
        <f t="shared" si="17"/>
        <v>3.7045547772840011</v>
      </c>
      <c r="AD21" s="430">
        <f>'Main table (road wear)'!V20</f>
        <v>3.7045547772840011</v>
      </c>
      <c r="AE21" s="259">
        <f t="shared" si="18"/>
        <v>29913</v>
      </c>
      <c r="AF21" s="160">
        <f t="shared" si="3"/>
        <v>4</v>
      </c>
      <c r="AG21" s="161">
        <f t="shared" si="4"/>
        <v>73.361632500000013</v>
      </c>
      <c r="AH21" s="162">
        <f t="shared" si="19"/>
        <v>45692.513219871638</v>
      </c>
      <c r="AI21" s="43">
        <f t="shared" si="20"/>
        <v>73.361632500000013</v>
      </c>
      <c r="AJ21" s="354">
        <f t="shared" si="21"/>
        <v>73.361632500000013</v>
      </c>
      <c r="AK21" s="348">
        <f t="shared" si="22"/>
        <v>0.70715725306874566</v>
      </c>
      <c r="AL21" s="348">
        <f t="shared" si="22"/>
        <v>0.70715725306874566</v>
      </c>
      <c r="AM21" s="114">
        <f t="shared" si="23"/>
        <v>574662108.25304031</v>
      </c>
      <c r="AN21" s="350">
        <f t="shared" si="24"/>
        <v>2.8286290122749826</v>
      </c>
      <c r="AO21" s="430">
        <f>'Main table (road wear)'!AC20</f>
        <v>2.8286290122749826</v>
      </c>
      <c r="AP21" s="168" t="s">
        <v>173</v>
      </c>
      <c r="AQ21" s="140">
        <f t="shared" si="5"/>
        <v>29913</v>
      </c>
      <c r="AR21" s="159">
        <f t="shared" si="6"/>
        <v>4</v>
      </c>
      <c r="AS21" s="44">
        <f t="shared" si="7"/>
        <v>73.361632500000013</v>
      </c>
      <c r="AT21" s="122">
        <f t="shared" si="25"/>
        <v>45692.513219871638</v>
      </c>
      <c r="AU21" s="43">
        <f t="shared" si="26"/>
        <v>73.361632500000013</v>
      </c>
      <c r="AV21" s="354">
        <f t="shared" si="27"/>
        <v>73.361632500000013</v>
      </c>
      <c r="AW21" s="348">
        <f t="shared" si="28"/>
        <v>0.70715725306874566</v>
      </c>
      <c r="AX21" s="348">
        <f t="shared" si="28"/>
        <v>0.70715725306874566</v>
      </c>
      <c r="AY21" s="114">
        <f t="shared" si="29"/>
        <v>574662108.25304031</v>
      </c>
      <c r="AZ21" s="350">
        <f t="shared" si="30"/>
        <v>2.8286290122749826</v>
      </c>
      <c r="BA21" s="516">
        <f>'Main table (road wear)'!AK20</f>
        <v>2.8286290122749826</v>
      </c>
      <c r="BB21" s="456">
        <f t="shared" si="31"/>
        <v>1.3899673593416919</v>
      </c>
      <c r="BC21" s="456">
        <v>1.3899673593416921</v>
      </c>
      <c r="BD21" s="456">
        <f>AB21/'[2]Revised Final table'!N20</f>
        <v>1.2995938480987654</v>
      </c>
      <c r="BE21" s="456">
        <f t="shared" si="32"/>
        <v>-9.0373511242926474E-2</v>
      </c>
      <c r="BF21" s="122"/>
      <c r="BG21" s="480"/>
      <c r="BH21" s="354"/>
      <c r="BI21" s="348"/>
      <c r="BJ21" s="348"/>
      <c r="BK21" s="114"/>
      <c r="BL21" s="348"/>
      <c r="BM21" s="57"/>
      <c r="BN21" s="481"/>
      <c r="BO21" s="57"/>
    </row>
    <row r="22" spans="1:67" ht="30" x14ac:dyDescent="0.25">
      <c r="B22" s="126" t="s">
        <v>44</v>
      </c>
      <c r="C22" s="182" t="s">
        <v>368</v>
      </c>
      <c r="D22" s="5" t="s">
        <v>453</v>
      </c>
      <c r="E22" s="122">
        <v>637.28010000000017</v>
      </c>
      <c r="F22" s="10" t="s">
        <v>387</v>
      </c>
      <c r="G22" s="122">
        <f t="shared" si="34"/>
        <v>32000</v>
      </c>
      <c r="H22" s="130">
        <v>38000</v>
      </c>
      <c r="I22" s="124">
        <f t="shared" si="33"/>
        <v>35000</v>
      </c>
      <c r="J22" s="159">
        <v>4</v>
      </c>
      <c r="K22" s="44">
        <f t="shared" si="0"/>
        <v>85.837500000000006</v>
      </c>
      <c r="L22" s="122">
        <f>VLOOKUP(D22,'Mileage &amp; vehicle numbers'!$D$10:$V$19,19,0)</f>
        <v>173886.06449727292</v>
      </c>
      <c r="M22" s="43">
        <f t="shared" si="8"/>
        <v>85.837500000000006</v>
      </c>
      <c r="N22" s="354">
        <f t="shared" si="9"/>
        <v>85.837500000000006</v>
      </c>
      <c r="O22" s="348">
        <f t="shared" si="10"/>
        <v>1.3254040509848124</v>
      </c>
      <c r="P22" s="348">
        <f t="shared" si="10"/>
        <v>1.3254040509848124</v>
      </c>
      <c r="Q22" s="114">
        <f t="shared" si="11"/>
        <v>587493979.65969312</v>
      </c>
      <c r="R22" s="350">
        <f t="shared" si="12"/>
        <v>5.3016162039392496</v>
      </c>
      <c r="S22" s="430">
        <f>'Main table (road wear)'!O21</f>
        <v>5.3016162039392496</v>
      </c>
      <c r="T22" s="140">
        <f t="shared" si="35"/>
        <v>38000</v>
      </c>
      <c r="U22" s="159">
        <v>4</v>
      </c>
      <c r="V22" s="44">
        <f t="shared" si="1"/>
        <v>93.194999999999993</v>
      </c>
      <c r="W22" s="122">
        <f t="shared" si="2"/>
        <v>174042.42467684849</v>
      </c>
      <c r="X22" s="43">
        <f t="shared" si="13"/>
        <v>93.194999999999993</v>
      </c>
      <c r="Y22" s="354">
        <f t="shared" si="14"/>
        <v>93.194999999999993</v>
      </c>
      <c r="Z22" s="348">
        <f t="shared" si="15"/>
        <v>1.8416644406525728</v>
      </c>
      <c r="AA22" s="348">
        <f t="shared" si="15"/>
        <v>1.8416644406525728</v>
      </c>
      <c r="AB22" s="114">
        <f t="shared" si="16"/>
        <v>817063812.76114845</v>
      </c>
      <c r="AC22" s="350">
        <f t="shared" si="17"/>
        <v>7.3666577626102914</v>
      </c>
      <c r="AD22" s="430">
        <f>'Main table (road wear)'!V21</f>
        <v>7.3666577626102914</v>
      </c>
      <c r="AE22" s="259">
        <f t="shared" si="18"/>
        <v>35490</v>
      </c>
      <c r="AF22" s="160">
        <f t="shared" si="3"/>
        <v>4</v>
      </c>
      <c r="AG22" s="161">
        <f t="shared" si="4"/>
        <v>87.039225000000002</v>
      </c>
      <c r="AH22" s="162">
        <f t="shared" si="19"/>
        <v>173886.06449727292</v>
      </c>
      <c r="AI22" s="43">
        <f t="shared" si="20"/>
        <v>87.039225000000002</v>
      </c>
      <c r="AJ22" s="354">
        <f t="shared" si="21"/>
        <v>87.039225000000002</v>
      </c>
      <c r="AK22" s="348">
        <f t="shared" si="22"/>
        <v>1.4011999515555063</v>
      </c>
      <c r="AL22" s="348">
        <f t="shared" si="22"/>
        <v>1.4011999515555063</v>
      </c>
      <c r="AM22" s="114">
        <f t="shared" si="23"/>
        <v>621091006.34380543</v>
      </c>
      <c r="AN22" s="350">
        <f t="shared" si="24"/>
        <v>5.604799806222025</v>
      </c>
      <c r="AO22" s="430">
        <f>'Main table (road wear)'!AC21</f>
        <v>5.604799806222025</v>
      </c>
      <c r="AP22" s="168" t="s">
        <v>173</v>
      </c>
      <c r="AQ22" s="140">
        <f t="shared" si="5"/>
        <v>35490</v>
      </c>
      <c r="AR22" s="159">
        <f t="shared" si="6"/>
        <v>4</v>
      </c>
      <c r="AS22" s="44">
        <f t="shared" si="7"/>
        <v>87.039225000000002</v>
      </c>
      <c r="AT22" s="122">
        <f t="shared" si="25"/>
        <v>173886.06449727292</v>
      </c>
      <c r="AU22" s="43">
        <f t="shared" si="26"/>
        <v>87.039225000000002</v>
      </c>
      <c r="AV22" s="354">
        <f t="shared" si="27"/>
        <v>87.039225000000002</v>
      </c>
      <c r="AW22" s="348">
        <f t="shared" si="28"/>
        <v>1.4011999515555063</v>
      </c>
      <c r="AX22" s="348">
        <f t="shared" si="28"/>
        <v>1.4011999515555063</v>
      </c>
      <c r="AY22" s="114">
        <f t="shared" si="29"/>
        <v>621091006.34380543</v>
      </c>
      <c r="AZ22" s="350">
        <f t="shared" si="30"/>
        <v>5.604799806222025</v>
      </c>
      <c r="BA22" s="516">
        <f>'Main table (road wear)'!AK21</f>
        <v>5.604799806222025</v>
      </c>
      <c r="BB22" s="456">
        <f t="shared" si="31"/>
        <v>1.3907611670070799</v>
      </c>
      <c r="BC22" s="456">
        <v>1.3907611670070794</v>
      </c>
      <c r="BD22" s="456">
        <f>AB22/'[2]Revised Final table'!N21</f>
        <v>1.3907611670070799</v>
      </c>
      <c r="BE22" s="456">
        <f t="shared" si="32"/>
        <v>0</v>
      </c>
      <c r="BF22" s="486"/>
      <c r="BG22" s="480"/>
      <c r="BH22" s="354"/>
      <c r="BI22" s="348"/>
      <c r="BJ22" s="348"/>
      <c r="BK22" s="114"/>
      <c r="BL22" s="348"/>
      <c r="BM22" s="57"/>
      <c r="BN22" s="481"/>
      <c r="BO22" s="57"/>
    </row>
    <row r="23" spans="1:67" ht="30" x14ac:dyDescent="0.25">
      <c r="B23" s="126" t="s">
        <v>44</v>
      </c>
      <c r="C23" s="182" t="s">
        <v>368</v>
      </c>
      <c r="D23" s="5" t="s">
        <v>454</v>
      </c>
      <c r="E23" s="122">
        <v>3957.6751875000004</v>
      </c>
      <c r="F23" s="10" t="s">
        <v>387</v>
      </c>
      <c r="G23" s="122">
        <f>H22</f>
        <v>38000</v>
      </c>
      <c r="H23" s="130">
        <v>40000</v>
      </c>
      <c r="I23" s="124">
        <f t="shared" si="33"/>
        <v>39000</v>
      </c>
      <c r="J23" s="159">
        <v>5</v>
      </c>
      <c r="K23" s="44">
        <f t="shared" si="0"/>
        <v>76.518000000000001</v>
      </c>
      <c r="L23" s="122">
        <f>VLOOKUP(D23,'Mileage &amp; vehicle numbers'!$D$10:$V$19,19,0)</f>
        <v>125999.11689226481</v>
      </c>
      <c r="M23" s="43">
        <f t="shared" si="8"/>
        <v>76.518000000000001</v>
      </c>
      <c r="N23" s="354">
        <f t="shared" si="9"/>
        <v>76.518000000000001</v>
      </c>
      <c r="O23" s="348">
        <f t="shared" si="10"/>
        <v>0.83694032309713595</v>
      </c>
      <c r="P23" s="348">
        <f t="shared" si="10"/>
        <v>0.83694032309713595</v>
      </c>
      <c r="Q23" s="114">
        <f t="shared" si="11"/>
        <v>2086758282.8317275</v>
      </c>
      <c r="R23" s="350">
        <f t="shared" si="12"/>
        <v>4.1847016154856798</v>
      </c>
      <c r="S23" s="430">
        <f>'Main table (road wear)'!O22</f>
        <v>4.1847016154856798</v>
      </c>
      <c r="T23" s="140">
        <f t="shared" si="35"/>
        <v>40000</v>
      </c>
      <c r="U23" s="159">
        <v>5</v>
      </c>
      <c r="V23" s="44">
        <f t="shared" si="1"/>
        <v>78.48</v>
      </c>
      <c r="W23" s="162">
        <f t="shared" si="2"/>
        <v>133344.1409121617</v>
      </c>
      <c r="X23" s="43">
        <f t="shared" si="13"/>
        <v>78.48</v>
      </c>
      <c r="Y23" s="354">
        <f t="shared" si="14"/>
        <v>78.48</v>
      </c>
      <c r="Z23" s="348">
        <f t="shared" si="15"/>
        <v>0.92613869432100027</v>
      </c>
      <c r="AA23" s="348">
        <f t="shared" si="15"/>
        <v>0.92613869432100027</v>
      </c>
      <c r="AB23" s="114">
        <f t="shared" si="16"/>
        <v>2443768821.9251628</v>
      </c>
      <c r="AC23" s="350">
        <f t="shared" si="17"/>
        <v>4.6306934716050012</v>
      </c>
      <c r="AD23" s="430">
        <f>'Main table (road wear)'!V22</f>
        <v>4.6306934716050012</v>
      </c>
      <c r="AE23" s="259">
        <f t="shared" si="18"/>
        <v>39546</v>
      </c>
      <c r="AF23" s="159">
        <f t="shared" si="3"/>
        <v>5</v>
      </c>
      <c r="AG23" s="44">
        <f t="shared" si="4"/>
        <v>77.589252000000002</v>
      </c>
      <c r="AH23" s="122">
        <f t="shared" si="19"/>
        <v>125999.11689226481</v>
      </c>
      <c r="AI23" s="43">
        <f t="shared" si="20"/>
        <v>77.589252000000002</v>
      </c>
      <c r="AJ23" s="354">
        <f t="shared" si="21"/>
        <v>77.589252000000002</v>
      </c>
      <c r="AK23" s="348">
        <f t="shared" si="22"/>
        <v>0.88480244141942388</v>
      </c>
      <c r="AL23" s="348">
        <f t="shared" si="22"/>
        <v>0.88480244141942388</v>
      </c>
      <c r="AM23" s="114">
        <f t="shared" si="23"/>
        <v>2206093758.8347335</v>
      </c>
      <c r="AN23" s="350">
        <f t="shared" si="24"/>
        <v>4.4240122070971193</v>
      </c>
      <c r="AO23" s="430">
        <f>'Main table (road wear)'!AC22</f>
        <v>4.4240122070971193</v>
      </c>
      <c r="AP23" s="168" t="s">
        <v>173</v>
      </c>
      <c r="AQ23" s="140">
        <f t="shared" si="5"/>
        <v>39546</v>
      </c>
      <c r="AR23" s="159">
        <f t="shared" si="6"/>
        <v>5</v>
      </c>
      <c r="AS23" s="44">
        <f t="shared" si="7"/>
        <v>77.589252000000002</v>
      </c>
      <c r="AT23" s="122">
        <f t="shared" si="25"/>
        <v>125999.11689226481</v>
      </c>
      <c r="AU23" s="43">
        <f t="shared" si="26"/>
        <v>77.589252000000002</v>
      </c>
      <c r="AV23" s="354">
        <f t="shared" si="27"/>
        <v>77.589252000000002</v>
      </c>
      <c r="AW23" s="348">
        <f t="shared" si="28"/>
        <v>0.88480244141942388</v>
      </c>
      <c r="AX23" s="348">
        <f t="shared" si="28"/>
        <v>0.88480244141942388</v>
      </c>
      <c r="AY23" s="114">
        <f t="shared" si="29"/>
        <v>2206093758.8347335</v>
      </c>
      <c r="AZ23" s="350">
        <f t="shared" si="30"/>
        <v>4.4240122070971193</v>
      </c>
      <c r="BA23" s="516">
        <f>'Main table (road wear)'!AK22</f>
        <v>4.4240122070971193</v>
      </c>
      <c r="BB23" s="456">
        <f t="shared" si="31"/>
        <v>1.1710838011429732</v>
      </c>
      <c r="BC23" s="456">
        <v>1.1710838011429716</v>
      </c>
      <c r="BD23" s="456">
        <f>AB23/'[2]Revised Final table'!N22</f>
        <v>1.1710838011429732</v>
      </c>
      <c r="BE23" s="456">
        <f t="shared" si="32"/>
        <v>0</v>
      </c>
      <c r="BF23" s="486"/>
      <c r="BG23" s="480"/>
      <c r="BH23" s="354"/>
      <c r="BI23" s="348"/>
      <c r="BJ23" s="348"/>
      <c r="BK23" s="114"/>
      <c r="BL23" s="348"/>
      <c r="BM23" s="57"/>
      <c r="BN23" s="481"/>
      <c r="BO23" s="57"/>
    </row>
    <row r="24" spans="1:67" ht="30" x14ac:dyDescent="0.25">
      <c r="B24" s="126" t="s">
        <v>44</v>
      </c>
      <c r="C24" s="182" t="s">
        <v>368</v>
      </c>
      <c r="D24" s="5" t="s">
        <v>445</v>
      </c>
      <c r="E24" s="122">
        <v>6596.1253124999994</v>
      </c>
      <c r="F24" s="10" t="s">
        <v>387</v>
      </c>
      <c r="G24" s="122">
        <f>H23</f>
        <v>40000</v>
      </c>
      <c r="H24" s="130">
        <v>44000</v>
      </c>
      <c r="I24" s="124">
        <f t="shared" si="33"/>
        <v>42000</v>
      </c>
      <c r="J24" s="159">
        <v>6</v>
      </c>
      <c r="K24" s="44">
        <f t="shared" si="0"/>
        <v>68.67</v>
      </c>
      <c r="L24" s="122">
        <f>VLOOKUP(D24,'Mileage &amp; vehicle numbers'!$D$10:$V$19,19,0)</f>
        <v>125999.11689226482</v>
      </c>
      <c r="M24" s="43">
        <f t="shared" si="8"/>
        <v>68.67</v>
      </c>
      <c r="N24" s="354">
        <f t="shared" si="9"/>
        <v>68.67</v>
      </c>
      <c r="O24" s="348">
        <f t="shared" si="10"/>
        <v>0.54288549928337926</v>
      </c>
      <c r="P24" s="348">
        <f t="shared" si="10"/>
        <v>0.54288549928337926</v>
      </c>
      <c r="Q24" s="114">
        <f t="shared" si="11"/>
        <v>2707172258.2718658</v>
      </c>
      <c r="R24" s="350">
        <f t="shared" si="12"/>
        <v>3.2573129957002753</v>
      </c>
      <c r="S24" s="430">
        <f>'Main table (road wear)'!O23</f>
        <v>3.2573129957002758</v>
      </c>
      <c r="T24" s="140">
        <f t="shared" si="35"/>
        <v>44000</v>
      </c>
      <c r="U24" s="159">
        <v>6</v>
      </c>
      <c r="V24" s="44">
        <f t="shared" si="1"/>
        <v>71.94</v>
      </c>
      <c r="W24" s="162">
        <f t="shared" si="2"/>
        <v>130451.95431940039</v>
      </c>
      <c r="X24" s="43">
        <f t="shared" si="13"/>
        <v>71.94</v>
      </c>
      <c r="Y24" s="354">
        <f t="shared" si="14"/>
        <v>71.94</v>
      </c>
      <c r="Z24" s="348">
        <f t="shared" si="15"/>
        <v>0.6539157322315664</v>
      </c>
      <c r="AA24" s="348">
        <f t="shared" si="15"/>
        <v>0.6539157322315664</v>
      </c>
      <c r="AB24" s="114">
        <f t="shared" si="16"/>
        <v>3376078403.4399624</v>
      </c>
      <c r="AC24" s="350">
        <f t="shared" si="17"/>
        <v>3.9234943933893986</v>
      </c>
      <c r="AD24" s="430">
        <f>'Main table (road wear)'!V23</f>
        <v>3.9234943933893982</v>
      </c>
      <c r="AE24" s="259">
        <f t="shared" si="18"/>
        <v>42588</v>
      </c>
      <c r="AF24" s="159">
        <f t="shared" si="3"/>
        <v>6</v>
      </c>
      <c r="AG24" s="44">
        <f t="shared" si="4"/>
        <v>69.631380000000007</v>
      </c>
      <c r="AH24" s="122">
        <f t="shared" si="19"/>
        <v>125999.11689226482</v>
      </c>
      <c r="AI24" s="43">
        <f t="shared" si="20"/>
        <v>69.631380000000007</v>
      </c>
      <c r="AJ24" s="354">
        <f t="shared" si="21"/>
        <v>69.631380000000007</v>
      </c>
      <c r="AK24" s="348">
        <f t="shared" si="22"/>
        <v>0.57393150015713534</v>
      </c>
      <c r="AL24" s="348">
        <f t="shared" si="22"/>
        <v>0.57393150015713534</v>
      </c>
      <c r="AM24" s="114">
        <f t="shared" si="23"/>
        <v>2861987357.232255</v>
      </c>
      <c r="AN24" s="350">
        <f t="shared" si="24"/>
        <v>3.4435890009428118</v>
      </c>
      <c r="AO24" s="430">
        <f>'Main table (road wear)'!AC23</f>
        <v>3.4435890009428123</v>
      </c>
      <c r="AP24" s="168" t="s">
        <v>173</v>
      </c>
      <c r="AQ24" s="140">
        <f t="shared" si="5"/>
        <v>42588</v>
      </c>
      <c r="AR24" s="159">
        <f t="shared" si="6"/>
        <v>6</v>
      </c>
      <c r="AS24" s="44">
        <f t="shared" si="7"/>
        <v>69.631380000000007</v>
      </c>
      <c r="AT24" s="122">
        <f t="shared" si="25"/>
        <v>125999.11689226482</v>
      </c>
      <c r="AU24" s="43">
        <f t="shared" si="26"/>
        <v>69.631380000000007</v>
      </c>
      <c r="AV24" s="354">
        <f t="shared" si="27"/>
        <v>69.631380000000007</v>
      </c>
      <c r="AW24" s="348">
        <f t="shared" si="28"/>
        <v>0.57393150015713534</v>
      </c>
      <c r="AX24" s="348">
        <f t="shared" si="28"/>
        <v>0.57393150015713534</v>
      </c>
      <c r="AY24" s="114">
        <f t="shared" si="29"/>
        <v>2861987357.232255</v>
      </c>
      <c r="AZ24" s="350">
        <f t="shared" si="30"/>
        <v>3.4435890009428118</v>
      </c>
      <c r="BA24" s="516">
        <f>'Main table (road wear)'!AK23</f>
        <v>3.4435890009428123</v>
      </c>
      <c r="BB24" s="456">
        <f t="shared" si="31"/>
        <v>1.247086657719777</v>
      </c>
      <c r="BC24" s="456">
        <v>1.2470866577197781</v>
      </c>
      <c r="BD24" s="456">
        <f>AB24/'[2]Revised Final table'!N23</f>
        <v>1.2470866577197772</v>
      </c>
      <c r="BE24" s="456">
        <f t="shared" si="32"/>
        <v>0</v>
      </c>
      <c r="BF24" s="122"/>
      <c r="BG24" s="480"/>
      <c r="BH24" s="354"/>
      <c r="BI24" s="347"/>
      <c r="BJ24" s="347"/>
      <c r="BK24" s="114"/>
      <c r="BL24" s="347"/>
      <c r="BM24" s="57"/>
      <c r="BN24" s="481"/>
      <c r="BO24" s="57"/>
    </row>
    <row r="25" spans="1:67" ht="30" x14ac:dyDescent="0.25">
      <c r="B25" s="126" t="s">
        <v>47</v>
      </c>
      <c r="C25" s="182" t="s">
        <v>367</v>
      </c>
      <c r="D25" s="144" t="s">
        <v>135</v>
      </c>
      <c r="E25" s="127">
        <v>9842.1440000000002</v>
      </c>
      <c r="F25" s="146"/>
      <c r="G25" s="122">
        <v>2500</v>
      </c>
      <c r="H25" s="130">
        <v>3500</v>
      </c>
      <c r="I25" s="35">
        <v>3000</v>
      </c>
      <c r="J25" s="159">
        <v>2</v>
      </c>
      <c r="K25" s="44">
        <f t="shared" si="0"/>
        <v>14.715</v>
      </c>
      <c r="L25" s="122">
        <v>26261.95019929899</v>
      </c>
      <c r="M25" s="43">
        <f t="shared" si="8"/>
        <v>14.715</v>
      </c>
      <c r="N25" s="354">
        <f t="shared" si="9"/>
        <v>14.715</v>
      </c>
      <c r="O25" s="347">
        <f t="shared" si="10"/>
        <v>1.1446721533203278E-3</v>
      </c>
      <c r="P25" s="347">
        <f t="shared" si="10"/>
        <v>1.1446721533203278E-3</v>
      </c>
      <c r="Q25" s="114">
        <f t="shared" si="11"/>
        <v>591735.74126663699</v>
      </c>
      <c r="R25" s="352">
        <f t="shared" si="12"/>
        <v>2.2893443066406556E-3</v>
      </c>
      <c r="S25" s="502">
        <f>'Main table (road wear)'!O24</f>
        <v>2.2893443066406556E-3</v>
      </c>
      <c r="T25" s="140">
        <f t="shared" si="35"/>
        <v>3500</v>
      </c>
      <c r="U25" s="159">
        <v>2</v>
      </c>
      <c r="V25" s="44">
        <f t="shared" si="1"/>
        <v>17.1675</v>
      </c>
      <c r="W25" s="122">
        <f t="shared" si="2"/>
        <v>27412.748857032275</v>
      </c>
      <c r="X25" s="43">
        <f t="shared" si="13"/>
        <v>17.1675</v>
      </c>
      <c r="Y25" s="354">
        <f t="shared" si="14"/>
        <v>17.1675</v>
      </c>
      <c r="Z25" s="347">
        <f t="shared" si="15"/>
        <v>2.1206464815757002E-3</v>
      </c>
      <c r="AA25" s="347">
        <f t="shared" si="15"/>
        <v>2.1206464815757002E-3</v>
      </c>
      <c r="AB25" s="114">
        <f t="shared" si="16"/>
        <v>1144301.7816966882</v>
      </c>
      <c r="AC25" s="352">
        <f t="shared" si="17"/>
        <v>4.2412929631514005E-3</v>
      </c>
      <c r="AD25" s="502">
        <f>'Main table (road wear)'!V24</f>
        <v>4.2412929631514005E-3</v>
      </c>
      <c r="AE25" s="259">
        <f t="shared" si="18"/>
        <v>3042</v>
      </c>
      <c r="AF25" s="159">
        <f t="shared" si="3"/>
        <v>2</v>
      </c>
      <c r="AG25" s="44">
        <f t="shared" si="4"/>
        <v>14.921010000000001</v>
      </c>
      <c r="AH25" s="122">
        <f t="shared" si="19"/>
        <v>26261.95019929899</v>
      </c>
      <c r="AI25" s="43">
        <f t="shared" si="20"/>
        <v>14.921010000000001</v>
      </c>
      <c r="AJ25" s="354">
        <f t="shared" si="21"/>
        <v>14.921010000000001</v>
      </c>
      <c r="AK25" s="347">
        <f t="shared" si="22"/>
        <v>1.2101325362538513E-3</v>
      </c>
      <c r="AL25" s="347">
        <f t="shared" si="22"/>
        <v>1.2101325362538513E-3</v>
      </c>
      <c r="AM25" s="114">
        <f t="shared" si="23"/>
        <v>625575.34163291473</v>
      </c>
      <c r="AN25" s="352">
        <f t="shared" si="24"/>
        <v>2.4202650725077025E-3</v>
      </c>
      <c r="AO25" s="445">
        <f>'Main table (road wear)'!AC24</f>
        <v>2.4202650725077025E-3</v>
      </c>
      <c r="AP25" s="168" t="s">
        <v>172</v>
      </c>
      <c r="AQ25" s="140">
        <f t="shared" si="5"/>
        <v>3500</v>
      </c>
      <c r="AR25" s="159">
        <f t="shared" si="6"/>
        <v>2</v>
      </c>
      <c r="AS25" s="44">
        <f t="shared" si="7"/>
        <v>17.1675</v>
      </c>
      <c r="AT25" s="122">
        <f t="shared" si="25"/>
        <v>27412.748857032275</v>
      </c>
      <c r="AU25" s="43">
        <f t="shared" si="26"/>
        <v>17.1675</v>
      </c>
      <c r="AV25" s="354">
        <f t="shared" si="27"/>
        <v>17.1675</v>
      </c>
      <c r="AW25" s="347">
        <f t="shared" si="28"/>
        <v>2.1206464815757002E-3</v>
      </c>
      <c r="AX25" s="347">
        <f t="shared" si="28"/>
        <v>2.1206464815757002E-3</v>
      </c>
      <c r="AY25" s="114">
        <f t="shared" si="29"/>
        <v>1144301.7816966882</v>
      </c>
      <c r="AZ25" s="352">
        <f t="shared" si="30"/>
        <v>4.2412929631514005E-3</v>
      </c>
      <c r="BA25" s="519">
        <f>'Main table (road wear)'!AK24</f>
        <v>4.2412929631514005E-3</v>
      </c>
      <c r="BB25" s="456">
        <f t="shared" si="31"/>
        <v>1.9338054166666672</v>
      </c>
      <c r="BC25" s="456">
        <v>1.9338054166666669</v>
      </c>
      <c r="BD25" s="456">
        <f>AB25/'[2]Revised Final table'!N24</f>
        <v>1.9338054166666672</v>
      </c>
      <c r="BE25" s="456">
        <f t="shared" si="32"/>
        <v>0</v>
      </c>
      <c r="BF25" s="122"/>
      <c r="BG25" s="480"/>
      <c r="BH25" s="354"/>
      <c r="BI25" s="347"/>
      <c r="BJ25" s="347"/>
      <c r="BK25" s="114"/>
      <c r="BL25" s="347"/>
      <c r="BM25" s="57"/>
      <c r="BN25" s="481"/>
      <c r="BO25" s="57"/>
    </row>
    <row r="26" spans="1:67" ht="30" x14ac:dyDescent="0.25">
      <c r="B26" s="126" t="s">
        <v>47</v>
      </c>
      <c r="C26" s="182" t="s">
        <v>367</v>
      </c>
      <c r="D26" s="144" t="s">
        <v>134</v>
      </c>
      <c r="E26" s="127">
        <v>296494.58799999999</v>
      </c>
      <c r="F26" s="145"/>
      <c r="G26" s="127">
        <v>2500</v>
      </c>
      <c r="H26" s="128">
        <v>3500</v>
      </c>
      <c r="I26" s="35">
        <v>3000</v>
      </c>
      <c r="J26" s="159">
        <v>2</v>
      </c>
      <c r="K26" s="44">
        <f t="shared" si="0"/>
        <v>14.715</v>
      </c>
      <c r="L26" s="122">
        <v>26261.95019929899</v>
      </c>
      <c r="M26" s="43">
        <f t="shared" si="8"/>
        <v>14.715</v>
      </c>
      <c r="N26" s="354">
        <f t="shared" si="9"/>
        <v>14.715</v>
      </c>
      <c r="O26" s="347">
        <f t="shared" si="10"/>
        <v>1.1446721533203278E-3</v>
      </c>
      <c r="P26" s="347">
        <f t="shared" si="10"/>
        <v>1.1446721533203278E-3</v>
      </c>
      <c r="Q26" s="114">
        <f t="shared" si="11"/>
        <v>17826039.205657441</v>
      </c>
      <c r="R26" s="352">
        <f t="shared" si="12"/>
        <v>2.2893443066406556E-3</v>
      </c>
      <c r="S26" s="502">
        <f>'Main table (road wear)'!O25</f>
        <v>2.2893443066406556E-3</v>
      </c>
      <c r="T26" s="140">
        <f t="shared" si="35"/>
        <v>3500</v>
      </c>
      <c r="U26" s="159">
        <v>2</v>
      </c>
      <c r="V26" s="44">
        <f t="shared" si="1"/>
        <v>17.1675</v>
      </c>
      <c r="W26" s="122">
        <f t="shared" si="2"/>
        <v>27412.748857032275</v>
      </c>
      <c r="X26" s="43">
        <f t="shared" si="13"/>
        <v>17.1675</v>
      </c>
      <c r="Y26" s="354">
        <f t="shared" si="14"/>
        <v>17.1675</v>
      </c>
      <c r="Z26" s="347">
        <f t="shared" si="15"/>
        <v>2.1206464815757002E-3</v>
      </c>
      <c r="AA26" s="347">
        <f t="shared" si="15"/>
        <v>2.1206464815757002E-3</v>
      </c>
      <c r="AB26" s="114">
        <f t="shared" si="16"/>
        <v>34472091.173612729</v>
      </c>
      <c r="AC26" s="352">
        <f t="shared" si="17"/>
        <v>4.2412929631514005E-3</v>
      </c>
      <c r="AD26" s="502">
        <f>'Main table (road wear)'!V25</f>
        <v>4.2412929631514005E-3</v>
      </c>
      <c r="AE26" s="259">
        <f t="shared" si="18"/>
        <v>3042</v>
      </c>
      <c r="AF26" s="159">
        <f t="shared" si="3"/>
        <v>2</v>
      </c>
      <c r="AG26" s="44">
        <f t="shared" si="4"/>
        <v>14.921010000000001</v>
      </c>
      <c r="AH26" s="122">
        <f t="shared" si="19"/>
        <v>26261.95019929899</v>
      </c>
      <c r="AI26" s="43">
        <f t="shared" si="20"/>
        <v>14.921010000000001</v>
      </c>
      <c r="AJ26" s="354">
        <f t="shared" si="21"/>
        <v>14.921010000000001</v>
      </c>
      <c r="AK26" s="347">
        <f t="shared" si="22"/>
        <v>1.2101325362538513E-3</v>
      </c>
      <c r="AL26" s="347">
        <f t="shared" si="22"/>
        <v>1.2101325362538513E-3</v>
      </c>
      <c r="AM26" s="114">
        <f t="shared" si="23"/>
        <v>18845457.166691557</v>
      </c>
      <c r="AN26" s="352">
        <f t="shared" si="24"/>
        <v>2.4202650725077025E-3</v>
      </c>
      <c r="AO26" s="445">
        <f>'Main table (road wear)'!AC25</f>
        <v>2.4202650725077025E-3</v>
      </c>
      <c r="AP26" s="168" t="s">
        <v>173</v>
      </c>
      <c r="AQ26" s="140">
        <f t="shared" si="5"/>
        <v>3042</v>
      </c>
      <c r="AR26" s="159">
        <f t="shared" si="6"/>
        <v>2</v>
      </c>
      <c r="AS26" s="44">
        <f t="shared" si="7"/>
        <v>14.921010000000001</v>
      </c>
      <c r="AT26" s="122">
        <f t="shared" si="25"/>
        <v>26261.95019929899</v>
      </c>
      <c r="AU26" s="43">
        <f t="shared" si="26"/>
        <v>14.921010000000001</v>
      </c>
      <c r="AV26" s="354">
        <f t="shared" si="27"/>
        <v>14.921010000000001</v>
      </c>
      <c r="AW26" s="347">
        <f t="shared" si="28"/>
        <v>1.2101325362538513E-3</v>
      </c>
      <c r="AX26" s="347">
        <f t="shared" si="28"/>
        <v>1.2101325362538513E-3</v>
      </c>
      <c r="AY26" s="114">
        <f t="shared" si="29"/>
        <v>18845457.166691557</v>
      </c>
      <c r="AZ26" s="352">
        <f t="shared" si="30"/>
        <v>2.4202650725077025E-3</v>
      </c>
      <c r="BA26" s="519">
        <f>'Main table (road wear)'!AK25</f>
        <v>2.4202650725077025E-3</v>
      </c>
      <c r="BB26" s="456">
        <f t="shared" si="31"/>
        <v>1.9338054166666669</v>
      </c>
      <c r="BC26" s="456">
        <v>1.9338054166666669</v>
      </c>
      <c r="BD26" s="456">
        <f>AB26/'[2]Revised Final table'!N25</f>
        <v>1.9338054166666674</v>
      </c>
      <c r="BE26" s="456">
        <f t="shared" si="32"/>
        <v>0</v>
      </c>
      <c r="BF26" s="122"/>
      <c r="BG26" s="122"/>
      <c r="BH26" s="122"/>
      <c r="BI26" s="122"/>
      <c r="BJ26" s="111"/>
      <c r="BK26" s="114"/>
      <c r="BL26" s="114"/>
      <c r="BM26" s="57"/>
      <c r="BN26" s="57"/>
      <c r="BO26" s="57"/>
    </row>
    <row r="27" spans="1:67" x14ac:dyDescent="0.25">
      <c r="B27" s="126"/>
      <c r="C27" s="112"/>
      <c r="D27" s="57"/>
      <c r="E27" s="127"/>
      <c r="F27" s="129"/>
      <c r="G27" s="127"/>
      <c r="H27" s="128"/>
      <c r="I27" s="35"/>
      <c r="J27" s="125"/>
      <c r="K27" s="44"/>
      <c r="L27" s="122"/>
      <c r="M27" s="122"/>
      <c r="N27" s="122"/>
      <c r="O27" s="127"/>
      <c r="P27" s="111"/>
      <c r="Q27" s="114"/>
      <c r="R27" s="123"/>
      <c r="S27" s="503"/>
      <c r="T27" s="140"/>
      <c r="U27" s="125"/>
      <c r="V27" s="44"/>
      <c r="W27" s="122"/>
      <c r="X27" s="122"/>
      <c r="Y27" s="122"/>
      <c r="Z27" s="122"/>
      <c r="AA27" s="111"/>
      <c r="AB27" s="114"/>
      <c r="AC27" s="123"/>
      <c r="AD27" s="503">
        <f>'Main table (road wear)'!V26</f>
        <v>0</v>
      </c>
      <c r="AE27" s="259"/>
      <c r="AF27" s="125"/>
      <c r="AG27" s="44"/>
      <c r="AH27" s="122"/>
      <c r="AI27" s="122"/>
      <c r="AJ27" s="122"/>
      <c r="AK27" s="122"/>
      <c r="AL27" s="111"/>
      <c r="AM27" s="114"/>
      <c r="AN27" s="123"/>
      <c r="AO27" s="430"/>
      <c r="AP27" s="137"/>
      <c r="AQ27" s="140"/>
      <c r="AR27" s="125"/>
      <c r="AS27" s="44"/>
      <c r="AT27" s="122"/>
      <c r="AU27" s="122"/>
      <c r="AV27" s="122"/>
      <c r="AW27" s="122"/>
      <c r="AX27" s="111"/>
      <c r="AY27" s="114"/>
      <c r="AZ27" s="123"/>
      <c r="BA27" s="521"/>
      <c r="BB27" s="456"/>
      <c r="BC27" s="456"/>
      <c r="BD27" s="456"/>
      <c r="BE27" s="456"/>
      <c r="BF27" s="125"/>
      <c r="BG27" s="125"/>
      <c r="BH27" s="125"/>
      <c r="BI27" s="125"/>
      <c r="BJ27" s="171"/>
      <c r="BK27" s="147"/>
      <c r="BL27" s="482"/>
      <c r="BM27" s="57"/>
      <c r="BN27" s="147"/>
      <c r="BO27" s="57"/>
    </row>
    <row r="28" spans="1:67" x14ac:dyDescent="0.25">
      <c r="A28" t="s">
        <v>9</v>
      </c>
      <c r="B28" s="35" t="s">
        <v>185</v>
      </c>
      <c r="C28" s="112" t="s">
        <v>9</v>
      </c>
      <c r="D28" s="57"/>
      <c r="E28" s="147">
        <f>SUM(E15:E24)</f>
        <v>36837</v>
      </c>
      <c r="F28" s="57"/>
      <c r="G28" s="60"/>
      <c r="H28" s="119"/>
      <c r="I28" s="125">
        <f>AVERAGE(I15:I24)</f>
        <v>23925</v>
      </c>
      <c r="J28" s="170" t="s">
        <v>198</v>
      </c>
      <c r="K28" s="125">
        <f>AVERAGE(K15:K24)</f>
        <v>68.637299999999996</v>
      </c>
      <c r="L28" s="125">
        <f>AVERAGE(L15:L24)</f>
        <v>73228.23683062839</v>
      </c>
      <c r="M28" s="125"/>
      <c r="N28" s="125"/>
      <c r="O28" s="343"/>
      <c r="P28" s="344">
        <f>AVERAGE(P15:P24)</f>
        <v>0.71598256393136572</v>
      </c>
      <c r="Q28" s="147">
        <f>SUM(Q15:Q24)</f>
        <v>7250464711.031147</v>
      </c>
      <c r="R28" s="325">
        <f>AVERAGE(R15:R24)</f>
        <v>2.4767394761459331</v>
      </c>
      <c r="S28" s="504">
        <f>'Main table (road wear)'!O27</f>
        <v>2.3823432841824554</v>
      </c>
      <c r="T28" s="125">
        <f>AVERAGE(T15:T24)</f>
        <v>25647.864999999998</v>
      </c>
      <c r="U28" s="170"/>
      <c r="V28" s="125">
        <f>AVERAGE(V15:V24)</f>
        <v>74.213660430000004</v>
      </c>
      <c r="W28" s="125">
        <f>AVERAGE(W15:W24)</f>
        <v>74534.719497493264</v>
      </c>
      <c r="X28" s="125"/>
      <c r="Y28" s="125"/>
      <c r="Z28" s="343"/>
      <c r="AA28" s="344">
        <f>AVERAGE(AA15:AA24)</f>
        <v>0.96528306297404343</v>
      </c>
      <c r="AB28" s="147">
        <f>SUM(AB15:AB24)</f>
        <v>9237711067.6071072</v>
      </c>
      <c r="AC28" s="325">
        <f>AVERAGE(AC15:AC24)</f>
        <v>3.2574502756412942</v>
      </c>
      <c r="AD28" s="504">
        <f>'Main table (road wear)'!V27</f>
        <v>3.0372059056468954</v>
      </c>
      <c r="AE28" s="125">
        <f>AVERAGE(AE15:AE24)</f>
        <v>24259.95</v>
      </c>
      <c r="AF28" s="170"/>
      <c r="AG28" s="125">
        <f>AVERAGE(AG15:AG24)</f>
        <v>69.598222199999995</v>
      </c>
      <c r="AH28" s="125">
        <f>AVERAGE(AH15:AH24)</f>
        <v>73228.23683062839</v>
      </c>
      <c r="AI28" s="125"/>
      <c r="AJ28" s="125"/>
      <c r="AK28" s="343"/>
      <c r="AL28" s="344">
        <f>AVERAGE(AL15:AL24)</f>
        <v>0.75692746913651365</v>
      </c>
      <c r="AM28" s="147">
        <f>SUM(AM15:AM24)</f>
        <v>7665097140.9835863</v>
      </c>
      <c r="AN28" s="325">
        <f>AVERAGE(AN15:AN24)</f>
        <v>2.6183768122729676</v>
      </c>
      <c r="AO28" s="430">
        <f>'Main table (road wear)'!AC27</f>
        <v>2.5185823839188588</v>
      </c>
      <c r="AP28" s="124"/>
      <c r="AQ28" s="125">
        <f>AVERAGE(AQ15:AQ24)</f>
        <v>24259.95</v>
      </c>
      <c r="AR28" s="170"/>
      <c r="AS28" s="125">
        <f>AVERAGE(AS15:AS24)</f>
        <v>69.598222199999995</v>
      </c>
      <c r="AT28" s="125">
        <f>AVERAGE(AT15:AT24)</f>
        <v>73228.23683062839</v>
      </c>
      <c r="AU28" s="125"/>
      <c r="AV28" s="125"/>
      <c r="AW28" s="343"/>
      <c r="AX28" s="344">
        <f>AVERAGE(AX15:AX24)</f>
        <v>0.75692746913651365</v>
      </c>
      <c r="AY28" s="147">
        <f>SUM(AY15:AY24)</f>
        <v>7665097140.9835863</v>
      </c>
      <c r="AZ28" s="325">
        <f>AVERAGE(AZ15:AZ24)</f>
        <v>2.6183768122729676</v>
      </c>
      <c r="BA28" s="522">
        <f>'Main table (road wear)'!AK27</f>
        <v>2.5185823839188588</v>
      </c>
      <c r="BB28" s="456">
        <f t="shared" si="31"/>
        <v>1.2740853773900154</v>
      </c>
      <c r="BC28" s="456">
        <v>1.2678807194752713</v>
      </c>
      <c r="BD28" s="456">
        <f>AB28/'[2]Revised Final table'!N27</f>
        <v>1.4168916523446646</v>
      </c>
      <c r="BE28" s="456">
        <f t="shared" si="32"/>
        <v>0.14280627495464926</v>
      </c>
      <c r="BF28" s="125"/>
      <c r="BG28" s="125"/>
      <c r="BH28" s="125"/>
      <c r="BI28" s="125"/>
      <c r="BJ28" s="171"/>
      <c r="BK28" s="167"/>
      <c r="BL28" s="483"/>
      <c r="BM28" s="57"/>
      <c r="BN28" s="167"/>
      <c r="BO28" s="57"/>
    </row>
    <row r="29" spans="1:67" x14ac:dyDescent="0.25">
      <c r="A29" t="s">
        <v>2</v>
      </c>
      <c r="B29" s="35" t="s">
        <v>186</v>
      </c>
      <c r="C29" s="112" t="s">
        <v>2</v>
      </c>
      <c r="D29" s="57"/>
      <c r="E29" s="127">
        <v>2524000</v>
      </c>
      <c r="F29" s="57"/>
      <c r="G29" s="60"/>
      <c r="H29" s="119"/>
      <c r="I29" s="125">
        <f>AVERAGE(I12:I13)</f>
        <v>1800</v>
      </c>
      <c r="J29" s="159">
        <f>J12</f>
        <v>2</v>
      </c>
      <c r="K29" s="125">
        <f>AVERAGE(K12:K13)</f>
        <v>8.8290000000000006</v>
      </c>
      <c r="L29" s="125">
        <f>AVERAGE(L12:L13)</f>
        <v>14570.798265265224</v>
      </c>
      <c r="M29" s="125"/>
      <c r="N29" s="125"/>
      <c r="O29" s="343"/>
      <c r="P29" s="344">
        <f>AVERAGE(P12:P13)</f>
        <v>1.483495110703145E-4</v>
      </c>
      <c r="Q29" s="167">
        <f>SUM(Q12:Q13)</f>
        <v>10884462.967033403</v>
      </c>
      <c r="R29" s="300">
        <f>AVERAGE(R12:R13)</f>
        <v>2.96699022140629E-4</v>
      </c>
      <c r="S29" s="505">
        <f>'Main table (road wear)'!O28</f>
        <v>2.96699022140629E-4</v>
      </c>
      <c r="T29" s="125">
        <f>AVERAGE(T12:T13)</f>
        <v>2364.09</v>
      </c>
      <c r="U29" s="57"/>
      <c r="V29" s="125">
        <f>AVERAGE(V12:V13)</f>
        <v>11.595861450000003</v>
      </c>
      <c r="W29" s="125">
        <f>AVERAGE(W12:W13)</f>
        <v>14570.798265265224</v>
      </c>
      <c r="X29" s="125"/>
      <c r="Y29" s="125"/>
      <c r="Z29" s="125"/>
      <c r="AA29" s="171">
        <f>AVERAGE(AA12:AA13)</f>
        <v>4.4142011817099869E-4</v>
      </c>
      <c r="AB29" s="167">
        <f>SUM(AB12:AB13)</f>
        <v>32387170.638253443</v>
      </c>
      <c r="AC29" s="300">
        <f>AVERAGE(AC12:AC13)</f>
        <v>8.8284023634199738E-4</v>
      </c>
      <c r="AD29" s="505">
        <f>'Main table (road wear)'!V28</f>
        <v>8.8284023634199738E-4</v>
      </c>
      <c r="AE29" s="124">
        <f>AVERAGE(AE12:AE13)</f>
        <v>1825.2</v>
      </c>
      <c r="AF29" s="57"/>
      <c r="AG29" s="125">
        <f>AVERAGE(AG12:AG13)</f>
        <v>8.9526059999999994</v>
      </c>
      <c r="AH29" s="125">
        <f>AVERAGE(AH12:AH13)</f>
        <v>14570.798265265224</v>
      </c>
      <c r="AI29" s="125"/>
      <c r="AJ29" s="125"/>
      <c r="AK29" s="125"/>
      <c r="AL29" s="171">
        <f>AVERAGE(AL12:AL13)</f>
        <v>1.5683317669849909E-4</v>
      </c>
      <c r="AM29" s="167">
        <f>SUM(AM12:AM13)</f>
        <v>11506912.907639556</v>
      </c>
      <c r="AN29" s="300">
        <f>AVERAGE(AN12:AN13)</f>
        <v>3.1366635339699818E-4</v>
      </c>
      <c r="AO29" s="502">
        <f>'Main table (road wear)'!AC28</f>
        <v>3.1366635339699818E-4</v>
      </c>
      <c r="AP29" s="124"/>
      <c r="AQ29" s="125">
        <f>AVERAGE(AQ12:AQ13)</f>
        <v>2094.645</v>
      </c>
      <c r="AR29" s="125">
        <f>AVERAGE(AR12:AR13)</f>
        <v>2</v>
      </c>
      <c r="AS29" s="125">
        <f>AVERAGE(AS12:AS13)</f>
        <v>10.274233725000002</v>
      </c>
      <c r="AT29" s="125">
        <f>AVERAGE(AT12:AT13)</f>
        <v>14570.798265265224</v>
      </c>
      <c r="AU29" s="125"/>
      <c r="AV29" s="125"/>
      <c r="AW29" s="125"/>
      <c r="AX29" s="171">
        <f>AVERAGE(AX12:AX13)</f>
        <v>2.9912664743474886E-4</v>
      </c>
      <c r="AY29" s="167">
        <f>SUM(AY12:AY13)</f>
        <v>24315986.67611856</v>
      </c>
      <c r="AZ29" s="300">
        <f>AVERAGE(AZ12:AZ13)</f>
        <v>5.9825329486949772E-4</v>
      </c>
      <c r="BA29" s="523">
        <f>'Main table (road wear)'!AK28</f>
        <v>6.6282824343655094E-4</v>
      </c>
      <c r="BB29" s="456">
        <f t="shared" si="31"/>
        <v>2.9755414425449302</v>
      </c>
      <c r="BC29" s="456">
        <v>2.9755414425449316</v>
      </c>
      <c r="BD29" s="456">
        <f>AB29/'[2]Revised Final table'!N28</f>
        <v>2.9755414425449307</v>
      </c>
      <c r="BE29" s="456">
        <f t="shared" si="32"/>
        <v>0</v>
      </c>
      <c r="BF29" s="125"/>
      <c r="BG29" s="125"/>
      <c r="BH29" s="125"/>
      <c r="BI29" s="125"/>
      <c r="BJ29" s="171"/>
      <c r="BK29" s="147"/>
      <c r="BL29" s="484"/>
      <c r="BM29" s="57"/>
      <c r="BN29" s="147"/>
      <c r="BO29" s="57"/>
    </row>
    <row r="30" spans="1:67" x14ac:dyDescent="0.25">
      <c r="A30" t="s">
        <v>188</v>
      </c>
      <c r="B30" s="35" t="s">
        <v>187</v>
      </c>
      <c r="C30" t="s">
        <v>188</v>
      </c>
      <c r="D30" s="57"/>
      <c r="E30" s="127">
        <v>308000</v>
      </c>
      <c r="F30" s="57"/>
      <c r="G30" s="60"/>
      <c r="H30" s="119"/>
      <c r="I30" s="125">
        <f>AVERAGE(I25:I26)</f>
        <v>3000</v>
      </c>
      <c r="J30" s="159">
        <f>J25</f>
        <v>2</v>
      </c>
      <c r="K30" s="125">
        <f>AVERAGE(K25:K26)</f>
        <v>14.715</v>
      </c>
      <c r="L30" s="125">
        <f>AVERAGE(L25:L26)</f>
        <v>26261.95019929899</v>
      </c>
      <c r="M30" s="125"/>
      <c r="N30" s="125"/>
      <c r="O30" s="343"/>
      <c r="P30" s="344">
        <f>AVERAGE(P25:P26)</f>
        <v>1.1446721533203278E-3</v>
      </c>
      <c r="Q30" s="147">
        <f>SUM(Q25:Q26)</f>
        <v>18417774.946924079</v>
      </c>
      <c r="R30" s="326">
        <f>AVERAGE(R25:R26)</f>
        <v>2.2893443066406556E-3</v>
      </c>
      <c r="S30" s="506">
        <f>'Main table (road wear)'!O29</f>
        <v>2.2893443066406556E-3</v>
      </c>
      <c r="T30" s="125">
        <f>AVERAGE(T25:T26)</f>
        <v>3500</v>
      </c>
      <c r="U30" s="57"/>
      <c r="V30" s="125">
        <f>AVERAGE(V25:V26)</f>
        <v>17.1675</v>
      </c>
      <c r="W30" s="125">
        <f>AVERAGE(W25:W26)</f>
        <v>27412.748857032275</v>
      </c>
      <c r="X30" s="125"/>
      <c r="Y30" s="125"/>
      <c r="Z30" s="125"/>
      <c r="AA30" s="171">
        <f>AVERAGE(AA25:AA26)</f>
        <v>2.1206464815757002E-3</v>
      </c>
      <c r="AB30" s="147">
        <f>SUM(AB25:AB26)</f>
        <v>35616392.955309413</v>
      </c>
      <c r="AC30" s="326">
        <f>AVERAGE(AC25:AC26)</f>
        <v>4.2412929631514005E-3</v>
      </c>
      <c r="AD30" s="506">
        <f>'Main table (road wear)'!V29</f>
        <v>4.2412929631514013E-3</v>
      </c>
      <c r="AE30" s="124">
        <f>AVERAGE(AE25:AE26)</f>
        <v>3042</v>
      </c>
      <c r="AF30" s="57"/>
      <c r="AG30" s="125">
        <f>AVERAGE(AG25:AG26)</f>
        <v>14.921010000000001</v>
      </c>
      <c r="AH30" s="125">
        <f>AVERAGE(AH25:AH26)</f>
        <v>26261.95019929899</v>
      </c>
      <c r="AI30" s="125"/>
      <c r="AJ30" s="125"/>
      <c r="AK30" s="125"/>
      <c r="AL30" s="171">
        <f>AVERAGE(AL25:AL26)</f>
        <v>1.2101325362538513E-3</v>
      </c>
      <c r="AM30" s="147">
        <f>SUM(AM25:AM26)</f>
        <v>19471032.50832447</v>
      </c>
      <c r="AN30" s="326">
        <f>AVERAGE(AN25:AN26)</f>
        <v>2.4202650725077025E-3</v>
      </c>
      <c r="AO30" s="445">
        <f>'Main table (road wear)'!AC29</f>
        <v>2.420265072507703E-3</v>
      </c>
      <c r="AP30" s="124"/>
      <c r="AQ30" s="125">
        <f>AVERAGE(AQ25:AQ26)</f>
        <v>3271</v>
      </c>
      <c r="AR30" s="125">
        <f>AVERAGE(AR25:AR26)</f>
        <v>2</v>
      </c>
      <c r="AS30" s="125">
        <f>AVERAGE(AS25:AS26)</f>
        <v>16.044255</v>
      </c>
      <c r="AT30" s="125">
        <f>AVERAGE(AT25:AT26)</f>
        <v>26837.349528165632</v>
      </c>
      <c r="AU30" s="125"/>
      <c r="AV30" s="125"/>
      <c r="AW30" s="125"/>
      <c r="AX30" s="171">
        <f>AVERAGE(AX25:AX26)</f>
        <v>1.6653895089147757E-3</v>
      </c>
      <c r="AY30" s="147">
        <f>SUM(AY25:AY26)</f>
        <v>19989758.948388245</v>
      </c>
      <c r="AZ30" s="326">
        <f>AVERAGE(AZ25:AZ26)</f>
        <v>3.3307790178295515E-3</v>
      </c>
      <c r="BA30" s="524">
        <f>'Main table (road wear)'!AK29</f>
        <v>2.4787719926890263E-3</v>
      </c>
      <c r="BB30" s="456">
        <f t="shared" si="31"/>
        <v>1.9338054166666667</v>
      </c>
      <c r="BC30" s="456">
        <v>1.9338054166666672</v>
      </c>
      <c r="BD30" s="456">
        <f>AB30/'[2]Revised Final table'!N29</f>
        <v>1.9338054166666669</v>
      </c>
      <c r="BE30" s="456">
        <f t="shared" si="32"/>
        <v>0</v>
      </c>
      <c r="BF30" s="57"/>
      <c r="BG30" s="57"/>
      <c r="BH30" s="57"/>
      <c r="BI30" s="57"/>
      <c r="BJ30" s="57"/>
      <c r="BK30" s="147"/>
      <c r="BL30" s="147"/>
      <c r="BM30" s="57"/>
      <c r="BN30" s="147"/>
      <c r="BO30" s="57"/>
    </row>
    <row r="31" spans="1:67" x14ac:dyDescent="0.25">
      <c r="B31" s="35"/>
      <c r="C31" s="57"/>
      <c r="D31" s="57"/>
      <c r="E31" s="60"/>
      <c r="F31" s="57"/>
      <c r="G31" s="60"/>
      <c r="H31" s="119"/>
      <c r="I31" s="35"/>
      <c r="J31" s="57"/>
      <c r="K31" s="57"/>
      <c r="L31" s="57"/>
      <c r="M31" s="57"/>
      <c r="N31" s="57"/>
      <c r="O31" s="341"/>
      <c r="P31" s="341"/>
      <c r="Q31" s="147"/>
      <c r="R31" s="143"/>
      <c r="S31" s="507"/>
      <c r="T31" s="57"/>
      <c r="U31" s="57"/>
      <c r="V31" s="57"/>
      <c r="W31" s="57"/>
      <c r="X31" s="57"/>
      <c r="Y31" s="57"/>
      <c r="Z31" s="57"/>
      <c r="AA31" s="57"/>
      <c r="AB31" s="147"/>
      <c r="AC31" s="143"/>
      <c r="AD31" s="514"/>
      <c r="AE31" s="35"/>
      <c r="AF31" s="57"/>
      <c r="AG31" s="57"/>
      <c r="AH31" s="57"/>
      <c r="AI31" s="57"/>
      <c r="AJ31" s="57"/>
      <c r="AK31" s="57"/>
      <c r="AL31" s="57"/>
      <c r="AM31" s="147"/>
      <c r="AN31" s="143"/>
      <c r="AO31" s="514"/>
      <c r="AP31" s="169"/>
      <c r="AQ31" s="57"/>
      <c r="AR31" s="57"/>
      <c r="AS31" s="57"/>
      <c r="AT31" s="125"/>
      <c r="AU31" s="57"/>
      <c r="AV31" s="57"/>
      <c r="AW31" s="57"/>
      <c r="AX31" s="57"/>
      <c r="AY31" s="147"/>
      <c r="AZ31" s="143"/>
      <c r="BA31" s="507"/>
      <c r="BB31" s="456"/>
      <c r="BC31" s="478"/>
      <c r="BD31" s="456"/>
      <c r="BE31" s="456"/>
      <c r="BF31" s="57"/>
      <c r="BG31" s="57"/>
      <c r="BH31" s="57"/>
      <c r="BI31" s="57"/>
      <c r="BJ31" s="260"/>
      <c r="BK31" s="147"/>
      <c r="BL31" s="147"/>
      <c r="BM31" s="57"/>
      <c r="BN31" s="147"/>
      <c r="BO31" s="57"/>
    </row>
    <row r="32" spans="1:67" ht="15.75" thickBot="1" x14ac:dyDescent="0.3">
      <c r="B32" s="46"/>
      <c r="C32" s="47"/>
      <c r="D32" s="47"/>
      <c r="E32" s="131"/>
      <c r="F32" s="47"/>
      <c r="G32" s="131"/>
      <c r="H32" s="132"/>
      <c r="I32" s="46"/>
      <c r="J32" s="47"/>
      <c r="K32" s="47"/>
      <c r="L32" s="47"/>
      <c r="M32" s="47"/>
      <c r="N32" s="47"/>
      <c r="O32" s="345"/>
      <c r="P32" s="156" t="s">
        <v>349</v>
      </c>
      <c r="Q32" s="313">
        <f>SUM(Q11:Q26)</f>
        <v>8799046945.0698109</v>
      </c>
      <c r="R32" s="166"/>
      <c r="S32" s="508"/>
      <c r="T32" s="47"/>
      <c r="U32" s="47"/>
      <c r="V32" s="47"/>
      <c r="W32" s="47"/>
      <c r="X32" s="47"/>
      <c r="Y32" s="47"/>
      <c r="Z32" s="47"/>
      <c r="AA32" s="156" t="s">
        <v>146</v>
      </c>
      <c r="AB32" s="313">
        <f>SUM(AB11:AB26)</f>
        <v>11527701704.542952</v>
      </c>
      <c r="AC32" s="166"/>
      <c r="AD32" s="515"/>
      <c r="AE32" s="46"/>
      <c r="AF32" s="47"/>
      <c r="AG32" s="47"/>
      <c r="AH32" s="47"/>
      <c r="AI32" s="47"/>
      <c r="AJ32" s="47"/>
      <c r="AK32" s="47"/>
      <c r="AL32" s="156" t="s">
        <v>146</v>
      </c>
      <c r="AM32" s="313">
        <f>SUM(AM11:AM26)</f>
        <v>9302238169.5645809</v>
      </c>
      <c r="AN32" s="166"/>
      <c r="AO32" s="515"/>
      <c r="AP32" s="138"/>
      <c r="AQ32" s="47"/>
      <c r="AR32" s="47"/>
      <c r="AS32" s="47"/>
      <c r="AT32" s="47"/>
      <c r="AU32" s="47"/>
      <c r="AV32" s="47"/>
      <c r="AW32" s="47"/>
      <c r="AX32" s="156" t="s">
        <v>146</v>
      </c>
      <c r="AY32" s="313">
        <f>SUM(AY11:AY26)</f>
        <v>9315567529.0444603</v>
      </c>
      <c r="AZ32" s="166"/>
      <c r="BA32" s="508"/>
      <c r="BB32" s="456">
        <f t="shared" si="31"/>
        <v>1.3101079897070025</v>
      </c>
      <c r="BC32" s="456">
        <v>1.301937601455704</v>
      </c>
      <c r="BD32" s="456">
        <f>AB32/'[2]Revised Final table'!N31</f>
        <v>1.4287674608880099</v>
      </c>
      <c r="BE32" s="456">
        <f t="shared" si="32"/>
        <v>0.11865947118100739</v>
      </c>
      <c r="BF32" s="485"/>
      <c r="BG32" s="485"/>
      <c r="BH32" s="485"/>
      <c r="BI32" s="485"/>
      <c r="BJ32" s="57"/>
      <c r="BK32" s="57"/>
      <c r="BL32" s="57"/>
      <c r="BM32" s="57"/>
      <c r="BN32" s="57"/>
      <c r="BO32" s="57"/>
    </row>
    <row r="33" spans="2:51" x14ac:dyDescent="0.25">
      <c r="B33" s="487"/>
      <c r="C33" s="487"/>
      <c r="D33" s="488"/>
      <c r="E33" s="488"/>
      <c r="F33" s="489"/>
      <c r="G33" s="489"/>
      <c r="H33" s="489"/>
      <c r="I33" s="488"/>
      <c r="J33" s="488"/>
      <c r="K33" s="488"/>
      <c r="L33" s="488"/>
      <c r="M33" s="488"/>
      <c r="N33" s="487"/>
      <c r="O33" s="490"/>
      <c r="P33" s="491"/>
      <c r="Q33" s="487"/>
      <c r="R33" s="487"/>
      <c r="S33" s="487"/>
      <c r="T33" s="487"/>
      <c r="U33" s="487"/>
      <c r="V33" s="487"/>
      <c r="W33" s="487"/>
      <c r="X33" s="487"/>
      <c r="Y33" s="487"/>
      <c r="Z33" s="487"/>
      <c r="AA33" s="487"/>
      <c r="AB33" s="25">
        <f>AB32/Q32</f>
        <v>1.3101079897070025</v>
      </c>
      <c r="AC33" s="487"/>
      <c r="AD33" s="487"/>
      <c r="AE33" s="487"/>
      <c r="AF33" s="487"/>
      <c r="AG33" s="487"/>
      <c r="AH33" s="487"/>
      <c r="AI33" s="488"/>
      <c r="AJ33" s="25"/>
      <c r="AK33" s="25"/>
      <c r="AL33" s="25"/>
      <c r="AM33" s="25">
        <f>AM32/Q32</f>
        <v>1.0571870144160003</v>
      </c>
      <c r="AN33" s="25"/>
      <c r="AO33" s="25"/>
      <c r="AP33" s="487"/>
      <c r="AQ33" s="487"/>
      <c r="AR33" s="487"/>
      <c r="AS33" s="487"/>
      <c r="AT33" s="25"/>
      <c r="AU33" s="25"/>
      <c r="AV33" s="25"/>
      <c r="AW33" s="25"/>
      <c r="AX33" s="25"/>
      <c r="AY33" s="25">
        <f>AY32/Q32</f>
        <v>1.0587018784192372</v>
      </c>
    </row>
    <row r="34" spans="2:51" x14ac:dyDescent="0.25">
      <c r="I34" t="s">
        <v>339</v>
      </c>
      <c r="N34" s="112"/>
      <c r="O34" s="346"/>
      <c r="P34" s="346"/>
      <c r="Q34" s="112"/>
      <c r="R34" s="112"/>
      <c r="S34" s="112"/>
      <c r="T34" s="112"/>
      <c r="U34" s="112"/>
      <c r="W34" s="112"/>
      <c r="X34" s="112"/>
      <c r="Y34" s="112"/>
      <c r="Z34" s="112"/>
      <c r="AA34" s="112"/>
      <c r="AB34" s="112"/>
      <c r="AC34" s="112"/>
      <c r="AD34" s="112"/>
      <c r="AE34" s="112"/>
      <c r="AF34" s="295"/>
      <c r="AG34" s="112"/>
      <c r="AH34" s="112"/>
      <c r="AI34" s="112"/>
      <c r="AJ34" s="112"/>
      <c r="AK34" s="112"/>
      <c r="AL34" s="112"/>
      <c r="AM34" s="295"/>
      <c r="AN34" s="112"/>
      <c r="AO34" s="112"/>
      <c r="AP34" s="112"/>
      <c r="AQ34" s="112"/>
      <c r="AR34" s="112"/>
    </row>
    <row r="35" spans="2:51" x14ac:dyDescent="0.25">
      <c r="I35" s="1" t="s">
        <v>340</v>
      </c>
      <c r="N35" s="112"/>
      <c r="O35" s="8"/>
      <c r="P35" s="346"/>
      <c r="Q35" s="112"/>
      <c r="R35" s="112"/>
      <c r="S35" s="112"/>
      <c r="T35" s="112"/>
      <c r="U35" s="112"/>
      <c r="V35" s="295"/>
      <c r="W35" s="112"/>
      <c r="X35" s="112"/>
      <c r="Y35" s="112"/>
      <c r="Z35" s="112"/>
      <c r="AA35" s="112"/>
      <c r="AB35" s="112"/>
      <c r="AC35" s="112"/>
      <c r="AD35" s="112"/>
      <c r="AE35" s="112"/>
      <c r="AF35" s="295"/>
      <c r="AG35" s="112"/>
      <c r="AH35" s="112"/>
      <c r="AI35" s="112"/>
      <c r="AJ35" s="112"/>
      <c r="AK35" s="112"/>
      <c r="AL35" s="112"/>
      <c r="AM35" s="295"/>
      <c r="AN35" s="112"/>
      <c r="AO35" s="112"/>
      <c r="AP35" s="112"/>
      <c r="AQ35" s="112"/>
      <c r="AR35" s="112"/>
    </row>
    <row r="36" spans="2:51" ht="60" customHeight="1" x14ac:dyDescent="0.25">
      <c r="E36" s="629" t="s">
        <v>7</v>
      </c>
      <c r="F36" s="629"/>
      <c r="G36" s="629"/>
      <c r="H36" s="629"/>
      <c r="I36" s="3"/>
      <c r="L36" s="3" t="s">
        <v>140</v>
      </c>
      <c r="M36" t="s">
        <v>142</v>
      </c>
      <c r="N36" s="115" t="s">
        <v>144</v>
      </c>
      <c r="O36" s="346"/>
      <c r="P36" s="346"/>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row>
    <row r="37" spans="2:51" ht="108.75" customHeight="1" x14ac:dyDescent="0.25">
      <c r="E37" s="630" t="s">
        <v>8</v>
      </c>
      <c r="F37" s="630"/>
      <c r="G37" s="630"/>
      <c r="H37" s="630"/>
      <c r="I37" s="3" t="s">
        <v>145</v>
      </c>
      <c r="M37" s="3" t="s">
        <v>143</v>
      </c>
      <c r="N37" s="112"/>
      <c r="O37" s="346"/>
      <c r="P37" s="346"/>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row>
    <row r="38" spans="2:51" x14ac:dyDescent="0.25">
      <c r="E38" s="630" t="s">
        <v>17</v>
      </c>
      <c r="F38" s="630"/>
      <c r="G38" s="630"/>
      <c r="H38" s="630"/>
      <c r="N38" s="112"/>
      <c r="O38" s="346" t="s">
        <v>147</v>
      </c>
      <c r="P38" s="346"/>
      <c r="Q38" s="112" t="s">
        <v>149</v>
      </c>
      <c r="R38" s="625" t="s">
        <v>150</v>
      </c>
      <c r="S38" s="625"/>
      <c r="T38" s="625"/>
      <c r="U38" s="625"/>
      <c r="V38" s="625" t="s">
        <v>151</v>
      </c>
      <c r="W38" s="625"/>
      <c r="X38" s="112"/>
      <c r="Y38" s="112"/>
      <c r="Z38" s="112"/>
      <c r="AA38" s="112"/>
      <c r="AB38" s="112"/>
      <c r="AC38" s="112"/>
      <c r="AD38" s="112"/>
      <c r="AE38" s="112"/>
      <c r="AF38" s="112"/>
      <c r="AG38" s="112"/>
      <c r="AH38" s="112"/>
      <c r="AI38" s="112"/>
      <c r="AJ38" s="112"/>
      <c r="AK38" s="112"/>
      <c r="AL38" s="112"/>
      <c r="AM38" s="112"/>
      <c r="AN38" s="112"/>
      <c r="AO38" s="112"/>
      <c r="AP38" s="112"/>
      <c r="AQ38" s="112"/>
      <c r="AR38" s="112"/>
    </row>
    <row r="39" spans="2:51" x14ac:dyDescent="0.25">
      <c r="E39" s="4"/>
      <c r="N39" s="112"/>
      <c r="O39" s="112"/>
      <c r="P39" s="112"/>
      <c r="Q39" t="s">
        <v>4</v>
      </c>
      <c r="R39" t="s">
        <v>4</v>
      </c>
      <c r="U39" t="s">
        <v>152</v>
      </c>
      <c r="V39" t="s">
        <v>4</v>
      </c>
      <c r="W39" s="112" t="s">
        <v>152</v>
      </c>
      <c r="X39" s="112"/>
      <c r="Y39" s="112"/>
      <c r="Z39" s="112"/>
      <c r="AA39" s="112"/>
      <c r="AB39" s="112"/>
      <c r="AC39" s="112"/>
      <c r="AD39" s="112"/>
      <c r="AE39" s="112"/>
      <c r="AF39" s="112"/>
      <c r="AG39" s="112"/>
      <c r="AH39" s="112"/>
      <c r="AI39" s="112"/>
      <c r="AJ39" s="112"/>
      <c r="AK39" s="112"/>
      <c r="AL39" s="112"/>
      <c r="AM39" s="112"/>
      <c r="AN39" s="112"/>
      <c r="AO39" s="112"/>
      <c r="AP39" s="112"/>
      <c r="AQ39" s="112"/>
      <c r="AR39" s="112"/>
    </row>
    <row r="40" spans="2:51" ht="45" x14ac:dyDescent="0.25">
      <c r="E40" s="9" t="s">
        <v>18</v>
      </c>
      <c r="N40" s="112"/>
      <c r="O40" s="113" t="s">
        <v>148</v>
      </c>
      <c r="P40" s="113" t="s">
        <v>154</v>
      </c>
      <c r="Q40" s="329">
        <v>1950</v>
      </c>
      <c r="R40" s="329">
        <v>2455</v>
      </c>
      <c r="S40" s="334"/>
      <c r="T40" s="329"/>
      <c r="U40" s="148">
        <f>R40/Q40</f>
        <v>1.2589743589743589</v>
      </c>
      <c r="V40" s="329">
        <v>1970</v>
      </c>
      <c r="W40" s="150">
        <f>V40/Q40</f>
        <v>1.0102564102564102</v>
      </c>
      <c r="X40" s="112" t="s">
        <v>156</v>
      </c>
      <c r="Y40" s="112"/>
      <c r="Z40" s="112"/>
      <c r="AA40" s="112"/>
      <c r="AB40" s="112"/>
      <c r="AC40" s="112"/>
      <c r="AD40" s="112"/>
      <c r="AE40" s="112"/>
      <c r="AF40" s="112"/>
      <c r="AG40" s="112"/>
      <c r="AH40" s="112"/>
      <c r="AI40" s="112"/>
      <c r="AJ40" s="112"/>
      <c r="AK40" s="112"/>
      <c r="AL40" s="112"/>
      <c r="AM40" s="112"/>
      <c r="AN40" s="112"/>
      <c r="AO40" s="112"/>
      <c r="AP40" s="112"/>
      <c r="AQ40" s="112"/>
      <c r="AR40" s="112"/>
    </row>
    <row r="41" spans="2:51" ht="30" x14ac:dyDescent="0.25">
      <c r="E41" s="7" t="s">
        <v>19</v>
      </c>
      <c r="N41" s="112"/>
      <c r="O41" s="112" t="s">
        <v>153</v>
      </c>
      <c r="P41" s="113" t="s">
        <v>155</v>
      </c>
      <c r="Q41" s="11">
        <f>(13000+14400)/2</f>
        <v>13700</v>
      </c>
      <c r="R41" s="329">
        <v>18700</v>
      </c>
      <c r="S41" s="334"/>
      <c r="T41" s="329"/>
      <c r="U41" s="148">
        <f>R41/Q41</f>
        <v>1.364963503649635</v>
      </c>
      <c r="V41" s="329"/>
      <c r="W41" s="329"/>
      <c r="X41" s="112" t="s">
        <v>157</v>
      </c>
      <c r="Y41" s="112"/>
      <c r="Z41" s="112"/>
      <c r="AA41" s="112"/>
      <c r="AB41" s="112"/>
      <c r="AC41" s="112"/>
      <c r="AD41" s="112"/>
      <c r="AE41" s="112"/>
      <c r="AF41" s="112"/>
      <c r="AG41" s="112"/>
      <c r="AH41" s="112"/>
      <c r="AI41" s="112"/>
      <c r="AJ41" s="112"/>
      <c r="AK41" s="112"/>
      <c r="AL41" s="112"/>
      <c r="AM41" s="112"/>
      <c r="AN41" s="112"/>
      <c r="AO41" s="112"/>
      <c r="AP41" s="112"/>
      <c r="AQ41" s="112"/>
      <c r="AR41" s="112"/>
    </row>
    <row r="42" spans="2:51" ht="30" x14ac:dyDescent="0.25">
      <c r="E42" s="8" t="s">
        <v>20</v>
      </c>
      <c r="N42" s="112"/>
      <c r="O42" s="112" t="s">
        <v>158</v>
      </c>
      <c r="P42" s="113" t="s">
        <v>159</v>
      </c>
      <c r="Q42" s="329">
        <v>17750</v>
      </c>
      <c r="R42" s="329">
        <v>19200</v>
      </c>
      <c r="S42" s="334"/>
      <c r="T42" s="329"/>
      <c r="U42" s="148">
        <f>R42/Q42</f>
        <v>1.0816901408450703</v>
      </c>
      <c r="V42" s="112"/>
      <c r="W42" s="112"/>
      <c r="X42" s="112" t="s">
        <v>160</v>
      </c>
      <c r="Y42" s="112"/>
      <c r="Z42" s="112"/>
      <c r="AA42" s="112"/>
      <c r="AB42" s="112"/>
      <c r="AC42" s="112"/>
      <c r="AD42" s="112"/>
      <c r="AE42" s="112"/>
      <c r="AF42" s="112"/>
      <c r="AG42" s="112"/>
      <c r="AH42" s="112"/>
      <c r="AI42" s="112"/>
      <c r="AJ42" s="112"/>
      <c r="AK42" s="112"/>
      <c r="AL42" s="112"/>
      <c r="AM42" s="112"/>
      <c r="AN42" s="112"/>
      <c r="AO42" s="112"/>
      <c r="AP42" s="112"/>
      <c r="AQ42" s="112"/>
      <c r="AR42" s="112"/>
    </row>
    <row r="43" spans="2:51" ht="30" x14ac:dyDescent="0.25">
      <c r="E43" s="8" t="s">
        <v>21</v>
      </c>
      <c r="N43" s="112"/>
      <c r="O43" s="112" t="s">
        <v>161</v>
      </c>
      <c r="P43" s="113" t="s">
        <v>162</v>
      </c>
      <c r="Q43" s="329">
        <v>24800</v>
      </c>
      <c r="R43" s="112"/>
      <c r="S43" s="112"/>
      <c r="T43" s="112"/>
      <c r="U43" s="112"/>
      <c r="V43" s="112"/>
      <c r="W43" s="112"/>
      <c r="X43" s="112" t="s">
        <v>157</v>
      </c>
      <c r="Y43" s="112"/>
      <c r="Z43" s="112"/>
      <c r="AA43" s="112"/>
      <c r="AB43" s="112"/>
      <c r="AC43" s="112"/>
      <c r="AD43" s="112"/>
      <c r="AE43" s="112"/>
      <c r="AF43" s="112"/>
      <c r="AG43" s="112"/>
      <c r="AH43" s="112"/>
      <c r="AI43" s="112"/>
      <c r="AJ43" s="112"/>
      <c r="AK43" s="112"/>
      <c r="AL43" s="112"/>
      <c r="AM43" s="112"/>
      <c r="AN43" s="112"/>
      <c r="AO43" s="112"/>
      <c r="AP43" s="112"/>
      <c r="AQ43" s="112"/>
      <c r="AR43" s="112"/>
    </row>
    <row r="44" spans="2:51" ht="60" x14ac:dyDescent="0.25">
      <c r="E44" s="8" t="s">
        <v>22</v>
      </c>
      <c r="N44" s="112"/>
      <c r="O44" s="113" t="s">
        <v>163</v>
      </c>
      <c r="P44" s="113" t="s">
        <v>167</v>
      </c>
      <c r="Q44" s="329"/>
      <c r="R44" s="112"/>
      <c r="S44" s="112"/>
      <c r="T44" s="112"/>
      <c r="U44" s="112"/>
      <c r="V44" s="112">
        <v>19000</v>
      </c>
      <c r="W44" s="112">
        <f>V44/Q45</f>
        <v>1.1875</v>
      </c>
      <c r="X44" s="112" t="s">
        <v>165</v>
      </c>
      <c r="Y44" s="112"/>
      <c r="Z44" s="112"/>
      <c r="AA44" s="112"/>
      <c r="AC44" s="112"/>
      <c r="AD44" s="112"/>
      <c r="AE44" s="112"/>
      <c r="AF44" s="112"/>
      <c r="AG44" s="112"/>
      <c r="AH44" s="112"/>
      <c r="AI44" s="112"/>
      <c r="AJ44" s="112"/>
      <c r="AK44" s="112"/>
      <c r="AL44" s="112"/>
      <c r="AM44" s="112"/>
      <c r="AN44" s="112"/>
      <c r="AO44" s="112"/>
      <c r="AP44" s="112"/>
      <c r="AQ44" s="112"/>
      <c r="AR44" s="112"/>
    </row>
    <row r="45" spans="2:51" ht="60" x14ac:dyDescent="0.25">
      <c r="E45" s="8" t="s">
        <v>23</v>
      </c>
      <c r="G45" s="4"/>
      <c r="H45" s="4"/>
      <c r="N45" s="112"/>
      <c r="O45" s="113" t="s">
        <v>164</v>
      </c>
      <c r="P45" s="113" t="s">
        <v>168</v>
      </c>
      <c r="Q45" s="329">
        <v>16000</v>
      </c>
      <c r="R45" s="112"/>
      <c r="S45" s="112"/>
      <c r="T45" s="112"/>
      <c r="U45" s="112"/>
      <c r="V45" s="112"/>
      <c r="W45" s="112"/>
      <c r="X45" s="112" t="s">
        <v>165</v>
      </c>
      <c r="Y45" s="112"/>
      <c r="Z45" s="112"/>
      <c r="AA45" s="112"/>
      <c r="AC45" s="112"/>
      <c r="AD45" s="112"/>
      <c r="AE45" s="112"/>
      <c r="AF45" s="112"/>
      <c r="AG45" s="112"/>
      <c r="AH45" s="112"/>
      <c r="AI45" s="112"/>
      <c r="AJ45" s="112"/>
      <c r="AK45" s="112"/>
      <c r="AL45" s="112"/>
      <c r="AM45" s="112"/>
      <c r="AN45" s="112"/>
      <c r="AO45" s="112"/>
      <c r="AP45" s="112"/>
      <c r="AQ45" s="112"/>
      <c r="AR45" s="112"/>
    </row>
    <row r="46" spans="2:51" x14ac:dyDescent="0.25">
      <c r="E46" s="8" t="s">
        <v>24</v>
      </c>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c r="AL46" s="112"/>
      <c r="AM46" s="112"/>
      <c r="AN46" s="112"/>
      <c r="AO46" s="112"/>
      <c r="AP46" s="112"/>
      <c r="AQ46" s="112"/>
      <c r="AR46" s="112"/>
    </row>
    <row r="47" spans="2:51" x14ac:dyDescent="0.25">
      <c r="F47" s="8"/>
      <c r="N47" s="112"/>
      <c r="O47" s="112"/>
      <c r="P47" s="112"/>
      <c r="Q47" s="112"/>
      <c r="U47" s="112" t="s">
        <v>166</v>
      </c>
      <c r="V47" s="112"/>
      <c r="W47" s="112" t="s">
        <v>166</v>
      </c>
      <c r="X47" s="112"/>
      <c r="Y47" s="112"/>
      <c r="Z47" s="112"/>
      <c r="AA47" s="112"/>
      <c r="AB47" s="112"/>
      <c r="AC47" s="112"/>
      <c r="AD47" s="112"/>
      <c r="AE47" s="112"/>
      <c r="AF47" s="112"/>
      <c r="AG47" s="112"/>
      <c r="AH47" s="112"/>
      <c r="AI47" s="112"/>
      <c r="AJ47" s="112"/>
      <c r="AK47" s="112"/>
      <c r="AL47" s="112"/>
      <c r="AM47" s="112"/>
      <c r="AN47" s="112"/>
      <c r="AO47" s="112"/>
      <c r="AP47" s="112"/>
      <c r="AQ47" s="112"/>
      <c r="AR47" s="112"/>
    </row>
    <row r="48" spans="2:51" x14ac:dyDescent="0.25">
      <c r="F48" s="8"/>
      <c r="N48" s="112"/>
      <c r="O48" s="112"/>
      <c r="P48" s="112"/>
      <c r="Q48" s="112"/>
      <c r="U48" s="149">
        <f>AVERAGE(U40:U45)</f>
        <v>1.2352093344896882</v>
      </c>
      <c r="V48" s="112"/>
      <c r="W48" s="149">
        <f>AVERAGE(W40:W45)</f>
        <v>1.0988782051282051</v>
      </c>
      <c r="X48" s="112"/>
      <c r="Y48" s="112"/>
      <c r="Z48" s="112"/>
      <c r="AA48" s="112"/>
      <c r="AB48" s="112"/>
      <c r="AC48" s="112"/>
      <c r="AD48" s="112"/>
      <c r="AE48" s="112"/>
      <c r="AF48" s="112"/>
      <c r="AG48" s="112"/>
      <c r="AH48" s="112"/>
      <c r="AI48" s="112"/>
      <c r="AJ48" s="112"/>
      <c r="AK48" s="112"/>
      <c r="AL48" s="112"/>
      <c r="AM48" s="112"/>
      <c r="AN48" s="112"/>
      <c r="AO48" s="112"/>
      <c r="AP48" s="112"/>
      <c r="AQ48" s="112"/>
      <c r="AR48" s="112"/>
    </row>
    <row r="49" spans="5:44" x14ac:dyDescent="0.25">
      <c r="E49" t="s">
        <v>29</v>
      </c>
      <c r="F49" s="8"/>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row>
    <row r="50" spans="5:44" x14ac:dyDescent="0.25">
      <c r="E50" s="1" t="s">
        <v>28</v>
      </c>
      <c r="F50" s="8"/>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row>
    <row r="51" spans="5:44" x14ac:dyDescent="0.25">
      <c r="E51" t="s">
        <v>30</v>
      </c>
      <c r="F51" s="8"/>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c r="AL51" s="112"/>
      <c r="AM51" s="112"/>
      <c r="AN51" s="112"/>
      <c r="AO51" s="112"/>
      <c r="AP51" s="112"/>
      <c r="AQ51" s="112"/>
      <c r="AR51" s="112"/>
    </row>
    <row r="52" spans="5:44" x14ac:dyDescent="0.25">
      <c r="F52" s="8"/>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c r="AM52" s="112"/>
      <c r="AN52" s="112"/>
      <c r="AO52" s="112"/>
      <c r="AP52" s="112"/>
      <c r="AQ52" s="112"/>
      <c r="AR52" s="112"/>
    </row>
    <row r="53" spans="5:44" x14ac:dyDescent="0.25">
      <c r="F53" s="8"/>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row>
    <row r="54" spans="5:44" x14ac:dyDescent="0.25">
      <c r="F54" s="8"/>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row>
    <row r="55" spans="5:44" x14ac:dyDescent="0.25">
      <c r="F55" s="8"/>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c r="AL55" s="112"/>
      <c r="AM55" s="112"/>
      <c r="AN55" s="112"/>
      <c r="AO55" s="112"/>
    </row>
    <row r="56" spans="5:44" ht="15.75" thickBot="1" x14ac:dyDescent="0.3">
      <c r="F56" s="8"/>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2"/>
      <c r="AQ56" s="112"/>
      <c r="AR56" s="112"/>
    </row>
    <row r="57" spans="5:44" x14ac:dyDescent="0.25">
      <c r="F57" s="8"/>
      <c r="K57" s="28" t="s">
        <v>169</v>
      </c>
      <c r="L57" s="29" t="s">
        <v>180</v>
      </c>
      <c r="M57" s="29"/>
      <c r="N57" s="151"/>
      <c r="O57" s="151" t="s">
        <v>181</v>
      </c>
      <c r="P57" s="151"/>
      <c r="Q57" s="151"/>
      <c r="R57" s="151"/>
      <c r="S57" s="151"/>
      <c r="T57" s="151"/>
      <c r="U57" s="151"/>
      <c r="V57" s="151"/>
      <c r="W57" s="151"/>
      <c r="X57" s="151" t="s">
        <v>182</v>
      </c>
      <c r="Y57" s="151"/>
      <c r="Z57" s="151"/>
      <c r="AA57" s="151"/>
      <c r="AB57" s="152"/>
      <c r="AC57" s="112"/>
      <c r="AD57" s="112"/>
      <c r="AE57" s="112"/>
      <c r="AF57" s="112"/>
      <c r="AG57" s="112"/>
      <c r="AH57" s="112"/>
      <c r="AI57" s="112"/>
      <c r="AJ57" s="112"/>
      <c r="AK57" s="112"/>
      <c r="AL57" s="112"/>
      <c r="AM57" s="112"/>
      <c r="AN57" s="112"/>
      <c r="AO57" s="112"/>
      <c r="AP57" s="112"/>
      <c r="AQ57" s="112"/>
      <c r="AR57" s="112"/>
    </row>
    <row r="58" spans="5:44" x14ac:dyDescent="0.25">
      <c r="F58" s="8"/>
      <c r="K58" s="153" t="s">
        <v>170</v>
      </c>
      <c r="L58" s="57"/>
      <c r="M58" s="57"/>
      <c r="N58" s="133"/>
      <c r="O58" s="133"/>
      <c r="P58" s="133"/>
      <c r="Q58" s="133"/>
      <c r="R58" s="133"/>
      <c r="S58" s="133"/>
      <c r="T58" s="133"/>
      <c r="U58" s="133"/>
      <c r="V58" s="133"/>
      <c r="W58" s="133"/>
      <c r="X58" s="133"/>
      <c r="Y58" s="133"/>
      <c r="Z58" s="133"/>
      <c r="AA58" s="133"/>
      <c r="AB58" s="120"/>
      <c r="AC58" s="112"/>
      <c r="AD58" s="112"/>
      <c r="AE58" s="112"/>
      <c r="AF58" s="112"/>
      <c r="AG58" s="112"/>
      <c r="AH58" s="112"/>
      <c r="AI58" s="112"/>
      <c r="AJ58" s="112"/>
      <c r="AK58" s="112"/>
      <c r="AL58" s="112"/>
      <c r="AM58" s="112"/>
      <c r="AN58" s="112"/>
      <c r="AO58" s="112"/>
      <c r="AP58" s="112"/>
      <c r="AQ58" s="112"/>
      <c r="AR58" s="112"/>
    </row>
    <row r="59" spans="5:44" ht="30.75" customHeight="1" x14ac:dyDescent="0.25">
      <c r="F59" s="8"/>
      <c r="K59" s="35"/>
      <c r="L59" s="626" t="s">
        <v>174</v>
      </c>
      <c r="M59" s="626"/>
      <c r="N59" s="626"/>
      <c r="O59" s="627" t="s">
        <v>175</v>
      </c>
      <c r="P59" s="627"/>
      <c r="Q59" s="627"/>
      <c r="R59" s="627" t="s">
        <v>176</v>
      </c>
      <c r="S59" s="627"/>
      <c r="T59" s="627"/>
      <c r="U59" s="627"/>
      <c r="V59" s="628" t="s">
        <v>177</v>
      </c>
      <c r="W59" s="628"/>
      <c r="X59" s="133" t="s">
        <v>178</v>
      </c>
      <c r="Y59" s="133"/>
      <c r="Z59" s="133"/>
      <c r="AA59" s="133"/>
      <c r="AB59" s="120"/>
      <c r="AC59" s="112"/>
      <c r="AD59" s="112"/>
      <c r="AE59" s="112"/>
      <c r="AF59" s="112"/>
      <c r="AG59" s="112"/>
      <c r="AH59" s="112"/>
      <c r="AI59" s="112"/>
      <c r="AJ59" s="112"/>
      <c r="AK59" s="112"/>
      <c r="AL59" s="112"/>
      <c r="AM59" s="112"/>
      <c r="AN59" s="112"/>
      <c r="AO59" s="112"/>
      <c r="AP59" s="112"/>
      <c r="AQ59" s="112"/>
      <c r="AR59" s="112"/>
    </row>
    <row r="60" spans="5:44" x14ac:dyDescent="0.25">
      <c r="K60" s="35" t="s">
        <v>335</v>
      </c>
      <c r="L60" s="57" t="s">
        <v>171</v>
      </c>
      <c r="M60" s="57" t="s">
        <v>172</v>
      </c>
      <c r="N60" s="57" t="s">
        <v>173</v>
      </c>
      <c r="O60" s="57" t="s">
        <v>171</v>
      </c>
      <c r="P60" s="57" t="s">
        <v>172</v>
      </c>
      <c r="Q60" s="57" t="s">
        <v>173</v>
      </c>
      <c r="R60" s="57" t="s">
        <v>172</v>
      </c>
      <c r="S60" s="57"/>
      <c r="T60" s="57"/>
      <c r="U60" s="57" t="s">
        <v>173</v>
      </c>
      <c r="V60" s="57" t="s">
        <v>172</v>
      </c>
      <c r="W60" s="57" t="s">
        <v>173</v>
      </c>
      <c r="X60" s="57" t="s">
        <v>172</v>
      </c>
      <c r="Y60" s="57"/>
      <c r="Z60" s="57"/>
      <c r="AA60" s="57"/>
      <c r="AB60" s="67" t="s">
        <v>173</v>
      </c>
    </row>
    <row r="61" spans="5:44" x14ac:dyDescent="0.25">
      <c r="K61" s="35">
        <v>3500</v>
      </c>
      <c r="L61" s="57">
        <v>1457</v>
      </c>
      <c r="M61" s="57">
        <v>733</v>
      </c>
      <c r="N61" s="57">
        <v>1391</v>
      </c>
      <c r="O61" s="57">
        <f>$K61-L61</f>
        <v>2043</v>
      </c>
      <c r="P61" s="57">
        <f t="shared" ref="P61:Q64" si="36">$K61-M61</f>
        <v>2767</v>
      </c>
      <c r="Q61" s="57">
        <f t="shared" si="36"/>
        <v>2109</v>
      </c>
      <c r="R61" s="57">
        <f>P61-$O61</f>
        <v>724</v>
      </c>
      <c r="S61" s="57"/>
      <c r="T61" s="57"/>
      <c r="U61" s="57">
        <f>Q61-$O61</f>
        <v>66</v>
      </c>
      <c r="V61" s="57">
        <f>R61+$K61</f>
        <v>4224</v>
      </c>
      <c r="W61" s="57">
        <f>U61+$K61</f>
        <v>3566</v>
      </c>
      <c r="X61" s="154">
        <f>V61/$K61</f>
        <v>1.2068571428571429</v>
      </c>
      <c r="Y61" s="154"/>
      <c r="Z61" s="154"/>
      <c r="AA61" s="154"/>
      <c r="AB61" s="155">
        <f>W61/$K61</f>
        <v>1.0188571428571429</v>
      </c>
    </row>
    <row r="62" spans="5:44" x14ac:dyDescent="0.25">
      <c r="K62" s="35">
        <v>5200</v>
      </c>
      <c r="L62" s="57">
        <v>2957</v>
      </c>
      <c r="M62" s="57">
        <v>2129</v>
      </c>
      <c r="N62" s="57">
        <v>2902</v>
      </c>
      <c r="O62" s="57">
        <f>$K62-L62</f>
        <v>2243</v>
      </c>
      <c r="P62" s="57">
        <f t="shared" si="36"/>
        <v>3071</v>
      </c>
      <c r="Q62" s="57">
        <f t="shared" si="36"/>
        <v>2298</v>
      </c>
      <c r="R62" s="57">
        <f t="shared" ref="R62:R64" si="37">P62-$O62</f>
        <v>828</v>
      </c>
      <c r="S62" s="57"/>
      <c r="T62" s="57"/>
      <c r="U62" s="57">
        <f>Q62-$O62</f>
        <v>55</v>
      </c>
      <c r="V62" s="57">
        <f>R62+$K62</f>
        <v>6028</v>
      </c>
      <c r="W62" s="57">
        <f t="shared" ref="W62:W64" si="38">U62+$K62</f>
        <v>5255</v>
      </c>
      <c r="X62" s="154">
        <f t="shared" ref="X62:X64" si="39">V62/$K62</f>
        <v>1.1592307692307693</v>
      </c>
      <c r="Y62" s="154"/>
      <c r="Z62" s="154"/>
      <c r="AA62" s="154"/>
      <c r="AB62" s="155">
        <f>W62/$K62</f>
        <v>1.010576923076923</v>
      </c>
    </row>
    <row r="63" spans="5:44" x14ac:dyDescent="0.25">
      <c r="K63" s="35">
        <v>18000</v>
      </c>
      <c r="L63" s="57">
        <v>14335</v>
      </c>
      <c r="M63" s="57">
        <v>12519</v>
      </c>
      <c r="N63" s="57">
        <v>14099</v>
      </c>
      <c r="O63" s="57">
        <f>$K63-L63</f>
        <v>3665</v>
      </c>
      <c r="P63" s="57">
        <f t="shared" si="36"/>
        <v>5481</v>
      </c>
      <c r="Q63" s="57">
        <f t="shared" si="36"/>
        <v>3901</v>
      </c>
      <c r="R63" s="57">
        <f t="shared" si="37"/>
        <v>1816</v>
      </c>
      <c r="S63" s="57"/>
      <c r="T63" s="57"/>
      <c r="U63" s="57">
        <f>Q63-$O63</f>
        <v>236</v>
      </c>
      <c r="V63" s="57">
        <f>R63+$K63</f>
        <v>19816</v>
      </c>
      <c r="W63" s="57">
        <f t="shared" si="38"/>
        <v>18236</v>
      </c>
      <c r="X63" s="154">
        <f t="shared" si="39"/>
        <v>1.1008888888888888</v>
      </c>
      <c r="Y63" s="154"/>
      <c r="Z63" s="154"/>
      <c r="AA63" s="154"/>
      <c r="AB63" s="155">
        <f>W63/$K63</f>
        <v>1.0131111111111111</v>
      </c>
    </row>
    <row r="64" spans="5:44" x14ac:dyDescent="0.25">
      <c r="K64" s="35">
        <v>44000</v>
      </c>
      <c r="L64" s="57">
        <v>36347</v>
      </c>
      <c r="M64" s="57">
        <v>32661</v>
      </c>
      <c r="N64" s="57">
        <v>35587</v>
      </c>
      <c r="O64" s="57">
        <f>$K64-L64</f>
        <v>7653</v>
      </c>
      <c r="P64" s="57">
        <f t="shared" si="36"/>
        <v>11339</v>
      </c>
      <c r="Q64" s="57">
        <f t="shared" si="36"/>
        <v>8413</v>
      </c>
      <c r="R64" s="57">
        <f t="shared" si="37"/>
        <v>3686</v>
      </c>
      <c r="S64" s="57"/>
      <c r="T64" s="57"/>
      <c r="U64" s="57">
        <f>Q64-$O64</f>
        <v>760</v>
      </c>
      <c r="V64" s="57">
        <f>R64+$K64</f>
        <v>47686</v>
      </c>
      <c r="W64" s="57">
        <f t="shared" si="38"/>
        <v>44760</v>
      </c>
      <c r="X64" s="154">
        <f t="shared" si="39"/>
        <v>1.0837727272727273</v>
      </c>
      <c r="Y64" s="154"/>
      <c r="Z64" s="154"/>
      <c r="AA64" s="154"/>
      <c r="AB64" s="155">
        <f>W64/$K64</f>
        <v>1.0172727272727273</v>
      </c>
    </row>
    <row r="65" spans="10:28" ht="15.75" thickBot="1" x14ac:dyDescent="0.3">
      <c r="K65" s="46"/>
      <c r="L65" s="47"/>
      <c r="M65" s="47"/>
      <c r="N65" s="47"/>
      <c r="O65" s="47"/>
      <c r="P65" s="47"/>
      <c r="Q65" s="47"/>
      <c r="R65" s="47"/>
      <c r="S65" s="47"/>
      <c r="T65" s="47"/>
      <c r="U65" s="47"/>
      <c r="V65" s="156" t="s">
        <v>179</v>
      </c>
      <c r="W65" s="156" t="s">
        <v>183</v>
      </c>
      <c r="X65" s="157">
        <f>AVERAGE(X61:X64)</f>
        <v>1.1376873820623821</v>
      </c>
      <c r="Y65" s="157"/>
      <c r="Z65" s="157"/>
      <c r="AA65" s="157"/>
      <c r="AB65" s="158">
        <f>AVERAGE(AB61:AB64)</f>
        <v>1.0149544760794762</v>
      </c>
    </row>
    <row r="66" spans="10:28" x14ac:dyDescent="0.25">
      <c r="AB66" s="294"/>
    </row>
    <row r="67" spans="10:28" x14ac:dyDescent="0.25">
      <c r="K67" t="s">
        <v>336</v>
      </c>
    </row>
    <row r="69" spans="10:28" ht="30" x14ac:dyDescent="0.25">
      <c r="K69" s="3" t="s">
        <v>337</v>
      </c>
      <c r="L69" s="3" t="s">
        <v>338</v>
      </c>
      <c r="M69" s="3" t="s">
        <v>341</v>
      </c>
      <c r="N69" s="3" t="s">
        <v>355</v>
      </c>
    </row>
    <row r="70" spans="10:28" x14ac:dyDescent="0.25">
      <c r="J70" s="57"/>
      <c r="K70" s="57">
        <v>1950</v>
      </c>
      <c r="L70">
        <f>R40</f>
        <v>2455</v>
      </c>
      <c r="M70">
        <f>V40</f>
        <v>1970</v>
      </c>
      <c r="N70">
        <f>K70*1.015</f>
        <v>1979.2499999999998</v>
      </c>
    </row>
    <row r="71" spans="10:28" x14ac:dyDescent="0.25">
      <c r="J71" s="57"/>
      <c r="K71" s="57">
        <v>3500</v>
      </c>
      <c r="L71">
        <f>V61</f>
        <v>4224</v>
      </c>
      <c r="M71" s="293">
        <f t="shared" ref="M71:M74" si="40">W61</f>
        <v>3566</v>
      </c>
      <c r="N71">
        <f t="shared" ref="N71:N74" si="41">K71*1.015</f>
        <v>3552.4999999999995</v>
      </c>
    </row>
    <row r="72" spans="10:28" x14ac:dyDescent="0.25">
      <c r="J72" s="57"/>
      <c r="K72" s="57">
        <v>5200</v>
      </c>
      <c r="L72">
        <f>V62</f>
        <v>6028</v>
      </c>
      <c r="M72" s="293">
        <f t="shared" si="40"/>
        <v>5255</v>
      </c>
      <c r="N72">
        <f t="shared" si="41"/>
        <v>5277.9999999999991</v>
      </c>
    </row>
    <row r="73" spans="10:28" x14ac:dyDescent="0.25">
      <c r="J73" s="57"/>
      <c r="K73" s="57">
        <v>18000</v>
      </c>
      <c r="L73">
        <f>V63</f>
        <v>19816</v>
      </c>
      <c r="M73" s="293">
        <f t="shared" si="40"/>
        <v>18236</v>
      </c>
      <c r="N73">
        <f t="shared" si="41"/>
        <v>18270</v>
      </c>
    </row>
    <row r="74" spans="10:28" x14ac:dyDescent="0.25">
      <c r="J74" s="57"/>
      <c r="K74" s="57">
        <v>44000</v>
      </c>
      <c r="L74">
        <f>V64</f>
        <v>47686</v>
      </c>
      <c r="M74" s="293">
        <f t="shared" si="40"/>
        <v>44760</v>
      </c>
      <c r="N74">
        <f t="shared" si="41"/>
        <v>44659.999999999993</v>
      </c>
    </row>
  </sheetData>
  <sheetProtection algorithmName="SHA-512" hashValue="1Uh2Q32TyY6bZqZ52d0FpSvs2XRWmgx8mLVGk1vPIB3Le9BG28M4dQNifAtFtMAlH3PXZXjdOghsWO6hX8EwzQ==" saltValue="2LgHM1k3aloZO0a2N54saw==" spinCount="100000" sheet="1" objects="1" scenarios="1"/>
  <mergeCells count="16">
    <mergeCell ref="O59:Q59"/>
    <mergeCell ref="R59:U59"/>
    <mergeCell ref="V59:W59"/>
    <mergeCell ref="L59:N59"/>
    <mergeCell ref="AF3:AH3"/>
    <mergeCell ref="AF4:AH4"/>
    <mergeCell ref="G7:H7"/>
    <mergeCell ref="E37:H37"/>
    <mergeCell ref="E38:H38"/>
    <mergeCell ref="R38:U38"/>
    <mergeCell ref="V38:W38"/>
    <mergeCell ref="E36:H36"/>
    <mergeCell ref="T5:W5"/>
    <mergeCell ref="T6:W6"/>
    <mergeCell ref="AE5:AG5"/>
    <mergeCell ref="AE6:AG6"/>
  </mergeCells>
  <hyperlinks>
    <hyperlink ref="E36" r:id="rId1" display="https://www.transport.gov.scot/publication/scottish-transport-statistics-no-39-2020-edition-pdf-only/"/>
    <hyperlink ref="E50" r:id="rId2" display="https://trl.co.uk/uploads/trl/documents/LR979.pdf"/>
    <hyperlink ref="K58" r:id="rId3" display="https://www.sciencedirect.com/science/article/pii/S0360319920307989"/>
    <hyperlink ref="I35" r:id="rId4" display="https://www.gov.uk/government/publications/hgv-maximum-weights/hgv-maximum-weights"/>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4"/>
  <sheetViews>
    <sheetView topLeftCell="A4" workbookViewId="0">
      <selection activeCell="D18" sqref="D18:D20"/>
    </sheetView>
  </sheetViews>
  <sheetFormatPr defaultRowHeight="15" x14ac:dyDescent="0.25"/>
  <cols>
    <col min="1" max="1" width="13.7109375" customWidth="1"/>
    <col min="2" max="2" width="16.140625" customWidth="1"/>
    <col min="3" max="3" width="11.85546875" customWidth="1"/>
    <col min="4" max="4" width="16.28515625" customWidth="1"/>
    <col min="5" max="5" width="13.5703125" customWidth="1"/>
    <col min="6" max="6" width="12" style="3" customWidth="1"/>
    <col min="7" max="7" width="10.7109375" style="3" customWidth="1"/>
    <col min="8" max="8" width="10" style="3" customWidth="1"/>
    <col min="9" max="9" width="13.85546875" customWidth="1"/>
    <col min="10" max="10" width="13.42578125" customWidth="1"/>
    <col min="11" max="11" width="12.7109375" customWidth="1"/>
    <col min="12" max="12" width="11" customWidth="1"/>
    <col min="13" max="13" width="14.140625" customWidth="1"/>
    <col min="14" max="14" width="16.28515625" customWidth="1"/>
    <col min="15" max="16" width="15.7109375" customWidth="1"/>
    <col min="17" max="17" width="15.140625" customWidth="1"/>
    <col min="18" max="18" width="12.5703125" customWidth="1"/>
    <col min="19" max="19" width="16.28515625" customWidth="1"/>
    <col min="20" max="20" width="15.5703125" customWidth="1"/>
    <col min="21" max="21" width="14.85546875" customWidth="1"/>
    <col min="22" max="22" width="19.28515625" customWidth="1"/>
    <col min="23" max="24" width="16.140625" customWidth="1"/>
    <col min="25" max="25" width="12.7109375" customWidth="1"/>
    <col min="26" max="26" width="16.28515625" customWidth="1"/>
    <col min="27" max="27" width="15.85546875" customWidth="1"/>
    <col min="28" max="28" width="21" customWidth="1"/>
    <col min="29" max="29" width="13.85546875" customWidth="1"/>
    <col min="30" max="30" width="17.5703125" customWidth="1"/>
    <col min="31" max="32" width="15.42578125" customWidth="1"/>
    <col min="33" max="33" width="11" customWidth="1"/>
    <col min="34" max="34" width="13.28515625" customWidth="1"/>
    <col min="35" max="35" width="12.140625" customWidth="1"/>
    <col min="36" max="36" width="17.5703125" customWidth="1"/>
    <col min="37" max="38" width="14" customWidth="1"/>
    <col min="39" max="39" width="16" customWidth="1"/>
    <col min="40" max="40" width="12.7109375" bestFit="1" customWidth="1"/>
    <col min="41" max="41" width="12.42578125" customWidth="1"/>
    <col min="44" max="44" width="11.7109375" customWidth="1"/>
    <col min="45" max="45" width="16.7109375" customWidth="1"/>
    <col min="46" max="46" width="21.85546875" customWidth="1"/>
    <col min="47" max="47" width="18.7109375" customWidth="1"/>
  </cols>
  <sheetData>
    <row r="1" spans="1:41" ht="15.75" thickBot="1" x14ac:dyDescent="0.3">
      <c r="A1" t="s">
        <v>430</v>
      </c>
    </row>
    <row r="2" spans="1:41" x14ac:dyDescent="0.25">
      <c r="A2" t="s">
        <v>431</v>
      </c>
      <c r="K2" s="141" t="s">
        <v>14</v>
      </c>
      <c r="M2" s="139" t="s">
        <v>141</v>
      </c>
      <c r="Q2" s="7">
        <v>1.0744</v>
      </c>
    </row>
    <row r="3" spans="1:41" x14ac:dyDescent="0.25">
      <c r="A3" t="s">
        <v>432</v>
      </c>
      <c r="D3">
        <f>VLOOKUP(D40,A43:B65,2,0)</f>
        <v>1</v>
      </c>
      <c r="E3" t="s">
        <v>439</v>
      </c>
      <c r="K3" s="142">
        <v>9.81</v>
      </c>
      <c r="L3" s="3"/>
      <c r="M3" s="298">
        <v>80</v>
      </c>
      <c r="Q3" s="7">
        <v>430.17</v>
      </c>
    </row>
    <row r="4" spans="1:41" ht="15.75" thickBot="1" x14ac:dyDescent="0.3">
      <c r="A4" t="s">
        <v>435</v>
      </c>
      <c r="K4" s="297" t="s">
        <v>15</v>
      </c>
      <c r="L4" s="8"/>
      <c r="M4" s="297" t="s">
        <v>16</v>
      </c>
      <c r="Q4" s="7">
        <v>1.014</v>
      </c>
    </row>
    <row r="5" spans="1:41" ht="15" customHeight="1" thickBot="1" x14ac:dyDescent="0.3">
      <c r="A5" t="s">
        <v>482</v>
      </c>
      <c r="N5" s="324"/>
      <c r="O5" s="3"/>
      <c r="P5" s="3"/>
      <c r="Q5" s="619" t="s">
        <v>351</v>
      </c>
      <c r="R5" s="620"/>
      <c r="S5" s="620"/>
      <c r="T5" s="621"/>
      <c r="Y5" s="619" t="s">
        <v>352</v>
      </c>
      <c r="Z5" s="620"/>
      <c r="AA5" s="621"/>
    </row>
    <row r="6" spans="1:41" ht="15.75" customHeight="1" thickBot="1" x14ac:dyDescent="0.3">
      <c r="A6" t="s">
        <v>483</v>
      </c>
      <c r="G6"/>
      <c r="I6" s="87" t="s">
        <v>350</v>
      </c>
      <c r="J6" s="88"/>
      <c r="K6" s="89"/>
      <c r="N6" s="8" t="s">
        <v>171</v>
      </c>
      <c r="O6" s="8" t="s">
        <v>171</v>
      </c>
      <c r="P6" s="8"/>
      <c r="Q6" s="622" t="s">
        <v>354</v>
      </c>
      <c r="R6" s="623"/>
      <c r="S6" s="623"/>
      <c r="T6" s="624"/>
      <c r="V6" t="s">
        <v>172</v>
      </c>
      <c r="W6" t="s">
        <v>172</v>
      </c>
      <c r="Y6" s="622" t="s">
        <v>353</v>
      </c>
      <c r="Z6" s="623"/>
      <c r="AA6" s="624"/>
      <c r="AD6" t="s">
        <v>173</v>
      </c>
      <c r="AE6" t="s">
        <v>173</v>
      </c>
      <c r="AG6" s="321" t="s">
        <v>189</v>
      </c>
      <c r="AH6" s="322"/>
      <c r="AI6" s="322"/>
      <c r="AJ6" s="323"/>
      <c r="AM6" t="s">
        <v>360</v>
      </c>
      <c r="AN6" t="s">
        <v>360</v>
      </c>
    </row>
    <row r="7" spans="1:41" ht="75" x14ac:dyDescent="0.25">
      <c r="B7" s="28" t="s">
        <v>0</v>
      </c>
      <c r="C7" s="29"/>
      <c r="D7" s="29" t="s">
        <v>10</v>
      </c>
      <c r="E7" s="117" t="s">
        <v>6</v>
      </c>
      <c r="F7" s="117"/>
      <c r="G7" s="617" t="s">
        <v>342</v>
      </c>
      <c r="H7" s="618"/>
      <c r="I7" s="116" t="s">
        <v>343</v>
      </c>
      <c r="J7" s="117" t="s">
        <v>12</v>
      </c>
      <c r="K7" s="117" t="s">
        <v>13</v>
      </c>
      <c r="L7" s="117" t="s">
        <v>32</v>
      </c>
      <c r="M7" s="117" t="s">
        <v>190</v>
      </c>
      <c r="N7" s="117" t="s">
        <v>194</v>
      </c>
      <c r="O7" s="118" t="s">
        <v>369</v>
      </c>
      <c r="P7" s="496" t="s">
        <v>480</v>
      </c>
      <c r="Q7" s="117" t="s">
        <v>344</v>
      </c>
      <c r="R7" s="117" t="s">
        <v>12</v>
      </c>
      <c r="S7" s="117" t="s">
        <v>13</v>
      </c>
      <c r="T7" s="117" t="s">
        <v>32</v>
      </c>
      <c r="U7" s="117" t="s">
        <v>192</v>
      </c>
      <c r="V7" s="117" t="s">
        <v>195</v>
      </c>
      <c r="W7" s="118" t="s">
        <v>370</v>
      </c>
      <c r="X7" s="509" t="s">
        <v>480</v>
      </c>
      <c r="Y7" s="116" t="s">
        <v>345</v>
      </c>
      <c r="Z7" s="117" t="s">
        <v>12</v>
      </c>
      <c r="AA7" s="117" t="s">
        <v>13</v>
      </c>
      <c r="AB7" s="117" t="s">
        <v>32</v>
      </c>
      <c r="AC7" s="117" t="s">
        <v>193</v>
      </c>
      <c r="AD7" s="117" t="s">
        <v>197</v>
      </c>
      <c r="AE7" s="118" t="s">
        <v>371</v>
      </c>
      <c r="AF7" s="509" t="s">
        <v>480</v>
      </c>
      <c r="AG7" s="116" t="s">
        <v>102</v>
      </c>
      <c r="AH7" s="117" t="s">
        <v>346</v>
      </c>
      <c r="AI7" s="117" t="s">
        <v>12</v>
      </c>
      <c r="AJ7" s="117" t="s">
        <v>13</v>
      </c>
      <c r="AK7" s="117" t="s">
        <v>32</v>
      </c>
      <c r="AL7" s="117" t="s">
        <v>191</v>
      </c>
      <c r="AM7" s="117" t="s">
        <v>196</v>
      </c>
      <c r="AN7" s="118" t="s">
        <v>372</v>
      </c>
      <c r="AO7" s="509" t="s">
        <v>480</v>
      </c>
    </row>
    <row r="8" spans="1:41" x14ac:dyDescent="0.25">
      <c r="B8" s="35"/>
      <c r="C8" s="57"/>
      <c r="D8" s="57"/>
      <c r="E8" s="60" t="s">
        <v>5</v>
      </c>
      <c r="F8" s="57"/>
      <c r="G8" s="60" t="s">
        <v>26</v>
      </c>
      <c r="H8" s="119" t="s">
        <v>27</v>
      </c>
      <c r="I8" s="35" t="s">
        <v>4</v>
      </c>
      <c r="J8" s="60" t="s">
        <v>11</v>
      </c>
      <c r="K8" s="60" t="s">
        <v>16</v>
      </c>
      <c r="L8" s="60" t="s">
        <v>31</v>
      </c>
      <c r="M8" s="60"/>
      <c r="N8" s="60"/>
      <c r="O8" s="119"/>
      <c r="P8" s="497"/>
      <c r="Q8" s="57" t="s">
        <v>4</v>
      </c>
      <c r="R8" s="60" t="s">
        <v>11</v>
      </c>
      <c r="S8" s="60" t="s">
        <v>16</v>
      </c>
      <c r="T8" s="60" t="s">
        <v>31</v>
      </c>
      <c r="U8" s="60" t="s">
        <v>11</v>
      </c>
      <c r="V8" s="60" t="s">
        <v>11</v>
      </c>
      <c r="W8" s="119"/>
      <c r="X8" s="510"/>
      <c r="Y8" s="35" t="s">
        <v>4</v>
      </c>
      <c r="Z8" s="60" t="s">
        <v>11</v>
      </c>
      <c r="AA8" s="60" t="s">
        <v>16</v>
      </c>
      <c r="AB8" s="60" t="s">
        <v>31</v>
      </c>
      <c r="AC8" s="60" t="s">
        <v>11</v>
      </c>
      <c r="AD8" s="60" t="s">
        <v>11</v>
      </c>
      <c r="AE8" s="119"/>
      <c r="AF8" s="510"/>
      <c r="AG8" s="72"/>
      <c r="AH8" s="57" t="s">
        <v>4</v>
      </c>
      <c r="AI8" s="60" t="s">
        <v>11</v>
      </c>
      <c r="AJ8" s="60" t="s">
        <v>16</v>
      </c>
      <c r="AK8" s="60" t="s">
        <v>31</v>
      </c>
      <c r="AL8" s="60" t="s">
        <v>11</v>
      </c>
      <c r="AM8" s="60" t="s">
        <v>11</v>
      </c>
      <c r="AN8" s="119"/>
      <c r="AO8" s="510"/>
    </row>
    <row r="9" spans="1:41" x14ac:dyDescent="0.25">
      <c r="B9" s="35"/>
      <c r="C9" s="57"/>
      <c r="D9" s="57"/>
      <c r="E9" s="60"/>
      <c r="F9" s="57"/>
      <c r="G9" s="60"/>
      <c r="H9" s="119"/>
      <c r="I9" s="35"/>
      <c r="J9" s="60"/>
      <c r="K9" s="60"/>
      <c r="L9" s="57"/>
      <c r="M9" s="57"/>
      <c r="N9" s="133"/>
      <c r="O9" s="120"/>
      <c r="P9" s="498"/>
      <c r="Q9" s="57"/>
      <c r="R9" s="60"/>
      <c r="S9" s="60"/>
      <c r="T9" s="57"/>
      <c r="U9" s="57"/>
      <c r="V9" s="133"/>
      <c r="W9" s="120"/>
      <c r="X9" s="511"/>
      <c r="Y9" s="35"/>
      <c r="Z9" s="60"/>
      <c r="AA9" s="60"/>
      <c r="AB9" s="57"/>
      <c r="AC9" s="57"/>
      <c r="AD9" s="133"/>
      <c r="AE9" s="120"/>
      <c r="AF9" s="511"/>
      <c r="AG9" s="135"/>
      <c r="AH9" s="57"/>
      <c r="AI9" s="60"/>
      <c r="AJ9" s="60"/>
      <c r="AK9" s="57"/>
      <c r="AL9" s="57"/>
      <c r="AM9" s="133"/>
      <c r="AN9" s="120"/>
      <c r="AO9" s="511"/>
    </row>
    <row r="10" spans="1:41" x14ac:dyDescent="0.25">
      <c r="B10" s="35"/>
      <c r="C10" s="57"/>
      <c r="D10" s="57"/>
      <c r="E10" s="60"/>
      <c r="F10" s="57"/>
      <c r="G10" s="60"/>
      <c r="H10" s="119"/>
      <c r="I10" s="35"/>
      <c r="J10" s="57"/>
      <c r="K10" s="57"/>
      <c r="L10" s="57"/>
      <c r="M10" s="60"/>
      <c r="N10" s="134"/>
      <c r="O10" s="121"/>
      <c r="P10" s="499"/>
      <c r="Q10" s="57"/>
      <c r="R10" s="57"/>
      <c r="S10" s="57"/>
      <c r="T10" s="57"/>
      <c r="U10" s="60"/>
      <c r="V10" s="134"/>
      <c r="W10" s="121"/>
      <c r="X10" s="512"/>
      <c r="Y10" s="35"/>
      <c r="Z10" s="57"/>
      <c r="AA10" s="57"/>
      <c r="AB10" s="57"/>
      <c r="AC10" s="60"/>
      <c r="AD10" s="134"/>
      <c r="AE10" s="121"/>
      <c r="AF10" s="512"/>
      <c r="AG10" s="136"/>
      <c r="AH10" s="57"/>
      <c r="AI10" s="57"/>
      <c r="AJ10" s="57"/>
      <c r="AK10" s="57"/>
      <c r="AL10" s="60"/>
      <c r="AM10" s="134"/>
      <c r="AN10" s="121"/>
      <c r="AO10" s="512"/>
    </row>
    <row r="11" spans="1:41" ht="30" x14ac:dyDescent="0.25">
      <c r="A11" s="126" t="s">
        <v>41</v>
      </c>
      <c r="B11" s="126" t="s">
        <v>41</v>
      </c>
      <c r="C11" s="312" t="s">
        <v>365</v>
      </c>
      <c r="D11" s="57"/>
      <c r="E11" s="127">
        <v>14154</v>
      </c>
      <c r="F11" s="57"/>
      <c r="G11" s="127">
        <v>14000</v>
      </c>
      <c r="H11" s="128">
        <v>24800</v>
      </c>
      <c r="I11" s="35">
        <f>D3*17000</f>
        <v>17000</v>
      </c>
      <c r="J11" s="159">
        <v>2</v>
      </c>
      <c r="K11" s="44">
        <f t="shared" ref="K11:K26" si="0">$K$3*I11/(J11*1000)</f>
        <v>83.385000000000005</v>
      </c>
      <c r="L11" s="122">
        <v>45471.244877773075</v>
      </c>
      <c r="M11" s="111">
        <f t="shared" ref="M11:M26" si="1">(K11/$M$3)^4</f>
        <v>1.1802983076230504</v>
      </c>
      <c r="N11" s="114">
        <f t="shared" ref="N11:N26" si="2">M11*L11*J11*$E11</f>
        <v>1519279981.5723908</v>
      </c>
      <c r="O11" s="320">
        <f t="shared" ref="O11:O26" si="3">M11*J11</f>
        <v>2.3605966152461009</v>
      </c>
      <c r="P11" s="430">
        <f>'Main table (road wear)'!O10</f>
        <v>2.3605966152461009</v>
      </c>
      <c r="Q11" s="140">
        <f t="shared" ref="Q11:Q21" si="4">MIN(($Q$2*$I11+$Q$3),H11)</f>
        <v>18694.969999999998</v>
      </c>
      <c r="R11" s="159">
        <f t="shared" ref="R11:R26" si="5">$J11</f>
        <v>2</v>
      </c>
      <c r="S11" s="44">
        <f t="shared" ref="S11:S26" si="6">$K$3*Q11/(R11*1000)</f>
        <v>91.698827849999986</v>
      </c>
      <c r="T11" s="162">
        <f>$L11*(($Q$2*$I11+$Q$3)/Q11)</f>
        <v>45471.244877773075</v>
      </c>
      <c r="U11" s="111">
        <f t="shared" ref="U11:U26" si="7">(S11/$M$3)^4</f>
        <v>1.726216204697347</v>
      </c>
      <c r="V11" s="114">
        <f t="shared" ref="V11:V26" si="8">U11*T11*R11*$E11</f>
        <v>2221985498.6864257</v>
      </c>
      <c r="W11" s="320">
        <f>U11*R11</f>
        <v>3.4524324093946941</v>
      </c>
      <c r="X11" s="430">
        <f>'Main table (road wear)'!V10</f>
        <v>3.4524324093946941</v>
      </c>
      <c r="Y11" s="259">
        <f>MIN(H11,($I11*$Q$4))</f>
        <v>17238</v>
      </c>
      <c r="Z11" s="159">
        <f t="shared" ref="Z11:Z26" si="9">$J11</f>
        <v>2</v>
      </c>
      <c r="AA11" s="44">
        <f t="shared" ref="AA11:AA26" si="10">$K$3*Y11/(Z11*1000)</f>
        <v>84.552390000000003</v>
      </c>
      <c r="AB11" s="162">
        <f>$L11*(($I11*$Q$4)/Y11)</f>
        <v>45471.244877773075</v>
      </c>
      <c r="AC11" s="111">
        <f t="shared" ref="AC11:AC26" si="11">(AA11/$M$3)^4</f>
        <v>1.2477960439562705</v>
      </c>
      <c r="AD11" s="114">
        <f t="shared" ref="AD11:AD26" si="12">AC11*AB11*Z11*$E11</f>
        <v>1606163067.7805119</v>
      </c>
      <c r="AE11" s="320">
        <f>AC11*Z11</f>
        <v>2.4955920879125411</v>
      </c>
      <c r="AF11" s="430">
        <f>'Main table (road wear)'!AC10</f>
        <v>2.4955920879125411</v>
      </c>
      <c r="AG11" s="168" t="s">
        <v>173</v>
      </c>
      <c r="AH11" s="140">
        <f t="shared" ref="AH11:AH26" si="13">IF(AG11="FCEV",Y11,IF(AG11="BEV",Q11,"error"))</f>
        <v>17238</v>
      </c>
      <c r="AI11" s="159">
        <f t="shared" ref="AI11:AI26" si="14">$J11</f>
        <v>2</v>
      </c>
      <c r="AJ11" s="44">
        <f t="shared" ref="AJ11:AJ26" si="15">$K$3*AH11/(AI11*1000)</f>
        <v>84.552390000000003</v>
      </c>
      <c r="AK11" s="122">
        <f>L11</f>
        <v>45471.244877773075</v>
      </c>
      <c r="AL11" s="111">
        <f t="shared" ref="AL11:AL26" si="16">(AJ11/$M$3)^4</f>
        <v>1.2477960439562705</v>
      </c>
      <c r="AM11" s="114">
        <f t="shared" ref="AM11:AM26" si="17">AL11*AK11*AI11*$E11</f>
        <v>1606163067.7805119</v>
      </c>
      <c r="AN11" s="320">
        <f>AL11*AI11</f>
        <v>2.4955920879125411</v>
      </c>
      <c r="AO11" s="430">
        <f>'Main table (road wear)'!AK10</f>
        <v>2.4955920879125411</v>
      </c>
    </row>
    <row r="12" spans="1:41" ht="15.75" x14ac:dyDescent="0.25">
      <c r="B12" s="126" t="s">
        <v>2</v>
      </c>
      <c r="C12" s="312" t="s">
        <v>2</v>
      </c>
      <c r="D12" s="144" t="s">
        <v>135</v>
      </c>
      <c r="E12" s="127">
        <v>1544505.3520000002</v>
      </c>
      <c r="F12" s="145"/>
      <c r="G12" s="127">
        <v>1000</v>
      </c>
      <c r="H12" s="128">
        <v>2600</v>
      </c>
      <c r="I12" s="124">
        <f>D3*AVERAGE(G12:H12)</f>
        <v>1800</v>
      </c>
      <c r="J12" s="159">
        <v>2</v>
      </c>
      <c r="K12" s="44">
        <f t="shared" si="0"/>
        <v>8.8290000000000006</v>
      </c>
      <c r="L12" s="122">
        <v>14570.798265265224</v>
      </c>
      <c r="M12" s="111">
        <f t="shared" si="1"/>
        <v>1.483495110703145E-4</v>
      </c>
      <c r="N12" s="114">
        <f t="shared" si="2"/>
        <v>6677115.3341941852</v>
      </c>
      <c r="O12" s="314">
        <f t="shared" si="3"/>
        <v>2.96699022140629E-4</v>
      </c>
      <c r="P12" s="500">
        <f>'Main table (road wear)'!O11</f>
        <v>2.96699022140629E-4</v>
      </c>
      <c r="Q12" s="140">
        <f t="shared" ref="Q12:Q13" si="18">$Q$2*$I12+$Q$3</f>
        <v>2364.09</v>
      </c>
      <c r="R12" s="159">
        <f t="shared" si="5"/>
        <v>2</v>
      </c>
      <c r="S12" s="44">
        <f t="shared" si="6"/>
        <v>11.595861450000003</v>
      </c>
      <c r="T12" s="162">
        <f t="shared" ref="T12:T26" si="19">$L12*(($Q$2*$I12+$Q$3)/Q12)</f>
        <v>14570.798265265224</v>
      </c>
      <c r="U12" s="111">
        <f t="shared" si="7"/>
        <v>4.4142011817099869E-4</v>
      </c>
      <c r="V12" s="114">
        <f t="shared" si="8"/>
        <v>19868033.393547043</v>
      </c>
      <c r="W12" s="314">
        <f t="shared" ref="W12:W26" si="20">U12*R12</f>
        <v>8.8284023634199738E-4</v>
      </c>
      <c r="X12" s="500">
        <f>'Main table (road wear)'!V11</f>
        <v>8.8284023634199738E-4</v>
      </c>
      <c r="Y12" s="259">
        <f t="shared" ref="Y12:Y14" si="21">$I12*$Q$4</f>
        <v>1825.2</v>
      </c>
      <c r="Z12" s="159">
        <f t="shared" si="9"/>
        <v>2</v>
      </c>
      <c r="AA12" s="44">
        <f t="shared" si="10"/>
        <v>8.9526059999999994</v>
      </c>
      <c r="AB12" s="162">
        <f t="shared" ref="AB12:AB26" si="22">$L12*(($I12*$Q$4)/Y12)</f>
        <v>14570.798265265224</v>
      </c>
      <c r="AC12" s="111">
        <f t="shared" si="11"/>
        <v>1.5683317669849909E-4</v>
      </c>
      <c r="AD12" s="114">
        <f t="shared" si="12"/>
        <v>7058959.6250680415</v>
      </c>
      <c r="AE12" s="314">
        <f t="shared" ref="AE12:AE26" si="23">AC12*Z12</f>
        <v>3.1366635339699818E-4</v>
      </c>
      <c r="AF12" s="500">
        <f>'Main table (road wear)'!AC11</f>
        <v>3.1366635339699818E-4</v>
      </c>
      <c r="AG12" s="168" t="s">
        <v>172</v>
      </c>
      <c r="AH12" s="140">
        <f t="shared" si="13"/>
        <v>2364.09</v>
      </c>
      <c r="AI12" s="159">
        <f t="shared" si="14"/>
        <v>2</v>
      </c>
      <c r="AJ12" s="44">
        <f t="shared" si="15"/>
        <v>11.595861450000003</v>
      </c>
      <c r="AK12" s="122">
        <f t="shared" ref="AK12:AK26" si="24">L12</f>
        <v>14570.798265265224</v>
      </c>
      <c r="AL12" s="111">
        <f t="shared" si="16"/>
        <v>4.4142011817099869E-4</v>
      </c>
      <c r="AM12" s="114">
        <f t="shared" si="17"/>
        <v>19868033.393547043</v>
      </c>
      <c r="AN12" s="314">
        <f t="shared" ref="AN12:AN26" si="25">AL12*AI12</f>
        <v>8.8284023634199738E-4</v>
      </c>
      <c r="AO12" s="500">
        <f>'Main table (road wear)'!AK11</f>
        <v>8.8284023634199738E-4</v>
      </c>
    </row>
    <row r="13" spans="1:41" x14ac:dyDescent="0.25">
      <c r="B13" s="126" t="s">
        <v>2</v>
      </c>
      <c r="C13" s="24" t="s">
        <v>2</v>
      </c>
      <c r="D13" s="57" t="s">
        <v>134</v>
      </c>
      <c r="E13" s="127">
        <v>973215.32</v>
      </c>
      <c r="F13" s="145"/>
      <c r="G13" s="127">
        <v>1000</v>
      </c>
      <c r="H13" s="128">
        <v>2600</v>
      </c>
      <c r="I13" s="124">
        <f>D3*AVERAGE(G13:H13)</f>
        <v>1800</v>
      </c>
      <c r="J13" s="159">
        <v>2</v>
      </c>
      <c r="K13" s="44">
        <f t="shared" si="0"/>
        <v>8.8290000000000006</v>
      </c>
      <c r="L13" s="122">
        <v>14570.798265265224</v>
      </c>
      <c r="M13" s="111">
        <f t="shared" si="1"/>
        <v>1.483495110703145E-4</v>
      </c>
      <c r="N13" s="114">
        <f t="shared" si="2"/>
        <v>4207347.6328392159</v>
      </c>
      <c r="O13" s="314">
        <f t="shared" si="3"/>
        <v>2.96699022140629E-4</v>
      </c>
      <c r="P13" s="500">
        <f>'Main table (road wear)'!O12</f>
        <v>2.96699022140629E-4</v>
      </c>
      <c r="Q13" s="140">
        <f t="shared" si="18"/>
        <v>2364.09</v>
      </c>
      <c r="R13" s="159">
        <f t="shared" si="5"/>
        <v>2</v>
      </c>
      <c r="S13" s="44">
        <f t="shared" si="6"/>
        <v>11.595861450000003</v>
      </c>
      <c r="T13" s="162">
        <f t="shared" si="19"/>
        <v>14570.798265265224</v>
      </c>
      <c r="U13" s="111">
        <f t="shared" si="7"/>
        <v>4.4142011817099869E-4</v>
      </c>
      <c r="V13" s="114">
        <f t="shared" si="8"/>
        <v>12519137.2447064</v>
      </c>
      <c r="W13" s="314">
        <f t="shared" si="20"/>
        <v>8.8284023634199738E-4</v>
      </c>
      <c r="X13" s="500">
        <f>'Main table (road wear)'!V12</f>
        <v>8.8284023634199738E-4</v>
      </c>
      <c r="Y13" s="259">
        <f t="shared" si="21"/>
        <v>1825.2</v>
      </c>
      <c r="Z13" s="159">
        <f t="shared" si="9"/>
        <v>2</v>
      </c>
      <c r="AA13" s="44">
        <f t="shared" si="10"/>
        <v>8.9526059999999994</v>
      </c>
      <c r="AB13" s="162">
        <f t="shared" si="22"/>
        <v>14570.798265265224</v>
      </c>
      <c r="AC13" s="111">
        <f t="shared" si="11"/>
        <v>1.5683317669849909E-4</v>
      </c>
      <c r="AD13" s="114">
        <f t="shared" si="12"/>
        <v>4447953.2825715151</v>
      </c>
      <c r="AE13" s="314">
        <f t="shared" si="23"/>
        <v>3.1366635339699818E-4</v>
      </c>
      <c r="AF13" s="500">
        <f>'Main table (road wear)'!AC12</f>
        <v>3.1366635339699818E-4</v>
      </c>
      <c r="AG13" s="168" t="s">
        <v>173</v>
      </c>
      <c r="AH13" s="140">
        <f t="shared" si="13"/>
        <v>1825.2</v>
      </c>
      <c r="AI13" s="159">
        <f t="shared" si="14"/>
        <v>2</v>
      </c>
      <c r="AJ13" s="44">
        <f t="shared" si="15"/>
        <v>8.9526059999999994</v>
      </c>
      <c r="AK13" s="122">
        <f t="shared" si="24"/>
        <v>14570.798265265224</v>
      </c>
      <c r="AL13" s="111">
        <f t="shared" si="16"/>
        <v>1.5683317669849909E-4</v>
      </c>
      <c r="AM13" s="114">
        <f t="shared" si="17"/>
        <v>4447953.2825715151</v>
      </c>
      <c r="AN13" s="314">
        <f t="shared" si="25"/>
        <v>3.1366635339699818E-4</v>
      </c>
      <c r="AO13" s="500">
        <f>'Main table (road wear)'!AK12</f>
        <v>3.1366635339699818E-4</v>
      </c>
    </row>
    <row r="14" spans="1:41" ht="30" x14ac:dyDescent="0.25">
      <c r="A14" s="126" t="s">
        <v>3</v>
      </c>
      <c r="B14" s="126" t="s">
        <v>3</v>
      </c>
      <c r="C14" s="182" t="s">
        <v>366</v>
      </c>
      <c r="D14" s="57"/>
      <c r="E14" s="127">
        <v>71666</v>
      </c>
      <c r="F14" s="129"/>
      <c r="G14" s="127"/>
      <c r="H14" s="128"/>
      <c r="I14" s="35">
        <v>200</v>
      </c>
      <c r="J14" s="159">
        <v>2</v>
      </c>
      <c r="K14" s="44">
        <f t="shared" si="0"/>
        <v>0.98099999999999998</v>
      </c>
      <c r="L14" s="122">
        <v>4490.274328133286</v>
      </c>
      <c r="M14" s="299">
        <f t="shared" si="1"/>
        <v>2.2610807966821278E-8</v>
      </c>
      <c r="N14" s="114">
        <f t="shared" si="2"/>
        <v>14.552316007446178</v>
      </c>
      <c r="O14" s="318">
        <f t="shared" si="3"/>
        <v>4.5221615933642555E-8</v>
      </c>
      <c r="P14" s="501">
        <f>'Main table (road wear)'!O13</f>
        <v>4.5221615933642555E-8</v>
      </c>
      <c r="Q14" s="140">
        <f>$Q$2*$I14+$Q$3</f>
        <v>645.04999999999995</v>
      </c>
      <c r="R14" s="159">
        <f t="shared" si="5"/>
        <v>2</v>
      </c>
      <c r="S14" s="44">
        <f t="shared" si="6"/>
        <v>3.1639702499999998</v>
      </c>
      <c r="T14" s="162">
        <f t="shared" si="19"/>
        <v>4490.274328133286</v>
      </c>
      <c r="U14" s="333">
        <f t="shared" si="7"/>
        <v>2.4466374392934312E-6</v>
      </c>
      <c r="V14" s="114">
        <f t="shared" si="8"/>
        <v>1574.6558559292528</v>
      </c>
      <c r="W14" s="317">
        <f t="shared" si="20"/>
        <v>4.8932748785868625E-6</v>
      </c>
      <c r="X14" s="513">
        <f>'Main table (road wear)'!V13</f>
        <v>4.8932748785868625E-6</v>
      </c>
      <c r="Y14" s="259">
        <f t="shared" si="21"/>
        <v>202.8</v>
      </c>
      <c r="Z14" s="159">
        <f t="shared" si="9"/>
        <v>2</v>
      </c>
      <c r="AA14" s="44">
        <f t="shared" si="10"/>
        <v>0.99473400000000012</v>
      </c>
      <c r="AB14" s="162">
        <f t="shared" si="22"/>
        <v>4490.274328133286</v>
      </c>
      <c r="AC14" s="333">
        <f t="shared" si="11"/>
        <v>2.390385256797732E-8</v>
      </c>
      <c r="AD14" s="114">
        <f t="shared" si="12"/>
        <v>15.384519512750206</v>
      </c>
      <c r="AE14" s="318">
        <f t="shared" si="23"/>
        <v>4.780770513595464E-8</v>
      </c>
      <c r="AF14" s="513">
        <f>'Main table (road wear)'!AC13</f>
        <v>4.780770513595464E-8</v>
      </c>
      <c r="AG14" s="168" t="s">
        <v>172</v>
      </c>
      <c r="AH14" s="140">
        <f t="shared" si="13"/>
        <v>645.04999999999995</v>
      </c>
      <c r="AI14" s="159">
        <f t="shared" si="14"/>
        <v>2</v>
      </c>
      <c r="AJ14" s="44">
        <f t="shared" si="15"/>
        <v>3.1639702499999998</v>
      </c>
      <c r="AK14" s="122">
        <f t="shared" si="24"/>
        <v>4490.274328133286</v>
      </c>
      <c r="AL14" s="111">
        <f t="shared" si="16"/>
        <v>2.4466374392934312E-6</v>
      </c>
      <c r="AM14" s="114">
        <f t="shared" si="17"/>
        <v>1574.6558559292528</v>
      </c>
      <c r="AN14" s="317">
        <f t="shared" si="25"/>
        <v>4.8932748785868625E-6</v>
      </c>
      <c r="AO14" s="513">
        <f>'Main table (road wear)'!AK13</f>
        <v>4.8932748785868625E-6</v>
      </c>
    </row>
    <row r="15" spans="1:41" ht="30" x14ac:dyDescent="0.25">
      <c r="B15" s="420" t="s">
        <v>44</v>
      </c>
      <c r="C15" s="421" t="s">
        <v>368</v>
      </c>
      <c r="D15" s="434" t="s">
        <v>446</v>
      </c>
      <c r="E15" s="423">
        <v>7986.2615999999998</v>
      </c>
      <c r="F15" s="424"/>
      <c r="G15" s="423">
        <v>3500</v>
      </c>
      <c r="H15" s="425">
        <v>7500</v>
      </c>
      <c r="I15" s="426">
        <f>D3*AVERAGE(G15:H15)</f>
        <v>5500</v>
      </c>
      <c r="J15" s="418">
        <v>2</v>
      </c>
      <c r="K15" s="427">
        <f t="shared" si="0"/>
        <v>26.977499999999999</v>
      </c>
      <c r="L15" s="423">
        <f>VLOOKUP(D15,'Mileage &amp; vehicle numbers'!$D$10:$V$19,19,0)</f>
        <v>49966.531173195472</v>
      </c>
      <c r="M15" s="428">
        <f t="shared" si="1"/>
        <v>1.2931439040712131E-2</v>
      </c>
      <c r="N15" s="429">
        <f t="shared" si="2"/>
        <v>10320472.594822234</v>
      </c>
      <c r="O15" s="445">
        <f t="shared" si="3"/>
        <v>2.5862878081424262E-2</v>
      </c>
      <c r="P15" s="445">
        <f>'Main table (road wear)'!O14</f>
        <v>2.5862878081424262E-2</v>
      </c>
      <c r="Q15" s="431">
        <f>MIN(($Q$2*$I15+$Q$3),H17)</f>
        <v>6339.37</v>
      </c>
      <c r="R15" s="418">
        <f t="shared" si="5"/>
        <v>2</v>
      </c>
      <c r="S15" s="427">
        <f t="shared" si="6"/>
        <v>31.094609850000001</v>
      </c>
      <c r="T15" s="423">
        <f t="shared" si="19"/>
        <v>49966.531173195472</v>
      </c>
      <c r="U15" s="428">
        <f t="shared" si="7"/>
        <v>2.2823408321735711E-2</v>
      </c>
      <c r="V15" s="429">
        <f t="shared" si="8"/>
        <v>18215169.971673895</v>
      </c>
      <c r="W15" s="445">
        <f t="shared" si="20"/>
        <v>4.5646816643471422E-2</v>
      </c>
      <c r="X15" s="445">
        <f>'Main table (road wear)'!V14</f>
        <v>4.5646816643471422E-2</v>
      </c>
      <c r="Y15" s="451">
        <f t="shared" ref="Y15:Y26" si="26">MIN(H15,($I15*$Q$4))</f>
        <v>5577</v>
      </c>
      <c r="Z15" s="418">
        <f t="shared" si="9"/>
        <v>2</v>
      </c>
      <c r="AA15" s="427">
        <f t="shared" si="10"/>
        <v>27.355185000000002</v>
      </c>
      <c r="AB15" s="423">
        <f t="shared" si="22"/>
        <v>49966.531173195472</v>
      </c>
      <c r="AC15" s="428">
        <f t="shared" si="11"/>
        <v>1.3670949431552965E-2</v>
      </c>
      <c r="AD15" s="429">
        <f t="shared" si="12"/>
        <v>10910669.609882269</v>
      </c>
      <c r="AE15" s="445">
        <f t="shared" si="23"/>
        <v>2.734189886310593E-2</v>
      </c>
      <c r="AF15" s="445">
        <f>'Main table (road wear)'!AC14</f>
        <v>2.734189886310593E-2</v>
      </c>
      <c r="AG15" s="453" t="s">
        <v>173</v>
      </c>
      <c r="AH15" s="431">
        <f t="shared" si="13"/>
        <v>5577</v>
      </c>
      <c r="AI15" s="418">
        <f t="shared" si="14"/>
        <v>2</v>
      </c>
      <c r="AJ15" s="427">
        <f t="shared" si="15"/>
        <v>27.355185000000002</v>
      </c>
      <c r="AK15" s="423">
        <f t="shared" si="24"/>
        <v>49966.531173195472</v>
      </c>
      <c r="AL15" s="428">
        <f t="shared" si="16"/>
        <v>1.3670949431552965E-2</v>
      </c>
      <c r="AM15" s="429">
        <f t="shared" si="17"/>
        <v>10910669.609882269</v>
      </c>
      <c r="AN15" s="445">
        <f t="shared" si="25"/>
        <v>2.734189886310593E-2</v>
      </c>
      <c r="AO15" s="445">
        <f>'Main table (road wear)'!AK14</f>
        <v>2.734189886310593E-2</v>
      </c>
    </row>
    <row r="16" spans="1:41" ht="30" x14ac:dyDescent="0.25">
      <c r="B16" s="420" t="s">
        <v>44</v>
      </c>
      <c r="C16" s="421" t="s">
        <v>368</v>
      </c>
      <c r="D16" s="422" t="s">
        <v>447</v>
      </c>
      <c r="E16" s="423">
        <v>1274.5602000000003</v>
      </c>
      <c r="F16" s="424"/>
      <c r="G16" s="423">
        <f>H15</f>
        <v>7500</v>
      </c>
      <c r="H16" s="425">
        <v>12000</v>
      </c>
      <c r="I16" s="426">
        <f>D3*AVERAGE(G16:H16)</f>
        <v>9750</v>
      </c>
      <c r="J16" s="418">
        <v>2</v>
      </c>
      <c r="K16" s="427">
        <f t="shared" si="0"/>
        <v>47.823749999999997</v>
      </c>
      <c r="L16" s="423">
        <f>VLOOKUP(D16,'Mileage &amp; vehicle numbers'!$D$10:$V$19,19,0)</f>
        <v>49966.531173195472</v>
      </c>
      <c r="M16" s="428">
        <f t="shared" si="1"/>
        <v>0.12770695848039798</v>
      </c>
      <c r="N16" s="429">
        <f t="shared" si="2"/>
        <v>16266125.198513385</v>
      </c>
      <c r="O16" s="446">
        <f t="shared" si="3"/>
        <v>0.25541391696079596</v>
      </c>
      <c r="P16" s="446">
        <f>'Main table (road wear)'!O15</f>
        <v>0.25541391696079596</v>
      </c>
      <c r="Q16" s="431">
        <f>MIN(($Q$2*$I16+$Q$3),H17)</f>
        <v>10905.57</v>
      </c>
      <c r="R16" s="418">
        <f t="shared" si="5"/>
        <v>2</v>
      </c>
      <c r="S16" s="427">
        <f t="shared" si="6"/>
        <v>53.491820850000003</v>
      </c>
      <c r="T16" s="423">
        <f t="shared" si="19"/>
        <v>49966.531173195472</v>
      </c>
      <c r="U16" s="428">
        <f t="shared" si="7"/>
        <v>0.19988931411224337</v>
      </c>
      <c r="V16" s="429">
        <f t="shared" si="8"/>
        <v>25460042.64672694</v>
      </c>
      <c r="W16" s="446">
        <f t="shared" si="20"/>
        <v>0.39977862822448673</v>
      </c>
      <c r="X16" s="446">
        <f>'Main table (road wear)'!V15</f>
        <v>0.39977862822448673</v>
      </c>
      <c r="Y16" s="451">
        <f t="shared" si="26"/>
        <v>9886.5</v>
      </c>
      <c r="Z16" s="418">
        <f t="shared" si="9"/>
        <v>2</v>
      </c>
      <c r="AA16" s="427">
        <f t="shared" si="10"/>
        <v>48.493282499999999</v>
      </c>
      <c r="AB16" s="423">
        <f t="shared" si="22"/>
        <v>49966.531173195472</v>
      </c>
      <c r="AC16" s="428">
        <f t="shared" si="11"/>
        <v>0.13501013815604002</v>
      </c>
      <c r="AD16" s="429">
        <f t="shared" si="12"/>
        <v>17196336.334733229</v>
      </c>
      <c r="AE16" s="446">
        <f t="shared" si="23"/>
        <v>0.27002027631208003</v>
      </c>
      <c r="AF16" s="446">
        <f>'Main table (road wear)'!AC15</f>
        <v>0.27002027631208003</v>
      </c>
      <c r="AG16" s="453" t="s">
        <v>173</v>
      </c>
      <c r="AH16" s="431">
        <f t="shared" si="13"/>
        <v>9886.5</v>
      </c>
      <c r="AI16" s="418">
        <f t="shared" si="14"/>
        <v>2</v>
      </c>
      <c r="AJ16" s="427">
        <f t="shared" si="15"/>
        <v>48.493282499999999</v>
      </c>
      <c r="AK16" s="423">
        <f t="shared" si="24"/>
        <v>49966.531173195472</v>
      </c>
      <c r="AL16" s="428">
        <f t="shared" si="16"/>
        <v>0.13501013815604002</v>
      </c>
      <c r="AM16" s="429">
        <f t="shared" si="17"/>
        <v>17196336.334733229</v>
      </c>
      <c r="AN16" s="446">
        <f t="shared" si="25"/>
        <v>0.27002027631208003</v>
      </c>
      <c r="AO16" s="446">
        <f>'Main table (road wear)'!AK15</f>
        <v>0.27002027631208003</v>
      </c>
    </row>
    <row r="17" spans="1:41" ht="30" x14ac:dyDescent="0.25">
      <c r="B17" s="420" t="s">
        <v>44</v>
      </c>
      <c r="C17" s="421" t="s">
        <v>368</v>
      </c>
      <c r="D17" s="422" t="s">
        <v>448</v>
      </c>
      <c r="E17" s="423">
        <v>1237.7231999999999</v>
      </c>
      <c r="F17" s="424"/>
      <c r="G17" s="423">
        <f t="shared" ref="G17:G22" si="27">H16</f>
        <v>12000</v>
      </c>
      <c r="H17" s="425">
        <v>16000</v>
      </c>
      <c r="I17" s="426">
        <f>D3*AVERAGE(G17:H17)</f>
        <v>14000</v>
      </c>
      <c r="J17" s="418">
        <v>2</v>
      </c>
      <c r="K17" s="427">
        <f t="shared" si="0"/>
        <v>68.67</v>
      </c>
      <c r="L17" s="423">
        <f>VLOOKUP(D17,'Mileage &amp; vehicle numbers'!$D$10:$V$19,19,0)</f>
        <v>49966.531173195472</v>
      </c>
      <c r="M17" s="428">
        <f t="shared" si="1"/>
        <v>0.54288549928337926</v>
      </c>
      <c r="N17" s="429">
        <f t="shared" si="2"/>
        <v>67149219.521333158</v>
      </c>
      <c r="O17" s="430">
        <f t="shared" si="3"/>
        <v>1.0857709985667585</v>
      </c>
      <c r="P17" s="430">
        <f>'Main table (road wear)'!O16</f>
        <v>1.0857709985667585</v>
      </c>
      <c r="Q17" s="431">
        <f t="shared" si="4"/>
        <v>15471.77</v>
      </c>
      <c r="R17" s="418">
        <f t="shared" si="5"/>
        <v>2</v>
      </c>
      <c r="S17" s="427">
        <f t="shared" si="6"/>
        <v>75.889031849999995</v>
      </c>
      <c r="T17" s="423">
        <f t="shared" si="19"/>
        <v>49966.531173195472</v>
      </c>
      <c r="U17" s="428">
        <f t="shared" si="7"/>
        <v>0.809759592721215</v>
      </c>
      <c r="V17" s="429">
        <f t="shared" si="8"/>
        <v>100158734.61884324</v>
      </c>
      <c r="W17" s="430">
        <f t="shared" si="20"/>
        <v>1.61951918544243</v>
      </c>
      <c r="X17" s="430">
        <f>'Main table (road wear)'!V16</f>
        <v>1.61951918544243</v>
      </c>
      <c r="Y17" s="451">
        <f t="shared" si="26"/>
        <v>14196</v>
      </c>
      <c r="Z17" s="418">
        <f t="shared" si="9"/>
        <v>2</v>
      </c>
      <c r="AA17" s="427">
        <f t="shared" si="10"/>
        <v>69.631380000000007</v>
      </c>
      <c r="AB17" s="423">
        <f t="shared" si="22"/>
        <v>49966.531173195472</v>
      </c>
      <c r="AC17" s="428">
        <f t="shared" si="11"/>
        <v>0.57393150015713534</v>
      </c>
      <c r="AD17" s="429">
        <f t="shared" si="12"/>
        <v>70989282.906122804</v>
      </c>
      <c r="AE17" s="430">
        <f t="shared" si="23"/>
        <v>1.1478630003142707</v>
      </c>
      <c r="AF17" s="430">
        <f>'Main table (road wear)'!AC16</f>
        <v>1.1478630003142707</v>
      </c>
      <c r="AG17" s="453" t="s">
        <v>173</v>
      </c>
      <c r="AH17" s="431">
        <f t="shared" si="13"/>
        <v>14196</v>
      </c>
      <c r="AI17" s="418">
        <f t="shared" si="14"/>
        <v>2</v>
      </c>
      <c r="AJ17" s="427">
        <f t="shared" si="15"/>
        <v>69.631380000000007</v>
      </c>
      <c r="AK17" s="423">
        <f t="shared" si="24"/>
        <v>49966.531173195472</v>
      </c>
      <c r="AL17" s="428">
        <f t="shared" si="16"/>
        <v>0.57393150015713534</v>
      </c>
      <c r="AM17" s="429">
        <f t="shared" si="17"/>
        <v>70989282.906122804</v>
      </c>
      <c r="AN17" s="430">
        <f t="shared" si="25"/>
        <v>1.1478630003142707</v>
      </c>
      <c r="AO17" s="430">
        <f>'Main table (road wear)'!AK16</f>
        <v>1.1478630003142707</v>
      </c>
    </row>
    <row r="18" spans="1:41" ht="30" x14ac:dyDescent="0.25">
      <c r="B18" s="420" t="s">
        <v>44</v>
      </c>
      <c r="C18" s="421" t="s">
        <v>368</v>
      </c>
      <c r="D18" s="422" t="s">
        <v>449</v>
      </c>
      <c r="E18" s="423">
        <v>4656.1968000000006</v>
      </c>
      <c r="F18" s="424"/>
      <c r="G18" s="423">
        <f t="shared" si="27"/>
        <v>16000</v>
      </c>
      <c r="H18" s="528">
        <v>19000</v>
      </c>
      <c r="I18" s="426">
        <f>D3*AVERAGE(G18:H18)</f>
        <v>17500</v>
      </c>
      <c r="J18" s="418">
        <v>2</v>
      </c>
      <c r="K18" s="427">
        <f t="shared" si="0"/>
        <v>85.837500000000006</v>
      </c>
      <c r="L18" s="423">
        <f>VLOOKUP(D18,'Mileage &amp; vehicle numbers'!$D$10:$V$19,19,0)</f>
        <v>49966.531173195472</v>
      </c>
      <c r="M18" s="428">
        <f t="shared" si="1"/>
        <v>1.3254040509848124</v>
      </c>
      <c r="N18" s="429">
        <f t="shared" si="2"/>
        <v>616721114.93039894</v>
      </c>
      <c r="O18" s="446">
        <f t="shared" si="3"/>
        <v>2.6508081019696248</v>
      </c>
      <c r="P18" s="446">
        <f>'Main table (road wear)'!O17</f>
        <v>2.6508081019696248</v>
      </c>
      <c r="Q18" s="431">
        <f>MIN(($Q$2*$I18+$Q$3),H20)</f>
        <v>19232.169999999998</v>
      </c>
      <c r="R18" s="418">
        <f t="shared" si="5"/>
        <v>2</v>
      </c>
      <c r="S18" s="427">
        <f t="shared" si="6"/>
        <v>94.333793850000006</v>
      </c>
      <c r="T18" s="423">
        <f t="shared" si="19"/>
        <v>49966.531173195472</v>
      </c>
      <c r="U18" s="428">
        <f t="shared" si="7"/>
        <v>1.9333445379634417</v>
      </c>
      <c r="V18" s="429">
        <f t="shared" si="8"/>
        <v>899600690.15291822</v>
      </c>
      <c r="W18" s="446">
        <f t="shared" si="20"/>
        <v>3.8666890759268835</v>
      </c>
      <c r="X18" s="446">
        <f>'Main table (road wear)'!V17</f>
        <v>3.8666890759268835</v>
      </c>
      <c r="Y18" s="451">
        <f t="shared" si="26"/>
        <v>17745</v>
      </c>
      <c r="Z18" s="418">
        <f t="shared" si="9"/>
        <v>2</v>
      </c>
      <c r="AA18" s="427">
        <f t="shared" si="10"/>
        <v>87.039225000000002</v>
      </c>
      <c r="AB18" s="423">
        <f t="shared" si="22"/>
        <v>49966.531173195472</v>
      </c>
      <c r="AC18" s="428">
        <f t="shared" si="11"/>
        <v>1.4011999515555063</v>
      </c>
      <c r="AD18" s="429">
        <f t="shared" si="12"/>
        <v>651989554.22057545</v>
      </c>
      <c r="AE18" s="446">
        <f t="shared" si="23"/>
        <v>2.8023999031110125</v>
      </c>
      <c r="AF18" s="446">
        <f>'Main table (road wear)'!AC17</f>
        <v>2.8023999031110125</v>
      </c>
      <c r="AG18" s="453" t="s">
        <v>173</v>
      </c>
      <c r="AH18" s="431">
        <f t="shared" si="13"/>
        <v>17745</v>
      </c>
      <c r="AI18" s="418">
        <f t="shared" si="14"/>
        <v>2</v>
      </c>
      <c r="AJ18" s="427">
        <f t="shared" si="15"/>
        <v>87.039225000000002</v>
      </c>
      <c r="AK18" s="423">
        <f t="shared" si="24"/>
        <v>49966.531173195472</v>
      </c>
      <c r="AL18" s="428">
        <f t="shared" si="16"/>
        <v>1.4011999515555063</v>
      </c>
      <c r="AM18" s="429">
        <f t="shared" si="17"/>
        <v>651989554.22057545</v>
      </c>
      <c r="AN18" s="446">
        <f t="shared" si="25"/>
        <v>2.8023999031110125</v>
      </c>
      <c r="AO18" s="446">
        <f>'Main table (road wear)'!AK17</f>
        <v>2.8023999031110125</v>
      </c>
    </row>
    <row r="19" spans="1:41" ht="30" x14ac:dyDescent="0.25">
      <c r="B19" s="492" t="s">
        <v>44</v>
      </c>
      <c r="C19" s="493" t="s">
        <v>368</v>
      </c>
      <c r="D19" s="435" t="s">
        <v>450</v>
      </c>
      <c r="E19" s="437">
        <v>677.80079999999998</v>
      </c>
      <c r="F19" s="494"/>
      <c r="G19" s="437">
        <f t="shared" si="27"/>
        <v>19000</v>
      </c>
      <c r="H19" s="439">
        <v>24000</v>
      </c>
      <c r="I19" s="441">
        <f>D3*AVERAGE(G19:H19)</f>
        <v>21500</v>
      </c>
      <c r="J19" s="442">
        <v>3</v>
      </c>
      <c r="K19" s="443">
        <f t="shared" si="0"/>
        <v>70.305000000000007</v>
      </c>
      <c r="L19" s="437">
        <f>VLOOKUP(D19,'Mileage &amp; vehicle numbers'!$D$10:$V$19,19,0)</f>
        <v>30419.716055913941</v>
      </c>
      <c r="M19" s="447">
        <f t="shared" si="1"/>
        <v>0.59646491425753567</v>
      </c>
      <c r="N19" s="448">
        <f t="shared" si="2"/>
        <v>36894649.601552151</v>
      </c>
      <c r="O19" s="449">
        <f t="shared" si="3"/>
        <v>1.7893947427726071</v>
      </c>
      <c r="P19" s="430">
        <f>'Main table (road wear)'!O18</f>
        <v>1.7893947427726071</v>
      </c>
      <c r="Q19" s="450">
        <f>MIN(($Q$2*$I19+$Q$3),H20)</f>
        <v>23529.77</v>
      </c>
      <c r="R19" s="442">
        <f t="shared" si="5"/>
        <v>3</v>
      </c>
      <c r="S19" s="443">
        <f t="shared" si="6"/>
        <v>76.942347900000001</v>
      </c>
      <c r="T19" s="437">
        <f t="shared" si="19"/>
        <v>30419.716055913941</v>
      </c>
      <c r="U19" s="447">
        <f t="shared" si="7"/>
        <v>0.85566110439251408</v>
      </c>
      <c r="V19" s="448">
        <f t="shared" si="8"/>
        <v>52927365.666655548</v>
      </c>
      <c r="W19" s="449">
        <f t="shared" si="20"/>
        <v>2.5669833131775421</v>
      </c>
      <c r="X19" s="430">
        <f>'Main table (road wear)'!V18</f>
        <v>2.5669833131775421</v>
      </c>
      <c r="Y19" s="452">
        <f t="shared" si="26"/>
        <v>21801</v>
      </c>
      <c r="Z19" s="442">
        <f t="shared" si="9"/>
        <v>3</v>
      </c>
      <c r="AA19" s="443">
        <f t="shared" si="10"/>
        <v>71.289270000000002</v>
      </c>
      <c r="AB19" s="437">
        <f t="shared" si="22"/>
        <v>30419.716055913941</v>
      </c>
      <c r="AC19" s="447">
        <f t="shared" si="11"/>
        <v>0.63057496190781936</v>
      </c>
      <c r="AD19" s="448">
        <f t="shared" si="12"/>
        <v>39004544.460189372</v>
      </c>
      <c r="AE19" s="449">
        <f t="shared" si="23"/>
        <v>1.8917248857234581</v>
      </c>
      <c r="AF19" s="430">
        <f>'Main table (road wear)'!AC18</f>
        <v>1.8917248857234581</v>
      </c>
      <c r="AG19" s="454" t="s">
        <v>173</v>
      </c>
      <c r="AH19" s="450">
        <f t="shared" si="13"/>
        <v>21801</v>
      </c>
      <c r="AI19" s="442">
        <f t="shared" si="14"/>
        <v>3</v>
      </c>
      <c r="AJ19" s="443">
        <f t="shared" si="15"/>
        <v>71.289270000000002</v>
      </c>
      <c r="AK19" s="437">
        <f t="shared" si="24"/>
        <v>30419.716055913941</v>
      </c>
      <c r="AL19" s="447">
        <f t="shared" si="16"/>
        <v>0.63057496190781936</v>
      </c>
      <c r="AM19" s="448">
        <f t="shared" si="17"/>
        <v>39004544.460189372</v>
      </c>
      <c r="AN19" s="449">
        <f t="shared" si="25"/>
        <v>1.8917248857234581</v>
      </c>
      <c r="AO19" s="430">
        <f>'Main table (road wear)'!AK18</f>
        <v>1.8917248857234581</v>
      </c>
    </row>
    <row r="20" spans="1:41" ht="30" x14ac:dyDescent="0.25">
      <c r="B20" s="492" t="s">
        <v>44</v>
      </c>
      <c r="C20" s="493" t="s">
        <v>368</v>
      </c>
      <c r="D20" s="435" t="s">
        <v>451</v>
      </c>
      <c r="E20" s="437">
        <v>5367.1509000000005</v>
      </c>
      <c r="F20" s="494"/>
      <c r="G20" s="437">
        <f t="shared" si="27"/>
        <v>24000</v>
      </c>
      <c r="H20" s="529">
        <v>27000</v>
      </c>
      <c r="I20" s="441">
        <f>D3*AVERAGE(G20:H20)</f>
        <v>25500</v>
      </c>
      <c r="J20" s="442">
        <v>3</v>
      </c>
      <c r="K20" s="443">
        <f t="shared" si="0"/>
        <v>83.385000000000005</v>
      </c>
      <c r="L20" s="437">
        <f>VLOOKUP(D20,'Mileage &amp; vehicle numbers'!$D$10:$V$19,19,0)</f>
        <v>30419.716055913941</v>
      </c>
      <c r="M20" s="447">
        <f t="shared" si="1"/>
        <v>1.1802983076230504</v>
      </c>
      <c r="N20" s="448">
        <f t="shared" si="2"/>
        <v>578112022.23843646</v>
      </c>
      <c r="O20" s="449">
        <f t="shared" si="3"/>
        <v>3.5408949228691515</v>
      </c>
      <c r="P20" s="430">
        <f>'Main table (road wear)'!O19</f>
        <v>3.5408949228691515</v>
      </c>
      <c r="Q20" s="450">
        <f t="shared" si="4"/>
        <v>27000</v>
      </c>
      <c r="R20" s="442">
        <f t="shared" si="5"/>
        <v>3</v>
      </c>
      <c r="S20" s="443">
        <f t="shared" si="6"/>
        <v>88.29</v>
      </c>
      <c r="T20" s="437">
        <f t="shared" si="19"/>
        <v>31351.877554920666</v>
      </c>
      <c r="U20" s="447">
        <f t="shared" si="7"/>
        <v>1.4834951107031451</v>
      </c>
      <c r="V20" s="448">
        <f t="shared" si="8"/>
        <v>748884314.3275317</v>
      </c>
      <c r="W20" s="449">
        <f t="shared" si="20"/>
        <v>4.4504853321094355</v>
      </c>
      <c r="X20" s="430">
        <f>'Main table (road wear)'!V19</f>
        <v>4.4504853321094355</v>
      </c>
      <c r="Y20" s="452">
        <f t="shared" si="26"/>
        <v>25857</v>
      </c>
      <c r="Z20" s="442">
        <f t="shared" si="9"/>
        <v>3</v>
      </c>
      <c r="AA20" s="443">
        <f t="shared" si="10"/>
        <v>84.552390000000003</v>
      </c>
      <c r="AB20" s="437">
        <f t="shared" si="22"/>
        <v>30419.716055913941</v>
      </c>
      <c r="AC20" s="447">
        <f t="shared" si="11"/>
        <v>1.2477960439562705</v>
      </c>
      <c r="AD20" s="448">
        <f t="shared" si="12"/>
        <v>611172522.7882489</v>
      </c>
      <c r="AE20" s="449">
        <f t="shared" si="23"/>
        <v>3.7433881318688114</v>
      </c>
      <c r="AF20" s="430">
        <f>'Main table (road wear)'!AC19</f>
        <v>3.7433881318688114</v>
      </c>
      <c r="AG20" s="454" t="s">
        <v>173</v>
      </c>
      <c r="AH20" s="450">
        <f t="shared" si="13"/>
        <v>25857</v>
      </c>
      <c r="AI20" s="442">
        <f t="shared" si="14"/>
        <v>3</v>
      </c>
      <c r="AJ20" s="443">
        <f t="shared" si="15"/>
        <v>84.552390000000003</v>
      </c>
      <c r="AK20" s="437">
        <f t="shared" si="24"/>
        <v>30419.716055913941</v>
      </c>
      <c r="AL20" s="447">
        <f t="shared" si="16"/>
        <v>1.2477960439562705</v>
      </c>
      <c r="AM20" s="448">
        <f t="shared" si="17"/>
        <v>611172522.7882489</v>
      </c>
      <c r="AN20" s="449">
        <f t="shared" si="25"/>
        <v>3.7433881318688114</v>
      </c>
      <c r="AO20" s="430">
        <f>'Main table (road wear)'!AK19</f>
        <v>3.7433881318688114</v>
      </c>
    </row>
    <row r="21" spans="1:41" ht="30" x14ac:dyDescent="0.25">
      <c r="B21" s="126" t="s">
        <v>44</v>
      </c>
      <c r="C21" s="182" t="s">
        <v>368</v>
      </c>
      <c r="D21" s="5" t="s">
        <v>452</v>
      </c>
      <c r="E21" s="122">
        <v>4446.2259000000004</v>
      </c>
      <c r="F21" s="10" t="s">
        <v>386</v>
      </c>
      <c r="G21" s="122">
        <f>H20</f>
        <v>27000</v>
      </c>
      <c r="H21" s="130">
        <v>32000</v>
      </c>
      <c r="I21" s="124">
        <f>D3*AVERAGE(G21:H21)</f>
        <v>29500</v>
      </c>
      <c r="J21" s="159">
        <v>4</v>
      </c>
      <c r="K21" s="44">
        <f t="shared" si="0"/>
        <v>72.348749999999995</v>
      </c>
      <c r="L21" s="122">
        <f>VLOOKUP(D21,'Mileage &amp; vehicle numbers'!$D$10:$V$19,19,0)</f>
        <v>45692.513219871638</v>
      </c>
      <c r="M21" s="111">
        <f t="shared" si="1"/>
        <v>0.66890459627844123</v>
      </c>
      <c r="N21" s="114">
        <f t="shared" si="2"/>
        <v>543576586.18280387</v>
      </c>
      <c r="O21" s="320">
        <f t="shared" si="3"/>
        <v>2.6756183851137649</v>
      </c>
      <c r="P21" s="430">
        <f>'Main table (road wear)'!O20</f>
        <v>2.6756183851137649</v>
      </c>
      <c r="Q21" s="140">
        <f t="shared" si="4"/>
        <v>32000</v>
      </c>
      <c r="R21" s="159">
        <f t="shared" si="5"/>
        <v>4</v>
      </c>
      <c r="S21" s="44">
        <f t="shared" si="6"/>
        <v>78.48</v>
      </c>
      <c r="T21" s="162">
        <f t="shared" si="19"/>
        <v>45870.956762905618</v>
      </c>
      <c r="U21" s="111">
        <f t="shared" si="7"/>
        <v>0.92613869432100027</v>
      </c>
      <c r="V21" s="114">
        <f t="shared" si="8"/>
        <v>755553712.09648359</v>
      </c>
      <c r="W21" s="320">
        <f t="shared" si="20"/>
        <v>3.7045547772840011</v>
      </c>
      <c r="X21" s="430">
        <f>'Main table (road wear)'!V20</f>
        <v>3.7045547772840011</v>
      </c>
      <c r="Y21" s="259">
        <f t="shared" si="26"/>
        <v>29913</v>
      </c>
      <c r="Z21" s="160">
        <f t="shared" si="9"/>
        <v>4</v>
      </c>
      <c r="AA21" s="161">
        <f t="shared" si="10"/>
        <v>73.361632500000013</v>
      </c>
      <c r="AB21" s="162">
        <f t="shared" si="22"/>
        <v>45692.513219871638</v>
      </c>
      <c r="AC21" s="111">
        <f t="shared" si="11"/>
        <v>0.70715725306874566</v>
      </c>
      <c r="AD21" s="114">
        <f t="shared" si="12"/>
        <v>574662108.25304031</v>
      </c>
      <c r="AE21" s="320">
        <f t="shared" si="23"/>
        <v>2.8286290122749826</v>
      </c>
      <c r="AF21" s="430">
        <f>'Main table (road wear)'!AC20</f>
        <v>2.8286290122749826</v>
      </c>
      <c r="AG21" s="168" t="s">
        <v>173</v>
      </c>
      <c r="AH21" s="140">
        <f t="shared" si="13"/>
        <v>29913</v>
      </c>
      <c r="AI21" s="159">
        <f t="shared" si="14"/>
        <v>4</v>
      </c>
      <c r="AJ21" s="44">
        <f t="shared" si="15"/>
        <v>73.361632500000013</v>
      </c>
      <c r="AK21" s="122">
        <f t="shared" si="24"/>
        <v>45692.513219871638</v>
      </c>
      <c r="AL21" s="111">
        <f t="shared" si="16"/>
        <v>0.70715725306874566</v>
      </c>
      <c r="AM21" s="114">
        <f t="shared" si="17"/>
        <v>574662108.25304031</v>
      </c>
      <c r="AN21" s="320">
        <f t="shared" si="25"/>
        <v>2.8286290122749826</v>
      </c>
      <c r="AO21" s="430">
        <f>'Main table (road wear)'!AK20</f>
        <v>2.8286290122749826</v>
      </c>
    </row>
    <row r="22" spans="1:41" ht="30" x14ac:dyDescent="0.25">
      <c r="B22" s="126" t="s">
        <v>44</v>
      </c>
      <c r="C22" s="182" t="s">
        <v>368</v>
      </c>
      <c r="D22" s="5" t="s">
        <v>453</v>
      </c>
      <c r="E22" s="122">
        <v>637.28010000000017</v>
      </c>
      <c r="F22" s="10" t="s">
        <v>387</v>
      </c>
      <c r="G22" s="122">
        <f t="shared" si="27"/>
        <v>32000</v>
      </c>
      <c r="H22" s="130">
        <v>38000</v>
      </c>
      <c r="I22" s="124">
        <f>$D$3*AVERAGE(G22:H22)</f>
        <v>35000</v>
      </c>
      <c r="J22" s="159">
        <v>4</v>
      </c>
      <c r="K22" s="44">
        <f t="shared" si="0"/>
        <v>85.837500000000006</v>
      </c>
      <c r="L22" s="122">
        <f>VLOOKUP(D22,'Mileage &amp; vehicle numbers'!$D$10:$V$19,19,0)</f>
        <v>173886.06449727292</v>
      </c>
      <c r="M22" s="111">
        <f t="shared" si="1"/>
        <v>1.3254040509848124</v>
      </c>
      <c r="N22" s="114">
        <f t="shared" si="2"/>
        <v>587493979.65969312</v>
      </c>
      <c r="O22" s="320">
        <f t="shared" si="3"/>
        <v>5.3016162039392496</v>
      </c>
      <c r="P22" s="430">
        <f>'Main table (road wear)'!O21</f>
        <v>5.3016162039392496</v>
      </c>
      <c r="Q22" s="140">
        <f>MIN(($Q$2*$I22+$Q$3),H22)</f>
        <v>38000</v>
      </c>
      <c r="R22" s="159">
        <f t="shared" si="5"/>
        <v>4</v>
      </c>
      <c r="S22" s="44">
        <f t="shared" si="6"/>
        <v>93.194999999999993</v>
      </c>
      <c r="T22" s="162">
        <f t="shared" si="19"/>
        <v>174042.42467684849</v>
      </c>
      <c r="U22" s="111">
        <f t="shared" si="7"/>
        <v>1.8416644406525728</v>
      </c>
      <c r="V22" s="114">
        <f t="shared" si="8"/>
        <v>817063812.76114833</v>
      </c>
      <c r="W22" s="320">
        <f t="shared" si="20"/>
        <v>7.3666577626102914</v>
      </c>
      <c r="X22" s="430">
        <f>'Main table (road wear)'!V21</f>
        <v>7.3666577626102914</v>
      </c>
      <c r="Y22" s="259">
        <f t="shared" si="26"/>
        <v>35490</v>
      </c>
      <c r="Z22" s="160">
        <f t="shared" si="9"/>
        <v>4</v>
      </c>
      <c r="AA22" s="161">
        <f t="shared" si="10"/>
        <v>87.039225000000002</v>
      </c>
      <c r="AB22" s="162">
        <f t="shared" si="22"/>
        <v>173886.06449727292</v>
      </c>
      <c r="AC22" s="111">
        <f t="shared" si="11"/>
        <v>1.4011999515555063</v>
      </c>
      <c r="AD22" s="114">
        <f t="shared" si="12"/>
        <v>621091006.34380543</v>
      </c>
      <c r="AE22" s="320">
        <f t="shared" si="23"/>
        <v>5.604799806222025</v>
      </c>
      <c r="AF22" s="430">
        <f>'Main table (road wear)'!AC21</f>
        <v>5.604799806222025</v>
      </c>
      <c r="AG22" s="168" t="s">
        <v>173</v>
      </c>
      <c r="AH22" s="140">
        <f t="shared" si="13"/>
        <v>35490</v>
      </c>
      <c r="AI22" s="159">
        <f t="shared" si="14"/>
        <v>4</v>
      </c>
      <c r="AJ22" s="44">
        <f t="shared" si="15"/>
        <v>87.039225000000002</v>
      </c>
      <c r="AK22" s="122">
        <f t="shared" si="24"/>
        <v>173886.06449727292</v>
      </c>
      <c r="AL22" s="111">
        <f t="shared" si="16"/>
        <v>1.4011999515555063</v>
      </c>
      <c r="AM22" s="114">
        <f t="shared" si="17"/>
        <v>621091006.34380543</v>
      </c>
      <c r="AN22" s="320">
        <f t="shared" si="25"/>
        <v>5.604799806222025</v>
      </c>
      <c r="AO22" s="430">
        <f>'Main table (road wear)'!AK21</f>
        <v>5.604799806222025</v>
      </c>
    </row>
    <row r="23" spans="1:41" ht="30" x14ac:dyDescent="0.25">
      <c r="B23" s="126" t="s">
        <v>44</v>
      </c>
      <c r="C23" s="182" t="s">
        <v>368</v>
      </c>
      <c r="D23" s="5" t="s">
        <v>454</v>
      </c>
      <c r="E23" s="122">
        <v>3957.6751875000004</v>
      </c>
      <c r="F23" s="10" t="s">
        <v>387</v>
      </c>
      <c r="G23" s="122">
        <f>H22</f>
        <v>38000</v>
      </c>
      <c r="H23" s="130">
        <v>40000</v>
      </c>
      <c r="I23" s="124">
        <f t="shared" ref="I23:I24" si="28">$D$3*AVERAGE(G23:H23)</f>
        <v>39000</v>
      </c>
      <c r="J23" s="159">
        <v>5</v>
      </c>
      <c r="K23" s="44">
        <f t="shared" si="0"/>
        <v>76.518000000000001</v>
      </c>
      <c r="L23" s="122">
        <f>VLOOKUP(D23,'Mileage &amp; vehicle numbers'!$D$10:$V$19,19,0)</f>
        <v>125999.11689226481</v>
      </c>
      <c r="M23" s="111">
        <f t="shared" si="1"/>
        <v>0.83694032309713595</v>
      </c>
      <c r="N23" s="114">
        <f t="shared" si="2"/>
        <v>2086758282.8317273</v>
      </c>
      <c r="O23" s="320">
        <f t="shared" si="3"/>
        <v>4.1847016154856798</v>
      </c>
      <c r="P23" s="430">
        <f>'Main table (road wear)'!O22</f>
        <v>4.1847016154856798</v>
      </c>
      <c r="Q23" s="140">
        <f t="shared" ref="Q23:Q26" si="29">MIN(($Q$2*$I23+$Q$3),H23)</f>
        <v>40000</v>
      </c>
      <c r="R23" s="159">
        <f t="shared" si="5"/>
        <v>5</v>
      </c>
      <c r="S23" s="44">
        <f t="shared" si="6"/>
        <v>78.48</v>
      </c>
      <c r="T23" s="162">
        <f t="shared" si="19"/>
        <v>133344.1409121617</v>
      </c>
      <c r="U23" s="111">
        <f t="shared" si="7"/>
        <v>0.92613869432100027</v>
      </c>
      <c r="V23" s="114">
        <f t="shared" si="8"/>
        <v>2443768821.9251628</v>
      </c>
      <c r="W23" s="320">
        <f t="shared" si="20"/>
        <v>4.6306934716050012</v>
      </c>
      <c r="X23" s="430">
        <f>'Main table (road wear)'!V22</f>
        <v>4.6306934716050012</v>
      </c>
      <c r="Y23" s="259">
        <f t="shared" si="26"/>
        <v>39546</v>
      </c>
      <c r="Z23" s="159">
        <f t="shared" si="9"/>
        <v>5</v>
      </c>
      <c r="AA23" s="44">
        <f t="shared" si="10"/>
        <v>77.589252000000002</v>
      </c>
      <c r="AB23" s="162">
        <f t="shared" si="22"/>
        <v>125999.11689226481</v>
      </c>
      <c r="AC23" s="111">
        <f t="shared" si="11"/>
        <v>0.88480244141942388</v>
      </c>
      <c r="AD23" s="114">
        <f t="shared" si="12"/>
        <v>2206093758.8347335</v>
      </c>
      <c r="AE23" s="320">
        <f t="shared" si="23"/>
        <v>4.4240122070971193</v>
      </c>
      <c r="AF23" s="430">
        <f>'Main table (road wear)'!AC22</f>
        <v>4.4240122070971193</v>
      </c>
      <c r="AG23" s="168" t="s">
        <v>173</v>
      </c>
      <c r="AH23" s="140">
        <f t="shared" si="13"/>
        <v>39546</v>
      </c>
      <c r="AI23" s="159">
        <f t="shared" si="14"/>
        <v>5</v>
      </c>
      <c r="AJ23" s="44">
        <f t="shared" si="15"/>
        <v>77.589252000000002</v>
      </c>
      <c r="AK23" s="122">
        <f t="shared" si="24"/>
        <v>125999.11689226481</v>
      </c>
      <c r="AL23" s="111">
        <f t="shared" si="16"/>
        <v>0.88480244141942388</v>
      </c>
      <c r="AM23" s="114">
        <f t="shared" si="17"/>
        <v>2206093758.8347335</v>
      </c>
      <c r="AN23" s="320">
        <f t="shared" si="25"/>
        <v>4.4240122070971193</v>
      </c>
      <c r="AO23" s="430">
        <f>'Main table (road wear)'!AK22</f>
        <v>4.4240122070971193</v>
      </c>
    </row>
    <row r="24" spans="1:41" ht="30" x14ac:dyDescent="0.25">
      <c r="B24" s="126" t="s">
        <v>44</v>
      </c>
      <c r="C24" s="182" t="s">
        <v>368</v>
      </c>
      <c r="D24" s="5" t="s">
        <v>445</v>
      </c>
      <c r="E24" s="122">
        <v>6596.1253124999994</v>
      </c>
      <c r="F24" s="10" t="s">
        <v>387</v>
      </c>
      <c r="G24" s="122">
        <f>H23</f>
        <v>40000</v>
      </c>
      <c r="H24" s="130">
        <v>44000</v>
      </c>
      <c r="I24" s="124">
        <f t="shared" si="28"/>
        <v>42000</v>
      </c>
      <c r="J24" s="159">
        <v>6</v>
      </c>
      <c r="K24" s="44">
        <f t="shared" si="0"/>
        <v>68.67</v>
      </c>
      <c r="L24" s="122">
        <f>VLOOKUP(D24,'Mileage &amp; vehicle numbers'!$D$10:$V$19,19,0)</f>
        <v>125999.11689226482</v>
      </c>
      <c r="M24" s="111">
        <f t="shared" si="1"/>
        <v>0.54288549928337926</v>
      </c>
      <c r="N24" s="114">
        <f t="shared" si="2"/>
        <v>2707172258.2718658</v>
      </c>
      <c r="O24" s="320">
        <f t="shared" si="3"/>
        <v>3.2573129957002758</v>
      </c>
      <c r="P24" s="430">
        <f>'Main table (road wear)'!O23</f>
        <v>3.2573129957002758</v>
      </c>
      <c r="Q24" s="140">
        <f t="shared" si="29"/>
        <v>44000</v>
      </c>
      <c r="R24" s="159">
        <f t="shared" si="5"/>
        <v>6</v>
      </c>
      <c r="S24" s="44">
        <f t="shared" si="6"/>
        <v>71.94</v>
      </c>
      <c r="T24" s="162">
        <f t="shared" si="19"/>
        <v>130451.95431940038</v>
      </c>
      <c r="U24" s="111">
        <f t="shared" si="7"/>
        <v>0.6539157322315664</v>
      </c>
      <c r="V24" s="114">
        <f t="shared" si="8"/>
        <v>3376078403.4399619</v>
      </c>
      <c r="W24" s="320">
        <f t="shared" si="20"/>
        <v>3.9234943933893982</v>
      </c>
      <c r="X24" s="430">
        <f>'Main table (road wear)'!V23</f>
        <v>3.9234943933893982</v>
      </c>
      <c r="Y24" s="259">
        <f t="shared" si="26"/>
        <v>42588</v>
      </c>
      <c r="Z24" s="159">
        <f t="shared" si="9"/>
        <v>6</v>
      </c>
      <c r="AA24" s="44">
        <f t="shared" si="10"/>
        <v>69.631380000000007</v>
      </c>
      <c r="AB24" s="162">
        <f t="shared" si="22"/>
        <v>125999.11689226482</v>
      </c>
      <c r="AC24" s="111">
        <f t="shared" si="11"/>
        <v>0.57393150015713534</v>
      </c>
      <c r="AD24" s="114">
        <f t="shared" si="12"/>
        <v>2861987357.232255</v>
      </c>
      <c r="AE24" s="320">
        <f t="shared" si="23"/>
        <v>3.4435890009428123</v>
      </c>
      <c r="AF24" s="430">
        <f>'Main table (road wear)'!AC23</f>
        <v>3.4435890009428123</v>
      </c>
      <c r="AG24" s="168" t="s">
        <v>173</v>
      </c>
      <c r="AH24" s="140">
        <f t="shared" si="13"/>
        <v>42588</v>
      </c>
      <c r="AI24" s="159">
        <f t="shared" si="14"/>
        <v>6</v>
      </c>
      <c r="AJ24" s="44">
        <f t="shared" si="15"/>
        <v>69.631380000000007</v>
      </c>
      <c r="AK24" s="122">
        <f t="shared" si="24"/>
        <v>125999.11689226482</v>
      </c>
      <c r="AL24" s="111">
        <f t="shared" si="16"/>
        <v>0.57393150015713534</v>
      </c>
      <c r="AM24" s="114">
        <f t="shared" si="17"/>
        <v>2861987357.232255</v>
      </c>
      <c r="AN24" s="320">
        <f t="shared" si="25"/>
        <v>3.4435890009428123</v>
      </c>
      <c r="AO24" s="430">
        <f>'Main table (road wear)'!AK23</f>
        <v>3.4435890009428123</v>
      </c>
    </row>
    <row r="25" spans="1:41" ht="30" x14ac:dyDescent="0.25">
      <c r="B25" s="126" t="s">
        <v>47</v>
      </c>
      <c r="C25" s="182" t="s">
        <v>367</v>
      </c>
      <c r="D25" s="144" t="s">
        <v>135</v>
      </c>
      <c r="E25" s="127">
        <v>9842.1440000000002</v>
      </c>
      <c r="F25" s="146"/>
      <c r="G25" s="122"/>
      <c r="H25" s="130">
        <v>3500</v>
      </c>
      <c r="I25" s="35">
        <f>D3*3000</f>
        <v>3000</v>
      </c>
      <c r="J25" s="159">
        <v>2</v>
      </c>
      <c r="K25" s="44">
        <f t="shared" si="0"/>
        <v>14.715</v>
      </c>
      <c r="L25" s="122">
        <v>26261.95019929899</v>
      </c>
      <c r="M25" s="111">
        <f t="shared" si="1"/>
        <v>1.1446721533203278E-3</v>
      </c>
      <c r="N25" s="114">
        <f t="shared" si="2"/>
        <v>591735.74126663699</v>
      </c>
      <c r="O25" s="315">
        <f t="shared" si="3"/>
        <v>2.2893443066406556E-3</v>
      </c>
      <c r="P25" s="502">
        <f>'Main table (road wear)'!O24</f>
        <v>2.2893443066406556E-3</v>
      </c>
      <c r="Q25" s="140">
        <f t="shared" si="29"/>
        <v>3500</v>
      </c>
      <c r="R25" s="159">
        <f t="shared" si="5"/>
        <v>2</v>
      </c>
      <c r="S25" s="44">
        <f t="shared" si="6"/>
        <v>17.1675</v>
      </c>
      <c r="T25" s="162">
        <f t="shared" si="19"/>
        <v>27412.748857032278</v>
      </c>
      <c r="U25" s="111">
        <f t="shared" si="7"/>
        <v>2.1206464815757002E-3</v>
      </c>
      <c r="V25" s="114">
        <f t="shared" si="8"/>
        <v>1144301.7816966884</v>
      </c>
      <c r="W25" s="315">
        <f t="shared" si="20"/>
        <v>4.2412929631514005E-3</v>
      </c>
      <c r="X25" s="502">
        <f>'Main table (road wear)'!V24</f>
        <v>4.2412929631514005E-3</v>
      </c>
      <c r="Y25" s="259">
        <f t="shared" si="26"/>
        <v>3042</v>
      </c>
      <c r="Z25" s="159">
        <f t="shared" si="9"/>
        <v>2</v>
      </c>
      <c r="AA25" s="44">
        <f t="shared" si="10"/>
        <v>14.921010000000001</v>
      </c>
      <c r="AB25" s="162">
        <f t="shared" si="22"/>
        <v>26261.95019929899</v>
      </c>
      <c r="AC25" s="111">
        <f t="shared" si="11"/>
        <v>1.2101325362538513E-3</v>
      </c>
      <c r="AD25" s="114">
        <f t="shared" si="12"/>
        <v>625575.34163291473</v>
      </c>
      <c r="AE25" s="315">
        <f t="shared" si="23"/>
        <v>2.4202650725077025E-3</v>
      </c>
      <c r="AF25" s="502">
        <f>'Main table (road wear)'!AC24</f>
        <v>2.4202650725077025E-3</v>
      </c>
      <c r="AG25" s="168" t="s">
        <v>172</v>
      </c>
      <c r="AH25" s="140">
        <f t="shared" si="13"/>
        <v>3500</v>
      </c>
      <c r="AI25" s="159">
        <f t="shared" si="14"/>
        <v>2</v>
      </c>
      <c r="AJ25" s="44">
        <f t="shared" si="15"/>
        <v>17.1675</v>
      </c>
      <c r="AK25" s="122">
        <f t="shared" si="24"/>
        <v>26261.95019929899</v>
      </c>
      <c r="AL25" s="111">
        <f t="shared" si="16"/>
        <v>2.1206464815757002E-3</v>
      </c>
      <c r="AM25" s="114">
        <f t="shared" si="17"/>
        <v>1096263.5144916633</v>
      </c>
      <c r="AN25" s="315">
        <f t="shared" si="25"/>
        <v>4.2412929631514005E-3</v>
      </c>
      <c r="AO25" s="502">
        <f>'Main table (road wear)'!AK24</f>
        <v>4.2412929631514005E-3</v>
      </c>
    </row>
    <row r="26" spans="1:41" ht="30" x14ac:dyDescent="0.25">
      <c r="B26" s="126" t="s">
        <v>47</v>
      </c>
      <c r="C26" s="182" t="s">
        <v>367</v>
      </c>
      <c r="D26" s="144" t="s">
        <v>134</v>
      </c>
      <c r="E26" s="127">
        <v>296494.58799999999</v>
      </c>
      <c r="F26" s="145"/>
      <c r="G26" s="127"/>
      <c r="H26" s="128">
        <v>3500</v>
      </c>
      <c r="I26" s="35">
        <f>D3*3000</f>
        <v>3000</v>
      </c>
      <c r="J26" s="159">
        <v>2</v>
      </c>
      <c r="K26" s="44">
        <f t="shared" si="0"/>
        <v>14.715</v>
      </c>
      <c r="L26" s="122">
        <v>26261.95019929899</v>
      </c>
      <c r="M26" s="111">
        <f t="shared" si="1"/>
        <v>1.1446721533203278E-3</v>
      </c>
      <c r="N26" s="114">
        <f t="shared" si="2"/>
        <v>17826039.205657437</v>
      </c>
      <c r="O26" s="315">
        <f t="shared" si="3"/>
        <v>2.2893443066406556E-3</v>
      </c>
      <c r="P26" s="502">
        <f>'Main table (road wear)'!O25</f>
        <v>2.2893443066406556E-3</v>
      </c>
      <c r="Q26" s="140">
        <f t="shared" si="29"/>
        <v>3500</v>
      </c>
      <c r="R26" s="159">
        <f t="shared" si="5"/>
        <v>2</v>
      </c>
      <c r="S26" s="44">
        <f t="shared" si="6"/>
        <v>17.1675</v>
      </c>
      <c r="T26" s="162">
        <f t="shared" si="19"/>
        <v>27412.748857032278</v>
      </c>
      <c r="U26" s="111">
        <f t="shared" si="7"/>
        <v>2.1206464815757002E-3</v>
      </c>
      <c r="V26" s="114">
        <f t="shared" si="8"/>
        <v>34472091.173612736</v>
      </c>
      <c r="W26" s="315">
        <f t="shared" si="20"/>
        <v>4.2412929631514005E-3</v>
      </c>
      <c r="X26" s="502">
        <f>'Main table (road wear)'!V25</f>
        <v>4.2412929631514005E-3</v>
      </c>
      <c r="Y26" s="259">
        <f t="shared" si="26"/>
        <v>3042</v>
      </c>
      <c r="Z26" s="159">
        <f t="shared" si="9"/>
        <v>2</v>
      </c>
      <c r="AA26" s="44">
        <f t="shared" si="10"/>
        <v>14.921010000000001</v>
      </c>
      <c r="AB26" s="162">
        <f t="shared" si="22"/>
        <v>26261.95019929899</v>
      </c>
      <c r="AC26" s="111">
        <f t="shared" si="11"/>
        <v>1.2101325362538513E-3</v>
      </c>
      <c r="AD26" s="114">
        <f t="shared" si="12"/>
        <v>18845457.166691557</v>
      </c>
      <c r="AE26" s="315">
        <f t="shared" si="23"/>
        <v>2.4202650725077025E-3</v>
      </c>
      <c r="AF26" s="502">
        <f>'Main table (road wear)'!AC25</f>
        <v>2.4202650725077025E-3</v>
      </c>
      <c r="AG26" s="168" t="s">
        <v>173</v>
      </c>
      <c r="AH26" s="140">
        <f t="shared" si="13"/>
        <v>3042</v>
      </c>
      <c r="AI26" s="159">
        <f t="shared" si="14"/>
        <v>2</v>
      </c>
      <c r="AJ26" s="44">
        <f t="shared" si="15"/>
        <v>14.921010000000001</v>
      </c>
      <c r="AK26" s="122">
        <f t="shared" si="24"/>
        <v>26261.95019929899</v>
      </c>
      <c r="AL26" s="111">
        <f t="shared" si="16"/>
        <v>1.2101325362538513E-3</v>
      </c>
      <c r="AM26" s="114">
        <f t="shared" si="17"/>
        <v>18845457.166691557</v>
      </c>
      <c r="AN26" s="315">
        <f t="shared" si="25"/>
        <v>2.4202650725077025E-3</v>
      </c>
      <c r="AO26" s="502">
        <f>'Main table (road wear)'!AK25</f>
        <v>2.4202650725077025E-3</v>
      </c>
    </row>
    <row r="27" spans="1:41" x14ac:dyDescent="0.25">
      <c r="B27" s="126"/>
      <c r="C27" s="112"/>
      <c r="D27" s="57"/>
      <c r="F27" s="129"/>
      <c r="G27" s="127"/>
      <c r="H27" s="128"/>
      <c r="I27" s="35"/>
      <c r="J27" s="125"/>
      <c r="K27" s="44"/>
      <c r="L27" s="122"/>
      <c r="M27" s="111"/>
      <c r="N27" s="114"/>
      <c r="O27" s="123"/>
      <c r="P27" s="503"/>
      <c r="Q27" s="140"/>
      <c r="R27" s="125"/>
      <c r="S27" s="44"/>
      <c r="T27" s="122"/>
      <c r="U27" s="111"/>
      <c r="V27" s="114"/>
      <c r="W27" s="123"/>
      <c r="X27" s="503">
        <f>'Main table (road wear)'!V26</f>
        <v>0</v>
      </c>
      <c r="Y27" s="259"/>
      <c r="Z27" s="125"/>
      <c r="AA27" s="44"/>
      <c r="AB27" s="122"/>
      <c r="AC27" s="111"/>
      <c r="AD27" s="114"/>
      <c r="AE27" s="123"/>
      <c r="AF27" s="503"/>
      <c r="AG27" s="137"/>
      <c r="AH27" s="140"/>
      <c r="AI27" s="125"/>
      <c r="AJ27" s="44"/>
      <c r="AK27" s="122"/>
      <c r="AL27" s="111"/>
      <c r="AM27" s="114"/>
      <c r="AN27" s="123"/>
      <c r="AO27" s="503"/>
    </row>
    <row r="28" spans="1:41" x14ac:dyDescent="0.25">
      <c r="A28" t="s">
        <v>9</v>
      </c>
      <c r="B28" s="35" t="s">
        <v>185</v>
      </c>
      <c r="C28" s="112" t="s">
        <v>9</v>
      </c>
      <c r="D28" s="57"/>
      <c r="E28" s="147">
        <f>SUM(E15:E24)</f>
        <v>36837</v>
      </c>
      <c r="F28" s="57"/>
      <c r="G28" s="60"/>
      <c r="H28" s="119"/>
      <c r="I28" s="125">
        <f>AVERAGE(I15:I24)</f>
        <v>23925</v>
      </c>
      <c r="J28" s="170" t="s">
        <v>198</v>
      </c>
      <c r="K28" s="125">
        <f>AVERAGE(K15:K24)</f>
        <v>68.637299999999996</v>
      </c>
      <c r="L28" s="125">
        <f>AVERAGE(L15:L24)</f>
        <v>73228.23683062839</v>
      </c>
      <c r="M28" s="171">
        <f>AVERAGE(M15:M24)</f>
        <v>0.71598256393136572</v>
      </c>
      <c r="N28" s="147">
        <f>SUM(N15:N24)</f>
        <v>7250464711.031146</v>
      </c>
      <c r="O28" s="325">
        <f>AVERAGE(O15:O24)</f>
        <v>2.4767394761459331</v>
      </c>
      <c r="P28" s="504">
        <f>'Main table (road wear)'!O27</f>
        <v>2.3823432841824554</v>
      </c>
      <c r="Q28" s="125">
        <f>AVERAGE(Q15:Q24)</f>
        <v>25647.864999999998</v>
      </c>
      <c r="R28" s="170"/>
      <c r="S28" s="125">
        <f>AVERAGE(S15:S24)</f>
        <v>74.213660430000004</v>
      </c>
      <c r="T28" s="125">
        <f>AVERAGE(T15:T24)</f>
        <v>74534.719497493264</v>
      </c>
      <c r="U28" s="171">
        <f>AVERAGE(U15:U24)</f>
        <v>0.96528306297404343</v>
      </c>
      <c r="V28" s="147">
        <f>SUM(V15:V24)</f>
        <v>9237711067.6071072</v>
      </c>
      <c r="W28" s="325">
        <f>AVERAGE(W15:W24)</f>
        <v>3.2574502756412942</v>
      </c>
      <c r="X28" s="504">
        <f>'Main table (road wear)'!V27</f>
        <v>3.0372059056468954</v>
      </c>
      <c r="Y28" s="125">
        <f>AVERAGE(Y15:Y24)</f>
        <v>24259.95</v>
      </c>
      <c r="Z28" s="170"/>
      <c r="AA28" s="125">
        <f>AVERAGE(AA15:AA24)</f>
        <v>69.598222199999995</v>
      </c>
      <c r="AB28" s="125">
        <f>AVERAGE(AB15:AB24)</f>
        <v>73228.23683062839</v>
      </c>
      <c r="AC28" s="171">
        <f>AVERAGE(AC15:AC24)</f>
        <v>0.75692746913651365</v>
      </c>
      <c r="AD28" s="147">
        <f>SUM(AD15:AD24)</f>
        <v>7665097140.9835863</v>
      </c>
      <c r="AE28" s="325">
        <f>AVERAGE(AE15:AE24)</f>
        <v>2.6183768122729676</v>
      </c>
      <c r="AF28" s="504">
        <f>'Main table (road wear)'!AC27</f>
        <v>2.5185823839188588</v>
      </c>
      <c r="AG28" s="124"/>
      <c r="AH28" s="125">
        <f>AVERAGE(AH15:AH24)</f>
        <v>24259.95</v>
      </c>
      <c r="AI28" s="170"/>
      <c r="AJ28" s="125">
        <f>AVERAGE(AJ15:AJ24)</f>
        <v>69.598222199999995</v>
      </c>
      <c r="AK28" s="125">
        <f>AVERAGE(AK15:AK24)</f>
        <v>73228.23683062839</v>
      </c>
      <c r="AL28" s="171">
        <f>AVERAGE(AL15:AL24)</f>
        <v>0.75692746913651365</v>
      </c>
      <c r="AM28" s="147">
        <f>SUM(AM15:AM24)</f>
        <v>7665097140.9835863</v>
      </c>
      <c r="AN28" s="325">
        <f>AVERAGE(AN15:AN24)</f>
        <v>2.6183768122729676</v>
      </c>
      <c r="AO28" s="504">
        <f>'Main table (road wear)'!AK27</f>
        <v>2.5185823839188588</v>
      </c>
    </row>
    <row r="29" spans="1:41" x14ac:dyDescent="0.25">
      <c r="A29" t="s">
        <v>2</v>
      </c>
      <c r="B29" s="35" t="s">
        <v>186</v>
      </c>
      <c r="C29" s="112" t="s">
        <v>2</v>
      </c>
      <c r="D29" s="57"/>
      <c r="E29" s="127">
        <v>2524000</v>
      </c>
      <c r="F29" s="57"/>
      <c r="G29" s="60"/>
      <c r="H29" s="119"/>
      <c r="I29" s="125">
        <f>AVERAGE(I12:I13)</f>
        <v>1800</v>
      </c>
      <c r="J29" s="159">
        <f>J12</f>
        <v>2</v>
      </c>
      <c r="K29" s="125">
        <f>AVERAGE(K12:K13)</f>
        <v>8.8290000000000006</v>
      </c>
      <c r="L29" s="125">
        <f>AVERAGE(L12:L13)</f>
        <v>14570.798265265224</v>
      </c>
      <c r="M29" s="171">
        <f>AVERAGE(M12:M13)</f>
        <v>1.483495110703145E-4</v>
      </c>
      <c r="N29" s="167">
        <f>SUM(N12:N13)</f>
        <v>10884462.967033401</v>
      </c>
      <c r="O29" s="300">
        <f>AVERAGE(O12:O13)</f>
        <v>2.96699022140629E-4</v>
      </c>
      <c r="P29" s="505">
        <f>'Main table (road wear)'!O28</f>
        <v>2.96699022140629E-4</v>
      </c>
      <c r="Q29" s="125">
        <f>AVERAGE(Q12:Q13)</f>
        <v>2364.09</v>
      </c>
      <c r="R29" s="57"/>
      <c r="S29" s="125">
        <f>AVERAGE(S12:S13)</f>
        <v>11.595861450000003</v>
      </c>
      <c r="T29" s="125">
        <f>AVERAGE(T12:T13)</f>
        <v>14570.798265265224</v>
      </c>
      <c r="U29" s="171">
        <f>AVERAGE(U12:U13)</f>
        <v>4.4142011817099869E-4</v>
      </c>
      <c r="V29" s="167">
        <f>SUM(V12:V13)</f>
        <v>32387170.638253443</v>
      </c>
      <c r="W29" s="300">
        <f>AVERAGE(W12:W13)</f>
        <v>8.8284023634199738E-4</v>
      </c>
      <c r="X29" s="505">
        <f>'Main table (road wear)'!V28</f>
        <v>8.8284023634199738E-4</v>
      </c>
      <c r="Y29" s="124">
        <f>AVERAGE(Y12:Y13)</f>
        <v>1825.2</v>
      </c>
      <c r="Z29" s="57"/>
      <c r="AA29" s="125">
        <f>AVERAGE(AA12:AA13)</f>
        <v>8.9526059999999994</v>
      </c>
      <c r="AB29" s="125">
        <f>AVERAGE(AB12:AB13)</f>
        <v>14570.798265265224</v>
      </c>
      <c r="AC29" s="171">
        <f>AVERAGE(AC12:AC13)</f>
        <v>1.5683317669849909E-4</v>
      </c>
      <c r="AD29" s="167">
        <f>SUM(AD12:AD13)</f>
        <v>11506912.907639556</v>
      </c>
      <c r="AE29" s="300">
        <f>AVERAGE(AE12:AE13)</f>
        <v>3.1366635339699818E-4</v>
      </c>
      <c r="AF29" s="505">
        <f>'Main table (road wear)'!AC28</f>
        <v>3.1366635339699818E-4</v>
      </c>
      <c r="AG29" s="124"/>
      <c r="AH29" s="125">
        <f>AVERAGE(AH12:AH13)</f>
        <v>2094.645</v>
      </c>
      <c r="AI29" s="125">
        <f>AVERAGE(AI12:AI13)</f>
        <v>2</v>
      </c>
      <c r="AJ29" s="125">
        <f>AVERAGE(AJ12:AJ13)</f>
        <v>10.274233725000002</v>
      </c>
      <c r="AK29" s="125">
        <f>AVERAGE(AK12:AK13)</f>
        <v>14570.798265265224</v>
      </c>
      <c r="AL29" s="171">
        <f>AVERAGE(AL12:AL13)</f>
        <v>2.9912664743474886E-4</v>
      </c>
      <c r="AM29" s="167">
        <f>SUM(AM12:AM13)</f>
        <v>24315986.67611856</v>
      </c>
      <c r="AN29" s="300">
        <f>AVERAGE(AN12:AN13)</f>
        <v>5.9825329486949772E-4</v>
      </c>
      <c r="AO29" s="505">
        <f>'Main table (road wear)'!AK28</f>
        <v>6.6282824343655094E-4</v>
      </c>
    </row>
    <row r="30" spans="1:41" x14ac:dyDescent="0.25">
      <c r="A30" t="s">
        <v>188</v>
      </c>
      <c r="B30" s="35" t="s">
        <v>187</v>
      </c>
      <c r="C30" t="s">
        <v>188</v>
      </c>
      <c r="D30" s="57"/>
      <c r="E30" s="127">
        <v>308000</v>
      </c>
      <c r="F30" s="57"/>
      <c r="G30" s="60"/>
      <c r="H30" s="119"/>
      <c r="I30" s="125">
        <f>AVERAGE(I25:I26)</f>
        <v>3000</v>
      </c>
      <c r="J30" s="159">
        <f>J25</f>
        <v>2</v>
      </c>
      <c r="K30" s="125">
        <f>AVERAGE(K25:K26)</f>
        <v>14.715</v>
      </c>
      <c r="L30" s="125">
        <f>AVERAGE(L25:L26)</f>
        <v>26261.95019929899</v>
      </c>
      <c r="M30" s="171">
        <f>AVERAGE(M25:M26)</f>
        <v>1.1446721533203278E-3</v>
      </c>
      <c r="N30" s="147">
        <f>SUM(N25:N26)</f>
        <v>18417774.946924075</v>
      </c>
      <c r="O30" s="326">
        <f>AVERAGE(O25:O26)</f>
        <v>2.2893443066406556E-3</v>
      </c>
      <c r="P30" s="506">
        <f>'Main table (road wear)'!O29</f>
        <v>2.2893443066406556E-3</v>
      </c>
      <c r="Q30" s="125">
        <f>AVERAGE(Q25:Q26)</f>
        <v>3500</v>
      </c>
      <c r="R30" s="57"/>
      <c r="S30" s="125">
        <f>AVERAGE(S25:S26)</f>
        <v>17.1675</v>
      </c>
      <c r="T30" s="125">
        <f>AVERAGE(T25:T26)</f>
        <v>27412.748857032278</v>
      </c>
      <c r="U30" s="171">
        <f>AVERAGE(U25:U26)</f>
        <v>2.1206464815757002E-3</v>
      </c>
      <c r="V30" s="147">
        <f>SUM(V25:V26)</f>
        <v>35616392.955309421</v>
      </c>
      <c r="W30" s="326">
        <f>AVERAGE(W25:W26)</f>
        <v>4.2412929631514005E-3</v>
      </c>
      <c r="X30" s="506">
        <f>'Main table (road wear)'!V29</f>
        <v>4.2412929631514013E-3</v>
      </c>
      <c r="Y30" s="124">
        <f>AVERAGE(Y25:Y26)</f>
        <v>3042</v>
      </c>
      <c r="Z30" s="57"/>
      <c r="AA30" s="125">
        <f>AVERAGE(AA25:AA26)</f>
        <v>14.921010000000001</v>
      </c>
      <c r="AB30" s="125">
        <f>AVERAGE(AB25:AB26)</f>
        <v>26261.95019929899</v>
      </c>
      <c r="AC30" s="171">
        <f>AVERAGE(AC25:AC26)</f>
        <v>1.2101325362538513E-3</v>
      </c>
      <c r="AD30" s="147">
        <f>SUM(AD25:AD26)</f>
        <v>19471032.50832447</v>
      </c>
      <c r="AE30" s="326">
        <f>AVERAGE(AE25:AE26)</f>
        <v>2.4202650725077025E-3</v>
      </c>
      <c r="AF30" s="506">
        <f>'Main table (road wear)'!AC29</f>
        <v>2.420265072507703E-3</v>
      </c>
      <c r="AG30" s="124"/>
      <c r="AH30" s="125">
        <f>AVERAGE(AH25:AH26)</f>
        <v>3271</v>
      </c>
      <c r="AI30" s="125">
        <f>AVERAGE(AI25:AI26)</f>
        <v>2</v>
      </c>
      <c r="AJ30" s="125">
        <f>AVERAGE(AJ25:AJ26)</f>
        <v>16.044255</v>
      </c>
      <c r="AK30" s="125">
        <f>AVERAGE(AK25:AK26)</f>
        <v>26261.95019929899</v>
      </c>
      <c r="AL30" s="171">
        <f>AVERAGE(AL25:AL26)</f>
        <v>1.6653895089147757E-3</v>
      </c>
      <c r="AM30" s="147">
        <f>SUM(AM25:AM26)</f>
        <v>19941720.681183219</v>
      </c>
      <c r="AN30" s="326">
        <f>AVERAGE(AN25:AN26)</f>
        <v>3.3307790178295515E-3</v>
      </c>
      <c r="AO30" s="506">
        <f>'Main table (road wear)'!AK29</f>
        <v>2.4787719926890263E-3</v>
      </c>
    </row>
    <row r="31" spans="1:41" x14ac:dyDescent="0.25">
      <c r="B31" s="35"/>
      <c r="C31" s="57"/>
      <c r="D31" s="57"/>
      <c r="E31" s="60"/>
      <c r="F31" s="57"/>
      <c r="G31" s="60"/>
      <c r="H31" s="119"/>
      <c r="I31" s="35"/>
      <c r="J31" s="57"/>
      <c r="K31" s="57"/>
      <c r="L31" s="57"/>
      <c r="M31" s="57"/>
      <c r="N31" s="147"/>
      <c r="O31" s="143"/>
      <c r="P31" s="507"/>
      <c r="Q31" s="57"/>
      <c r="R31" s="57"/>
      <c r="S31" s="57"/>
      <c r="T31" s="57"/>
      <c r="U31" s="57"/>
      <c r="V31" s="147"/>
      <c r="W31" s="143"/>
      <c r="X31" s="514"/>
      <c r="Y31" s="35"/>
      <c r="Z31" s="57"/>
      <c r="AA31" s="57"/>
      <c r="AB31" s="57"/>
      <c r="AC31" s="57"/>
      <c r="AD31" s="147"/>
      <c r="AE31" s="143"/>
      <c r="AF31" s="514"/>
      <c r="AG31" s="169"/>
      <c r="AH31" s="57"/>
      <c r="AI31" s="57"/>
      <c r="AJ31" s="57"/>
      <c r="AK31" s="125"/>
      <c r="AL31" s="57"/>
      <c r="AM31" s="147"/>
      <c r="AN31" s="143"/>
      <c r="AO31" s="514"/>
    </row>
    <row r="32" spans="1:41" ht="15.75" thickBot="1" x14ac:dyDescent="0.3">
      <c r="B32" s="46"/>
      <c r="C32" s="47"/>
      <c r="D32" s="47"/>
      <c r="E32" s="131"/>
      <c r="F32" s="47"/>
      <c r="G32" s="131"/>
      <c r="H32" s="132"/>
      <c r="I32" s="46"/>
      <c r="J32" s="47"/>
      <c r="K32" s="47"/>
      <c r="L32" s="47"/>
      <c r="M32" s="156" t="s">
        <v>349</v>
      </c>
      <c r="N32" s="313">
        <f>SUM(N11:N26)</f>
        <v>8799046945.0698109</v>
      </c>
      <c r="O32" s="166"/>
      <c r="P32" s="508"/>
      <c r="Q32" s="47"/>
      <c r="R32" s="47"/>
      <c r="S32" s="47"/>
      <c r="T32" s="47"/>
      <c r="U32" s="156" t="s">
        <v>146</v>
      </c>
      <c r="V32" s="313">
        <f>SUM(V11:V26)</f>
        <v>11527701704.542952</v>
      </c>
      <c r="W32" s="166"/>
      <c r="X32" s="515"/>
      <c r="Y32" s="46"/>
      <c r="Z32" s="47"/>
      <c r="AA32" s="47"/>
      <c r="AB32" s="47"/>
      <c r="AC32" s="156" t="s">
        <v>146</v>
      </c>
      <c r="AD32" s="313">
        <f>SUM(AD11:AD26)</f>
        <v>9302238169.5645809</v>
      </c>
      <c r="AE32" s="166"/>
      <c r="AF32" s="515"/>
      <c r="AG32" s="138"/>
      <c r="AH32" s="47"/>
      <c r="AI32" s="47"/>
      <c r="AJ32" s="47"/>
      <c r="AK32" s="47"/>
      <c r="AL32" s="156" t="s">
        <v>146</v>
      </c>
      <c r="AM32" s="313">
        <f>SUM(AM11:AM26)</f>
        <v>9315519490.777256</v>
      </c>
      <c r="AN32" s="166"/>
      <c r="AO32" s="515"/>
    </row>
    <row r="33" spans="1:40" x14ac:dyDescent="0.25">
      <c r="B33" s="57"/>
      <c r="C33" s="57"/>
      <c r="D33" s="57"/>
      <c r="E33" s="57"/>
      <c r="F33" s="60"/>
      <c r="G33" s="60"/>
      <c r="H33" s="60"/>
      <c r="I33" s="57"/>
      <c r="J33" s="57"/>
      <c r="K33" s="57"/>
      <c r="L33" s="57"/>
      <c r="M33" s="260"/>
      <c r="N33" s="147"/>
      <c r="Q33" s="57"/>
      <c r="R33" s="57"/>
      <c r="S33" s="57"/>
      <c r="T33" s="57"/>
      <c r="U33" s="57"/>
      <c r="V33" s="57">
        <f>V32/N32</f>
        <v>1.3101079897070025</v>
      </c>
      <c r="W33" s="295">
        <f>V32/N32</f>
        <v>1.3101079897070025</v>
      </c>
      <c r="X33" s="295"/>
      <c r="Z33" s="57"/>
      <c r="AA33" s="57"/>
      <c r="AB33" s="57"/>
      <c r="AC33" s="57"/>
      <c r="AD33" s="260"/>
      <c r="AE33" s="25">
        <f>AD32/$N$32</f>
        <v>1.0571870144160003</v>
      </c>
      <c r="AF33" s="25"/>
      <c r="AG33" s="112"/>
      <c r="AH33" s="112"/>
      <c r="AI33" s="112"/>
      <c r="AJ33" s="112"/>
      <c r="AK33" s="112"/>
      <c r="AL33" s="112"/>
      <c r="AM33" s="25"/>
      <c r="AN33" s="25">
        <f>AM32/$N$32</f>
        <v>1.0586964189339654</v>
      </c>
    </row>
    <row r="34" spans="1:40" x14ac:dyDescent="0.25">
      <c r="B34" s="112"/>
      <c r="C34" s="112"/>
      <c r="N34" s="112"/>
      <c r="Q34" s="112"/>
      <c r="R34" s="112"/>
      <c r="S34" s="112"/>
      <c r="T34" s="112"/>
      <c r="U34" s="112"/>
      <c r="V34" s="112"/>
      <c r="W34" s="112"/>
      <c r="X34" s="112"/>
      <c r="Y34" s="112"/>
      <c r="Z34" s="112"/>
      <c r="AA34" s="112"/>
      <c r="AB34" s="112"/>
      <c r="AC34" s="112"/>
      <c r="AD34" s="112"/>
    </row>
    <row r="35" spans="1:40" x14ac:dyDescent="0.25">
      <c r="I35" t="s">
        <v>339</v>
      </c>
      <c r="N35" s="112"/>
      <c r="O35" s="112"/>
      <c r="P35" s="112"/>
      <c r="Q35" s="112"/>
      <c r="R35" s="112"/>
      <c r="S35" s="396"/>
      <c r="T35" s="112"/>
      <c r="V35" s="112"/>
      <c r="W35" s="112"/>
      <c r="X35" s="112"/>
      <c r="Y35" s="112"/>
      <c r="Z35" s="112"/>
      <c r="AA35" s="112"/>
      <c r="AB35" s="295"/>
      <c r="AC35" s="112"/>
      <c r="AD35" s="112"/>
      <c r="AE35" s="112"/>
      <c r="AF35" s="112"/>
      <c r="AG35" s="112"/>
      <c r="AH35" s="112"/>
      <c r="AI35" s="112"/>
      <c r="AJ35" s="295"/>
      <c r="AK35" s="112"/>
      <c r="AL35" s="112"/>
      <c r="AM35" s="112"/>
      <c r="AN35" s="112"/>
    </row>
    <row r="36" spans="1:40" x14ac:dyDescent="0.25">
      <c r="I36" s="1" t="s">
        <v>340</v>
      </c>
      <c r="N36" s="112"/>
      <c r="Q36" s="112"/>
      <c r="R36" s="112"/>
      <c r="S36" s="112"/>
      <c r="T36" s="112"/>
      <c r="U36" s="295"/>
      <c r="V36" s="112"/>
      <c r="W36" s="112"/>
      <c r="X36" s="112"/>
      <c r="Y36" s="112"/>
      <c r="Z36" s="112"/>
      <c r="AA36" s="112"/>
      <c r="AB36" s="295"/>
      <c r="AC36" s="112"/>
      <c r="AD36" s="112"/>
      <c r="AE36" s="112"/>
      <c r="AF36" s="112"/>
      <c r="AG36" s="112"/>
      <c r="AH36" s="112"/>
      <c r="AI36" s="112"/>
      <c r="AJ36" s="295"/>
      <c r="AK36" s="112"/>
      <c r="AL36" s="112"/>
      <c r="AM36" s="112"/>
      <c r="AN36" s="112"/>
    </row>
    <row r="37" spans="1:40" x14ac:dyDescent="0.25">
      <c r="C37" s="57"/>
      <c r="D37" s="57"/>
      <c r="E37" s="399"/>
      <c r="F37" s="399"/>
      <c r="G37" s="399"/>
      <c r="H37" s="399"/>
      <c r="I37" s="60"/>
      <c r="J37" s="57"/>
      <c r="K37" s="57"/>
      <c r="L37" s="60"/>
      <c r="M37" s="57"/>
      <c r="N37" s="398"/>
      <c r="O37" s="133"/>
      <c r="P37" s="133"/>
      <c r="Q37" s="133"/>
      <c r="R37" s="133"/>
      <c r="S37" s="133"/>
      <c r="T37" s="133"/>
      <c r="U37" s="133"/>
      <c r="V37" s="133"/>
      <c r="W37" s="133"/>
      <c r="X37" s="133"/>
      <c r="Y37" s="133"/>
      <c r="Z37" s="133"/>
      <c r="AA37" s="112"/>
      <c r="AB37" s="112"/>
      <c r="AC37" s="112"/>
      <c r="AD37" s="112"/>
      <c r="AE37" s="112"/>
      <c r="AF37" s="112"/>
      <c r="AG37" s="112"/>
      <c r="AH37" s="112"/>
      <c r="AI37" s="112"/>
      <c r="AJ37" s="112"/>
      <c r="AK37" s="112"/>
      <c r="AL37" s="112"/>
      <c r="AM37" s="112"/>
      <c r="AN37" s="112"/>
    </row>
    <row r="38" spans="1:40" x14ac:dyDescent="0.25">
      <c r="C38" s="57"/>
      <c r="D38" s="57"/>
      <c r="E38" s="60"/>
      <c r="F38" s="60"/>
      <c r="G38" s="60"/>
      <c r="H38" s="60"/>
      <c r="I38" s="60"/>
      <c r="J38" s="57"/>
      <c r="K38" s="57"/>
      <c r="L38" s="57"/>
      <c r="M38" s="60"/>
      <c r="N38" s="133"/>
      <c r="O38" s="133"/>
      <c r="P38" s="133"/>
      <c r="Q38" s="133"/>
      <c r="R38" s="133"/>
      <c r="S38" s="133"/>
      <c r="T38" s="133"/>
      <c r="U38" s="133"/>
      <c r="V38" s="133"/>
      <c r="W38" s="133"/>
      <c r="X38" s="133"/>
      <c r="Y38" s="133"/>
      <c r="Z38" s="133"/>
      <c r="AA38" s="112"/>
      <c r="AB38" s="112"/>
      <c r="AC38" s="112"/>
      <c r="AD38" s="112"/>
      <c r="AE38" s="112"/>
      <c r="AF38" s="112"/>
      <c r="AG38" s="112"/>
      <c r="AH38" s="112"/>
      <c r="AI38" s="112"/>
      <c r="AJ38" s="112"/>
      <c r="AK38" s="112"/>
      <c r="AL38" s="112"/>
      <c r="AM38" s="112"/>
      <c r="AN38" s="112"/>
    </row>
    <row r="39" spans="1:40" ht="15.75" thickBot="1" x14ac:dyDescent="0.3">
      <c r="C39" s="57"/>
      <c r="D39" s="57"/>
      <c r="E39" s="60"/>
      <c r="F39" s="60"/>
      <c r="G39" s="60"/>
      <c r="H39" s="60"/>
      <c r="I39" s="57"/>
      <c r="J39" s="57"/>
      <c r="K39" s="57"/>
      <c r="L39" s="57"/>
      <c r="M39" s="57"/>
      <c r="N39" s="133"/>
      <c r="O39" s="133"/>
      <c r="P39" s="133"/>
      <c r="Q39" s="133"/>
      <c r="R39" s="133"/>
      <c r="S39" s="627"/>
      <c r="T39" s="627"/>
      <c r="U39" s="627"/>
      <c r="V39" s="627"/>
      <c r="W39" s="133"/>
      <c r="X39" s="133"/>
      <c r="Y39" s="133"/>
      <c r="Z39" s="133"/>
      <c r="AA39" s="112"/>
      <c r="AB39" s="112"/>
      <c r="AC39" s="112"/>
      <c r="AD39" s="112"/>
      <c r="AE39" s="112"/>
      <c r="AF39" s="112"/>
      <c r="AG39" s="112"/>
      <c r="AH39" s="112"/>
      <c r="AI39" s="112"/>
      <c r="AJ39" s="112"/>
      <c r="AK39" s="112"/>
      <c r="AL39" s="112"/>
      <c r="AM39" s="112"/>
      <c r="AN39" s="112"/>
    </row>
    <row r="40" spans="1:40" ht="20.25" thickTop="1" thickBot="1" x14ac:dyDescent="0.3">
      <c r="C40" s="57"/>
      <c r="D40" s="495">
        <v>1</v>
      </c>
      <c r="E40" s="399"/>
      <c r="F40" s="60"/>
      <c r="G40" s="60"/>
      <c r="I40" s="57"/>
      <c r="J40" s="57"/>
      <c r="M40" s="57"/>
      <c r="N40" s="57"/>
      <c r="O40" s="129"/>
      <c r="P40" s="129"/>
      <c r="Q40" s="133"/>
      <c r="R40" s="57"/>
      <c r="S40" s="57"/>
      <c r="T40" s="57"/>
      <c r="U40" s="57"/>
      <c r="V40" s="133"/>
      <c r="W40" s="133"/>
      <c r="X40" s="133"/>
      <c r="Y40" s="133"/>
      <c r="Z40" s="133"/>
      <c r="AA40" s="112"/>
      <c r="AB40" s="112"/>
      <c r="AC40" s="112"/>
      <c r="AD40" s="112"/>
      <c r="AE40" s="112"/>
      <c r="AF40" s="112"/>
      <c r="AG40" s="112"/>
      <c r="AH40" s="112"/>
      <c r="AI40" s="112"/>
      <c r="AJ40" s="112"/>
      <c r="AK40" s="112"/>
      <c r="AL40" s="112"/>
      <c r="AM40" s="112"/>
      <c r="AN40" s="112"/>
    </row>
    <row r="41" spans="1:40" ht="30.75" customHeight="1" thickTop="1" x14ac:dyDescent="0.25">
      <c r="C41" s="122"/>
      <c r="D41" s="24" t="s">
        <v>433</v>
      </c>
      <c r="E41" s="400" t="s">
        <v>436</v>
      </c>
      <c r="F41" s="371" t="s">
        <v>437</v>
      </c>
      <c r="G41" s="371" t="s">
        <v>438</v>
      </c>
      <c r="H41" s="60"/>
      <c r="M41" s="407"/>
      <c r="N41" s="407"/>
      <c r="O41" s="407"/>
      <c r="P41" s="407"/>
      <c r="Q41" s="134"/>
      <c r="R41" s="336"/>
      <c r="S41" s="336"/>
      <c r="T41" s="327"/>
      <c r="U41" s="336"/>
      <c r="V41" s="401"/>
      <c r="W41" s="133"/>
      <c r="X41" s="133"/>
      <c r="Y41" s="133"/>
      <c r="Z41" s="133"/>
      <c r="AA41" s="112"/>
      <c r="AB41" s="112"/>
      <c r="AC41" s="112"/>
      <c r="AD41" s="112"/>
      <c r="AE41" s="112"/>
      <c r="AF41" s="112"/>
      <c r="AG41" s="112"/>
      <c r="AH41" s="112"/>
      <c r="AI41" s="112"/>
      <c r="AJ41" s="112"/>
      <c r="AK41" s="112"/>
      <c r="AL41" s="112"/>
      <c r="AM41" s="112"/>
      <c r="AN41" s="112"/>
    </row>
    <row r="42" spans="1:40" x14ac:dyDescent="0.25">
      <c r="A42" t="s">
        <v>433</v>
      </c>
      <c r="B42" t="s">
        <v>434</v>
      </c>
      <c r="C42" s="122"/>
      <c r="E42" s="413">
        <f>W33</f>
        <v>1.3101079897070025</v>
      </c>
      <c r="F42" s="414">
        <f>AE33</f>
        <v>1.0571870144160003</v>
      </c>
      <c r="G42" s="414">
        <f>AN33</f>
        <v>1.0586964189339654</v>
      </c>
      <c r="H42" s="60"/>
      <c r="I42" s="57"/>
      <c r="J42" s="57"/>
      <c r="K42" s="57"/>
      <c r="L42" s="57"/>
      <c r="M42" s="408"/>
      <c r="N42" s="408"/>
      <c r="O42" s="408"/>
      <c r="P42" s="408"/>
      <c r="Q42" s="134"/>
      <c r="R42" s="335"/>
      <c r="S42" s="336"/>
      <c r="T42" s="327"/>
      <c r="U42" s="336"/>
      <c r="V42" s="336"/>
      <c r="W42" s="133"/>
      <c r="X42" s="133"/>
      <c r="Y42" s="133"/>
      <c r="Z42" s="133"/>
      <c r="AA42" s="112"/>
      <c r="AB42" s="112"/>
      <c r="AC42" s="112"/>
      <c r="AD42" s="112"/>
      <c r="AE42" s="112"/>
      <c r="AF42" s="112"/>
      <c r="AG42" s="112"/>
      <c r="AH42" s="112"/>
      <c r="AI42" s="112"/>
      <c r="AJ42" s="112"/>
      <c r="AK42" s="112"/>
      <c r="AL42" s="112"/>
      <c r="AM42" s="112"/>
      <c r="AN42" s="112"/>
    </row>
    <row r="43" spans="1:40" ht="15.75" thickBot="1" x14ac:dyDescent="0.3">
      <c r="A43" s="47">
        <v>1</v>
      </c>
      <c r="B43" s="47">
        <v>1</v>
      </c>
      <c r="C43" s="415"/>
      <c r="D43" s="47">
        <v>1</v>
      </c>
      <c r="E43" s="416">
        <f t="dataTable" ref="E43:G65" dt2D="0" dtr="0" r1="D40"/>
        <v>1.3101079897070025</v>
      </c>
      <c r="F43" s="417">
        <v>1.0571870144160003</v>
      </c>
      <c r="G43" s="417">
        <v>1.0586964189339654</v>
      </c>
      <c r="H43" s="60"/>
      <c r="I43" s="57"/>
      <c r="J43" s="57"/>
      <c r="K43" s="57"/>
      <c r="L43" s="57"/>
      <c r="M43" s="408"/>
      <c r="N43" s="408"/>
      <c r="O43" s="408"/>
      <c r="P43" s="408"/>
      <c r="Q43" s="134"/>
      <c r="R43" s="336"/>
      <c r="S43" s="336"/>
      <c r="T43" s="327"/>
      <c r="U43" s="133"/>
      <c r="V43" s="133"/>
      <c r="W43" s="133"/>
      <c r="X43" s="133"/>
      <c r="Y43" s="133"/>
      <c r="Z43" s="133"/>
      <c r="AA43" s="112"/>
      <c r="AB43" s="112"/>
      <c r="AC43" s="112"/>
      <c r="AD43" s="112"/>
      <c r="AE43" s="112"/>
      <c r="AF43" s="112"/>
      <c r="AG43" s="112"/>
      <c r="AH43" s="112"/>
      <c r="AI43" s="112"/>
      <c r="AJ43" s="112"/>
      <c r="AK43" s="112"/>
      <c r="AL43" s="112"/>
      <c r="AM43" s="112"/>
      <c r="AN43" s="112"/>
    </row>
    <row r="44" spans="1:40" x14ac:dyDescent="0.25">
      <c r="A44">
        <v>2</v>
      </c>
      <c r="B44">
        <v>0.5</v>
      </c>
      <c r="C44" s="122"/>
      <c r="D44">
        <v>2</v>
      </c>
      <c r="E44" s="410">
        <v>1.5008894068540202</v>
      </c>
      <c r="F44" s="409">
        <v>1.0571870144160003</v>
      </c>
      <c r="G44" s="409">
        <v>1.06095424793476</v>
      </c>
      <c r="H44" s="60"/>
      <c r="I44" s="57"/>
      <c r="J44" s="57"/>
      <c r="K44" s="57"/>
      <c r="L44" s="57"/>
      <c r="M44" s="408"/>
      <c r="N44" s="408"/>
      <c r="O44" s="408"/>
      <c r="P44" s="408"/>
      <c r="Q44" s="134"/>
      <c r="R44" s="336"/>
      <c r="S44" s="133"/>
      <c r="T44" s="133"/>
      <c r="U44" s="133"/>
      <c r="V44" s="133"/>
      <c r="W44" s="133"/>
      <c r="X44" s="133"/>
      <c r="Y44" s="133"/>
      <c r="Z44" s="133"/>
      <c r="AA44" s="112"/>
      <c r="AB44" s="112"/>
      <c r="AC44" s="112"/>
      <c r="AD44" s="112"/>
      <c r="AE44" s="112"/>
      <c r="AF44" s="112"/>
      <c r="AG44" s="112"/>
      <c r="AH44" s="112"/>
      <c r="AI44" s="112"/>
      <c r="AJ44" s="112"/>
      <c r="AK44" s="112"/>
      <c r="AL44" s="112"/>
      <c r="AM44" s="112"/>
      <c r="AN44" s="112"/>
    </row>
    <row r="45" spans="1:40" x14ac:dyDescent="0.25">
      <c r="A45">
        <v>3</v>
      </c>
      <c r="B45">
        <v>0.6</v>
      </c>
      <c r="C45" s="122"/>
      <c r="D45">
        <v>3</v>
      </c>
      <c r="E45" s="410">
        <v>1.4710401688865387</v>
      </c>
      <c r="F45" s="409">
        <v>1.0571870144160007</v>
      </c>
      <c r="G45" s="409">
        <v>1.0600847282037744</v>
      </c>
      <c r="H45" s="60"/>
      <c r="I45" s="57"/>
      <c r="J45" s="57"/>
      <c r="K45" s="57"/>
      <c r="L45" s="57"/>
      <c r="M45" s="408"/>
      <c r="N45" s="408"/>
      <c r="O45" s="409"/>
      <c r="P45" s="409"/>
      <c r="Q45" s="134"/>
      <c r="R45" s="336"/>
      <c r="S45" s="133"/>
      <c r="T45" s="133"/>
      <c r="U45" s="133"/>
      <c r="V45" s="133"/>
      <c r="W45" s="133"/>
      <c r="X45" s="133"/>
      <c r="Y45" s="57"/>
      <c r="Z45" s="133"/>
      <c r="AA45" s="112"/>
      <c r="AB45" s="112"/>
      <c r="AC45" s="112"/>
      <c r="AD45" s="112"/>
      <c r="AE45" s="112"/>
      <c r="AF45" s="112"/>
      <c r="AG45" s="112"/>
      <c r="AH45" s="112"/>
      <c r="AI45" s="112"/>
      <c r="AJ45" s="112"/>
      <c r="AK45" s="112"/>
      <c r="AL45" s="112"/>
      <c r="AM45" s="112"/>
      <c r="AN45" s="112"/>
    </row>
    <row r="46" spans="1:40" x14ac:dyDescent="0.25">
      <c r="A46">
        <v>4</v>
      </c>
      <c r="B46">
        <v>0.7</v>
      </c>
      <c r="C46" s="122"/>
      <c r="D46">
        <v>4</v>
      </c>
      <c r="E46" s="410">
        <v>1.450185425761179</v>
      </c>
      <c r="F46" s="409">
        <v>1.0571870144159996</v>
      </c>
      <c r="G46" s="411">
        <v>1.0595435765630672</v>
      </c>
      <c r="H46" s="399"/>
      <c r="I46" s="57"/>
      <c r="J46" s="129"/>
      <c r="K46" s="57"/>
      <c r="L46" s="57"/>
      <c r="M46" s="408"/>
      <c r="N46" s="408"/>
      <c r="O46" s="409"/>
      <c r="P46" s="409"/>
      <c r="Q46" s="134"/>
      <c r="R46" s="336"/>
      <c r="S46" s="133"/>
      <c r="T46" s="133"/>
      <c r="U46" s="133"/>
      <c r="V46" s="133"/>
      <c r="W46" s="133"/>
      <c r="X46" s="133"/>
      <c r="Y46" s="57"/>
      <c r="Z46" s="133"/>
      <c r="AA46" s="112"/>
      <c r="AB46" s="112"/>
      <c r="AC46" s="112"/>
      <c r="AD46" s="112"/>
      <c r="AE46" s="112"/>
      <c r="AF46" s="112"/>
      <c r="AG46" s="112"/>
      <c r="AH46" s="112"/>
      <c r="AI46" s="112"/>
      <c r="AJ46" s="112"/>
      <c r="AK46" s="112"/>
      <c r="AL46" s="112"/>
      <c r="AM46" s="112"/>
      <c r="AN46" s="112"/>
    </row>
    <row r="47" spans="1:40" x14ac:dyDescent="0.25">
      <c r="A47">
        <v>5</v>
      </c>
      <c r="B47">
        <v>0.8</v>
      </c>
      <c r="C47" s="122"/>
      <c r="D47">
        <v>5</v>
      </c>
      <c r="E47" s="410">
        <v>1.4347904339099726</v>
      </c>
      <c r="F47" s="409">
        <v>1.057187014416</v>
      </c>
      <c r="G47" s="409">
        <v>1.0591779458972626</v>
      </c>
      <c r="H47" s="60"/>
      <c r="I47" s="57"/>
      <c r="J47" s="129"/>
      <c r="K47" s="57"/>
      <c r="L47" s="57"/>
      <c r="M47" s="408"/>
      <c r="N47" s="408"/>
      <c r="O47" s="408"/>
      <c r="P47" s="408"/>
      <c r="Q47" s="133"/>
      <c r="R47" s="133"/>
      <c r="S47" s="133"/>
      <c r="T47" s="133"/>
      <c r="U47" s="133"/>
      <c r="V47" s="133"/>
      <c r="W47" s="133"/>
      <c r="X47" s="133"/>
      <c r="Y47" s="133"/>
      <c r="Z47" s="133"/>
      <c r="AA47" s="112"/>
      <c r="AB47" s="112"/>
      <c r="AC47" s="112"/>
      <c r="AD47" s="112"/>
      <c r="AE47" s="112"/>
      <c r="AF47" s="112"/>
      <c r="AG47" s="112"/>
      <c r="AH47" s="112"/>
      <c r="AI47" s="112"/>
      <c r="AJ47" s="112"/>
      <c r="AK47" s="112"/>
      <c r="AL47" s="112"/>
      <c r="AM47" s="112"/>
      <c r="AN47" s="112"/>
    </row>
    <row r="48" spans="1:40" x14ac:dyDescent="0.25">
      <c r="A48">
        <v>6</v>
      </c>
      <c r="B48">
        <v>0.9</v>
      </c>
      <c r="C48" s="122"/>
      <c r="D48">
        <v>6</v>
      </c>
      <c r="E48" s="408">
        <v>1.4229585954614716</v>
      </c>
      <c r="F48" s="410">
        <v>1.0571870144160005</v>
      </c>
      <c r="G48" s="409">
        <v>1.058915938766241</v>
      </c>
      <c r="H48" s="60"/>
      <c r="I48" s="57"/>
      <c r="J48" s="129"/>
      <c r="K48" s="57"/>
      <c r="L48" s="57"/>
      <c r="M48" s="408"/>
      <c r="N48" s="408"/>
      <c r="O48" s="408"/>
      <c r="P48" s="408"/>
      <c r="Q48" s="133"/>
      <c r="R48" s="133"/>
      <c r="S48" s="57"/>
      <c r="T48" s="133"/>
      <c r="U48" s="133"/>
      <c r="V48" s="133"/>
      <c r="W48" s="133"/>
      <c r="X48" s="133"/>
      <c r="Y48" s="133"/>
      <c r="Z48" s="133"/>
      <c r="AA48" s="112"/>
      <c r="AB48" s="112"/>
      <c r="AC48" s="112"/>
      <c r="AD48" s="112"/>
      <c r="AE48" s="112"/>
      <c r="AF48" s="112"/>
      <c r="AG48" s="112"/>
      <c r="AH48" s="112"/>
      <c r="AI48" s="112"/>
      <c r="AJ48" s="112"/>
      <c r="AK48" s="112"/>
      <c r="AL48" s="112"/>
      <c r="AM48" s="112"/>
      <c r="AN48" s="112"/>
    </row>
    <row r="49" spans="1:40" x14ac:dyDescent="0.25">
      <c r="A49">
        <v>7</v>
      </c>
      <c r="B49">
        <f>B48+0.01</f>
        <v>0.91</v>
      </c>
      <c r="C49" s="122"/>
      <c r="D49">
        <v>7</v>
      </c>
      <c r="E49" s="408">
        <v>1.4219242855075067</v>
      </c>
      <c r="F49" s="410">
        <v>1.0571870144160003</v>
      </c>
      <c r="G49" s="409">
        <v>1.0588938057277621</v>
      </c>
      <c r="H49" s="60"/>
      <c r="I49" s="57"/>
      <c r="J49" s="129"/>
      <c r="K49" s="57"/>
      <c r="L49" s="57"/>
      <c r="M49" s="408"/>
      <c r="N49" s="408"/>
      <c r="O49" s="408"/>
      <c r="P49" s="408"/>
      <c r="Q49" s="133"/>
      <c r="R49" s="133"/>
      <c r="S49" s="57"/>
      <c r="T49" s="402"/>
      <c r="U49" s="133"/>
      <c r="V49" s="402"/>
      <c r="W49" s="133"/>
      <c r="X49" s="133"/>
      <c r="Y49" s="133"/>
      <c r="Z49" s="133"/>
      <c r="AA49" s="112"/>
      <c r="AB49" s="112"/>
      <c r="AC49" s="112"/>
      <c r="AD49" s="112"/>
      <c r="AE49" s="112"/>
      <c r="AF49" s="112"/>
      <c r="AG49" s="112"/>
      <c r="AH49" s="112"/>
      <c r="AI49" s="112"/>
      <c r="AJ49" s="112"/>
      <c r="AK49" s="112"/>
      <c r="AL49" s="112"/>
      <c r="AM49" s="112"/>
      <c r="AN49" s="112"/>
    </row>
    <row r="50" spans="1:40" x14ac:dyDescent="0.25">
      <c r="A50">
        <v>8</v>
      </c>
      <c r="B50">
        <f t="shared" ref="B50:B65" si="30">B49+0.01</f>
        <v>0.92</v>
      </c>
      <c r="C50" s="122"/>
      <c r="D50">
        <v>8</v>
      </c>
      <c r="E50" s="408">
        <v>1.4209133686419482</v>
      </c>
      <c r="F50" s="410">
        <v>1.0571870144160007</v>
      </c>
      <c r="G50" s="409">
        <v>1.0588722919675837</v>
      </c>
      <c r="H50" s="60"/>
      <c r="I50" s="57"/>
      <c r="J50" s="129"/>
      <c r="K50" s="57"/>
      <c r="L50" s="57"/>
      <c r="M50" s="408"/>
      <c r="N50" s="408"/>
      <c r="O50" s="408"/>
      <c r="P50" s="408"/>
      <c r="Q50" s="133"/>
      <c r="R50" s="133"/>
      <c r="S50" s="133"/>
      <c r="T50" s="133"/>
      <c r="U50" s="133"/>
      <c r="V50" s="133"/>
      <c r="W50" s="133"/>
      <c r="X50" s="133"/>
      <c r="Y50" s="133"/>
      <c r="Z50" s="133"/>
      <c r="AA50" s="112"/>
      <c r="AB50" s="112"/>
      <c r="AC50" s="112"/>
      <c r="AD50" s="112"/>
      <c r="AE50" s="112"/>
      <c r="AF50" s="112"/>
      <c r="AG50" s="112"/>
      <c r="AH50" s="112"/>
      <c r="AI50" s="112"/>
      <c r="AJ50" s="112"/>
      <c r="AK50" s="112"/>
      <c r="AL50" s="112"/>
      <c r="AM50" s="112"/>
      <c r="AN50" s="112"/>
    </row>
    <row r="51" spans="1:40" x14ac:dyDescent="0.25">
      <c r="A51">
        <v>9</v>
      </c>
      <c r="B51">
        <f t="shared" si="30"/>
        <v>0.93</v>
      </c>
      <c r="C51" s="57"/>
      <c r="D51">
        <v>9</v>
      </c>
      <c r="E51" s="412">
        <v>1.4199250598026787</v>
      </c>
      <c r="F51" s="410">
        <v>1.0571870144159998</v>
      </c>
      <c r="G51" s="409">
        <v>1.0588513725360933</v>
      </c>
      <c r="H51" s="60"/>
      <c r="I51" s="57"/>
      <c r="J51" s="129"/>
      <c r="K51" s="57"/>
      <c r="L51" s="57"/>
      <c r="M51" s="408"/>
      <c r="N51" s="408"/>
      <c r="O51" s="408"/>
      <c r="P51" s="408"/>
      <c r="Q51" s="133"/>
      <c r="R51" s="133"/>
      <c r="S51" s="133"/>
      <c r="T51" s="133"/>
      <c r="U51" s="133"/>
      <c r="V51" s="133"/>
      <c r="W51" s="133"/>
      <c r="X51" s="133"/>
      <c r="Y51" s="133"/>
      <c r="Z51" s="133"/>
      <c r="AA51" s="112"/>
      <c r="AB51" s="112"/>
      <c r="AC51" s="112"/>
      <c r="AD51" s="112"/>
      <c r="AE51" s="112"/>
      <c r="AF51" s="112"/>
      <c r="AG51" s="112"/>
      <c r="AH51" s="112"/>
      <c r="AI51" s="112"/>
      <c r="AJ51" s="112"/>
      <c r="AK51" s="112"/>
      <c r="AL51" s="112"/>
      <c r="AM51" s="112"/>
      <c r="AN51" s="112"/>
    </row>
    <row r="52" spans="1:40" x14ac:dyDescent="0.25">
      <c r="A52">
        <v>10</v>
      </c>
      <c r="B52">
        <f t="shared" si="30"/>
        <v>0.94000000000000006</v>
      </c>
      <c r="C52" s="57"/>
      <c r="D52">
        <v>10</v>
      </c>
      <c r="E52" s="408">
        <v>1.4189586086797525</v>
      </c>
      <c r="F52" s="410">
        <v>1.0571870144159998</v>
      </c>
      <c r="G52" s="409">
        <v>1.0588310237794452</v>
      </c>
      <c r="H52" s="60"/>
      <c r="I52" s="57"/>
      <c r="J52" s="129"/>
      <c r="K52" s="57"/>
      <c r="L52" s="57"/>
      <c r="M52" s="408"/>
      <c r="N52" s="408"/>
      <c r="O52" s="408"/>
      <c r="P52" s="408"/>
      <c r="Q52" s="133"/>
      <c r="R52" s="133"/>
      <c r="S52" s="133"/>
      <c r="T52" s="133"/>
      <c r="U52" s="133"/>
      <c r="V52" s="133"/>
      <c r="W52" s="133"/>
      <c r="X52" s="133"/>
      <c r="Y52" s="133"/>
      <c r="Z52" s="133"/>
      <c r="AA52" s="112"/>
      <c r="AB52" s="112"/>
      <c r="AC52" s="112"/>
      <c r="AD52" s="112"/>
      <c r="AE52" s="112"/>
      <c r="AF52" s="112"/>
      <c r="AG52" s="112"/>
      <c r="AH52" s="112"/>
      <c r="AI52" s="112"/>
      <c r="AJ52" s="112"/>
      <c r="AK52" s="112"/>
      <c r="AL52" s="112"/>
      <c r="AM52" s="112"/>
      <c r="AN52" s="112"/>
    </row>
    <row r="53" spans="1:40" x14ac:dyDescent="0.25">
      <c r="A53">
        <v>11</v>
      </c>
      <c r="B53">
        <f t="shared" si="30"/>
        <v>0.95000000000000007</v>
      </c>
      <c r="C53" s="57"/>
      <c r="D53">
        <v>11</v>
      </c>
      <c r="E53" s="408">
        <v>1.4122257532165303</v>
      </c>
      <c r="F53" s="410">
        <v>1.0571870144159994</v>
      </c>
      <c r="G53" s="409">
        <v>1.0588112232578313</v>
      </c>
      <c r="H53" s="60"/>
      <c r="I53" s="57"/>
      <c r="J53" s="129"/>
      <c r="K53" s="57"/>
      <c r="L53" s="57"/>
      <c r="M53" s="408"/>
      <c r="N53" s="408"/>
      <c r="O53" s="408"/>
      <c r="P53" s="408"/>
      <c r="Q53" s="133"/>
      <c r="R53" s="133"/>
      <c r="S53" s="133"/>
      <c r="T53" s="133"/>
      <c r="U53" s="133"/>
      <c r="V53" s="133"/>
      <c r="W53" s="133"/>
      <c r="X53" s="133"/>
      <c r="Y53" s="133"/>
      <c r="Z53" s="133"/>
      <c r="AA53" s="112"/>
      <c r="AB53" s="112"/>
      <c r="AC53" s="112"/>
      <c r="AD53" s="112"/>
      <c r="AE53" s="112"/>
      <c r="AF53" s="112"/>
      <c r="AG53" s="112"/>
      <c r="AH53" s="112"/>
      <c r="AI53" s="112"/>
      <c r="AJ53" s="112"/>
      <c r="AK53" s="112"/>
      <c r="AL53" s="112"/>
      <c r="AM53" s="112"/>
      <c r="AN53" s="112"/>
    </row>
    <row r="54" spans="1:40" x14ac:dyDescent="0.25">
      <c r="A54">
        <v>12</v>
      </c>
      <c r="B54">
        <f t="shared" si="30"/>
        <v>0.96000000000000008</v>
      </c>
      <c r="C54" s="57"/>
      <c r="D54">
        <v>12</v>
      </c>
      <c r="E54" s="408">
        <v>1.4012927051130775</v>
      </c>
      <c r="F54" s="410">
        <v>1.0571870144160005</v>
      </c>
      <c r="G54" s="409">
        <v>1.0587878090084608</v>
      </c>
      <c r="H54" s="60"/>
      <c r="I54" s="57"/>
      <c r="J54" s="129"/>
      <c r="K54" s="57"/>
      <c r="L54" s="57"/>
      <c r="M54" s="408"/>
      <c r="N54" s="408"/>
      <c r="O54" s="408"/>
      <c r="P54" s="408"/>
      <c r="Q54" s="133"/>
      <c r="R54" s="133"/>
      <c r="S54" s="133"/>
      <c r="T54" s="133"/>
      <c r="U54" s="133"/>
      <c r="V54" s="133"/>
      <c r="W54" s="133"/>
      <c r="X54" s="133"/>
      <c r="Y54" s="133"/>
      <c r="Z54" s="133"/>
      <c r="AA54" s="112"/>
      <c r="AB54" s="112"/>
      <c r="AC54" s="112"/>
      <c r="AD54" s="112"/>
      <c r="AE54" s="112"/>
      <c r="AF54" s="112"/>
      <c r="AG54" s="112"/>
      <c r="AH54" s="112"/>
      <c r="AI54" s="112"/>
      <c r="AJ54" s="112"/>
      <c r="AK54" s="112"/>
      <c r="AL54" s="112"/>
      <c r="AM54" s="112"/>
      <c r="AN54" s="112"/>
    </row>
    <row r="55" spans="1:40" x14ac:dyDescent="0.25">
      <c r="A55">
        <v>13</v>
      </c>
      <c r="B55">
        <f t="shared" si="30"/>
        <v>0.97000000000000008</v>
      </c>
      <c r="C55" s="57"/>
      <c r="D55">
        <v>13</v>
      </c>
      <c r="E55" s="408">
        <v>1.3849100118334379</v>
      </c>
      <c r="F55" s="410">
        <v>1.0571870144159998</v>
      </c>
      <c r="G55" s="409">
        <v>1.0587638437415992</v>
      </c>
      <c r="H55" s="60"/>
      <c r="I55" s="57"/>
      <c r="J55" s="129"/>
      <c r="K55" s="57"/>
      <c r="L55" s="57"/>
      <c r="M55" s="408"/>
      <c r="N55" s="408"/>
      <c r="O55" s="408"/>
      <c r="P55" s="408"/>
      <c r="Q55" s="133"/>
      <c r="R55" s="133"/>
      <c r="S55" s="133"/>
      <c r="T55" s="133"/>
      <c r="U55" s="133"/>
      <c r="V55" s="133"/>
      <c r="W55" s="133"/>
      <c r="X55" s="133"/>
      <c r="Y55" s="133"/>
      <c r="Z55" s="133"/>
      <c r="AA55" s="112"/>
      <c r="AB55" s="112"/>
      <c r="AC55" s="112"/>
      <c r="AD55" s="112"/>
      <c r="AE55" s="112"/>
      <c r="AF55" s="112"/>
      <c r="AG55" s="112"/>
      <c r="AH55" s="112"/>
      <c r="AI55" s="112"/>
      <c r="AJ55" s="112"/>
      <c r="AK55" s="112"/>
      <c r="AL55" s="112"/>
      <c r="AM55" s="112"/>
      <c r="AN55" s="112"/>
    </row>
    <row r="56" spans="1:40" x14ac:dyDescent="0.25">
      <c r="A56">
        <v>14</v>
      </c>
      <c r="B56">
        <f t="shared" si="30"/>
        <v>0.98000000000000009</v>
      </c>
      <c r="C56" s="57"/>
      <c r="D56">
        <v>14</v>
      </c>
      <c r="E56" s="408">
        <v>1.3593982144274783</v>
      </c>
      <c r="F56" s="410">
        <v>1.0571870144160003</v>
      </c>
      <c r="G56" s="409">
        <v>1.0587406469641778</v>
      </c>
      <c r="H56" s="60"/>
      <c r="I56" s="129"/>
      <c r="J56" s="129"/>
      <c r="K56" s="57"/>
      <c r="L56" s="129"/>
      <c r="M56" s="408"/>
      <c r="N56" s="408"/>
      <c r="O56" s="408"/>
      <c r="P56" s="408"/>
      <c r="Q56" s="133"/>
      <c r="R56" s="133"/>
      <c r="S56" s="133"/>
      <c r="T56" s="133"/>
      <c r="U56" s="133"/>
      <c r="V56" s="133"/>
      <c r="W56" s="133"/>
      <c r="X56" s="133"/>
      <c r="Y56" s="133"/>
      <c r="Z56" s="133"/>
      <c r="AA56" s="112"/>
      <c r="AB56" s="112"/>
      <c r="AC56" s="112"/>
      <c r="AD56" s="112"/>
      <c r="AE56" s="112"/>
      <c r="AF56" s="112"/>
      <c r="AG56" s="112"/>
      <c r="AH56" s="112"/>
      <c r="AI56" s="112"/>
      <c r="AJ56" s="112"/>
      <c r="AK56" s="112"/>
      <c r="AL56" s="112"/>
      <c r="AM56" s="112"/>
      <c r="AN56" s="112"/>
    </row>
    <row r="57" spans="1:40" x14ac:dyDescent="0.25">
      <c r="A57">
        <v>15</v>
      </c>
      <c r="B57">
        <f t="shared" si="30"/>
        <v>0.9900000000000001</v>
      </c>
      <c r="C57" s="57"/>
      <c r="D57">
        <v>15</v>
      </c>
      <c r="E57" s="408">
        <v>1.3349011728939717</v>
      </c>
      <c r="F57" s="410">
        <v>1.0571870144160003</v>
      </c>
      <c r="G57" s="409">
        <v>1.0587181831681305</v>
      </c>
      <c r="H57" s="60"/>
      <c r="I57" s="57"/>
      <c r="J57" s="57"/>
      <c r="K57" s="57"/>
      <c r="L57" s="57"/>
      <c r="M57" s="57"/>
      <c r="N57" s="133"/>
      <c r="O57" s="133"/>
      <c r="P57" s="133"/>
      <c r="Q57" s="133"/>
      <c r="R57" s="133"/>
      <c r="S57" s="133"/>
      <c r="T57" s="133"/>
      <c r="U57" s="133"/>
      <c r="V57" s="133"/>
      <c r="W57" s="133"/>
      <c r="X57" s="133"/>
      <c r="Y57" s="133"/>
      <c r="Z57" s="133"/>
      <c r="AA57" s="112"/>
      <c r="AB57" s="112"/>
      <c r="AC57" s="112"/>
      <c r="AD57" s="112"/>
      <c r="AE57" s="112"/>
      <c r="AF57" s="112"/>
      <c r="AG57" s="112"/>
      <c r="AH57" s="112"/>
      <c r="AI57" s="112"/>
      <c r="AJ57" s="112"/>
      <c r="AK57" s="112"/>
      <c r="AL57" s="112"/>
      <c r="AM57" s="112"/>
      <c r="AN57" s="112"/>
    </row>
    <row r="58" spans="1:40" x14ac:dyDescent="0.25">
      <c r="A58">
        <v>16</v>
      </c>
      <c r="B58">
        <f t="shared" si="30"/>
        <v>1</v>
      </c>
      <c r="C58" s="57"/>
      <c r="D58">
        <v>16</v>
      </c>
      <c r="E58" s="408">
        <v>1.3101079897070025</v>
      </c>
      <c r="F58" s="410">
        <v>1.0571870144160003</v>
      </c>
      <c r="G58" s="409">
        <v>1.0586964189339654</v>
      </c>
      <c r="H58" s="60"/>
      <c r="I58" s="57"/>
      <c r="J58" s="57"/>
      <c r="K58" s="57"/>
      <c r="L58" s="57"/>
      <c r="M58" s="57"/>
      <c r="N58" s="133"/>
      <c r="O58" s="133"/>
      <c r="P58" s="133"/>
      <c r="Q58" s="133"/>
      <c r="R58" s="133"/>
      <c r="S58" s="133"/>
      <c r="T58" s="133"/>
      <c r="U58" s="133"/>
      <c r="V58" s="133"/>
      <c r="W58" s="133"/>
      <c r="X58" s="133"/>
      <c r="Y58" s="133"/>
      <c r="Z58" s="133"/>
      <c r="AA58" s="112"/>
      <c r="AB58" s="112"/>
      <c r="AC58" s="112"/>
      <c r="AD58" s="112"/>
      <c r="AE58" s="112"/>
      <c r="AF58" s="112"/>
      <c r="AG58" s="112"/>
      <c r="AH58" s="112"/>
      <c r="AI58" s="112"/>
      <c r="AJ58" s="112"/>
      <c r="AK58" s="112"/>
      <c r="AL58" s="112"/>
      <c r="AM58" s="112"/>
      <c r="AN58" s="112"/>
    </row>
    <row r="59" spans="1:40" x14ac:dyDescent="0.25">
      <c r="A59">
        <v>17</v>
      </c>
      <c r="B59">
        <f t="shared" si="30"/>
        <v>1.01</v>
      </c>
      <c r="C59" s="57"/>
      <c r="D59">
        <v>17</v>
      </c>
      <c r="E59" s="408">
        <v>1.2823030746351878</v>
      </c>
      <c r="F59" s="410">
        <v>1.0571870144160003</v>
      </c>
      <c r="G59" s="409">
        <v>1.0586753227840429</v>
      </c>
      <c r="H59" s="60"/>
      <c r="I59" s="57"/>
      <c r="J59" s="57"/>
      <c r="K59" s="403"/>
      <c r="L59" s="57"/>
      <c r="M59" s="57"/>
      <c r="N59" s="133"/>
      <c r="O59" s="133"/>
      <c r="P59" s="133"/>
      <c r="Q59" s="133"/>
      <c r="R59" s="133"/>
      <c r="S59" s="133"/>
      <c r="T59" s="133"/>
      <c r="U59" s="133"/>
      <c r="V59" s="133"/>
      <c r="W59" s="133"/>
      <c r="X59" s="133"/>
      <c r="Y59" s="133"/>
      <c r="Z59" s="133"/>
      <c r="AA59" s="112"/>
      <c r="AB59" s="112"/>
      <c r="AC59" s="112"/>
      <c r="AD59" s="112"/>
      <c r="AE59" s="112"/>
      <c r="AF59" s="112"/>
      <c r="AG59" s="112"/>
      <c r="AH59" s="112"/>
      <c r="AI59" s="112"/>
      <c r="AJ59" s="112"/>
      <c r="AK59" s="112"/>
      <c r="AL59" s="112"/>
      <c r="AM59" s="112"/>
      <c r="AN59" s="112"/>
    </row>
    <row r="60" spans="1:40" x14ac:dyDescent="0.25">
      <c r="A60">
        <v>18</v>
      </c>
      <c r="B60">
        <f t="shared" si="30"/>
        <v>1.02</v>
      </c>
      <c r="C60" s="57"/>
      <c r="D60">
        <v>18</v>
      </c>
      <c r="E60" s="408">
        <v>1.2555749211392764</v>
      </c>
      <c r="F60" s="410">
        <v>1.0509568273556982</v>
      </c>
      <c r="G60" s="409">
        <v>1.0503825443350865</v>
      </c>
      <c r="H60" s="60"/>
      <c r="I60" s="57"/>
      <c r="J60" s="57"/>
      <c r="K60" s="57"/>
      <c r="L60" s="341"/>
      <c r="M60" s="341"/>
      <c r="N60" s="341"/>
      <c r="O60" s="406"/>
      <c r="P60" s="406"/>
      <c r="Q60" s="406"/>
      <c r="R60" s="406"/>
      <c r="S60" s="406"/>
      <c r="T60" s="406"/>
      <c r="U60" s="134"/>
      <c r="V60" s="134"/>
      <c r="W60" s="133"/>
      <c r="X60" s="133"/>
      <c r="Y60" s="133"/>
      <c r="Z60" s="133"/>
      <c r="AA60" s="112"/>
      <c r="AB60" s="112"/>
      <c r="AC60" s="112"/>
      <c r="AD60" s="112"/>
      <c r="AE60" s="112"/>
      <c r="AF60" s="112"/>
      <c r="AG60" s="112"/>
      <c r="AH60" s="112"/>
      <c r="AI60" s="112"/>
      <c r="AJ60" s="112"/>
      <c r="AK60" s="112"/>
      <c r="AL60" s="112"/>
      <c r="AM60" s="112"/>
      <c r="AN60" s="112"/>
    </row>
    <row r="61" spans="1:40" x14ac:dyDescent="0.25">
      <c r="A61">
        <v>19</v>
      </c>
      <c r="B61">
        <f t="shared" si="30"/>
        <v>1.03</v>
      </c>
      <c r="C61" s="57"/>
      <c r="D61">
        <v>19</v>
      </c>
      <c r="E61" s="408">
        <v>1.2298717177159226</v>
      </c>
      <c r="F61" s="409">
        <v>1.0439046884167049</v>
      </c>
      <c r="G61" s="409">
        <v>1.0410835002550158</v>
      </c>
      <c r="H61" s="60"/>
      <c r="I61" s="57"/>
      <c r="J61" s="57"/>
      <c r="K61" s="57"/>
      <c r="L61" s="57"/>
      <c r="M61" s="57"/>
      <c r="N61" s="57"/>
      <c r="O61" s="57"/>
      <c r="P61" s="57"/>
      <c r="Q61" s="57"/>
      <c r="R61" s="57"/>
      <c r="S61" s="57"/>
      <c r="T61" s="57"/>
      <c r="U61" s="57"/>
      <c r="V61" s="57"/>
      <c r="W61" s="57"/>
      <c r="X61" s="57"/>
      <c r="Y61" s="57"/>
      <c r="Z61" s="57"/>
    </row>
    <row r="62" spans="1:40" x14ac:dyDescent="0.25">
      <c r="A62">
        <v>20</v>
      </c>
      <c r="B62">
        <f t="shared" si="30"/>
        <v>1.04</v>
      </c>
      <c r="C62" s="57"/>
      <c r="D62">
        <v>20</v>
      </c>
      <c r="E62" s="408">
        <v>1.2049899807815669</v>
      </c>
      <c r="F62" s="409">
        <v>1.0307409050983087</v>
      </c>
      <c r="G62" s="409">
        <v>1.0237456507639153</v>
      </c>
      <c r="H62" s="60"/>
      <c r="I62" s="57"/>
      <c r="J62" s="57"/>
      <c r="K62" s="57"/>
      <c r="L62" s="57"/>
      <c r="M62" s="57"/>
      <c r="N62" s="57"/>
      <c r="O62" s="57"/>
      <c r="P62" s="57"/>
      <c r="Q62" s="57"/>
      <c r="R62" s="57"/>
      <c r="S62" s="57"/>
      <c r="T62" s="57"/>
      <c r="U62" s="57"/>
      <c r="V62" s="57"/>
      <c r="W62" s="154"/>
      <c r="X62" s="154"/>
      <c r="Y62" s="154"/>
      <c r="Z62" s="57"/>
    </row>
    <row r="63" spans="1:40" x14ac:dyDescent="0.25">
      <c r="A63">
        <v>21</v>
      </c>
      <c r="B63">
        <f t="shared" si="30"/>
        <v>1.05</v>
      </c>
      <c r="C63" s="57"/>
      <c r="D63">
        <v>21</v>
      </c>
      <c r="E63" s="408">
        <v>1.1808853097799072</v>
      </c>
      <c r="F63" s="409">
        <v>1.0140452034797094</v>
      </c>
      <c r="G63" s="409">
        <v>1.0018849979209508</v>
      </c>
      <c r="H63" s="60"/>
      <c r="I63" s="57"/>
      <c r="J63" s="57"/>
      <c r="K63" s="57"/>
      <c r="L63" s="57"/>
      <c r="M63" s="57"/>
      <c r="N63" s="57"/>
      <c r="O63" s="57"/>
      <c r="P63" s="57"/>
      <c r="Q63" s="57"/>
      <c r="R63" s="57"/>
      <c r="S63" s="57"/>
      <c r="T63" s="57"/>
      <c r="U63" s="57"/>
      <c r="V63" s="57"/>
      <c r="W63" s="154"/>
      <c r="X63" s="154"/>
      <c r="Y63" s="154"/>
      <c r="Z63" s="57"/>
    </row>
    <row r="64" spans="1:40" x14ac:dyDescent="0.25">
      <c r="A64">
        <v>22</v>
      </c>
      <c r="B64">
        <f t="shared" si="30"/>
        <v>1.06</v>
      </c>
      <c r="C64" s="57"/>
      <c r="D64">
        <v>22</v>
      </c>
      <c r="E64" s="408">
        <v>1.1576789901983928</v>
      </c>
      <c r="F64" s="409">
        <v>0.99715934584524379</v>
      </c>
      <c r="G64" s="409">
        <v>0.9799631006687497</v>
      </c>
      <c r="H64" s="60"/>
      <c r="I64" s="57"/>
      <c r="J64" s="57"/>
      <c r="K64" s="57"/>
      <c r="L64" s="57"/>
      <c r="M64" s="57"/>
      <c r="N64" s="57"/>
      <c r="O64" s="57"/>
      <c r="P64" s="57"/>
      <c r="Q64" s="57"/>
      <c r="R64" s="57"/>
      <c r="S64" s="57"/>
      <c r="T64" s="57"/>
      <c r="U64" s="57"/>
      <c r="V64" s="57"/>
      <c r="W64" s="154"/>
      <c r="X64" s="154"/>
      <c r="Y64" s="154"/>
      <c r="Z64" s="57"/>
    </row>
    <row r="65" spans="1:26" x14ac:dyDescent="0.25">
      <c r="A65">
        <v>23</v>
      </c>
      <c r="B65">
        <f t="shared" si="30"/>
        <v>1.07</v>
      </c>
      <c r="C65" s="57"/>
      <c r="D65">
        <v>23</v>
      </c>
      <c r="E65" s="408">
        <v>1.135329401662283</v>
      </c>
      <c r="F65" s="409">
        <v>0.98085655472057665</v>
      </c>
      <c r="G65" s="409">
        <v>0.95899459262308429</v>
      </c>
      <c r="H65" s="60"/>
      <c r="I65" s="57"/>
      <c r="J65" s="57"/>
      <c r="K65" s="57"/>
      <c r="L65" s="57"/>
      <c r="M65" s="57"/>
      <c r="N65" s="57"/>
      <c r="O65" s="57"/>
      <c r="P65" s="57"/>
      <c r="Q65" s="57"/>
      <c r="R65" s="57"/>
      <c r="S65" s="57"/>
      <c r="T65" s="57"/>
      <c r="U65" s="57"/>
      <c r="V65" s="57"/>
      <c r="W65" s="154"/>
      <c r="X65" s="154"/>
      <c r="Y65" s="154"/>
      <c r="Z65" s="57"/>
    </row>
    <row r="66" spans="1:26" x14ac:dyDescent="0.25">
      <c r="C66" s="57"/>
      <c r="D66" s="57"/>
      <c r="E66" s="57"/>
      <c r="F66" s="60"/>
      <c r="G66" s="60"/>
      <c r="H66" s="60"/>
      <c r="I66" s="57"/>
      <c r="J66" s="57"/>
      <c r="K66" s="57"/>
      <c r="L66" s="57"/>
      <c r="M66" s="57"/>
      <c r="N66" s="57"/>
      <c r="O66" s="57"/>
      <c r="P66" s="57"/>
      <c r="Q66" s="57"/>
      <c r="R66" s="57"/>
      <c r="S66" s="57"/>
      <c r="T66" s="57"/>
      <c r="U66" s="260"/>
      <c r="V66" s="260"/>
      <c r="W66" s="154"/>
      <c r="X66" s="154"/>
      <c r="Y66" s="154"/>
      <c r="Z66" s="57"/>
    </row>
    <row r="67" spans="1:26" x14ac:dyDescent="0.25">
      <c r="C67" s="57"/>
      <c r="D67" s="57"/>
      <c r="E67" s="57"/>
      <c r="F67" s="60"/>
      <c r="G67" s="60"/>
      <c r="H67" s="60"/>
      <c r="I67" s="57"/>
      <c r="J67" s="57"/>
      <c r="K67" s="57"/>
      <c r="L67" s="57"/>
      <c r="M67" s="57"/>
      <c r="N67" s="57"/>
      <c r="O67" s="57"/>
      <c r="P67" s="57"/>
      <c r="Q67" s="57"/>
      <c r="R67" s="57"/>
      <c r="S67" s="57"/>
      <c r="T67" s="57"/>
      <c r="U67" s="57"/>
      <c r="V67" s="57"/>
      <c r="W67" s="57"/>
      <c r="X67" s="57"/>
      <c r="Y67" s="404"/>
      <c r="Z67" s="57"/>
    </row>
    <row r="68" spans="1:26" x14ac:dyDescent="0.25">
      <c r="C68" s="57"/>
      <c r="D68" s="57"/>
      <c r="E68" s="57"/>
      <c r="F68" s="60"/>
      <c r="G68" s="60"/>
      <c r="H68" s="60"/>
      <c r="I68" s="57"/>
      <c r="J68" s="57"/>
      <c r="K68" s="57"/>
      <c r="L68" s="57"/>
      <c r="M68" s="57"/>
      <c r="N68" s="57"/>
      <c r="O68" s="57"/>
      <c r="P68" s="57"/>
      <c r="Q68" s="57"/>
      <c r="R68" s="57"/>
      <c r="S68" s="57"/>
      <c r="T68" s="57"/>
      <c r="U68" s="57"/>
      <c r="V68" s="57"/>
      <c r="W68" s="57"/>
      <c r="X68" s="57"/>
      <c r="Y68" s="57"/>
      <c r="Z68" s="57"/>
    </row>
    <row r="69" spans="1:26" x14ac:dyDescent="0.25">
      <c r="C69" s="57"/>
      <c r="D69" s="57"/>
      <c r="E69" s="57"/>
      <c r="F69" s="60"/>
      <c r="G69" s="60"/>
      <c r="H69" s="60"/>
      <c r="I69" s="57"/>
      <c r="J69" s="57"/>
      <c r="K69" s="57"/>
      <c r="L69" s="57"/>
      <c r="M69" s="57"/>
      <c r="N69" s="57"/>
      <c r="O69" s="57"/>
      <c r="P69" s="57"/>
      <c r="Q69" s="57"/>
      <c r="R69" s="57"/>
      <c r="S69" s="57"/>
      <c r="T69" s="57"/>
      <c r="U69" s="57"/>
      <c r="V69" s="57"/>
      <c r="W69" s="57"/>
      <c r="X69" s="57"/>
      <c r="Y69" s="57"/>
      <c r="Z69" s="57"/>
    </row>
    <row r="70" spans="1:26" x14ac:dyDescent="0.25">
      <c r="C70" s="57"/>
      <c r="D70" s="57"/>
      <c r="E70" s="57"/>
      <c r="F70" s="60"/>
      <c r="G70" s="60"/>
      <c r="H70" s="60"/>
      <c r="I70" s="57"/>
      <c r="J70" s="57"/>
      <c r="K70" s="57"/>
      <c r="L70" s="57"/>
      <c r="M70" s="57"/>
      <c r="N70" s="57"/>
      <c r="O70" s="57"/>
      <c r="P70" s="57"/>
      <c r="Q70" s="57"/>
      <c r="R70" s="57"/>
      <c r="S70" s="57"/>
      <c r="T70" s="57"/>
      <c r="U70" s="57"/>
      <c r="V70" s="57"/>
      <c r="W70" s="57"/>
      <c r="X70" s="57"/>
      <c r="Y70" s="57"/>
      <c r="Z70" s="57"/>
    </row>
    <row r="71" spans="1:26" x14ac:dyDescent="0.25">
      <c r="C71" s="57"/>
      <c r="D71" s="57"/>
      <c r="E71" s="57"/>
      <c r="F71" s="60"/>
      <c r="G71" s="60"/>
      <c r="H71" s="60"/>
      <c r="I71" s="57"/>
      <c r="J71" s="57"/>
      <c r="K71" s="57"/>
      <c r="L71" s="57"/>
      <c r="M71" s="57"/>
      <c r="N71" s="57"/>
      <c r="O71" s="57"/>
      <c r="P71" s="57"/>
      <c r="Q71" s="57"/>
      <c r="R71" s="57"/>
      <c r="S71" s="57"/>
      <c r="T71" s="57"/>
      <c r="U71" s="57"/>
      <c r="V71" s="57"/>
      <c r="W71" s="57"/>
      <c r="X71" s="57"/>
      <c r="Y71" s="57"/>
      <c r="Z71" s="57"/>
    </row>
    <row r="72" spans="1:26" x14ac:dyDescent="0.25">
      <c r="C72" s="57"/>
      <c r="D72" s="57"/>
      <c r="E72" s="57"/>
      <c r="F72" s="60"/>
      <c r="G72" s="60"/>
      <c r="H72" s="60"/>
      <c r="I72" s="57"/>
      <c r="J72" s="57"/>
      <c r="K72" s="57"/>
      <c r="L72" s="57"/>
      <c r="M72" s="405"/>
      <c r="N72" s="57"/>
      <c r="O72" s="57"/>
      <c r="P72" s="57"/>
      <c r="Q72" s="57"/>
      <c r="R72" s="57"/>
      <c r="S72" s="57"/>
      <c r="T72" s="57"/>
      <c r="U72" s="57"/>
      <c r="V72" s="57"/>
      <c r="W72" s="57"/>
      <c r="X72" s="57"/>
      <c r="Y72" s="57"/>
      <c r="Z72" s="57"/>
    </row>
    <row r="73" spans="1:26" x14ac:dyDescent="0.25">
      <c r="C73" s="57"/>
      <c r="D73" s="57"/>
      <c r="E73" s="57"/>
      <c r="F73" s="60"/>
      <c r="G73" s="60"/>
      <c r="H73" s="60"/>
      <c r="I73" s="57"/>
      <c r="J73" s="57"/>
      <c r="K73" s="57"/>
      <c r="L73" s="57"/>
      <c r="M73" s="405"/>
      <c r="N73" s="57"/>
      <c r="O73" s="57"/>
      <c r="P73" s="57"/>
      <c r="Q73" s="57"/>
      <c r="R73" s="57"/>
      <c r="S73" s="57"/>
      <c r="T73" s="57"/>
      <c r="U73" s="57"/>
      <c r="V73" s="57"/>
      <c r="W73" s="57"/>
      <c r="X73" s="57"/>
      <c r="Y73" s="57"/>
      <c r="Z73" s="57"/>
    </row>
    <row r="74" spans="1:26" x14ac:dyDescent="0.25">
      <c r="C74" s="57"/>
      <c r="D74" s="57"/>
      <c r="E74" s="57"/>
      <c r="F74" s="60"/>
      <c r="G74" s="60"/>
      <c r="H74" s="60"/>
      <c r="I74" s="57"/>
      <c r="J74" s="57"/>
      <c r="K74" s="57"/>
      <c r="L74" s="57"/>
      <c r="M74" s="405"/>
      <c r="N74" s="57"/>
      <c r="O74" s="57"/>
      <c r="P74" s="57"/>
      <c r="Q74" s="57"/>
      <c r="R74" s="57"/>
      <c r="S74" s="57"/>
      <c r="T74" s="57"/>
      <c r="U74" s="57"/>
      <c r="V74" s="57"/>
      <c r="W74" s="57"/>
      <c r="X74" s="57"/>
      <c r="Y74" s="57"/>
      <c r="Z74" s="57"/>
    </row>
    <row r="75" spans="1:26" x14ac:dyDescent="0.25">
      <c r="C75" s="57"/>
      <c r="D75" s="57"/>
      <c r="E75" s="57"/>
      <c r="F75" s="60"/>
      <c r="G75" s="60"/>
      <c r="H75" s="60"/>
      <c r="I75" s="57"/>
      <c r="J75" s="57"/>
      <c r="K75" s="57"/>
      <c r="L75" s="57"/>
      <c r="M75" s="405"/>
      <c r="N75" s="57"/>
      <c r="O75" s="57"/>
      <c r="P75" s="57"/>
      <c r="Q75" s="57"/>
      <c r="R75" s="57"/>
      <c r="S75" s="57"/>
      <c r="T75" s="57"/>
      <c r="U75" s="57"/>
      <c r="V75" s="57"/>
      <c r="W75" s="57"/>
      <c r="X75" s="57"/>
      <c r="Y75" s="57"/>
      <c r="Z75" s="57"/>
    </row>
    <row r="76" spans="1:26" x14ac:dyDescent="0.25">
      <c r="C76" s="57"/>
      <c r="D76" s="57"/>
      <c r="E76" s="57"/>
      <c r="F76" s="60"/>
      <c r="G76" s="60"/>
      <c r="H76" s="60"/>
      <c r="I76" s="57"/>
      <c r="J76" s="57"/>
      <c r="K76" s="57"/>
      <c r="L76" s="57"/>
      <c r="M76" s="57"/>
      <c r="N76" s="57"/>
      <c r="O76" s="57"/>
      <c r="P76" s="57"/>
      <c r="Q76" s="57"/>
      <c r="R76" s="57"/>
      <c r="S76" s="57"/>
      <c r="T76" s="57"/>
      <c r="U76" s="57"/>
      <c r="V76" s="57"/>
      <c r="W76" s="57"/>
      <c r="X76" s="57"/>
      <c r="Y76" s="57"/>
      <c r="Z76" s="57"/>
    </row>
    <row r="77" spans="1:26" x14ac:dyDescent="0.25">
      <c r="C77" s="57"/>
      <c r="D77" s="57"/>
      <c r="E77" s="57"/>
      <c r="F77" s="60"/>
      <c r="G77" s="60"/>
      <c r="H77" s="60"/>
      <c r="I77" s="57"/>
      <c r="J77" s="57"/>
      <c r="K77" s="57"/>
      <c r="L77" s="57"/>
      <c r="M77" s="57"/>
      <c r="N77" s="57"/>
      <c r="O77" s="57"/>
      <c r="P77" s="57"/>
      <c r="Q77" s="57"/>
      <c r="R77" s="57"/>
      <c r="S77" s="57"/>
      <c r="T77" s="57"/>
      <c r="U77" s="57"/>
      <c r="V77" s="57"/>
      <c r="W77" s="57"/>
      <c r="X77" s="57"/>
      <c r="Y77" s="57"/>
      <c r="Z77" s="57"/>
    </row>
    <row r="78" spans="1:26" x14ac:dyDescent="0.25">
      <c r="C78" s="57"/>
      <c r="D78" s="57"/>
      <c r="E78" s="57"/>
      <c r="F78" s="60"/>
      <c r="G78" s="60"/>
      <c r="H78" s="60"/>
      <c r="I78" s="57"/>
      <c r="J78" s="57"/>
      <c r="K78" s="57"/>
      <c r="L78" s="57"/>
      <c r="M78" s="57"/>
      <c r="N78" s="57"/>
      <c r="O78" s="57"/>
      <c r="P78" s="57"/>
      <c r="Q78" s="57"/>
      <c r="R78" s="57"/>
      <c r="S78" s="57"/>
      <c r="T78" s="57"/>
      <c r="U78" s="57"/>
      <c r="V78" s="57"/>
      <c r="W78" s="57"/>
      <c r="X78" s="57"/>
      <c r="Y78" s="57"/>
      <c r="Z78" s="57"/>
    </row>
    <row r="79" spans="1:26" x14ac:dyDescent="0.25">
      <c r="C79" s="57"/>
      <c r="D79" s="57"/>
      <c r="E79" s="57"/>
      <c r="F79" s="60"/>
      <c r="G79" s="60"/>
      <c r="H79" s="60"/>
      <c r="I79" s="57"/>
      <c r="J79" s="57"/>
      <c r="K79" s="57"/>
      <c r="L79" s="57"/>
      <c r="M79" s="57"/>
      <c r="N79" s="57"/>
      <c r="O79" s="57"/>
      <c r="P79" s="57"/>
      <c r="Q79" s="57"/>
      <c r="R79" s="57"/>
      <c r="S79" s="57"/>
      <c r="T79" s="57"/>
      <c r="U79" s="57"/>
      <c r="V79" s="57"/>
      <c r="W79" s="57"/>
      <c r="X79" s="57"/>
      <c r="Y79" s="57"/>
      <c r="Z79" s="57"/>
    </row>
    <row r="80" spans="1:26" x14ac:dyDescent="0.25">
      <c r="C80" s="57"/>
      <c r="D80" s="57"/>
      <c r="E80" s="57"/>
      <c r="F80" s="60"/>
      <c r="G80" s="60"/>
      <c r="H80" s="60"/>
      <c r="I80" s="57"/>
      <c r="J80" s="57"/>
      <c r="K80" s="57"/>
      <c r="L80" s="57"/>
      <c r="M80" s="57"/>
      <c r="N80" s="57"/>
      <c r="O80" s="57"/>
      <c r="P80" s="57"/>
      <c r="Q80" s="57"/>
      <c r="R80" s="57"/>
      <c r="S80" s="57"/>
      <c r="T80" s="57"/>
      <c r="U80" s="57"/>
      <c r="V80" s="57"/>
      <c r="W80" s="57"/>
      <c r="X80" s="57"/>
      <c r="Y80" s="57"/>
      <c r="Z80" s="57"/>
    </row>
    <row r="81" spans="3:26" x14ac:dyDescent="0.25">
      <c r="C81" s="57"/>
      <c r="D81" s="57"/>
      <c r="E81" s="57"/>
      <c r="F81" s="60"/>
      <c r="G81" s="60"/>
      <c r="H81" s="60"/>
      <c r="I81" s="57"/>
      <c r="J81" s="57"/>
      <c r="K81" s="57"/>
      <c r="L81" s="57"/>
      <c r="M81" s="57"/>
      <c r="N81" s="57"/>
      <c r="O81" s="57"/>
      <c r="P81" s="57"/>
      <c r="Q81" s="57"/>
      <c r="R81" s="57"/>
      <c r="S81" s="57"/>
      <c r="T81" s="57"/>
      <c r="U81" s="57"/>
      <c r="V81" s="57"/>
      <c r="W81" s="57"/>
      <c r="X81" s="57"/>
      <c r="Y81" s="57"/>
      <c r="Z81" s="57"/>
    </row>
    <row r="82" spans="3:26" x14ac:dyDescent="0.25">
      <c r="C82" s="57"/>
      <c r="D82" s="57"/>
      <c r="E82" s="57"/>
      <c r="F82" s="60"/>
      <c r="G82" s="60"/>
      <c r="H82" s="60"/>
      <c r="I82" s="57"/>
      <c r="J82" s="57"/>
      <c r="K82" s="57"/>
      <c r="L82" s="57"/>
      <c r="M82" s="57"/>
      <c r="N82" s="57"/>
      <c r="O82" s="57"/>
      <c r="P82" s="57"/>
      <c r="Q82" s="57"/>
      <c r="R82" s="57"/>
      <c r="S82" s="57"/>
      <c r="T82" s="57"/>
      <c r="U82" s="57"/>
      <c r="V82" s="57"/>
      <c r="W82" s="57"/>
      <c r="X82" s="57"/>
      <c r="Y82" s="57"/>
      <c r="Z82" s="57"/>
    </row>
    <row r="83" spans="3:26" x14ac:dyDescent="0.25">
      <c r="C83" s="57"/>
      <c r="D83" s="57"/>
      <c r="E83" s="57"/>
      <c r="F83" s="60"/>
      <c r="G83" s="60"/>
      <c r="H83" s="60"/>
      <c r="I83" s="57"/>
      <c r="J83" s="57"/>
      <c r="K83" s="57"/>
      <c r="L83" s="57"/>
      <c r="M83" s="57"/>
      <c r="N83" s="57"/>
      <c r="O83" s="57"/>
      <c r="P83" s="57"/>
      <c r="Q83" s="57"/>
      <c r="R83" s="57"/>
      <c r="S83" s="57"/>
      <c r="T83" s="57"/>
      <c r="U83" s="57"/>
      <c r="V83" s="57"/>
      <c r="W83" s="57"/>
      <c r="X83" s="57"/>
      <c r="Y83" s="57"/>
      <c r="Z83" s="57"/>
    </row>
    <row r="84" spans="3:26" x14ac:dyDescent="0.25">
      <c r="C84" s="57"/>
      <c r="D84" s="57"/>
      <c r="E84" s="57"/>
      <c r="F84" s="60"/>
      <c r="G84" s="60"/>
      <c r="H84" s="60"/>
      <c r="I84" s="57"/>
      <c r="J84" s="57"/>
      <c r="K84" s="57"/>
      <c r="L84" s="57"/>
      <c r="M84" s="57"/>
      <c r="N84" s="57"/>
      <c r="O84" s="57"/>
      <c r="P84" s="57"/>
      <c r="Q84" s="57"/>
      <c r="R84" s="57"/>
      <c r="S84" s="57"/>
      <c r="T84" s="57"/>
      <c r="U84" s="57"/>
      <c r="V84" s="57"/>
      <c r="W84" s="57"/>
      <c r="X84" s="57"/>
      <c r="Y84" s="57"/>
      <c r="Z84" s="57"/>
    </row>
    <row r="85" spans="3:26" x14ac:dyDescent="0.25">
      <c r="C85" s="57"/>
      <c r="D85" s="57"/>
      <c r="E85" s="57"/>
      <c r="F85" s="60"/>
      <c r="G85" s="60"/>
      <c r="H85" s="60"/>
      <c r="I85" s="57"/>
      <c r="J85" s="57"/>
      <c r="K85" s="57"/>
      <c r="L85" s="57"/>
      <c r="M85" s="57"/>
      <c r="N85" s="57"/>
      <c r="O85" s="57"/>
      <c r="P85" s="57"/>
      <c r="Q85" s="57"/>
      <c r="R85" s="57"/>
      <c r="S85" s="57"/>
      <c r="T85" s="57"/>
      <c r="U85" s="57"/>
      <c r="V85" s="57"/>
      <c r="W85" s="57"/>
      <c r="X85" s="57"/>
      <c r="Y85" s="57"/>
      <c r="Z85" s="57"/>
    </row>
    <row r="86" spans="3:26" x14ac:dyDescent="0.25">
      <c r="C86" s="57"/>
      <c r="D86" s="57"/>
      <c r="E86" s="57"/>
      <c r="F86" s="60"/>
      <c r="G86" s="60"/>
      <c r="H86" s="60"/>
      <c r="I86" s="57"/>
      <c r="J86" s="57"/>
      <c r="K86" s="57"/>
      <c r="L86" s="57"/>
      <c r="M86" s="57"/>
      <c r="N86" s="57"/>
      <c r="O86" s="57"/>
      <c r="P86" s="57"/>
      <c r="Q86" s="57"/>
      <c r="R86" s="57"/>
      <c r="S86" s="57"/>
      <c r="T86" s="57"/>
      <c r="U86" s="57"/>
      <c r="V86" s="57"/>
      <c r="W86" s="57"/>
      <c r="X86" s="57"/>
      <c r="Y86" s="57"/>
      <c r="Z86" s="57"/>
    </row>
    <row r="87" spans="3:26" x14ac:dyDescent="0.25">
      <c r="C87" s="57"/>
      <c r="D87" s="57"/>
      <c r="E87" s="57"/>
      <c r="F87" s="60"/>
      <c r="G87" s="60"/>
      <c r="H87" s="60"/>
      <c r="I87" s="57"/>
      <c r="J87" s="57"/>
      <c r="K87" s="57"/>
      <c r="L87" s="57"/>
      <c r="M87" s="57"/>
      <c r="N87" s="57"/>
      <c r="O87" s="57"/>
      <c r="P87" s="57"/>
      <c r="Q87" s="57"/>
      <c r="R87" s="57"/>
      <c r="S87" s="57"/>
      <c r="T87" s="57"/>
      <c r="U87" s="57"/>
      <c r="V87" s="57"/>
      <c r="W87" s="57"/>
      <c r="X87" s="57"/>
      <c r="Y87" s="57"/>
      <c r="Z87" s="57"/>
    </row>
    <row r="88" spans="3:26" x14ac:dyDescent="0.25">
      <c r="C88" s="57"/>
      <c r="D88" s="57"/>
      <c r="E88" s="57"/>
      <c r="F88" s="60"/>
      <c r="G88" s="60"/>
      <c r="H88" s="60"/>
      <c r="I88" s="57"/>
      <c r="J88" s="57"/>
      <c r="K88" s="57"/>
      <c r="L88" s="57"/>
      <c r="M88" s="57"/>
      <c r="N88" s="57"/>
      <c r="O88" s="57"/>
      <c r="P88" s="57"/>
      <c r="Q88" s="57"/>
      <c r="R88" s="57"/>
      <c r="S88" s="57"/>
      <c r="T88" s="57"/>
      <c r="U88" s="57"/>
      <c r="V88" s="57"/>
      <c r="W88" s="57"/>
      <c r="X88" s="57"/>
      <c r="Y88" s="57"/>
      <c r="Z88" s="57"/>
    </row>
    <row r="89" spans="3:26" x14ac:dyDescent="0.25">
      <c r="C89" s="57"/>
      <c r="D89" s="57"/>
      <c r="E89" s="57"/>
      <c r="F89" s="60"/>
      <c r="G89" s="60"/>
      <c r="H89" s="60"/>
      <c r="I89" s="57"/>
      <c r="J89" s="57"/>
      <c r="K89" s="57"/>
      <c r="L89" s="57"/>
      <c r="M89" s="57"/>
      <c r="N89" s="57"/>
      <c r="O89" s="57"/>
      <c r="P89" s="57"/>
      <c r="Q89" s="57"/>
      <c r="R89" s="57"/>
      <c r="S89" s="57"/>
      <c r="T89" s="57"/>
      <c r="U89" s="57"/>
      <c r="V89" s="57"/>
      <c r="W89" s="57"/>
      <c r="X89" s="57"/>
      <c r="Y89" s="57"/>
      <c r="Z89" s="57"/>
    </row>
    <row r="90" spans="3:26" x14ac:dyDescent="0.25">
      <c r="C90" s="57"/>
      <c r="D90" s="57"/>
      <c r="E90" s="57"/>
      <c r="F90" s="60"/>
      <c r="G90" s="60"/>
      <c r="H90" s="60"/>
      <c r="I90" s="57"/>
      <c r="J90" s="57"/>
      <c r="K90" s="57"/>
      <c r="L90" s="57"/>
      <c r="M90" s="57"/>
      <c r="N90" s="57"/>
      <c r="O90" s="57"/>
      <c r="P90" s="57"/>
      <c r="Q90" s="57"/>
      <c r="R90" s="57"/>
      <c r="S90" s="57"/>
      <c r="T90" s="57"/>
      <c r="U90" s="57"/>
      <c r="V90" s="57"/>
      <c r="W90" s="57"/>
      <c r="X90" s="57"/>
      <c r="Y90" s="57"/>
      <c r="Z90" s="57"/>
    </row>
    <row r="91" spans="3:26" x14ac:dyDescent="0.25">
      <c r="C91" s="57"/>
      <c r="D91" s="57"/>
      <c r="E91" s="57"/>
      <c r="F91" s="60"/>
      <c r="G91" s="60"/>
      <c r="H91" s="60"/>
      <c r="I91" s="57"/>
      <c r="J91" s="57"/>
      <c r="K91" s="57"/>
      <c r="L91" s="57"/>
      <c r="M91" s="57"/>
      <c r="N91" s="57"/>
      <c r="O91" s="57"/>
      <c r="P91" s="57"/>
      <c r="Q91" s="57"/>
      <c r="R91" s="57"/>
      <c r="S91" s="57"/>
      <c r="T91" s="57"/>
      <c r="U91" s="57"/>
      <c r="V91" s="57"/>
      <c r="W91" s="57"/>
      <c r="X91" s="57"/>
      <c r="Y91" s="57"/>
      <c r="Z91" s="57"/>
    </row>
    <row r="92" spans="3:26" x14ac:dyDescent="0.25">
      <c r="C92" s="57"/>
      <c r="D92" s="57"/>
      <c r="E92" s="57"/>
      <c r="F92" s="60"/>
      <c r="G92" s="60"/>
      <c r="H92" s="60"/>
      <c r="I92" s="57"/>
      <c r="J92" s="57"/>
      <c r="K92" s="57"/>
      <c r="L92" s="57"/>
      <c r="M92" s="57"/>
      <c r="N92" s="57"/>
      <c r="O92" s="57"/>
      <c r="P92" s="57"/>
      <c r="Q92" s="57"/>
      <c r="R92" s="57"/>
      <c r="S92" s="57"/>
      <c r="T92" s="57"/>
      <c r="U92" s="57"/>
      <c r="V92" s="57"/>
      <c r="W92" s="57"/>
      <c r="X92" s="57"/>
      <c r="Y92" s="57"/>
      <c r="Z92" s="57"/>
    </row>
    <row r="93" spans="3:26" x14ac:dyDescent="0.25">
      <c r="C93" s="57"/>
      <c r="D93" s="57"/>
      <c r="E93" s="57"/>
      <c r="F93" s="60"/>
      <c r="G93" s="60"/>
      <c r="H93" s="60"/>
      <c r="I93" s="57"/>
      <c r="J93" s="57"/>
      <c r="K93" s="57"/>
      <c r="L93" s="57"/>
      <c r="M93" s="57"/>
      <c r="N93" s="57"/>
      <c r="O93" s="57"/>
      <c r="P93" s="57"/>
      <c r="Q93" s="57"/>
      <c r="R93" s="57"/>
      <c r="S93" s="57"/>
      <c r="T93" s="57"/>
      <c r="U93" s="57"/>
      <c r="V93" s="57"/>
      <c r="W93" s="57"/>
      <c r="X93" s="57"/>
      <c r="Y93" s="57"/>
      <c r="Z93" s="57"/>
    </row>
    <row r="94" spans="3:26" x14ac:dyDescent="0.25">
      <c r="C94" s="57"/>
      <c r="D94" s="57"/>
      <c r="E94" s="57"/>
      <c r="F94" s="60"/>
      <c r="G94" s="60"/>
      <c r="H94" s="60"/>
      <c r="I94" s="57"/>
      <c r="J94" s="57"/>
      <c r="K94" s="57"/>
      <c r="L94" s="57"/>
      <c r="M94" s="57"/>
      <c r="N94" s="57"/>
      <c r="O94" s="57"/>
      <c r="P94" s="57"/>
      <c r="Q94" s="57"/>
      <c r="R94" s="57"/>
      <c r="S94" s="57"/>
      <c r="T94" s="57"/>
      <c r="U94" s="57"/>
      <c r="V94" s="57"/>
      <c r="W94" s="57"/>
      <c r="X94" s="57"/>
      <c r="Y94" s="57"/>
      <c r="Z94" s="57"/>
    </row>
    <row r="95" spans="3:26" x14ac:dyDescent="0.25">
      <c r="C95" s="57"/>
      <c r="D95" s="57"/>
      <c r="E95" s="57"/>
      <c r="F95" s="60"/>
      <c r="G95" s="60"/>
      <c r="H95" s="60"/>
      <c r="I95" s="57"/>
      <c r="J95" s="57"/>
      <c r="K95" s="57"/>
      <c r="L95" s="57"/>
      <c r="M95" s="57"/>
      <c r="N95" s="57"/>
      <c r="O95" s="57"/>
      <c r="P95" s="57"/>
      <c r="Q95" s="57"/>
      <c r="R95" s="57"/>
      <c r="S95" s="57"/>
      <c r="T95" s="57"/>
      <c r="U95" s="57"/>
      <c r="V95" s="57"/>
      <c r="W95" s="57"/>
      <c r="X95" s="57"/>
      <c r="Y95" s="57"/>
      <c r="Z95" s="57"/>
    </row>
    <row r="96" spans="3:26" x14ac:dyDescent="0.25">
      <c r="C96" s="57"/>
      <c r="D96" s="57"/>
      <c r="E96" s="57"/>
      <c r="F96" s="60"/>
      <c r="G96" s="60"/>
      <c r="H96" s="60"/>
      <c r="I96" s="57"/>
      <c r="J96" s="57"/>
      <c r="K96" s="57"/>
      <c r="L96" s="57"/>
      <c r="M96" s="57"/>
      <c r="N96" s="57"/>
      <c r="O96" s="57"/>
      <c r="P96" s="57"/>
      <c r="Q96" s="57"/>
      <c r="R96" s="57"/>
      <c r="S96" s="57"/>
      <c r="T96" s="57"/>
      <c r="U96" s="57"/>
      <c r="V96" s="57"/>
      <c r="W96" s="57"/>
      <c r="X96" s="57"/>
      <c r="Y96" s="57"/>
      <c r="Z96" s="57"/>
    </row>
    <row r="97" spans="3:26" x14ac:dyDescent="0.25">
      <c r="C97" s="57"/>
      <c r="D97" s="57"/>
      <c r="E97" s="57"/>
      <c r="F97" s="60"/>
      <c r="G97" s="60"/>
      <c r="H97" s="60"/>
      <c r="I97" s="57"/>
      <c r="J97" s="57"/>
      <c r="K97" s="57"/>
      <c r="L97" s="57"/>
      <c r="M97" s="57"/>
      <c r="N97" s="57"/>
      <c r="O97" s="57"/>
      <c r="P97" s="57"/>
      <c r="Q97" s="57"/>
      <c r="R97" s="57"/>
      <c r="S97" s="57"/>
      <c r="T97" s="57"/>
      <c r="U97" s="57"/>
      <c r="V97" s="57"/>
      <c r="W97" s="57"/>
      <c r="X97" s="57"/>
      <c r="Y97" s="57"/>
      <c r="Z97" s="57"/>
    </row>
    <row r="98" spans="3:26" x14ac:dyDescent="0.25">
      <c r="C98" s="57"/>
      <c r="D98" s="57"/>
      <c r="E98" s="57"/>
      <c r="F98" s="60"/>
      <c r="G98" s="60"/>
      <c r="H98" s="60"/>
      <c r="I98" s="57"/>
      <c r="J98" s="57"/>
      <c r="K98" s="57"/>
      <c r="L98" s="57"/>
      <c r="M98" s="57"/>
      <c r="N98" s="57"/>
      <c r="O98" s="57"/>
      <c r="P98" s="57"/>
      <c r="Q98" s="57"/>
      <c r="R98" s="57"/>
      <c r="S98" s="57"/>
      <c r="T98" s="57"/>
      <c r="U98" s="57"/>
      <c r="V98" s="57"/>
      <c r="W98" s="57"/>
      <c r="X98" s="57"/>
      <c r="Y98" s="57"/>
      <c r="Z98" s="57"/>
    </row>
    <row r="99" spans="3:26" x14ac:dyDescent="0.25">
      <c r="C99" s="57"/>
      <c r="D99" s="57"/>
      <c r="E99" s="57"/>
      <c r="F99" s="60"/>
      <c r="G99" s="60"/>
      <c r="H99" s="60"/>
      <c r="I99" s="57"/>
      <c r="J99" s="57"/>
      <c r="K99" s="57"/>
      <c r="L99" s="57"/>
      <c r="M99" s="57"/>
      <c r="N99" s="57"/>
      <c r="O99" s="57"/>
      <c r="P99" s="57"/>
      <c r="Q99" s="57"/>
      <c r="R99" s="57"/>
      <c r="S99" s="57"/>
      <c r="T99" s="57"/>
      <c r="U99" s="57"/>
      <c r="V99" s="57"/>
      <c r="W99" s="57"/>
      <c r="X99" s="57"/>
      <c r="Y99" s="57"/>
      <c r="Z99" s="57"/>
    </row>
    <row r="100" spans="3:26" x14ac:dyDescent="0.25">
      <c r="C100" s="57"/>
      <c r="D100" s="57"/>
      <c r="E100" s="57"/>
      <c r="F100" s="60"/>
      <c r="G100" s="60"/>
      <c r="H100" s="60"/>
      <c r="I100" s="57"/>
      <c r="J100" s="57"/>
      <c r="K100" s="57"/>
      <c r="L100" s="57"/>
      <c r="M100" s="57"/>
      <c r="N100" s="57"/>
      <c r="O100" s="57"/>
      <c r="P100" s="57"/>
      <c r="Q100" s="57"/>
      <c r="R100" s="57"/>
      <c r="S100" s="57"/>
      <c r="T100" s="57"/>
      <c r="U100" s="57"/>
      <c r="V100" s="57"/>
      <c r="W100" s="57"/>
      <c r="X100" s="57"/>
      <c r="Y100" s="57"/>
      <c r="Z100" s="57"/>
    </row>
    <row r="101" spans="3:26" x14ac:dyDescent="0.25">
      <c r="C101" s="57"/>
      <c r="D101" s="57"/>
      <c r="E101" s="57"/>
      <c r="F101" s="60"/>
      <c r="G101" s="60"/>
      <c r="H101" s="60"/>
      <c r="I101" s="57"/>
      <c r="J101" s="57"/>
      <c r="K101" s="57"/>
      <c r="L101" s="57"/>
      <c r="M101" s="57"/>
      <c r="N101" s="57"/>
      <c r="O101" s="57"/>
      <c r="P101" s="57"/>
      <c r="Q101" s="57"/>
      <c r="R101" s="57"/>
      <c r="S101" s="57"/>
      <c r="T101" s="57"/>
      <c r="U101" s="57"/>
      <c r="V101" s="57"/>
      <c r="W101" s="57"/>
      <c r="X101" s="57"/>
      <c r="Y101" s="57"/>
      <c r="Z101" s="57"/>
    </row>
    <row r="102" spans="3:26" x14ac:dyDescent="0.25">
      <c r="C102" s="57"/>
      <c r="D102" s="57"/>
      <c r="E102" s="57"/>
      <c r="F102" s="60"/>
      <c r="G102" s="60"/>
      <c r="H102" s="60"/>
      <c r="I102" s="57"/>
      <c r="J102" s="57"/>
      <c r="K102" s="57"/>
      <c r="L102" s="57"/>
      <c r="M102" s="57"/>
      <c r="N102" s="57"/>
      <c r="O102" s="57"/>
      <c r="P102" s="57"/>
      <c r="Q102" s="57"/>
      <c r="R102" s="57"/>
      <c r="S102" s="57"/>
      <c r="T102" s="57"/>
      <c r="U102" s="57"/>
      <c r="V102" s="57"/>
      <c r="W102" s="57"/>
      <c r="X102" s="57"/>
      <c r="Y102" s="57"/>
      <c r="Z102" s="57"/>
    </row>
    <row r="103" spans="3:26" x14ac:dyDescent="0.25">
      <c r="C103" s="57"/>
      <c r="D103" s="57"/>
      <c r="E103" s="57"/>
      <c r="F103" s="60"/>
      <c r="G103" s="60"/>
      <c r="H103" s="60"/>
      <c r="I103" s="57"/>
      <c r="J103" s="57"/>
      <c r="K103" s="57"/>
      <c r="L103" s="57"/>
      <c r="M103" s="57"/>
      <c r="N103" s="57"/>
      <c r="O103" s="57"/>
      <c r="P103" s="57"/>
      <c r="Q103" s="57"/>
      <c r="R103" s="57"/>
      <c r="S103" s="57"/>
      <c r="T103" s="57"/>
      <c r="U103" s="57"/>
      <c r="V103" s="57"/>
      <c r="W103" s="57"/>
      <c r="X103" s="57"/>
      <c r="Y103" s="57"/>
      <c r="Z103" s="57"/>
    </row>
    <row r="104" spans="3:26" x14ac:dyDescent="0.25">
      <c r="C104" s="57"/>
      <c r="D104" s="57"/>
      <c r="E104" s="57"/>
      <c r="F104" s="60"/>
      <c r="G104" s="60"/>
      <c r="H104" s="60"/>
      <c r="I104" s="57"/>
      <c r="J104" s="57"/>
      <c r="K104" s="57"/>
      <c r="L104" s="57"/>
      <c r="M104" s="57"/>
      <c r="N104" s="57"/>
      <c r="O104" s="57"/>
      <c r="P104" s="57"/>
      <c r="Q104" s="57"/>
      <c r="R104" s="57"/>
      <c r="S104" s="57"/>
      <c r="T104" s="57"/>
      <c r="U104" s="57"/>
      <c r="V104" s="57"/>
      <c r="W104" s="57"/>
      <c r="X104" s="57"/>
      <c r="Y104" s="57"/>
      <c r="Z104" s="57"/>
    </row>
    <row r="105" spans="3:26" x14ac:dyDescent="0.25">
      <c r="C105" s="57"/>
      <c r="D105" s="57"/>
      <c r="E105" s="57"/>
      <c r="F105" s="60"/>
      <c r="G105" s="60"/>
      <c r="H105" s="60"/>
      <c r="I105" s="57"/>
      <c r="J105" s="57"/>
      <c r="K105" s="57"/>
      <c r="L105" s="57"/>
      <c r="M105" s="57"/>
      <c r="N105" s="57"/>
      <c r="O105" s="57"/>
      <c r="P105" s="57"/>
      <c r="Q105" s="57"/>
      <c r="R105" s="57"/>
      <c r="S105" s="57"/>
      <c r="T105" s="57"/>
      <c r="U105" s="57"/>
      <c r="V105" s="57"/>
      <c r="W105" s="57"/>
      <c r="X105" s="57"/>
      <c r="Y105" s="57"/>
      <c r="Z105" s="57"/>
    </row>
    <row r="106" spans="3:26" x14ac:dyDescent="0.25">
      <c r="C106" s="57"/>
      <c r="D106" s="57"/>
      <c r="E106" s="57"/>
      <c r="F106" s="60"/>
      <c r="G106" s="60"/>
      <c r="H106" s="60"/>
      <c r="I106" s="57"/>
      <c r="J106" s="57"/>
      <c r="K106" s="57"/>
      <c r="L106" s="57"/>
      <c r="M106" s="57"/>
      <c r="N106" s="57"/>
      <c r="O106" s="57"/>
      <c r="P106" s="57"/>
      <c r="Q106" s="57"/>
      <c r="R106" s="57"/>
      <c r="S106" s="57"/>
      <c r="T106" s="57"/>
      <c r="U106" s="57"/>
      <c r="V106" s="57"/>
      <c r="W106" s="57"/>
      <c r="X106" s="57"/>
      <c r="Y106" s="57"/>
      <c r="Z106" s="57"/>
    </row>
    <row r="107" spans="3:26" x14ac:dyDescent="0.25">
      <c r="C107" s="57"/>
      <c r="D107" s="57"/>
      <c r="E107" s="57"/>
      <c r="F107" s="60"/>
      <c r="G107" s="60"/>
      <c r="H107" s="60"/>
      <c r="I107" s="57"/>
      <c r="J107" s="57"/>
      <c r="K107" s="57"/>
      <c r="L107" s="57"/>
      <c r="M107" s="57"/>
      <c r="N107" s="57"/>
      <c r="O107" s="57"/>
      <c r="P107" s="57"/>
      <c r="Q107" s="57"/>
      <c r="R107" s="57"/>
      <c r="S107" s="57"/>
      <c r="T107" s="57"/>
      <c r="U107" s="57"/>
      <c r="V107" s="57"/>
      <c r="W107" s="57"/>
      <c r="X107" s="57"/>
      <c r="Y107" s="57"/>
      <c r="Z107" s="57"/>
    </row>
    <row r="108" spans="3:26" x14ac:dyDescent="0.25">
      <c r="C108" s="57"/>
      <c r="D108" s="57"/>
      <c r="E108" s="57"/>
      <c r="F108" s="60"/>
      <c r="G108" s="60"/>
      <c r="H108" s="60"/>
      <c r="I108" s="57"/>
      <c r="J108" s="57"/>
      <c r="K108" s="57"/>
      <c r="L108" s="57"/>
      <c r="M108" s="57"/>
      <c r="N108" s="57"/>
      <c r="O108" s="57"/>
      <c r="P108" s="57"/>
      <c r="Q108" s="57"/>
      <c r="R108" s="57"/>
      <c r="S108" s="57"/>
      <c r="T108" s="57"/>
      <c r="U108" s="57"/>
      <c r="V108" s="57"/>
      <c r="W108" s="57"/>
      <c r="X108" s="57"/>
      <c r="Y108" s="57"/>
      <c r="Z108" s="57"/>
    </row>
    <row r="109" spans="3:26" x14ac:dyDescent="0.25">
      <c r="C109" s="57"/>
      <c r="D109" s="57"/>
      <c r="E109" s="57"/>
      <c r="F109" s="60"/>
      <c r="G109" s="60"/>
      <c r="H109" s="60"/>
      <c r="I109" s="57"/>
      <c r="J109" s="57"/>
      <c r="K109" s="57"/>
      <c r="L109" s="57"/>
      <c r="M109" s="57"/>
      <c r="N109" s="57"/>
      <c r="O109" s="57"/>
      <c r="P109" s="57"/>
      <c r="Q109" s="57"/>
      <c r="R109" s="57"/>
      <c r="S109" s="57"/>
      <c r="T109" s="57"/>
      <c r="U109" s="57"/>
      <c r="V109" s="57"/>
      <c r="W109" s="57"/>
      <c r="X109" s="57"/>
      <c r="Y109" s="57"/>
      <c r="Z109" s="57"/>
    </row>
    <row r="110" spans="3:26" x14ac:dyDescent="0.25">
      <c r="C110" s="57"/>
      <c r="D110" s="57"/>
      <c r="E110" s="57"/>
      <c r="F110" s="60"/>
      <c r="G110" s="60"/>
      <c r="H110" s="60"/>
      <c r="I110" s="57"/>
      <c r="J110" s="57"/>
      <c r="K110" s="57"/>
      <c r="L110" s="57"/>
      <c r="M110" s="57"/>
      <c r="N110" s="57"/>
      <c r="O110" s="57"/>
      <c r="P110" s="57"/>
      <c r="Q110" s="57"/>
      <c r="R110" s="57"/>
      <c r="S110" s="57"/>
      <c r="T110" s="57"/>
      <c r="U110" s="57"/>
      <c r="V110" s="57"/>
      <c r="W110" s="57"/>
      <c r="X110" s="57"/>
      <c r="Y110" s="57"/>
      <c r="Z110" s="57"/>
    </row>
    <row r="111" spans="3:26" x14ac:dyDescent="0.25">
      <c r="C111" s="57"/>
      <c r="D111" s="57"/>
      <c r="E111" s="57"/>
      <c r="F111" s="60"/>
      <c r="G111" s="60"/>
      <c r="H111" s="60"/>
      <c r="I111" s="57"/>
      <c r="J111" s="57"/>
      <c r="K111" s="57"/>
      <c r="L111" s="57"/>
      <c r="M111" s="57"/>
      <c r="N111" s="57"/>
      <c r="O111" s="57"/>
      <c r="P111" s="57"/>
      <c r="Q111" s="57"/>
      <c r="R111" s="57"/>
      <c r="S111" s="57"/>
      <c r="T111" s="57"/>
      <c r="U111" s="57"/>
      <c r="V111" s="57"/>
      <c r="W111" s="57"/>
      <c r="X111" s="57"/>
      <c r="Y111" s="57"/>
      <c r="Z111" s="57"/>
    </row>
    <row r="112" spans="3:26" x14ac:dyDescent="0.25">
      <c r="C112" s="57"/>
      <c r="D112" s="57"/>
      <c r="E112" s="57"/>
      <c r="F112" s="60"/>
      <c r="G112" s="60"/>
      <c r="H112" s="60"/>
      <c r="I112" s="57"/>
      <c r="J112" s="57"/>
      <c r="K112" s="57"/>
      <c r="L112" s="57"/>
      <c r="M112" s="57"/>
      <c r="N112" s="57"/>
      <c r="O112" s="57"/>
      <c r="P112" s="57"/>
      <c r="Q112" s="57"/>
      <c r="R112" s="57"/>
      <c r="S112" s="57"/>
      <c r="T112" s="57"/>
      <c r="U112" s="57"/>
      <c r="V112" s="57"/>
      <c r="W112" s="57"/>
      <c r="X112" s="57"/>
      <c r="Y112" s="57"/>
      <c r="Z112" s="57"/>
    </row>
    <row r="113" spans="3:26" x14ac:dyDescent="0.25">
      <c r="C113" s="57"/>
      <c r="D113" s="57"/>
      <c r="E113" s="57"/>
      <c r="F113" s="60"/>
      <c r="G113" s="60"/>
      <c r="H113" s="60"/>
      <c r="I113" s="57"/>
      <c r="J113" s="57"/>
      <c r="K113" s="57"/>
      <c r="L113" s="57"/>
      <c r="M113" s="57"/>
      <c r="N113" s="57"/>
      <c r="O113" s="57"/>
      <c r="P113" s="57"/>
      <c r="Q113" s="57"/>
      <c r="R113" s="57"/>
      <c r="S113" s="57"/>
      <c r="T113" s="57"/>
      <c r="U113" s="57"/>
      <c r="V113" s="57"/>
      <c r="W113" s="57"/>
      <c r="X113" s="57"/>
      <c r="Y113" s="57"/>
      <c r="Z113" s="57"/>
    </row>
    <row r="114" spans="3:26" x14ac:dyDescent="0.25">
      <c r="C114" s="57"/>
      <c r="D114" s="57"/>
      <c r="E114" s="57"/>
      <c r="F114" s="60"/>
      <c r="G114" s="60"/>
      <c r="H114" s="60"/>
      <c r="I114" s="57"/>
      <c r="J114" s="57"/>
      <c r="K114" s="57"/>
      <c r="L114" s="57"/>
      <c r="M114" s="57"/>
      <c r="N114" s="57"/>
      <c r="O114" s="57"/>
      <c r="P114" s="57"/>
      <c r="Q114" s="57"/>
      <c r="R114" s="57"/>
      <c r="S114" s="57"/>
      <c r="T114" s="57"/>
      <c r="U114" s="57"/>
      <c r="V114" s="57"/>
      <c r="W114" s="57"/>
      <c r="X114" s="57"/>
      <c r="Y114" s="57"/>
      <c r="Z114" s="57"/>
    </row>
    <row r="115" spans="3:26" x14ac:dyDescent="0.25">
      <c r="C115" s="57"/>
      <c r="D115" s="57"/>
      <c r="E115" s="57"/>
      <c r="F115" s="60"/>
      <c r="G115" s="60"/>
      <c r="H115" s="60"/>
      <c r="I115" s="57"/>
      <c r="J115" s="57"/>
      <c r="K115" s="57"/>
      <c r="L115" s="57"/>
      <c r="M115" s="57"/>
      <c r="N115" s="57"/>
      <c r="O115" s="57"/>
      <c r="P115" s="57"/>
      <c r="Q115" s="57"/>
      <c r="R115" s="57"/>
      <c r="S115" s="57"/>
      <c r="T115" s="57"/>
      <c r="U115" s="57"/>
      <c r="V115" s="57"/>
      <c r="W115" s="57"/>
      <c r="X115" s="57"/>
      <c r="Y115" s="57"/>
      <c r="Z115" s="57"/>
    </row>
    <row r="116" spans="3:26" x14ac:dyDescent="0.25">
      <c r="C116" s="57"/>
      <c r="D116" s="57"/>
      <c r="E116" s="57"/>
      <c r="F116" s="60"/>
      <c r="G116" s="60"/>
      <c r="H116" s="60"/>
      <c r="I116" s="57"/>
      <c r="J116" s="57"/>
      <c r="K116" s="57"/>
      <c r="L116" s="57"/>
      <c r="M116" s="57"/>
      <c r="N116" s="57"/>
      <c r="O116" s="57"/>
      <c r="P116" s="57"/>
      <c r="Q116" s="57"/>
      <c r="R116" s="57"/>
      <c r="S116" s="57"/>
      <c r="T116" s="57"/>
      <c r="U116" s="57"/>
      <c r="V116" s="57"/>
      <c r="W116" s="57"/>
      <c r="X116" s="57"/>
      <c r="Y116" s="57"/>
      <c r="Z116" s="57"/>
    </row>
    <row r="117" spans="3:26" x14ac:dyDescent="0.25">
      <c r="C117" s="57"/>
      <c r="D117" s="57"/>
      <c r="E117" s="57"/>
      <c r="F117" s="60"/>
      <c r="G117" s="60"/>
      <c r="H117" s="60"/>
      <c r="I117" s="57"/>
      <c r="J117" s="57"/>
      <c r="K117" s="57"/>
      <c r="L117" s="57"/>
      <c r="M117" s="57"/>
      <c r="N117" s="57"/>
      <c r="O117" s="57"/>
      <c r="P117" s="57"/>
      <c r="Q117" s="57"/>
      <c r="R117" s="57"/>
      <c r="S117" s="57"/>
      <c r="T117" s="57"/>
      <c r="U117" s="57"/>
      <c r="V117" s="57"/>
      <c r="W117" s="57"/>
      <c r="X117" s="57"/>
      <c r="Y117" s="57"/>
      <c r="Z117" s="57"/>
    </row>
    <row r="118" spans="3:26" x14ac:dyDescent="0.25">
      <c r="C118" s="57"/>
      <c r="D118" s="57"/>
      <c r="E118" s="57"/>
      <c r="F118" s="60"/>
      <c r="G118" s="60"/>
      <c r="H118" s="60"/>
      <c r="I118" s="57"/>
      <c r="J118" s="57"/>
      <c r="K118" s="57"/>
      <c r="L118" s="57"/>
      <c r="M118" s="57"/>
      <c r="N118" s="57"/>
      <c r="O118" s="57"/>
      <c r="P118" s="57"/>
      <c r="Q118" s="57"/>
      <c r="R118" s="57"/>
      <c r="S118" s="57"/>
      <c r="T118" s="57"/>
      <c r="U118" s="57"/>
      <c r="V118" s="57"/>
      <c r="W118" s="57"/>
      <c r="X118" s="57"/>
      <c r="Y118" s="57"/>
      <c r="Z118" s="57"/>
    </row>
    <row r="119" spans="3:26" x14ac:dyDescent="0.25">
      <c r="C119" s="57"/>
      <c r="D119" s="57"/>
      <c r="E119" s="57"/>
      <c r="F119" s="60"/>
      <c r="G119" s="60"/>
      <c r="H119" s="60"/>
      <c r="I119" s="57"/>
      <c r="J119" s="57"/>
      <c r="K119" s="57"/>
      <c r="L119" s="57"/>
      <c r="M119" s="57"/>
      <c r="N119" s="57"/>
      <c r="O119" s="57"/>
      <c r="P119" s="57"/>
      <c r="Q119" s="57"/>
      <c r="R119" s="57"/>
      <c r="S119" s="57"/>
      <c r="T119" s="57"/>
      <c r="U119" s="57"/>
      <c r="V119" s="57"/>
      <c r="W119" s="57"/>
      <c r="X119" s="57"/>
      <c r="Y119" s="57"/>
      <c r="Z119" s="57"/>
    </row>
    <row r="120" spans="3:26" x14ac:dyDescent="0.25">
      <c r="C120" s="57"/>
      <c r="D120" s="57"/>
      <c r="E120" s="57"/>
      <c r="F120" s="60"/>
      <c r="G120" s="60"/>
      <c r="H120" s="60"/>
      <c r="I120" s="57"/>
      <c r="J120" s="57"/>
      <c r="K120" s="57"/>
      <c r="L120" s="57"/>
      <c r="M120" s="57"/>
      <c r="N120" s="57"/>
      <c r="O120" s="57"/>
      <c r="P120" s="57"/>
      <c r="Q120" s="57"/>
      <c r="R120" s="57"/>
      <c r="S120" s="57"/>
      <c r="T120" s="57"/>
      <c r="U120" s="57"/>
      <c r="V120" s="57"/>
      <c r="W120" s="57"/>
      <c r="X120" s="57"/>
      <c r="Y120" s="57"/>
      <c r="Z120" s="57"/>
    </row>
    <row r="121" spans="3:26" x14ac:dyDescent="0.25">
      <c r="C121" s="57"/>
      <c r="D121" s="57"/>
      <c r="E121" s="57"/>
      <c r="F121" s="60"/>
      <c r="G121" s="60"/>
      <c r="H121" s="60"/>
      <c r="I121" s="57"/>
      <c r="J121" s="57"/>
      <c r="K121" s="57"/>
      <c r="L121" s="57"/>
      <c r="M121" s="57"/>
      <c r="N121" s="57"/>
      <c r="O121" s="57"/>
      <c r="P121" s="57"/>
      <c r="Q121" s="57"/>
      <c r="R121" s="57"/>
      <c r="S121" s="57"/>
      <c r="T121" s="57"/>
      <c r="U121" s="57"/>
      <c r="V121" s="57"/>
      <c r="W121" s="57"/>
      <c r="X121" s="57"/>
      <c r="Y121" s="57"/>
      <c r="Z121" s="57"/>
    </row>
    <row r="122" spans="3:26" x14ac:dyDescent="0.25">
      <c r="C122" s="57"/>
      <c r="D122" s="57"/>
      <c r="E122" s="57"/>
      <c r="F122" s="60"/>
      <c r="G122" s="60"/>
      <c r="H122" s="60"/>
      <c r="I122" s="57"/>
      <c r="J122" s="57"/>
      <c r="K122" s="57"/>
      <c r="L122" s="57"/>
      <c r="M122" s="57"/>
      <c r="N122" s="57"/>
      <c r="O122" s="57"/>
      <c r="P122" s="57"/>
      <c r="Q122" s="57"/>
      <c r="R122" s="57"/>
      <c r="S122" s="57"/>
      <c r="T122" s="57"/>
      <c r="U122" s="57"/>
      <c r="V122" s="57"/>
      <c r="W122" s="57"/>
      <c r="X122" s="57"/>
      <c r="Y122" s="57"/>
      <c r="Z122" s="57"/>
    </row>
    <row r="123" spans="3:26" x14ac:dyDescent="0.25">
      <c r="C123" s="57"/>
      <c r="D123" s="57"/>
      <c r="E123" s="57"/>
      <c r="F123" s="60"/>
      <c r="G123" s="60"/>
      <c r="H123" s="60"/>
      <c r="I123" s="57"/>
      <c r="J123" s="57"/>
      <c r="K123" s="57"/>
      <c r="L123" s="57"/>
      <c r="M123" s="57"/>
      <c r="N123" s="57"/>
      <c r="O123" s="57"/>
      <c r="P123" s="57"/>
      <c r="Q123" s="57"/>
      <c r="R123" s="57"/>
      <c r="S123" s="57"/>
      <c r="T123" s="57"/>
      <c r="U123" s="57"/>
      <c r="V123" s="57"/>
      <c r="W123" s="57"/>
      <c r="X123" s="57"/>
      <c r="Y123" s="57"/>
      <c r="Z123" s="57"/>
    </row>
    <row r="124" spans="3:26" x14ac:dyDescent="0.25">
      <c r="C124" s="57"/>
      <c r="D124" s="57"/>
      <c r="E124" s="57"/>
      <c r="F124" s="60"/>
      <c r="G124" s="60"/>
      <c r="H124" s="60"/>
      <c r="I124" s="57"/>
      <c r="J124" s="57"/>
      <c r="K124" s="57"/>
      <c r="L124" s="57"/>
      <c r="M124" s="57"/>
      <c r="N124" s="57"/>
      <c r="O124" s="57"/>
      <c r="P124" s="57"/>
      <c r="Q124" s="57"/>
      <c r="R124" s="57"/>
      <c r="S124" s="57"/>
      <c r="T124" s="57"/>
      <c r="U124" s="57"/>
      <c r="V124" s="57"/>
      <c r="W124" s="57"/>
      <c r="X124" s="57"/>
      <c r="Y124" s="57"/>
      <c r="Z124" s="57"/>
    </row>
    <row r="125" spans="3:26" x14ac:dyDescent="0.25">
      <c r="C125" s="57"/>
      <c r="D125" s="57"/>
      <c r="E125" s="57"/>
      <c r="F125" s="60"/>
      <c r="G125" s="60"/>
      <c r="H125" s="60"/>
      <c r="I125" s="57"/>
      <c r="J125" s="57"/>
      <c r="K125" s="57"/>
      <c r="L125" s="57"/>
      <c r="M125" s="57"/>
      <c r="N125" s="57"/>
      <c r="O125" s="57"/>
      <c r="P125" s="57"/>
      <c r="Q125" s="57"/>
      <c r="R125" s="57"/>
      <c r="S125" s="57"/>
      <c r="T125" s="57"/>
      <c r="U125" s="57"/>
      <c r="V125" s="57"/>
      <c r="W125" s="57"/>
      <c r="X125" s="57"/>
      <c r="Y125" s="57"/>
      <c r="Z125" s="57"/>
    </row>
    <row r="126" spans="3:26" x14ac:dyDescent="0.25">
      <c r="C126" s="57"/>
      <c r="D126" s="57"/>
      <c r="E126" s="57"/>
      <c r="F126" s="60"/>
      <c r="G126" s="60"/>
      <c r="H126" s="60"/>
      <c r="I126" s="57"/>
      <c r="J126" s="57"/>
      <c r="K126" s="57"/>
      <c r="L126" s="57"/>
      <c r="M126" s="57"/>
      <c r="N126" s="57"/>
      <c r="O126" s="57"/>
      <c r="P126" s="57"/>
      <c r="Q126" s="57"/>
      <c r="R126" s="57"/>
      <c r="S126" s="57"/>
      <c r="T126" s="57"/>
      <c r="U126" s="57"/>
      <c r="V126" s="57"/>
      <c r="W126" s="57"/>
      <c r="X126" s="57"/>
      <c r="Y126" s="57"/>
      <c r="Z126" s="57"/>
    </row>
    <row r="127" spans="3:26" x14ac:dyDescent="0.25">
      <c r="C127" s="57"/>
      <c r="D127" s="57"/>
      <c r="E127" s="57"/>
      <c r="F127" s="60"/>
      <c r="G127" s="60"/>
      <c r="H127" s="60"/>
      <c r="I127" s="57"/>
      <c r="J127" s="57"/>
      <c r="K127" s="57"/>
      <c r="L127" s="57"/>
      <c r="M127" s="57"/>
      <c r="N127" s="57"/>
      <c r="O127" s="57"/>
      <c r="P127" s="57"/>
      <c r="Q127" s="57"/>
      <c r="R127" s="57"/>
      <c r="S127" s="57"/>
      <c r="T127" s="57"/>
      <c r="U127" s="57"/>
      <c r="V127" s="57"/>
      <c r="W127" s="57"/>
      <c r="X127" s="57"/>
      <c r="Y127" s="57"/>
      <c r="Z127" s="57"/>
    </row>
    <row r="128" spans="3:26" x14ac:dyDescent="0.25">
      <c r="C128" s="57"/>
      <c r="D128" s="57"/>
      <c r="E128" s="57"/>
      <c r="F128" s="60"/>
      <c r="G128" s="60"/>
      <c r="H128" s="60"/>
      <c r="I128" s="57"/>
      <c r="J128" s="57"/>
      <c r="K128" s="57"/>
      <c r="L128" s="57"/>
      <c r="M128" s="57"/>
      <c r="N128" s="57"/>
      <c r="O128" s="57"/>
      <c r="P128" s="57"/>
      <c r="Q128" s="57"/>
      <c r="R128" s="57"/>
      <c r="S128" s="57"/>
      <c r="T128" s="57"/>
      <c r="U128" s="57"/>
      <c r="V128" s="57"/>
      <c r="W128" s="57"/>
      <c r="X128" s="57"/>
      <c r="Y128" s="57"/>
      <c r="Z128" s="57"/>
    </row>
    <row r="129" spans="3:26" x14ac:dyDescent="0.25">
      <c r="C129" s="57"/>
      <c r="D129" s="57"/>
      <c r="E129" s="57"/>
      <c r="F129" s="60"/>
      <c r="G129" s="60"/>
      <c r="H129" s="60"/>
      <c r="I129" s="57"/>
      <c r="J129" s="57"/>
      <c r="K129" s="57"/>
      <c r="L129" s="57"/>
      <c r="M129" s="57"/>
      <c r="N129" s="57"/>
      <c r="O129" s="57"/>
      <c r="P129" s="57"/>
      <c r="Q129" s="57"/>
      <c r="R129" s="57"/>
      <c r="S129" s="57"/>
      <c r="T129" s="57"/>
      <c r="U129" s="57"/>
      <c r="V129" s="57"/>
      <c r="W129" s="57"/>
      <c r="X129" s="57"/>
      <c r="Y129" s="57"/>
      <c r="Z129" s="57"/>
    </row>
    <row r="130" spans="3:26" x14ac:dyDescent="0.25">
      <c r="C130" s="57"/>
      <c r="D130" s="57"/>
      <c r="E130" s="57"/>
      <c r="F130" s="60"/>
      <c r="G130" s="60"/>
      <c r="H130" s="60"/>
      <c r="I130" s="57"/>
      <c r="J130" s="57"/>
      <c r="K130" s="57"/>
      <c r="L130" s="57"/>
      <c r="M130" s="57"/>
      <c r="N130" s="57"/>
      <c r="O130" s="57"/>
      <c r="P130" s="57"/>
      <c r="Q130" s="57"/>
      <c r="R130" s="57"/>
      <c r="S130" s="57"/>
      <c r="T130" s="57"/>
      <c r="U130" s="57"/>
      <c r="V130" s="57"/>
      <c r="W130" s="57"/>
      <c r="X130" s="57"/>
      <c r="Y130" s="57"/>
      <c r="Z130" s="57"/>
    </row>
    <row r="131" spans="3:26" x14ac:dyDescent="0.25">
      <c r="C131" s="57"/>
      <c r="D131" s="57"/>
      <c r="E131" s="57"/>
      <c r="F131" s="60"/>
      <c r="G131" s="60"/>
      <c r="H131" s="60"/>
      <c r="I131" s="57"/>
      <c r="J131" s="57"/>
      <c r="K131" s="57"/>
      <c r="L131" s="57"/>
      <c r="M131" s="57"/>
      <c r="N131" s="57"/>
      <c r="O131" s="57"/>
      <c r="P131" s="57"/>
      <c r="Q131" s="57"/>
      <c r="R131" s="57"/>
      <c r="S131" s="57"/>
      <c r="T131" s="57"/>
      <c r="U131" s="57"/>
      <c r="V131" s="57"/>
      <c r="W131" s="57"/>
      <c r="X131" s="57"/>
      <c r="Y131" s="57"/>
      <c r="Z131" s="57"/>
    </row>
    <row r="132" spans="3:26" x14ac:dyDescent="0.25">
      <c r="C132" s="57"/>
      <c r="D132" s="57"/>
      <c r="E132" s="57"/>
      <c r="F132" s="60"/>
      <c r="G132" s="60"/>
      <c r="H132" s="60"/>
      <c r="I132" s="57"/>
      <c r="J132" s="57"/>
      <c r="K132" s="57"/>
      <c r="L132" s="57"/>
      <c r="M132" s="57"/>
      <c r="N132" s="57"/>
      <c r="O132" s="57"/>
      <c r="P132" s="57"/>
      <c r="Q132" s="57"/>
      <c r="R132" s="57"/>
      <c r="S132" s="57"/>
      <c r="T132" s="57"/>
      <c r="U132" s="57"/>
      <c r="V132" s="57"/>
      <c r="W132" s="57"/>
      <c r="X132" s="57"/>
      <c r="Y132" s="57"/>
      <c r="Z132" s="57"/>
    </row>
    <row r="133" spans="3:26" x14ac:dyDescent="0.25">
      <c r="C133" s="57"/>
      <c r="D133" s="57"/>
      <c r="E133" s="57"/>
      <c r="F133" s="60"/>
      <c r="G133" s="60"/>
      <c r="H133" s="60"/>
      <c r="I133" s="57"/>
      <c r="J133" s="57"/>
      <c r="K133" s="57"/>
      <c r="L133" s="57"/>
      <c r="M133" s="57"/>
      <c r="N133" s="57"/>
      <c r="O133" s="57"/>
      <c r="P133" s="57"/>
      <c r="Q133" s="57"/>
      <c r="R133" s="57"/>
      <c r="S133" s="57"/>
      <c r="T133" s="57"/>
      <c r="U133" s="57"/>
      <c r="V133" s="57"/>
      <c r="W133" s="57"/>
      <c r="X133" s="57"/>
      <c r="Y133" s="57"/>
      <c r="Z133" s="57"/>
    </row>
    <row r="134" spans="3:26" x14ac:dyDescent="0.25">
      <c r="C134" s="57"/>
      <c r="D134" s="57"/>
      <c r="E134" s="57"/>
      <c r="F134" s="60"/>
      <c r="G134" s="60"/>
      <c r="H134" s="60"/>
      <c r="I134" s="57"/>
      <c r="J134" s="57"/>
      <c r="K134" s="57"/>
      <c r="L134" s="57"/>
      <c r="M134" s="57"/>
      <c r="N134" s="57"/>
      <c r="O134" s="57"/>
      <c r="P134" s="57"/>
      <c r="Q134" s="57"/>
      <c r="R134" s="57"/>
      <c r="S134" s="57"/>
      <c r="T134" s="57"/>
      <c r="U134" s="57"/>
      <c r="V134" s="57"/>
      <c r="W134" s="57"/>
      <c r="X134" s="57"/>
      <c r="Y134" s="57"/>
      <c r="Z134" s="57"/>
    </row>
    <row r="135" spans="3:26" x14ac:dyDescent="0.25">
      <c r="C135" s="57"/>
      <c r="D135" s="57"/>
      <c r="E135" s="57"/>
      <c r="F135" s="60"/>
      <c r="G135" s="60"/>
      <c r="H135" s="60"/>
      <c r="I135" s="57"/>
      <c r="J135" s="57"/>
      <c r="K135" s="57"/>
      <c r="L135" s="57"/>
      <c r="M135" s="57"/>
      <c r="N135" s="57"/>
      <c r="O135" s="57"/>
      <c r="P135" s="57"/>
      <c r="Q135" s="57"/>
      <c r="R135" s="57"/>
      <c r="S135" s="57"/>
      <c r="T135" s="57"/>
      <c r="U135" s="57"/>
      <c r="V135" s="57"/>
      <c r="W135" s="57"/>
      <c r="X135" s="57"/>
      <c r="Y135" s="57"/>
      <c r="Z135" s="57"/>
    </row>
    <row r="136" spans="3:26" x14ac:dyDescent="0.25">
      <c r="C136" s="57"/>
      <c r="D136" s="57"/>
      <c r="E136" s="57"/>
      <c r="F136" s="60"/>
      <c r="G136" s="60"/>
      <c r="H136" s="60"/>
      <c r="I136" s="57"/>
      <c r="J136" s="57"/>
      <c r="K136" s="57"/>
      <c r="L136" s="57"/>
      <c r="M136" s="57"/>
      <c r="N136" s="57"/>
      <c r="O136" s="57"/>
      <c r="P136" s="57"/>
      <c r="Q136" s="57"/>
      <c r="R136" s="57"/>
      <c r="S136" s="57"/>
      <c r="T136" s="57"/>
      <c r="U136" s="57"/>
      <c r="V136" s="57"/>
      <c r="W136" s="57"/>
      <c r="X136" s="57"/>
      <c r="Y136" s="57"/>
      <c r="Z136" s="57"/>
    </row>
    <row r="137" spans="3:26" x14ac:dyDescent="0.25">
      <c r="C137" s="57"/>
      <c r="D137" s="57"/>
      <c r="E137" s="57"/>
      <c r="F137" s="60"/>
      <c r="G137" s="60"/>
      <c r="H137" s="60"/>
      <c r="I137" s="57"/>
      <c r="J137" s="57"/>
      <c r="K137" s="57"/>
      <c r="L137" s="57"/>
      <c r="M137" s="57"/>
      <c r="N137" s="57"/>
      <c r="O137" s="57"/>
      <c r="P137" s="57"/>
      <c r="Q137" s="57"/>
      <c r="R137" s="57"/>
      <c r="S137" s="57"/>
      <c r="T137" s="57"/>
      <c r="U137" s="57"/>
      <c r="V137" s="57"/>
      <c r="W137" s="57"/>
      <c r="X137" s="57"/>
      <c r="Y137" s="57"/>
      <c r="Z137" s="57"/>
    </row>
    <row r="138" spans="3:26" x14ac:dyDescent="0.25">
      <c r="C138" s="57"/>
      <c r="D138" s="57"/>
      <c r="E138" s="57"/>
      <c r="F138" s="60"/>
      <c r="G138" s="60"/>
      <c r="H138" s="60"/>
      <c r="I138" s="57"/>
      <c r="J138" s="57"/>
      <c r="K138" s="57"/>
      <c r="L138" s="57"/>
      <c r="M138" s="57"/>
      <c r="N138" s="57"/>
      <c r="O138" s="57"/>
      <c r="P138" s="57"/>
      <c r="Q138" s="57"/>
      <c r="R138" s="57"/>
      <c r="S138" s="57"/>
      <c r="T138" s="57"/>
      <c r="U138" s="57"/>
      <c r="V138" s="57"/>
      <c r="W138" s="57"/>
      <c r="X138" s="57"/>
      <c r="Y138" s="57"/>
      <c r="Z138" s="57"/>
    </row>
    <row r="139" spans="3:26" x14ac:dyDescent="0.25">
      <c r="C139" s="57"/>
      <c r="D139" s="57"/>
      <c r="E139" s="57"/>
      <c r="F139" s="60"/>
      <c r="G139" s="60"/>
      <c r="H139" s="60"/>
      <c r="I139" s="57"/>
      <c r="J139" s="57"/>
      <c r="K139" s="57"/>
      <c r="L139" s="57"/>
      <c r="M139" s="57"/>
      <c r="N139" s="57"/>
      <c r="O139" s="57"/>
      <c r="P139" s="57"/>
      <c r="Q139" s="57"/>
      <c r="R139" s="57"/>
      <c r="S139" s="57"/>
      <c r="T139" s="57"/>
      <c r="U139" s="57"/>
      <c r="V139" s="57"/>
      <c r="W139" s="57"/>
      <c r="X139" s="57"/>
      <c r="Y139" s="57"/>
      <c r="Z139" s="57"/>
    </row>
    <row r="140" spans="3:26" x14ac:dyDescent="0.25">
      <c r="C140" s="57"/>
      <c r="D140" s="57"/>
      <c r="E140" s="57"/>
      <c r="F140" s="60"/>
      <c r="G140" s="60"/>
      <c r="H140" s="60"/>
      <c r="I140" s="57"/>
      <c r="J140" s="57"/>
      <c r="K140" s="57"/>
      <c r="L140" s="57"/>
      <c r="M140" s="57"/>
      <c r="N140" s="57"/>
      <c r="O140" s="57"/>
      <c r="P140" s="57"/>
      <c r="Q140" s="57"/>
      <c r="R140" s="57"/>
      <c r="S140" s="57"/>
      <c r="T140" s="57"/>
      <c r="U140" s="57"/>
      <c r="V140" s="57"/>
      <c r="W140" s="57"/>
      <c r="X140" s="57"/>
      <c r="Y140" s="57"/>
      <c r="Z140" s="57"/>
    </row>
    <row r="141" spans="3:26" x14ac:dyDescent="0.25">
      <c r="C141" s="57"/>
      <c r="D141" s="57"/>
      <c r="E141" s="57"/>
      <c r="F141" s="60"/>
      <c r="G141" s="60"/>
      <c r="H141" s="60"/>
      <c r="I141" s="57"/>
      <c r="J141" s="57"/>
      <c r="K141" s="57"/>
      <c r="L141" s="57"/>
      <c r="M141" s="57"/>
      <c r="N141" s="57"/>
      <c r="O141" s="57"/>
      <c r="P141" s="57"/>
      <c r="Q141" s="57"/>
      <c r="R141" s="57"/>
      <c r="S141" s="57"/>
      <c r="T141" s="57"/>
      <c r="U141" s="57"/>
      <c r="V141" s="57"/>
      <c r="W141" s="57"/>
      <c r="X141" s="57"/>
      <c r="Y141" s="57"/>
      <c r="Z141" s="57"/>
    </row>
    <row r="142" spans="3:26" x14ac:dyDescent="0.25">
      <c r="C142" s="57"/>
      <c r="D142" s="57"/>
      <c r="E142" s="57"/>
      <c r="F142" s="60"/>
      <c r="G142" s="60"/>
      <c r="H142" s="60"/>
      <c r="I142" s="57"/>
      <c r="J142" s="57"/>
      <c r="K142" s="57"/>
      <c r="L142" s="57"/>
      <c r="M142" s="57"/>
      <c r="N142" s="57"/>
      <c r="O142" s="57"/>
      <c r="P142" s="57"/>
      <c r="Q142" s="57"/>
      <c r="R142" s="57"/>
      <c r="S142" s="57"/>
      <c r="T142" s="57"/>
      <c r="U142" s="57"/>
      <c r="V142" s="57"/>
      <c r="W142" s="57"/>
      <c r="X142" s="57"/>
      <c r="Y142" s="57"/>
      <c r="Z142" s="57"/>
    </row>
    <row r="143" spans="3:26" x14ac:dyDescent="0.25">
      <c r="C143" s="57"/>
      <c r="D143" s="57"/>
      <c r="E143" s="57"/>
      <c r="F143" s="60"/>
      <c r="G143" s="60"/>
      <c r="H143" s="60"/>
      <c r="I143" s="57"/>
      <c r="J143" s="57"/>
      <c r="K143" s="57"/>
      <c r="L143" s="57"/>
      <c r="M143" s="57"/>
      <c r="N143" s="57"/>
      <c r="O143" s="57"/>
      <c r="P143" s="57"/>
      <c r="Q143" s="57"/>
      <c r="R143" s="57"/>
      <c r="S143" s="57"/>
      <c r="T143" s="57"/>
      <c r="U143" s="57"/>
      <c r="V143" s="57"/>
      <c r="W143" s="57"/>
      <c r="X143" s="57"/>
      <c r="Y143" s="57"/>
      <c r="Z143" s="57"/>
    </row>
    <row r="144" spans="3:26" x14ac:dyDescent="0.25">
      <c r="C144" s="57"/>
      <c r="D144" s="57"/>
      <c r="E144" s="57"/>
      <c r="F144" s="60"/>
      <c r="G144" s="60"/>
      <c r="H144" s="60"/>
      <c r="I144" s="57"/>
      <c r="J144" s="57"/>
      <c r="K144" s="57"/>
      <c r="L144" s="57"/>
      <c r="M144" s="57"/>
      <c r="N144" s="57"/>
      <c r="O144" s="57"/>
      <c r="P144" s="57"/>
      <c r="Q144" s="57"/>
      <c r="R144" s="57"/>
      <c r="S144" s="57"/>
      <c r="T144" s="57"/>
      <c r="U144" s="57"/>
      <c r="V144" s="57"/>
      <c r="W144" s="57"/>
      <c r="X144" s="57"/>
      <c r="Y144" s="57"/>
      <c r="Z144" s="57"/>
    </row>
    <row r="145" spans="3:26" x14ac:dyDescent="0.25">
      <c r="C145" s="57"/>
      <c r="D145" s="57"/>
      <c r="E145" s="57"/>
      <c r="F145" s="60"/>
      <c r="G145" s="60"/>
      <c r="H145" s="60"/>
      <c r="I145" s="57"/>
      <c r="J145" s="57"/>
      <c r="K145" s="57"/>
      <c r="L145" s="57"/>
      <c r="M145" s="57"/>
      <c r="N145" s="57"/>
      <c r="O145" s="57"/>
      <c r="P145" s="57"/>
      <c r="Q145" s="57"/>
      <c r="R145" s="57"/>
      <c r="S145" s="57"/>
      <c r="T145" s="57"/>
      <c r="U145" s="57"/>
      <c r="V145" s="57"/>
      <c r="W145" s="57"/>
      <c r="X145" s="57"/>
      <c r="Y145" s="57"/>
      <c r="Z145" s="57"/>
    </row>
    <row r="146" spans="3:26" x14ac:dyDescent="0.25">
      <c r="C146" s="57"/>
      <c r="D146" s="57"/>
      <c r="E146" s="57"/>
      <c r="F146" s="60"/>
      <c r="G146" s="60"/>
      <c r="H146" s="60"/>
      <c r="I146" s="57"/>
      <c r="J146" s="57"/>
      <c r="K146" s="57"/>
      <c r="L146" s="57"/>
      <c r="M146" s="57"/>
      <c r="N146" s="57"/>
      <c r="O146" s="57"/>
      <c r="P146" s="57"/>
      <c r="Q146" s="57"/>
      <c r="R146" s="57"/>
      <c r="S146" s="57"/>
      <c r="T146" s="57"/>
      <c r="U146" s="57"/>
      <c r="V146" s="57"/>
      <c r="W146" s="57"/>
      <c r="X146" s="57"/>
      <c r="Y146" s="57"/>
      <c r="Z146" s="57"/>
    </row>
    <row r="147" spans="3:26" x14ac:dyDescent="0.25">
      <c r="C147" s="57"/>
      <c r="D147" s="57"/>
      <c r="E147" s="57"/>
      <c r="F147" s="60"/>
      <c r="G147" s="60"/>
      <c r="H147" s="60"/>
      <c r="I147" s="57"/>
      <c r="J147" s="57"/>
      <c r="K147" s="57"/>
      <c r="L147" s="57"/>
      <c r="M147" s="57"/>
      <c r="N147" s="57"/>
      <c r="O147" s="57"/>
      <c r="P147" s="57"/>
      <c r="Q147" s="57"/>
      <c r="R147" s="57"/>
      <c r="S147" s="57"/>
      <c r="T147" s="57"/>
      <c r="U147" s="57"/>
      <c r="V147" s="57"/>
      <c r="W147" s="57"/>
      <c r="X147" s="57"/>
      <c r="Y147" s="57"/>
      <c r="Z147" s="57"/>
    </row>
    <row r="148" spans="3:26" x14ac:dyDescent="0.25">
      <c r="C148" s="57"/>
      <c r="D148" s="57"/>
      <c r="E148" s="57"/>
      <c r="F148" s="60"/>
      <c r="G148" s="60"/>
      <c r="H148" s="60"/>
      <c r="I148" s="57"/>
      <c r="J148" s="57"/>
      <c r="K148" s="57"/>
      <c r="L148" s="57"/>
      <c r="M148" s="57"/>
      <c r="N148" s="57"/>
      <c r="O148" s="57"/>
      <c r="P148" s="57"/>
      <c r="Q148" s="57"/>
      <c r="R148" s="57"/>
      <c r="S148" s="57"/>
      <c r="T148" s="57"/>
      <c r="U148" s="57"/>
      <c r="V148" s="57"/>
      <c r="W148" s="57"/>
      <c r="X148" s="57"/>
      <c r="Y148" s="57"/>
      <c r="Z148" s="57"/>
    </row>
    <row r="149" spans="3:26" x14ac:dyDescent="0.25">
      <c r="C149" s="57"/>
      <c r="D149" s="57"/>
      <c r="E149" s="57"/>
      <c r="F149" s="60"/>
      <c r="G149" s="60"/>
      <c r="H149" s="60"/>
      <c r="I149" s="57"/>
      <c r="J149" s="57"/>
      <c r="K149" s="57"/>
      <c r="L149" s="57"/>
      <c r="M149" s="57"/>
      <c r="N149" s="57"/>
      <c r="O149" s="57"/>
      <c r="P149" s="57"/>
      <c r="Q149" s="57"/>
      <c r="R149" s="57"/>
      <c r="S149" s="57"/>
      <c r="T149" s="57"/>
      <c r="U149" s="57"/>
      <c r="V149" s="57"/>
      <c r="W149" s="57"/>
      <c r="X149" s="57"/>
      <c r="Y149" s="57"/>
      <c r="Z149" s="57"/>
    </row>
    <row r="150" spans="3:26" x14ac:dyDescent="0.25">
      <c r="C150" s="57"/>
      <c r="D150" s="57"/>
      <c r="E150" s="57"/>
      <c r="F150" s="60"/>
      <c r="G150" s="60"/>
      <c r="H150" s="60"/>
      <c r="I150" s="57"/>
      <c r="J150" s="57"/>
      <c r="K150" s="57"/>
      <c r="L150" s="57"/>
      <c r="M150" s="57"/>
      <c r="N150" s="57"/>
      <c r="O150" s="57"/>
      <c r="P150" s="57"/>
      <c r="Q150" s="57"/>
      <c r="R150" s="57"/>
      <c r="S150" s="57"/>
      <c r="T150" s="57"/>
      <c r="U150" s="57"/>
      <c r="V150" s="57"/>
      <c r="W150" s="57"/>
      <c r="X150" s="57"/>
      <c r="Y150" s="57"/>
      <c r="Z150" s="57"/>
    </row>
    <row r="151" spans="3:26" x14ac:dyDescent="0.25">
      <c r="C151" s="57"/>
      <c r="D151" s="57"/>
      <c r="E151" s="57"/>
      <c r="F151" s="60"/>
      <c r="G151" s="60"/>
      <c r="H151" s="60"/>
      <c r="I151" s="57"/>
      <c r="J151" s="57"/>
      <c r="K151" s="57"/>
      <c r="L151" s="57"/>
      <c r="M151" s="57"/>
      <c r="N151" s="57"/>
      <c r="O151" s="57"/>
      <c r="P151" s="57"/>
      <c r="Q151" s="57"/>
      <c r="R151" s="57"/>
      <c r="S151" s="57"/>
      <c r="T151" s="57"/>
      <c r="U151" s="57"/>
      <c r="V151" s="57"/>
      <c r="W151" s="57"/>
      <c r="X151" s="57"/>
      <c r="Y151" s="57"/>
      <c r="Z151" s="57"/>
    </row>
    <row r="152" spans="3:26" x14ac:dyDescent="0.25">
      <c r="C152" s="57"/>
      <c r="D152" s="57"/>
      <c r="E152" s="57"/>
      <c r="F152" s="60"/>
      <c r="G152" s="60"/>
      <c r="H152" s="60"/>
      <c r="I152" s="57"/>
      <c r="J152" s="57"/>
      <c r="K152" s="57"/>
      <c r="L152" s="57"/>
      <c r="M152" s="57"/>
      <c r="N152" s="57"/>
      <c r="O152" s="57"/>
      <c r="P152" s="57"/>
      <c r="Q152" s="57"/>
      <c r="R152" s="57"/>
      <c r="S152" s="57"/>
      <c r="T152" s="57"/>
      <c r="U152" s="57"/>
      <c r="V152" s="57"/>
      <c r="W152" s="57"/>
      <c r="X152" s="57"/>
      <c r="Y152" s="57"/>
      <c r="Z152" s="57"/>
    </row>
    <row r="153" spans="3:26" x14ac:dyDescent="0.25">
      <c r="C153" s="57"/>
      <c r="D153" s="57"/>
      <c r="E153" s="57"/>
      <c r="F153" s="60"/>
      <c r="G153" s="60"/>
      <c r="H153" s="60"/>
      <c r="I153" s="57"/>
      <c r="J153" s="57"/>
      <c r="K153" s="57"/>
      <c r="L153" s="57"/>
      <c r="M153" s="57"/>
      <c r="N153" s="57"/>
      <c r="O153" s="57"/>
      <c r="P153" s="57"/>
      <c r="Q153" s="57"/>
      <c r="R153" s="57"/>
      <c r="S153" s="57"/>
      <c r="T153" s="57"/>
      <c r="U153" s="57"/>
      <c r="V153" s="57"/>
      <c r="W153" s="57"/>
      <c r="X153" s="57"/>
      <c r="Y153" s="57"/>
      <c r="Z153" s="57"/>
    </row>
    <row r="154" spans="3:26" x14ac:dyDescent="0.25">
      <c r="C154" s="57"/>
      <c r="D154" s="57"/>
      <c r="E154" s="57"/>
      <c r="F154" s="60"/>
      <c r="G154" s="60"/>
      <c r="H154" s="60"/>
      <c r="I154" s="57"/>
      <c r="J154" s="57"/>
      <c r="K154" s="57"/>
      <c r="L154" s="57"/>
      <c r="M154" s="57"/>
      <c r="N154" s="57"/>
      <c r="O154" s="57"/>
      <c r="P154" s="57"/>
      <c r="Q154" s="57"/>
      <c r="R154" s="57"/>
      <c r="S154" s="57"/>
      <c r="T154" s="57"/>
      <c r="U154" s="57"/>
      <c r="V154" s="57"/>
      <c r="W154" s="57"/>
      <c r="X154" s="57"/>
      <c r="Y154" s="57"/>
      <c r="Z154" s="57"/>
    </row>
    <row r="155" spans="3:26" x14ac:dyDescent="0.25">
      <c r="C155" s="57"/>
      <c r="D155" s="57"/>
      <c r="E155" s="57"/>
      <c r="F155" s="60"/>
      <c r="G155" s="60"/>
      <c r="H155" s="60"/>
      <c r="I155" s="57"/>
      <c r="J155" s="57"/>
      <c r="K155" s="57"/>
      <c r="L155" s="57"/>
      <c r="M155" s="57"/>
      <c r="N155" s="57"/>
      <c r="O155" s="57"/>
      <c r="P155" s="57"/>
      <c r="Q155" s="57"/>
      <c r="R155" s="57"/>
      <c r="S155" s="57"/>
      <c r="T155" s="57"/>
      <c r="U155" s="57"/>
      <c r="V155" s="57"/>
      <c r="W155" s="57"/>
      <c r="X155" s="57"/>
      <c r="Y155" s="57"/>
      <c r="Z155" s="57"/>
    </row>
    <row r="156" spans="3:26" x14ac:dyDescent="0.25">
      <c r="C156" s="57"/>
      <c r="D156" s="57"/>
      <c r="E156" s="57"/>
      <c r="F156" s="60"/>
      <c r="G156" s="60"/>
      <c r="H156" s="60"/>
      <c r="I156" s="57"/>
      <c r="J156" s="57"/>
      <c r="K156" s="57"/>
      <c r="L156" s="57"/>
      <c r="M156" s="57"/>
      <c r="N156" s="57"/>
      <c r="O156" s="57"/>
      <c r="P156" s="57"/>
      <c r="Q156" s="57"/>
      <c r="R156" s="57"/>
      <c r="S156" s="57"/>
      <c r="T156" s="57"/>
      <c r="U156" s="57"/>
      <c r="V156" s="57"/>
      <c r="W156" s="57"/>
      <c r="X156" s="57"/>
      <c r="Y156" s="57"/>
      <c r="Z156" s="57"/>
    </row>
    <row r="157" spans="3:26" x14ac:dyDescent="0.25">
      <c r="C157" s="57"/>
      <c r="D157" s="57"/>
      <c r="E157" s="57"/>
      <c r="F157" s="60"/>
      <c r="G157" s="60"/>
      <c r="H157" s="60"/>
      <c r="I157" s="57"/>
      <c r="J157" s="57"/>
      <c r="K157" s="57"/>
      <c r="L157" s="57"/>
      <c r="M157" s="57"/>
      <c r="N157" s="57"/>
      <c r="O157" s="57"/>
      <c r="P157" s="57"/>
      <c r="Q157" s="57"/>
      <c r="R157" s="57"/>
      <c r="S157" s="57"/>
      <c r="T157" s="57"/>
      <c r="U157" s="57"/>
      <c r="V157" s="57"/>
      <c r="W157" s="57"/>
      <c r="X157" s="57"/>
      <c r="Y157" s="57"/>
      <c r="Z157" s="57"/>
    </row>
    <row r="158" spans="3:26" x14ac:dyDescent="0.25">
      <c r="C158" s="57"/>
      <c r="D158" s="57"/>
      <c r="E158" s="57"/>
      <c r="F158" s="60"/>
      <c r="G158" s="60"/>
      <c r="H158" s="60"/>
      <c r="I158" s="57"/>
      <c r="J158" s="57"/>
      <c r="K158" s="57"/>
      <c r="L158" s="57"/>
      <c r="M158" s="57"/>
      <c r="N158" s="57"/>
      <c r="O158" s="57"/>
      <c r="P158" s="57"/>
      <c r="Q158" s="57"/>
      <c r="R158" s="57"/>
      <c r="S158" s="57"/>
      <c r="T158" s="57"/>
      <c r="U158" s="57"/>
      <c r="V158" s="57"/>
      <c r="W158" s="57"/>
      <c r="X158" s="57"/>
      <c r="Y158" s="57"/>
      <c r="Z158" s="57"/>
    </row>
    <row r="159" spans="3:26" x14ac:dyDescent="0.25">
      <c r="C159" s="57"/>
      <c r="D159" s="57"/>
      <c r="E159" s="57"/>
      <c r="F159" s="60"/>
      <c r="G159" s="60"/>
      <c r="H159" s="60"/>
      <c r="I159" s="57"/>
      <c r="J159" s="57"/>
      <c r="K159" s="57"/>
      <c r="L159" s="57"/>
      <c r="M159" s="57"/>
      <c r="N159" s="57"/>
      <c r="O159" s="57"/>
      <c r="P159" s="57"/>
      <c r="Q159" s="57"/>
      <c r="R159" s="57"/>
      <c r="S159" s="57"/>
      <c r="T159" s="57"/>
      <c r="U159" s="57"/>
      <c r="V159" s="57"/>
      <c r="W159" s="57"/>
      <c r="X159" s="57"/>
      <c r="Y159" s="57"/>
      <c r="Z159" s="57"/>
    </row>
    <row r="160" spans="3:26" x14ac:dyDescent="0.25">
      <c r="C160" s="57"/>
      <c r="D160" s="57"/>
      <c r="E160" s="57"/>
      <c r="F160" s="60"/>
      <c r="G160" s="60"/>
      <c r="H160" s="60"/>
      <c r="I160" s="57"/>
      <c r="J160" s="57"/>
      <c r="K160" s="57"/>
      <c r="L160" s="57"/>
      <c r="M160" s="57"/>
      <c r="N160" s="57"/>
      <c r="O160" s="57"/>
      <c r="P160" s="57"/>
      <c r="Q160" s="57"/>
      <c r="R160" s="57"/>
      <c r="S160" s="57"/>
      <c r="T160" s="57"/>
      <c r="U160" s="57"/>
      <c r="V160" s="57"/>
      <c r="W160" s="57"/>
      <c r="X160" s="57"/>
      <c r="Y160" s="57"/>
      <c r="Z160" s="57"/>
    </row>
    <row r="161" spans="3:26" x14ac:dyDescent="0.25">
      <c r="C161" s="57"/>
      <c r="D161" s="57"/>
      <c r="E161" s="57"/>
      <c r="F161" s="60"/>
      <c r="G161" s="60"/>
      <c r="H161" s="60"/>
      <c r="I161" s="57"/>
      <c r="J161" s="57"/>
      <c r="K161" s="57"/>
      <c r="L161" s="57"/>
      <c r="M161" s="57"/>
      <c r="N161" s="57"/>
      <c r="O161" s="57"/>
      <c r="P161" s="57"/>
      <c r="Q161" s="57"/>
      <c r="R161" s="57"/>
      <c r="S161" s="57"/>
      <c r="T161" s="57"/>
      <c r="U161" s="57"/>
      <c r="V161" s="57"/>
      <c r="W161" s="57"/>
      <c r="X161" s="57"/>
      <c r="Y161" s="57"/>
      <c r="Z161" s="57"/>
    </row>
    <row r="162" spans="3:26" x14ac:dyDescent="0.25">
      <c r="C162" s="57"/>
      <c r="D162" s="57"/>
      <c r="E162" s="57"/>
      <c r="F162" s="60"/>
      <c r="G162" s="60"/>
      <c r="H162" s="60"/>
      <c r="I162" s="57"/>
      <c r="J162" s="57"/>
      <c r="K162" s="57"/>
      <c r="L162" s="57"/>
      <c r="M162" s="57"/>
      <c r="N162" s="57"/>
      <c r="O162" s="57"/>
      <c r="P162" s="57"/>
      <c r="Q162" s="57"/>
      <c r="R162" s="57"/>
      <c r="S162" s="57"/>
      <c r="T162" s="57"/>
      <c r="U162" s="57"/>
      <c r="V162" s="57"/>
      <c r="W162" s="57"/>
      <c r="X162" s="57"/>
      <c r="Y162" s="57"/>
      <c r="Z162" s="57"/>
    </row>
    <row r="163" spans="3:26" x14ac:dyDescent="0.25">
      <c r="C163" s="57"/>
      <c r="D163" s="57"/>
      <c r="E163" s="57"/>
      <c r="F163" s="60"/>
      <c r="G163" s="60"/>
      <c r="H163" s="60"/>
      <c r="I163" s="57"/>
      <c r="J163" s="57"/>
      <c r="K163" s="57"/>
      <c r="L163" s="57"/>
      <c r="M163" s="57"/>
      <c r="N163" s="57"/>
      <c r="O163" s="57"/>
      <c r="P163" s="57"/>
      <c r="Q163" s="57"/>
      <c r="R163" s="57"/>
      <c r="S163" s="57"/>
      <c r="T163" s="57"/>
      <c r="U163" s="57"/>
      <c r="V163" s="57"/>
      <c r="W163" s="57"/>
      <c r="X163" s="57"/>
      <c r="Y163" s="57"/>
      <c r="Z163" s="57"/>
    </row>
    <row r="164" spans="3:26" x14ac:dyDescent="0.25">
      <c r="C164" s="57"/>
      <c r="D164" s="57"/>
      <c r="E164" s="57"/>
      <c r="F164" s="60"/>
      <c r="G164" s="60"/>
      <c r="H164" s="60"/>
      <c r="I164" s="57"/>
      <c r="J164" s="57"/>
      <c r="K164" s="57"/>
      <c r="L164" s="57"/>
      <c r="M164" s="57"/>
      <c r="N164" s="57"/>
      <c r="O164" s="57"/>
      <c r="P164" s="57"/>
      <c r="Q164" s="57"/>
      <c r="R164" s="57"/>
      <c r="S164" s="57"/>
      <c r="T164" s="57"/>
      <c r="U164" s="57"/>
      <c r="V164" s="57"/>
      <c r="W164" s="57"/>
      <c r="X164" s="57"/>
      <c r="Y164" s="57"/>
      <c r="Z164" s="57"/>
    </row>
    <row r="165" spans="3:26" x14ac:dyDescent="0.25">
      <c r="C165" s="57"/>
      <c r="D165" s="57"/>
      <c r="E165" s="57"/>
      <c r="F165" s="60"/>
      <c r="G165" s="60"/>
      <c r="H165" s="60"/>
      <c r="I165" s="57"/>
      <c r="J165" s="57"/>
      <c r="K165" s="57"/>
      <c r="L165" s="57"/>
      <c r="M165" s="57"/>
      <c r="N165" s="57"/>
      <c r="O165" s="57"/>
      <c r="P165" s="57"/>
      <c r="Q165" s="57"/>
      <c r="R165" s="57"/>
      <c r="S165" s="57"/>
      <c r="T165" s="57"/>
      <c r="U165" s="57"/>
      <c r="V165" s="57"/>
      <c r="W165" s="57"/>
      <c r="X165" s="57"/>
      <c r="Y165" s="57"/>
      <c r="Z165" s="57"/>
    </row>
    <row r="166" spans="3:26" x14ac:dyDescent="0.25">
      <c r="C166" s="57"/>
      <c r="D166" s="57"/>
      <c r="E166" s="57"/>
      <c r="F166" s="60"/>
      <c r="G166" s="60"/>
      <c r="H166" s="60"/>
      <c r="I166" s="57"/>
      <c r="J166" s="57"/>
      <c r="K166" s="57"/>
      <c r="L166" s="57"/>
      <c r="M166" s="57"/>
      <c r="N166" s="57"/>
      <c r="O166" s="57"/>
      <c r="P166" s="57"/>
      <c r="Q166" s="57"/>
      <c r="R166" s="57"/>
      <c r="S166" s="57"/>
      <c r="T166" s="57"/>
      <c r="U166" s="57"/>
      <c r="V166" s="57"/>
      <c r="W166" s="57"/>
      <c r="X166" s="57"/>
      <c r="Y166" s="57"/>
      <c r="Z166" s="57"/>
    </row>
    <row r="167" spans="3:26" x14ac:dyDescent="0.25">
      <c r="C167" s="57"/>
      <c r="D167" s="57"/>
      <c r="E167" s="57"/>
      <c r="F167" s="60"/>
      <c r="G167" s="60"/>
      <c r="H167" s="60"/>
      <c r="I167" s="57"/>
      <c r="J167" s="57"/>
      <c r="K167" s="57"/>
      <c r="L167" s="57"/>
      <c r="M167" s="57"/>
      <c r="N167" s="57"/>
      <c r="O167" s="57"/>
      <c r="P167" s="57"/>
      <c r="Q167" s="57"/>
      <c r="R167" s="57"/>
      <c r="S167" s="57"/>
      <c r="T167" s="57"/>
      <c r="U167" s="57"/>
      <c r="V167" s="57"/>
      <c r="W167" s="57"/>
      <c r="X167" s="57"/>
      <c r="Y167" s="57"/>
      <c r="Z167" s="57"/>
    </row>
    <row r="168" spans="3:26" x14ac:dyDescent="0.25">
      <c r="C168" s="57"/>
      <c r="D168" s="57"/>
      <c r="E168" s="57"/>
      <c r="F168" s="60"/>
      <c r="G168" s="60"/>
      <c r="H168" s="60"/>
      <c r="I168" s="57"/>
      <c r="J168" s="57"/>
      <c r="K168" s="57"/>
      <c r="L168" s="57"/>
      <c r="M168" s="57"/>
      <c r="N168" s="57"/>
      <c r="O168" s="57"/>
      <c r="P168" s="57"/>
      <c r="Q168" s="57"/>
      <c r="R168" s="57"/>
      <c r="S168" s="57"/>
      <c r="T168" s="57"/>
      <c r="U168" s="57"/>
      <c r="V168" s="57"/>
      <c r="W168" s="57"/>
      <c r="X168" s="57"/>
      <c r="Y168" s="57"/>
      <c r="Z168" s="57"/>
    </row>
    <row r="169" spans="3:26" x14ac:dyDescent="0.25">
      <c r="C169" s="57"/>
      <c r="D169" s="57"/>
      <c r="E169" s="57"/>
      <c r="F169" s="60"/>
      <c r="G169" s="60"/>
      <c r="H169" s="60"/>
      <c r="I169" s="57"/>
      <c r="J169" s="57"/>
      <c r="K169" s="57"/>
      <c r="L169" s="57"/>
      <c r="M169" s="57"/>
      <c r="N169" s="57"/>
      <c r="O169" s="57"/>
      <c r="P169" s="57"/>
      <c r="Q169" s="57"/>
      <c r="R169" s="57"/>
      <c r="S169" s="57"/>
      <c r="T169" s="57"/>
      <c r="U169" s="57"/>
      <c r="V169" s="57"/>
      <c r="W169" s="57"/>
      <c r="X169" s="57"/>
      <c r="Y169" s="57"/>
      <c r="Z169" s="57"/>
    </row>
    <row r="170" spans="3:26" x14ac:dyDescent="0.25">
      <c r="C170" s="57"/>
      <c r="D170" s="57"/>
      <c r="E170" s="57"/>
      <c r="F170" s="60"/>
      <c r="G170" s="60"/>
      <c r="H170" s="60"/>
      <c r="I170" s="57"/>
      <c r="J170" s="57"/>
      <c r="K170" s="57"/>
      <c r="L170" s="57"/>
      <c r="M170" s="57"/>
      <c r="N170" s="57"/>
      <c r="O170" s="57"/>
      <c r="P170" s="57"/>
      <c r="Q170" s="57"/>
      <c r="R170" s="57"/>
      <c r="S170" s="57"/>
      <c r="T170" s="57"/>
      <c r="U170" s="57"/>
      <c r="V170" s="57"/>
      <c r="W170" s="57"/>
      <c r="X170" s="57"/>
      <c r="Y170" s="57"/>
      <c r="Z170" s="57"/>
    </row>
    <row r="171" spans="3:26" x14ac:dyDescent="0.25">
      <c r="C171" s="57"/>
      <c r="D171" s="57"/>
      <c r="E171" s="57"/>
      <c r="F171" s="60"/>
      <c r="G171" s="60"/>
      <c r="H171" s="60"/>
      <c r="I171" s="57"/>
      <c r="J171" s="57"/>
      <c r="K171" s="57"/>
      <c r="L171" s="57"/>
      <c r="M171" s="57"/>
      <c r="N171" s="57"/>
      <c r="O171" s="57"/>
      <c r="P171" s="57"/>
      <c r="Q171" s="57"/>
      <c r="R171" s="57"/>
      <c r="S171" s="57"/>
      <c r="T171" s="57"/>
      <c r="U171" s="57"/>
      <c r="V171" s="57"/>
      <c r="W171" s="57"/>
      <c r="X171" s="57"/>
      <c r="Y171" s="57"/>
      <c r="Z171" s="57"/>
    </row>
    <row r="172" spans="3:26" x14ac:dyDescent="0.25">
      <c r="C172" s="57"/>
      <c r="D172" s="57"/>
      <c r="E172" s="57"/>
      <c r="F172" s="60"/>
      <c r="G172" s="60"/>
      <c r="H172" s="60"/>
      <c r="I172" s="57"/>
      <c r="J172" s="57"/>
      <c r="K172" s="57"/>
      <c r="L172" s="57"/>
      <c r="M172" s="57"/>
      <c r="N172" s="57"/>
      <c r="O172" s="57"/>
      <c r="P172" s="57"/>
      <c r="Q172" s="57"/>
      <c r="R172" s="57"/>
      <c r="S172" s="57"/>
      <c r="T172" s="57"/>
      <c r="U172" s="57"/>
      <c r="V172" s="57"/>
      <c r="W172" s="57"/>
      <c r="X172" s="57"/>
      <c r="Y172" s="57"/>
      <c r="Z172" s="57"/>
    </row>
    <row r="173" spans="3:26" x14ac:dyDescent="0.25">
      <c r="C173" s="57"/>
      <c r="D173" s="57"/>
      <c r="E173" s="57"/>
      <c r="F173" s="60"/>
      <c r="G173" s="60"/>
      <c r="H173" s="60"/>
      <c r="I173" s="57"/>
      <c r="J173" s="57"/>
      <c r="K173" s="57"/>
      <c r="L173" s="57"/>
      <c r="M173" s="57"/>
      <c r="N173" s="57"/>
      <c r="O173" s="57"/>
      <c r="P173" s="57"/>
      <c r="Q173" s="57"/>
      <c r="R173" s="57"/>
      <c r="S173" s="57"/>
      <c r="T173" s="57"/>
      <c r="U173" s="57"/>
      <c r="V173" s="57"/>
      <c r="W173" s="57"/>
      <c r="X173" s="57"/>
      <c r="Y173" s="57"/>
      <c r="Z173" s="57"/>
    </row>
    <row r="174" spans="3:26" x14ac:dyDescent="0.25">
      <c r="C174" s="57"/>
      <c r="D174" s="57"/>
      <c r="E174" s="57"/>
      <c r="F174" s="60"/>
      <c r="G174" s="60"/>
      <c r="H174" s="60"/>
      <c r="I174" s="57"/>
      <c r="J174" s="57"/>
      <c r="K174" s="57"/>
      <c r="L174" s="57"/>
      <c r="M174" s="57"/>
      <c r="N174" s="57"/>
      <c r="O174" s="57"/>
      <c r="P174" s="57"/>
      <c r="Q174" s="57"/>
      <c r="R174" s="57"/>
      <c r="S174" s="57"/>
      <c r="T174" s="57"/>
      <c r="U174" s="57"/>
      <c r="V174" s="57"/>
      <c r="W174" s="57"/>
      <c r="X174" s="57"/>
      <c r="Y174" s="57"/>
      <c r="Z174" s="57"/>
    </row>
    <row r="175" spans="3:26" x14ac:dyDescent="0.25">
      <c r="C175" s="57"/>
      <c r="D175" s="57"/>
      <c r="E175" s="57"/>
      <c r="F175" s="60"/>
      <c r="G175" s="60"/>
      <c r="H175" s="60"/>
      <c r="I175" s="57"/>
      <c r="J175" s="57"/>
      <c r="K175" s="57"/>
      <c r="L175" s="57"/>
      <c r="M175" s="57"/>
      <c r="N175" s="57"/>
      <c r="O175" s="57"/>
      <c r="P175" s="57"/>
      <c r="Q175" s="57"/>
      <c r="R175" s="57"/>
      <c r="S175" s="57"/>
      <c r="T175" s="57"/>
      <c r="U175" s="57"/>
      <c r="V175" s="57"/>
      <c r="W175" s="57"/>
      <c r="X175" s="57"/>
      <c r="Y175" s="57"/>
      <c r="Z175" s="57"/>
    </row>
    <row r="176" spans="3:26" x14ac:dyDescent="0.25">
      <c r="C176" s="57"/>
      <c r="D176" s="57"/>
      <c r="E176" s="57"/>
      <c r="F176" s="60"/>
      <c r="G176" s="60"/>
      <c r="H176" s="60"/>
      <c r="I176" s="57"/>
      <c r="J176" s="57"/>
      <c r="K176" s="57"/>
      <c r="L176" s="57"/>
      <c r="M176" s="57"/>
      <c r="N176" s="57"/>
      <c r="O176" s="57"/>
      <c r="P176" s="57"/>
      <c r="Q176" s="57"/>
      <c r="R176" s="57"/>
      <c r="S176" s="57"/>
      <c r="T176" s="57"/>
      <c r="U176" s="57"/>
      <c r="V176" s="57"/>
      <c r="W176" s="57"/>
      <c r="X176" s="57"/>
      <c r="Y176" s="57"/>
      <c r="Z176" s="57"/>
    </row>
    <row r="177" spans="3:26" x14ac:dyDescent="0.25">
      <c r="C177" s="57"/>
      <c r="D177" s="57"/>
      <c r="E177" s="57"/>
      <c r="F177" s="60"/>
      <c r="G177" s="60"/>
      <c r="H177" s="60"/>
      <c r="I177" s="57"/>
      <c r="J177" s="57"/>
      <c r="K177" s="57"/>
      <c r="L177" s="57"/>
      <c r="M177" s="57"/>
      <c r="N177" s="57"/>
      <c r="O177" s="57"/>
      <c r="P177" s="57"/>
      <c r="Q177" s="57"/>
      <c r="R177" s="57"/>
      <c r="S177" s="57"/>
      <c r="T177" s="57"/>
      <c r="U177" s="57"/>
      <c r="V177" s="57"/>
      <c r="W177" s="57"/>
      <c r="X177" s="57"/>
      <c r="Y177" s="57"/>
      <c r="Z177" s="57"/>
    </row>
    <row r="178" spans="3:26" x14ac:dyDescent="0.25">
      <c r="C178" s="57"/>
      <c r="D178" s="57"/>
      <c r="E178" s="57"/>
      <c r="F178" s="60"/>
      <c r="G178" s="60"/>
      <c r="H178" s="60"/>
      <c r="I178" s="57"/>
      <c r="J178" s="57"/>
      <c r="K178" s="57"/>
      <c r="L178" s="57"/>
      <c r="M178" s="57"/>
      <c r="N178" s="57"/>
      <c r="O178" s="57"/>
      <c r="P178" s="57"/>
      <c r="Q178" s="57"/>
      <c r="R178" s="57"/>
      <c r="S178" s="57"/>
      <c r="T178" s="57"/>
      <c r="U178" s="57"/>
      <c r="V178" s="57"/>
      <c r="W178" s="57"/>
      <c r="X178" s="57"/>
      <c r="Y178" s="57"/>
      <c r="Z178" s="57"/>
    </row>
    <row r="179" spans="3:26" x14ac:dyDescent="0.25">
      <c r="C179" s="57"/>
      <c r="D179" s="57"/>
      <c r="E179" s="57"/>
      <c r="F179" s="60"/>
      <c r="G179" s="60"/>
      <c r="H179" s="60"/>
      <c r="I179" s="57"/>
      <c r="J179" s="57"/>
      <c r="K179" s="57"/>
      <c r="L179" s="57"/>
      <c r="M179" s="57"/>
      <c r="N179" s="57"/>
      <c r="O179" s="57"/>
      <c r="P179" s="57"/>
      <c r="Q179" s="57"/>
      <c r="R179" s="57"/>
      <c r="S179" s="57"/>
      <c r="T179" s="57"/>
      <c r="U179" s="57"/>
      <c r="V179" s="57"/>
      <c r="W179" s="57"/>
      <c r="X179" s="57"/>
      <c r="Y179" s="57"/>
      <c r="Z179" s="57"/>
    </row>
    <row r="180" spans="3:26" x14ac:dyDescent="0.25">
      <c r="C180" s="57"/>
      <c r="D180" s="57"/>
      <c r="E180" s="57"/>
      <c r="F180" s="60"/>
      <c r="G180" s="60"/>
      <c r="H180" s="60"/>
      <c r="I180" s="57"/>
      <c r="J180" s="57"/>
      <c r="K180" s="57"/>
      <c r="L180" s="57"/>
      <c r="M180" s="57"/>
      <c r="N180" s="57"/>
      <c r="O180" s="57"/>
      <c r="P180" s="57"/>
      <c r="Q180" s="57"/>
      <c r="R180" s="57"/>
      <c r="S180" s="57"/>
      <c r="T180" s="57"/>
      <c r="U180" s="57"/>
      <c r="V180" s="57"/>
      <c r="W180" s="57"/>
      <c r="X180" s="57"/>
      <c r="Y180" s="57"/>
      <c r="Z180" s="57"/>
    </row>
    <row r="181" spans="3:26" x14ac:dyDescent="0.25">
      <c r="C181" s="57"/>
      <c r="D181" s="57"/>
      <c r="E181" s="57"/>
      <c r="F181" s="60"/>
      <c r="G181" s="60"/>
      <c r="H181" s="60"/>
      <c r="I181" s="57"/>
      <c r="J181" s="57"/>
      <c r="K181" s="57"/>
      <c r="L181" s="57"/>
      <c r="M181" s="57"/>
      <c r="N181" s="57"/>
      <c r="O181" s="57"/>
      <c r="P181" s="57"/>
      <c r="Q181" s="57"/>
      <c r="R181" s="57"/>
      <c r="S181" s="57"/>
      <c r="T181" s="57"/>
      <c r="U181" s="57"/>
      <c r="V181" s="57"/>
      <c r="W181" s="57"/>
      <c r="X181" s="57"/>
      <c r="Y181" s="57"/>
      <c r="Z181" s="57"/>
    </row>
    <row r="182" spans="3:26" x14ac:dyDescent="0.25">
      <c r="C182" s="57"/>
      <c r="D182" s="57"/>
      <c r="E182" s="57"/>
      <c r="F182" s="60"/>
      <c r="G182" s="60"/>
      <c r="H182" s="60"/>
      <c r="I182" s="57"/>
      <c r="J182" s="57"/>
      <c r="K182" s="57"/>
      <c r="L182" s="57"/>
      <c r="M182" s="57"/>
      <c r="N182" s="57"/>
      <c r="O182" s="57"/>
      <c r="P182" s="57"/>
      <c r="Q182" s="57"/>
      <c r="R182" s="57"/>
      <c r="S182" s="57"/>
      <c r="T182" s="57"/>
      <c r="U182" s="57"/>
      <c r="V182" s="57"/>
      <c r="W182" s="57"/>
      <c r="X182" s="57"/>
      <c r="Y182" s="57"/>
      <c r="Z182" s="57"/>
    </row>
    <row r="183" spans="3:26" x14ac:dyDescent="0.25">
      <c r="C183" s="57"/>
      <c r="D183" s="57"/>
      <c r="E183" s="57"/>
      <c r="F183" s="60"/>
      <c r="G183" s="60"/>
      <c r="H183" s="60"/>
      <c r="I183" s="57"/>
      <c r="J183" s="57"/>
      <c r="K183" s="57"/>
      <c r="L183" s="57"/>
      <c r="M183" s="57"/>
      <c r="N183" s="57"/>
      <c r="O183" s="57"/>
      <c r="P183" s="57"/>
      <c r="Q183" s="57"/>
      <c r="R183" s="57"/>
      <c r="S183" s="57"/>
      <c r="T183" s="57"/>
      <c r="U183" s="57"/>
      <c r="V183" s="57"/>
      <c r="W183" s="57"/>
      <c r="X183" s="57"/>
      <c r="Y183" s="57"/>
      <c r="Z183" s="57"/>
    </row>
    <row r="184" spans="3:26" x14ac:dyDescent="0.25">
      <c r="C184" s="57"/>
      <c r="D184" s="57"/>
      <c r="E184" s="57"/>
      <c r="F184" s="60"/>
      <c r="G184" s="60"/>
      <c r="H184" s="60"/>
      <c r="I184" s="57"/>
      <c r="J184" s="57"/>
      <c r="K184" s="57"/>
      <c r="L184" s="57"/>
      <c r="M184" s="57"/>
      <c r="N184" s="57"/>
      <c r="O184" s="57"/>
      <c r="P184" s="57"/>
      <c r="Q184" s="57"/>
      <c r="R184" s="57"/>
      <c r="S184" s="57"/>
      <c r="T184" s="57"/>
      <c r="U184" s="57"/>
      <c r="V184" s="57"/>
      <c r="W184" s="57"/>
      <c r="X184" s="57"/>
      <c r="Y184" s="57"/>
      <c r="Z184" s="57"/>
    </row>
    <row r="185" spans="3:26" x14ac:dyDescent="0.25">
      <c r="C185" s="57"/>
      <c r="D185" s="57"/>
      <c r="E185" s="57"/>
      <c r="F185" s="60"/>
      <c r="G185" s="60"/>
      <c r="H185" s="60"/>
      <c r="I185" s="57"/>
      <c r="J185" s="57"/>
      <c r="K185" s="57"/>
      <c r="L185" s="57"/>
      <c r="M185" s="57"/>
      <c r="N185" s="57"/>
      <c r="O185" s="57"/>
      <c r="P185" s="57"/>
      <c r="Q185" s="57"/>
      <c r="R185" s="57"/>
      <c r="S185" s="57"/>
      <c r="T185" s="57"/>
      <c r="U185" s="57"/>
      <c r="V185" s="57"/>
      <c r="W185" s="57"/>
      <c r="X185" s="57"/>
      <c r="Y185" s="57"/>
      <c r="Z185" s="57"/>
    </row>
    <row r="186" spans="3:26" x14ac:dyDescent="0.25">
      <c r="C186" s="57"/>
      <c r="D186" s="57"/>
      <c r="E186" s="57"/>
      <c r="F186" s="60"/>
      <c r="G186" s="60"/>
      <c r="H186" s="60"/>
      <c r="I186" s="57"/>
      <c r="J186" s="57"/>
      <c r="K186" s="57"/>
      <c r="L186" s="57"/>
      <c r="M186" s="57"/>
      <c r="N186" s="57"/>
      <c r="O186" s="57"/>
      <c r="P186" s="57"/>
      <c r="Q186" s="57"/>
      <c r="R186" s="57"/>
      <c r="S186" s="57"/>
      <c r="T186" s="57"/>
      <c r="U186" s="57"/>
      <c r="V186" s="57"/>
      <c r="W186" s="57"/>
      <c r="X186" s="57"/>
      <c r="Y186" s="57"/>
      <c r="Z186" s="57"/>
    </row>
    <row r="187" spans="3:26" x14ac:dyDescent="0.25">
      <c r="C187" s="57"/>
      <c r="D187" s="57"/>
      <c r="E187" s="57"/>
      <c r="F187" s="60"/>
      <c r="G187" s="60"/>
      <c r="H187" s="60"/>
      <c r="I187" s="57"/>
      <c r="J187" s="57"/>
      <c r="K187" s="57"/>
      <c r="L187" s="57"/>
      <c r="M187" s="57"/>
      <c r="N187" s="57"/>
      <c r="O187" s="57"/>
      <c r="P187" s="57"/>
      <c r="Q187" s="57"/>
      <c r="R187" s="57"/>
      <c r="S187" s="57"/>
      <c r="T187" s="57"/>
      <c r="U187" s="57"/>
      <c r="V187" s="57"/>
      <c r="W187" s="57"/>
      <c r="X187" s="57"/>
      <c r="Y187" s="57"/>
      <c r="Z187" s="57"/>
    </row>
    <row r="188" spans="3:26" x14ac:dyDescent="0.25">
      <c r="C188" s="57"/>
      <c r="D188" s="57"/>
      <c r="E188" s="57"/>
      <c r="F188" s="60"/>
      <c r="G188" s="60"/>
      <c r="H188" s="60"/>
      <c r="I188" s="57"/>
      <c r="J188" s="57"/>
      <c r="K188" s="57"/>
      <c r="L188" s="57"/>
      <c r="M188" s="57"/>
      <c r="N188" s="57"/>
      <c r="O188" s="57"/>
      <c r="P188" s="57"/>
      <c r="Q188" s="57"/>
      <c r="R188" s="57"/>
      <c r="S188" s="57"/>
      <c r="T188" s="57"/>
      <c r="U188" s="57"/>
      <c r="V188" s="57"/>
      <c r="W188" s="57"/>
      <c r="X188" s="57"/>
      <c r="Y188" s="57"/>
      <c r="Z188" s="57"/>
    </row>
    <row r="189" spans="3:26" x14ac:dyDescent="0.25">
      <c r="C189" s="57"/>
      <c r="D189" s="57"/>
      <c r="E189" s="57"/>
      <c r="F189" s="60"/>
      <c r="G189" s="60"/>
      <c r="H189" s="60"/>
      <c r="I189" s="57"/>
      <c r="J189" s="57"/>
      <c r="K189" s="57"/>
      <c r="L189" s="57"/>
      <c r="M189" s="57"/>
      <c r="N189" s="57"/>
      <c r="O189" s="57"/>
      <c r="P189" s="57"/>
      <c r="Q189" s="57"/>
      <c r="R189" s="57"/>
      <c r="S189" s="57"/>
      <c r="T189" s="57"/>
      <c r="U189" s="57"/>
      <c r="V189" s="57"/>
      <c r="W189" s="57"/>
      <c r="X189" s="57"/>
      <c r="Y189" s="57"/>
      <c r="Z189" s="57"/>
    </row>
    <row r="190" spans="3:26" x14ac:dyDescent="0.25">
      <c r="C190" s="57"/>
      <c r="D190" s="57"/>
      <c r="E190" s="57"/>
      <c r="F190" s="60"/>
      <c r="G190" s="60"/>
      <c r="H190" s="60"/>
      <c r="I190" s="57"/>
      <c r="J190" s="57"/>
      <c r="K190" s="57"/>
      <c r="L190" s="57"/>
      <c r="M190" s="57"/>
      <c r="N190" s="57"/>
      <c r="O190" s="57"/>
      <c r="P190" s="57"/>
      <c r="Q190" s="57"/>
      <c r="R190" s="57"/>
      <c r="S190" s="57"/>
      <c r="T190" s="57"/>
      <c r="U190" s="57"/>
      <c r="V190" s="57"/>
      <c r="W190" s="57"/>
      <c r="X190" s="57"/>
      <c r="Y190" s="57"/>
      <c r="Z190" s="57"/>
    </row>
    <row r="191" spans="3:26" x14ac:dyDescent="0.25">
      <c r="C191" s="57"/>
      <c r="D191" s="57"/>
      <c r="E191" s="57"/>
      <c r="F191" s="60"/>
      <c r="G191" s="60"/>
      <c r="H191" s="60"/>
      <c r="I191" s="57"/>
      <c r="J191" s="57"/>
      <c r="K191" s="57"/>
      <c r="L191" s="57"/>
      <c r="M191" s="57"/>
      <c r="N191" s="57"/>
      <c r="O191" s="57"/>
      <c r="P191" s="57"/>
      <c r="Q191" s="57"/>
      <c r="R191" s="57"/>
      <c r="S191" s="57"/>
      <c r="T191" s="57"/>
      <c r="U191" s="57"/>
      <c r="V191" s="57"/>
      <c r="W191" s="57"/>
      <c r="X191" s="57"/>
      <c r="Y191" s="57"/>
      <c r="Z191" s="57"/>
    </row>
    <row r="192" spans="3:26" x14ac:dyDescent="0.25">
      <c r="C192" s="57"/>
      <c r="D192" s="57"/>
      <c r="E192" s="57"/>
      <c r="F192" s="60"/>
      <c r="G192" s="60"/>
      <c r="H192" s="60"/>
      <c r="I192" s="57"/>
      <c r="J192" s="57"/>
      <c r="K192" s="57"/>
      <c r="L192" s="57"/>
      <c r="M192" s="57"/>
      <c r="N192" s="57"/>
      <c r="O192" s="57"/>
      <c r="P192" s="57"/>
      <c r="Q192" s="57"/>
      <c r="R192" s="57"/>
      <c r="S192" s="57"/>
      <c r="T192" s="57"/>
      <c r="U192" s="57"/>
      <c r="V192" s="57"/>
      <c r="W192" s="57"/>
      <c r="X192" s="57"/>
      <c r="Y192" s="57"/>
      <c r="Z192" s="57"/>
    </row>
    <row r="193" spans="3:26" x14ac:dyDescent="0.25">
      <c r="C193" s="57"/>
      <c r="D193" s="57"/>
      <c r="E193" s="57"/>
      <c r="F193" s="60"/>
      <c r="G193" s="60"/>
      <c r="H193" s="60"/>
      <c r="I193" s="57"/>
      <c r="J193" s="57"/>
      <c r="K193" s="57"/>
      <c r="L193" s="57"/>
      <c r="M193" s="57"/>
      <c r="N193" s="57"/>
      <c r="O193" s="57"/>
      <c r="P193" s="57"/>
      <c r="Q193" s="57"/>
      <c r="R193" s="57"/>
      <c r="S193" s="57"/>
      <c r="T193" s="57"/>
      <c r="U193" s="57"/>
      <c r="V193" s="57"/>
      <c r="W193" s="57"/>
      <c r="X193" s="57"/>
      <c r="Y193" s="57"/>
      <c r="Z193" s="57"/>
    </row>
    <row r="194" spans="3:26" x14ac:dyDescent="0.25">
      <c r="C194" s="57"/>
      <c r="D194" s="57"/>
      <c r="E194" s="57"/>
      <c r="F194" s="60"/>
      <c r="G194" s="60"/>
      <c r="H194" s="60"/>
      <c r="I194" s="57"/>
      <c r="J194" s="57"/>
      <c r="K194" s="57"/>
      <c r="L194" s="57"/>
      <c r="M194" s="57"/>
      <c r="N194" s="57"/>
      <c r="O194" s="57"/>
      <c r="P194" s="57"/>
      <c r="Q194" s="57"/>
      <c r="R194" s="57"/>
      <c r="S194" s="57"/>
      <c r="T194" s="57"/>
      <c r="U194" s="57"/>
      <c r="V194" s="57"/>
      <c r="W194" s="57"/>
      <c r="X194" s="57"/>
      <c r="Y194" s="57"/>
      <c r="Z194" s="57"/>
    </row>
    <row r="195" spans="3:26" x14ac:dyDescent="0.25">
      <c r="C195" s="57"/>
      <c r="D195" s="57"/>
      <c r="E195" s="57"/>
      <c r="F195" s="60"/>
      <c r="G195" s="60"/>
      <c r="H195" s="60"/>
      <c r="I195" s="57"/>
      <c r="J195" s="57"/>
      <c r="K195" s="57"/>
      <c r="L195" s="57"/>
      <c r="M195" s="57"/>
      <c r="N195" s="57"/>
      <c r="O195" s="57"/>
      <c r="P195" s="57"/>
      <c r="Q195" s="57"/>
      <c r="R195" s="57"/>
      <c r="S195" s="57"/>
      <c r="T195" s="57"/>
      <c r="U195" s="57"/>
      <c r="V195" s="57"/>
      <c r="W195" s="57"/>
      <c r="X195" s="57"/>
      <c r="Y195" s="57"/>
      <c r="Z195" s="57"/>
    </row>
    <row r="196" spans="3:26" x14ac:dyDescent="0.25">
      <c r="C196" s="57"/>
      <c r="D196" s="57"/>
      <c r="E196" s="57"/>
      <c r="F196" s="60"/>
      <c r="G196" s="60"/>
      <c r="H196" s="60"/>
      <c r="I196" s="57"/>
      <c r="J196" s="57"/>
      <c r="K196" s="57"/>
      <c r="L196" s="57"/>
      <c r="M196" s="57"/>
      <c r="N196" s="57"/>
      <c r="O196" s="57"/>
      <c r="P196" s="57"/>
      <c r="Q196" s="57"/>
      <c r="R196" s="57"/>
      <c r="S196" s="57"/>
      <c r="T196" s="57"/>
      <c r="U196" s="57"/>
      <c r="V196" s="57"/>
      <c r="W196" s="57"/>
      <c r="X196" s="57"/>
      <c r="Y196" s="57"/>
      <c r="Z196" s="57"/>
    </row>
    <row r="197" spans="3:26" x14ac:dyDescent="0.25">
      <c r="C197" s="57"/>
      <c r="D197" s="57"/>
      <c r="E197" s="57"/>
      <c r="F197" s="60"/>
      <c r="G197" s="60"/>
      <c r="H197" s="60"/>
      <c r="I197" s="57"/>
      <c r="J197" s="57"/>
      <c r="K197" s="57"/>
      <c r="L197" s="57"/>
      <c r="M197" s="57"/>
      <c r="N197" s="57"/>
      <c r="O197" s="57"/>
      <c r="P197" s="57"/>
      <c r="Q197" s="57"/>
      <c r="R197" s="57"/>
      <c r="S197" s="57"/>
      <c r="T197" s="57"/>
      <c r="U197" s="57"/>
      <c r="V197" s="57"/>
      <c r="W197" s="57"/>
      <c r="X197" s="57"/>
      <c r="Y197" s="57"/>
      <c r="Z197" s="57"/>
    </row>
    <row r="198" spans="3:26" x14ac:dyDescent="0.25">
      <c r="C198" s="57"/>
      <c r="D198" s="57"/>
      <c r="E198" s="57"/>
      <c r="F198" s="60"/>
      <c r="G198" s="60"/>
      <c r="H198" s="60"/>
      <c r="I198" s="57"/>
      <c r="J198" s="57"/>
      <c r="K198" s="57"/>
      <c r="L198" s="57"/>
      <c r="M198" s="57"/>
      <c r="N198" s="57"/>
      <c r="O198" s="57"/>
      <c r="P198" s="57"/>
      <c r="Q198" s="57"/>
      <c r="R198" s="57"/>
      <c r="S198" s="57"/>
      <c r="T198" s="57"/>
      <c r="U198" s="57"/>
      <c r="V198" s="57"/>
      <c r="W198" s="57"/>
      <c r="X198" s="57"/>
      <c r="Y198" s="57"/>
      <c r="Z198" s="57"/>
    </row>
    <row r="199" spans="3:26" x14ac:dyDescent="0.25">
      <c r="C199" s="57"/>
      <c r="D199" s="57"/>
      <c r="E199" s="57"/>
      <c r="F199" s="60"/>
      <c r="G199" s="60"/>
      <c r="H199" s="60"/>
      <c r="I199" s="57"/>
      <c r="J199" s="57"/>
      <c r="K199" s="57"/>
      <c r="L199" s="57"/>
      <c r="M199" s="57"/>
      <c r="N199" s="57"/>
      <c r="O199" s="57"/>
      <c r="P199" s="57"/>
      <c r="Q199" s="57"/>
      <c r="R199" s="57"/>
      <c r="S199" s="57"/>
      <c r="T199" s="57"/>
      <c r="U199" s="57"/>
      <c r="V199" s="57"/>
      <c r="W199" s="57"/>
      <c r="X199" s="57"/>
      <c r="Y199" s="57"/>
      <c r="Z199" s="57"/>
    </row>
    <row r="200" spans="3:26" x14ac:dyDescent="0.25">
      <c r="C200" s="57"/>
      <c r="D200" s="57"/>
      <c r="E200" s="57"/>
      <c r="F200" s="60"/>
      <c r="G200" s="60"/>
      <c r="H200" s="60"/>
      <c r="I200" s="57"/>
      <c r="J200" s="57"/>
      <c r="K200" s="57"/>
      <c r="L200" s="57"/>
      <c r="M200" s="57"/>
      <c r="N200" s="57"/>
      <c r="O200" s="57"/>
      <c r="P200" s="57"/>
      <c r="Q200" s="57"/>
      <c r="R200" s="57"/>
      <c r="S200" s="57"/>
      <c r="T200" s="57"/>
      <c r="U200" s="57"/>
      <c r="V200" s="57"/>
      <c r="W200" s="57"/>
      <c r="X200" s="57"/>
      <c r="Y200" s="57"/>
      <c r="Z200" s="57"/>
    </row>
    <row r="201" spans="3:26" x14ac:dyDescent="0.25">
      <c r="C201" s="57"/>
      <c r="D201" s="57"/>
      <c r="E201" s="57"/>
      <c r="F201" s="60"/>
      <c r="G201" s="60"/>
      <c r="H201" s="60"/>
      <c r="I201" s="57"/>
      <c r="J201" s="57"/>
      <c r="K201" s="57"/>
      <c r="L201" s="57"/>
      <c r="M201" s="57"/>
      <c r="N201" s="57"/>
      <c r="O201" s="57"/>
      <c r="P201" s="57"/>
      <c r="Q201" s="57"/>
      <c r="R201" s="57"/>
      <c r="S201" s="57"/>
      <c r="T201" s="57"/>
      <c r="U201" s="57"/>
      <c r="V201" s="57"/>
      <c r="W201" s="57"/>
      <c r="X201" s="57"/>
      <c r="Y201" s="57"/>
      <c r="Z201" s="57"/>
    </row>
    <row r="202" spans="3:26" x14ac:dyDescent="0.25">
      <c r="C202" s="57"/>
      <c r="D202" s="57"/>
      <c r="E202" s="57"/>
      <c r="F202" s="60"/>
      <c r="G202" s="60"/>
      <c r="H202" s="60"/>
      <c r="I202" s="57"/>
      <c r="J202" s="57"/>
      <c r="K202" s="57"/>
      <c r="L202" s="57"/>
      <c r="M202" s="57"/>
      <c r="N202" s="57"/>
      <c r="O202" s="57"/>
      <c r="P202" s="57"/>
      <c r="Q202" s="57"/>
      <c r="R202" s="57"/>
      <c r="S202" s="57"/>
      <c r="T202" s="57"/>
      <c r="U202" s="57"/>
      <c r="V202" s="57"/>
      <c r="W202" s="57"/>
      <c r="X202" s="57"/>
      <c r="Y202" s="57"/>
      <c r="Z202" s="57"/>
    </row>
    <row r="203" spans="3:26" x14ac:dyDescent="0.25">
      <c r="C203" s="57"/>
      <c r="D203" s="57"/>
      <c r="E203" s="57"/>
      <c r="F203" s="60"/>
      <c r="G203" s="60"/>
      <c r="H203" s="60"/>
      <c r="I203" s="57"/>
      <c r="J203" s="57"/>
      <c r="K203" s="57"/>
      <c r="L203" s="57"/>
      <c r="M203" s="57"/>
      <c r="N203" s="57"/>
      <c r="O203" s="57"/>
      <c r="P203" s="57"/>
      <c r="Q203" s="57"/>
      <c r="R203" s="57"/>
      <c r="S203" s="57"/>
      <c r="T203" s="57"/>
      <c r="U203" s="57"/>
      <c r="V203" s="57"/>
      <c r="W203" s="57"/>
      <c r="X203" s="57"/>
      <c r="Y203" s="57"/>
      <c r="Z203" s="57"/>
    </row>
    <row r="204" spans="3:26" x14ac:dyDescent="0.25">
      <c r="C204" s="57"/>
      <c r="D204" s="57"/>
      <c r="E204" s="57"/>
      <c r="F204" s="60"/>
      <c r="G204" s="60"/>
      <c r="H204" s="60"/>
      <c r="I204" s="57"/>
      <c r="J204" s="57"/>
      <c r="K204" s="57"/>
      <c r="L204" s="57"/>
      <c r="M204" s="57"/>
      <c r="N204" s="57"/>
      <c r="O204" s="57"/>
      <c r="P204" s="57"/>
      <c r="Q204" s="57"/>
      <c r="R204" s="57"/>
      <c r="S204" s="57"/>
      <c r="T204" s="57"/>
      <c r="U204" s="57"/>
      <c r="V204" s="57"/>
      <c r="W204" s="57"/>
      <c r="X204" s="57"/>
      <c r="Y204" s="57"/>
      <c r="Z204" s="57"/>
    </row>
    <row r="205" spans="3:26" x14ac:dyDescent="0.25">
      <c r="C205" s="57"/>
      <c r="D205" s="57"/>
      <c r="E205" s="57"/>
      <c r="F205" s="60"/>
      <c r="G205" s="60"/>
      <c r="H205" s="60"/>
      <c r="I205" s="57"/>
      <c r="J205" s="57"/>
      <c r="K205" s="57"/>
      <c r="L205" s="57"/>
      <c r="M205" s="57"/>
      <c r="N205" s="57"/>
      <c r="O205" s="57"/>
      <c r="P205" s="57"/>
      <c r="Q205" s="57"/>
      <c r="R205" s="57"/>
      <c r="S205" s="57"/>
      <c r="T205" s="57"/>
      <c r="U205" s="57"/>
      <c r="V205" s="57"/>
      <c r="W205" s="57"/>
      <c r="X205" s="57"/>
      <c r="Y205" s="57"/>
      <c r="Z205" s="57"/>
    </row>
    <row r="206" spans="3:26" x14ac:dyDescent="0.25">
      <c r="C206" s="57"/>
      <c r="D206" s="57"/>
      <c r="E206" s="57"/>
      <c r="F206" s="60"/>
      <c r="G206" s="60"/>
      <c r="H206" s="60"/>
      <c r="I206" s="57"/>
      <c r="J206" s="57"/>
      <c r="K206" s="57"/>
      <c r="L206" s="57"/>
      <c r="M206" s="57"/>
      <c r="N206" s="57"/>
      <c r="O206" s="57"/>
      <c r="P206" s="57"/>
      <c r="Q206" s="57"/>
      <c r="R206" s="57"/>
      <c r="S206" s="57"/>
      <c r="T206" s="57"/>
      <c r="U206" s="57"/>
      <c r="V206" s="57"/>
      <c r="W206" s="57"/>
      <c r="X206" s="57"/>
      <c r="Y206" s="57"/>
      <c r="Z206" s="57"/>
    </row>
    <row r="207" spans="3:26" x14ac:dyDescent="0.25">
      <c r="C207" s="57"/>
      <c r="D207" s="57"/>
      <c r="E207" s="57"/>
      <c r="F207" s="60"/>
      <c r="G207" s="60"/>
      <c r="H207" s="60"/>
      <c r="I207" s="57"/>
      <c r="J207" s="57"/>
      <c r="K207" s="57"/>
      <c r="L207" s="57"/>
      <c r="M207" s="57"/>
      <c r="N207" s="57"/>
      <c r="O207" s="57"/>
      <c r="P207" s="57"/>
      <c r="Q207" s="57"/>
      <c r="R207" s="57"/>
      <c r="S207" s="57"/>
      <c r="T207" s="57"/>
      <c r="U207" s="57"/>
      <c r="V207" s="57"/>
      <c r="W207" s="57"/>
      <c r="X207" s="57"/>
      <c r="Y207" s="57"/>
      <c r="Z207" s="57"/>
    </row>
    <row r="208" spans="3:26" x14ac:dyDescent="0.25">
      <c r="C208" s="57"/>
      <c r="D208" s="57"/>
      <c r="E208" s="57"/>
      <c r="F208" s="60"/>
      <c r="G208" s="60"/>
      <c r="H208" s="60"/>
      <c r="I208" s="57"/>
      <c r="J208" s="57"/>
      <c r="K208" s="57"/>
      <c r="L208" s="57"/>
      <c r="M208" s="57"/>
      <c r="N208" s="57"/>
      <c r="O208" s="57"/>
      <c r="P208" s="57"/>
      <c r="Q208" s="57"/>
      <c r="R208" s="57"/>
      <c r="S208" s="57"/>
      <c r="T208" s="57"/>
      <c r="U208" s="57"/>
      <c r="V208" s="57"/>
      <c r="W208" s="57"/>
      <c r="X208" s="57"/>
      <c r="Y208" s="57"/>
      <c r="Z208" s="57"/>
    </row>
    <row r="209" spans="3:26" x14ac:dyDescent="0.25">
      <c r="C209" s="57"/>
      <c r="D209" s="57"/>
      <c r="E209" s="57"/>
      <c r="F209" s="60"/>
      <c r="G209" s="60"/>
      <c r="H209" s="60"/>
      <c r="I209" s="57"/>
      <c r="J209" s="57"/>
      <c r="K209" s="57"/>
      <c r="L209" s="57"/>
      <c r="M209" s="57"/>
      <c r="N209" s="57"/>
      <c r="O209" s="57"/>
      <c r="P209" s="57"/>
      <c r="Q209" s="57"/>
      <c r="R209" s="57"/>
      <c r="S209" s="57"/>
      <c r="T209" s="57"/>
      <c r="U209" s="57"/>
      <c r="V209" s="57"/>
      <c r="W209" s="57"/>
      <c r="X209" s="57"/>
      <c r="Y209" s="57"/>
      <c r="Z209" s="57"/>
    </row>
    <row r="210" spans="3:26" x14ac:dyDescent="0.25">
      <c r="C210" s="57"/>
      <c r="D210" s="57"/>
      <c r="E210" s="57"/>
      <c r="F210" s="60"/>
      <c r="G210" s="60"/>
      <c r="H210" s="60"/>
      <c r="I210" s="57"/>
      <c r="J210" s="57"/>
      <c r="K210" s="57"/>
      <c r="L210" s="57"/>
      <c r="M210" s="57"/>
      <c r="N210" s="57"/>
      <c r="O210" s="57"/>
      <c r="P210" s="57"/>
      <c r="Q210" s="57"/>
      <c r="R210" s="57"/>
      <c r="S210" s="57"/>
      <c r="T210" s="57"/>
      <c r="U210" s="57"/>
      <c r="V210" s="57"/>
      <c r="W210" s="57"/>
      <c r="X210" s="57"/>
      <c r="Y210" s="57"/>
      <c r="Z210" s="57"/>
    </row>
    <row r="211" spans="3:26" x14ac:dyDescent="0.25">
      <c r="C211" s="57"/>
      <c r="D211" s="57"/>
      <c r="E211" s="57"/>
      <c r="F211" s="60"/>
      <c r="G211" s="60"/>
      <c r="H211" s="60"/>
      <c r="I211" s="57"/>
      <c r="J211" s="57"/>
      <c r="K211" s="57"/>
      <c r="L211" s="57"/>
      <c r="M211" s="57"/>
      <c r="N211" s="57"/>
      <c r="O211" s="57"/>
      <c r="P211" s="57"/>
      <c r="Q211" s="57"/>
      <c r="R211" s="57"/>
      <c r="S211" s="57"/>
      <c r="T211" s="57"/>
      <c r="U211" s="57"/>
      <c r="V211" s="57"/>
      <c r="W211" s="57"/>
      <c r="X211" s="57"/>
      <c r="Y211" s="57"/>
      <c r="Z211" s="57"/>
    </row>
    <row r="212" spans="3:26" x14ac:dyDescent="0.25">
      <c r="C212" s="57"/>
      <c r="D212" s="57"/>
      <c r="E212" s="57"/>
      <c r="F212" s="60"/>
      <c r="G212" s="60"/>
      <c r="H212" s="60"/>
      <c r="I212" s="57"/>
      <c r="J212" s="57"/>
      <c r="K212" s="57"/>
      <c r="L212" s="57"/>
      <c r="M212" s="57"/>
      <c r="N212" s="57"/>
      <c r="O212" s="57"/>
      <c r="P212" s="57"/>
      <c r="Q212" s="57"/>
      <c r="R212" s="57"/>
      <c r="S212" s="57"/>
      <c r="T212" s="57"/>
      <c r="U212" s="57"/>
      <c r="V212" s="57"/>
      <c r="W212" s="57"/>
      <c r="X212" s="57"/>
      <c r="Y212" s="57"/>
      <c r="Z212" s="57"/>
    </row>
    <row r="213" spans="3:26" x14ac:dyDescent="0.25">
      <c r="C213" s="57"/>
      <c r="D213" s="57"/>
      <c r="E213" s="57"/>
      <c r="F213" s="60"/>
      <c r="G213" s="60"/>
      <c r="H213" s="60"/>
      <c r="I213" s="57"/>
      <c r="J213" s="57"/>
      <c r="K213" s="57"/>
      <c r="L213" s="57"/>
      <c r="M213" s="57"/>
      <c r="N213" s="57"/>
      <c r="O213" s="57"/>
      <c r="P213" s="57"/>
      <c r="Q213" s="57"/>
      <c r="R213" s="57"/>
      <c r="S213" s="57"/>
      <c r="T213" s="57"/>
      <c r="U213" s="57"/>
      <c r="V213" s="57"/>
      <c r="W213" s="57"/>
      <c r="X213" s="57"/>
      <c r="Y213" s="57"/>
      <c r="Z213" s="57"/>
    </row>
    <row r="214" spans="3:26" x14ac:dyDescent="0.25">
      <c r="C214" s="57"/>
      <c r="D214" s="57"/>
      <c r="E214" s="57"/>
      <c r="F214" s="60"/>
      <c r="G214" s="60"/>
      <c r="H214" s="60"/>
      <c r="I214" s="57"/>
      <c r="J214" s="57"/>
      <c r="K214" s="57"/>
      <c r="L214" s="57"/>
      <c r="M214" s="57"/>
      <c r="N214" s="57"/>
      <c r="O214" s="57"/>
      <c r="P214" s="57"/>
      <c r="Q214" s="57"/>
      <c r="R214" s="57"/>
      <c r="S214" s="57"/>
      <c r="T214" s="57"/>
      <c r="U214" s="57"/>
      <c r="V214" s="57"/>
      <c r="W214" s="57"/>
      <c r="X214" s="57"/>
      <c r="Y214" s="57"/>
      <c r="Z214" s="57"/>
    </row>
    <row r="215" spans="3:26" x14ac:dyDescent="0.25">
      <c r="C215" s="57"/>
      <c r="D215" s="57"/>
      <c r="E215" s="57"/>
      <c r="F215" s="60"/>
      <c r="G215" s="60"/>
      <c r="H215" s="60"/>
      <c r="I215" s="57"/>
      <c r="J215" s="57"/>
      <c r="K215" s="57"/>
      <c r="L215" s="57"/>
      <c r="M215" s="57"/>
      <c r="N215" s="57"/>
      <c r="O215" s="57"/>
      <c r="P215" s="57"/>
      <c r="Q215" s="57"/>
      <c r="R215" s="57"/>
      <c r="S215" s="57"/>
      <c r="T215" s="57"/>
      <c r="U215" s="57"/>
      <c r="V215" s="57"/>
      <c r="W215" s="57"/>
      <c r="X215" s="57"/>
      <c r="Y215" s="57"/>
      <c r="Z215" s="57"/>
    </row>
    <row r="216" spans="3:26" x14ac:dyDescent="0.25">
      <c r="C216" s="57"/>
      <c r="D216" s="57"/>
      <c r="E216" s="57"/>
      <c r="F216" s="60"/>
      <c r="G216" s="60"/>
      <c r="H216" s="60"/>
      <c r="I216" s="57"/>
      <c r="J216" s="57"/>
      <c r="K216" s="57"/>
      <c r="L216" s="57"/>
      <c r="M216" s="57"/>
      <c r="N216" s="57"/>
      <c r="O216" s="57"/>
      <c r="P216" s="57"/>
      <c r="Q216" s="57"/>
      <c r="R216" s="57"/>
      <c r="S216" s="57"/>
      <c r="T216" s="57"/>
      <c r="U216" s="57"/>
      <c r="V216" s="57"/>
      <c r="W216" s="57"/>
      <c r="X216" s="57"/>
      <c r="Y216" s="57"/>
      <c r="Z216" s="57"/>
    </row>
    <row r="217" spans="3:26" x14ac:dyDescent="0.25">
      <c r="C217" s="57"/>
      <c r="D217" s="57"/>
      <c r="E217" s="57"/>
      <c r="F217" s="60"/>
      <c r="G217" s="60"/>
      <c r="H217" s="60"/>
      <c r="I217" s="57"/>
      <c r="J217" s="57"/>
      <c r="K217" s="57"/>
      <c r="L217" s="57"/>
      <c r="M217" s="57"/>
      <c r="N217" s="57"/>
      <c r="O217" s="57"/>
      <c r="P217" s="57"/>
      <c r="Q217" s="57"/>
      <c r="R217" s="57"/>
      <c r="S217" s="57"/>
      <c r="T217" s="57"/>
      <c r="U217" s="57"/>
      <c r="V217" s="57"/>
      <c r="W217" s="57"/>
      <c r="X217" s="57"/>
      <c r="Y217" s="57"/>
      <c r="Z217" s="57"/>
    </row>
    <row r="218" spans="3:26" x14ac:dyDescent="0.25">
      <c r="C218" s="57"/>
      <c r="D218" s="57"/>
      <c r="E218" s="57"/>
      <c r="F218" s="60"/>
      <c r="G218" s="60"/>
      <c r="H218" s="60"/>
      <c r="I218" s="57"/>
      <c r="J218" s="57"/>
      <c r="K218" s="57"/>
      <c r="L218" s="57"/>
      <c r="M218" s="57"/>
      <c r="N218" s="57"/>
      <c r="O218" s="57"/>
      <c r="P218" s="57"/>
      <c r="Q218" s="57"/>
      <c r="R218" s="57"/>
      <c r="S218" s="57"/>
      <c r="T218" s="57"/>
      <c r="U218" s="57"/>
      <c r="V218" s="57"/>
      <c r="W218" s="57"/>
      <c r="X218" s="57"/>
      <c r="Y218" s="57"/>
      <c r="Z218" s="57"/>
    </row>
    <row r="219" spans="3:26" x14ac:dyDescent="0.25">
      <c r="C219" s="57"/>
      <c r="D219" s="57"/>
      <c r="E219" s="57"/>
      <c r="F219" s="60"/>
      <c r="G219" s="60"/>
      <c r="H219" s="60"/>
      <c r="I219" s="57"/>
      <c r="J219" s="57"/>
      <c r="K219" s="57"/>
      <c r="L219" s="57"/>
      <c r="M219" s="57"/>
      <c r="N219" s="57"/>
      <c r="O219" s="57"/>
      <c r="P219" s="57"/>
      <c r="Q219" s="57"/>
      <c r="R219" s="57"/>
      <c r="S219" s="57"/>
      <c r="T219" s="57"/>
      <c r="U219" s="57"/>
      <c r="V219" s="57"/>
      <c r="W219" s="57"/>
      <c r="X219" s="57"/>
      <c r="Y219" s="57"/>
      <c r="Z219" s="57"/>
    </row>
    <row r="220" spans="3:26" x14ac:dyDescent="0.25">
      <c r="C220" s="57"/>
      <c r="D220" s="57"/>
      <c r="E220" s="57"/>
      <c r="F220" s="60"/>
      <c r="G220" s="60"/>
      <c r="H220" s="60"/>
      <c r="I220" s="57"/>
      <c r="J220" s="57"/>
      <c r="K220" s="57"/>
      <c r="L220" s="57"/>
      <c r="M220" s="57"/>
      <c r="N220" s="57"/>
      <c r="O220" s="57"/>
      <c r="P220" s="57"/>
      <c r="Q220" s="57"/>
      <c r="R220" s="57"/>
      <c r="S220" s="57"/>
      <c r="T220" s="57"/>
      <c r="U220" s="57"/>
      <c r="V220" s="57"/>
      <c r="W220" s="57"/>
      <c r="X220" s="57"/>
      <c r="Y220" s="57"/>
      <c r="Z220" s="57"/>
    </row>
    <row r="221" spans="3:26" x14ac:dyDescent="0.25">
      <c r="C221" s="57"/>
      <c r="D221" s="57"/>
      <c r="E221" s="57"/>
      <c r="F221" s="60"/>
      <c r="G221" s="60"/>
      <c r="H221" s="60"/>
      <c r="I221" s="57"/>
      <c r="J221" s="57"/>
      <c r="K221" s="57"/>
      <c r="L221" s="57"/>
      <c r="M221" s="57"/>
      <c r="N221" s="57"/>
      <c r="O221" s="57"/>
      <c r="P221" s="57"/>
      <c r="Q221" s="57"/>
      <c r="R221" s="57"/>
      <c r="S221" s="57"/>
      <c r="T221" s="57"/>
      <c r="U221" s="57"/>
      <c r="V221" s="57"/>
      <c r="W221" s="57"/>
      <c r="X221" s="57"/>
      <c r="Y221" s="57"/>
      <c r="Z221" s="57"/>
    </row>
    <row r="222" spans="3:26" x14ac:dyDescent="0.25">
      <c r="C222" s="57"/>
      <c r="D222" s="57"/>
      <c r="E222" s="57"/>
      <c r="F222" s="60"/>
      <c r="G222" s="60"/>
      <c r="H222" s="60"/>
      <c r="I222" s="57"/>
      <c r="J222" s="57"/>
      <c r="K222" s="57"/>
      <c r="L222" s="57"/>
      <c r="M222" s="57"/>
      <c r="N222" s="57"/>
      <c r="O222" s="57"/>
      <c r="P222" s="57"/>
      <c r="Q222" s="57"/>
      <c r="R222" s="57"/>
      <c r="S222" s="57"/>
      <c r="T222" s="57"/>
      <c r="U222" s="57"/>
      <c r="V222" s="57"/>
      <c r="W222" s="57"/>
      <c r="X222" s="57"/>
      <c r="Y222" s="57"/>
      <c r="Z222" s="57"/>
    </row>
    <row r="223" spans="3:26" x14ac:dyDescent="0.25">
      <c r="C223" s="57"/>
      <c r="D223" s="57"/>
      <c r="E223" s="57"/>
      <c r="F223" s="60"/>
      <c r="G223" s="60"/>
      <c r="H223" s="60"/>
      <c r="I223" s="57"/>
      <c r="J223" s="57"/>
      <c r="K223" s="57"/>
      <c r="L223" s="57"/>
      <c r="M223" s="57"/>
      <c r="N223" s="57"/>
      <c r="O223" s="57"/>
      <c r="P223" s="57"/>
      <c r="Q223" s="57"/>
      <c r="R223" s="57"/>
      <c r="S223" s="57"/>
      <c r="T223" s="57"/>
      <c r="U223" s="57"/>
      <c r="V223" s="57"/>
      <c r="W223" s="57"/>
      <c r="X223" s="57"/>
      <c r="Y223" s="57"/>
      <c r="Z223" s="57"/>
    </row>
    <row r="224" spans="3:26" x14ac:dyDescent="0.25">
      <c r="C224" s="57"/>
      <c r="D224" s="57"/>
      <c r="E224" s="57"/>
      <c r="F224" s="60"/>
      <c r="G224" s="60"/>
      <c r="H224" s="60"/>
      <c r="I224" s="57"/>
      <c r="J224" s="57"/>
      <c r="K224" s="57"/>
      <c r="L224" s="57"/>
      <c r="M224" s="57"/>
      <c r="N224" s="57"/>
      <c r="O224" s="57"/>
      <c r="P224" s="57"/>
      <c r="Q224" s="57"/>
      <c r="R224" s="57"/>
      <c r="S224" s="57"/>
      <c r="T224" s="57"/>
      <c r="U224" s="57"/>
      <c r="V224" s="57"/>
      <c r="W224" s="57"/>
      <c r="X224" s="57"/>
      <c r="Y224" s="57"/>
      <c r="Z224" s="57"/>
    </row>
    <row r="225" spans="3:26" x14ac:dyDescent="0.25">
      <c r="C225" s="57"/>
      <c r="D225" s="57"/>
      <c r="E225" s="57"/>
      <c r="F225" s="60"/>
      <c r="G225" s="60"/>
      <c r="H225" s="60"/>
      <c r="I225" s="57"/>
      <c r="J225" s="57"/>
      <c r="K225" s="57"/>
      <c r="L225" s="57"/>
      <c r="M225" s="57"/>
      <c r="N225" s="57"/>
      <c r="O225" s="57"/>
      <c r="P225" s="57"/>
      <c r="Q225" s="57"/>
      <c r="R225" s="57"/>
      <c r="S225" s="57"/>
      <c r="T225" s="57"/>
      <c r="U225" s="57"/>
      <c r="V225" s="57"/>
      <c r="W225" s="57"/>
      <c r="X225" s="57"/>
      <c r="Y225" s="57"/>
      <c r="Z225" s="57"/>
    </row>
    <row r="226" spans="3:26" x14ac:dyDescent="0.25">
      <c r="C226" s="57"/>
      <c r="D226" s="57"/>
      <c r="E226" s="57"/>
      <c r="F226" s="60"/>
      <c r="G226" s="60"/>
      <c r="H226" s="60"/>
      <c r="I226" s="57"/>
      <c r="J226" s="57"/>
      <c r="K226" s="57"/>
      <c r="L226" s="57"/>
      <c r="M226" s="57"/>
      <c r="N226" s="57"/>
      <c r="O226" s="57"/>
      <c r="P226" s="57"/>
      <c r="Q226" s="57"/>
      <c r="R226" s="57"/>
      <c r="S226" s="57"/>
      <c r="T226" s="57"/>
      <c r="U226" s="57"/>
      <c r="V226" s="57"/>
      <c r="W226" s="57"/>
      <c r="X226" s="57"/>
      <c r="Y226" s="57"/>
      <c r="Z226" s="57"/>
    </row>
    <row r="227" spans="3:26" x14ac:dyDescent="0.25">
      <c r="C227" s="57"/>
      <c r="D227" s="57"/>
      <c r="E227" s="57"/>
      <c r="F227" s="60"/>
      <c r="G227" s="60"/>
      <c r="H227" s="60"/>
      <c r="I227" s="57"/>
      <c r="J227" s="57"/>
      <c r="K227" s="57"/>
      <c r="L227" s="57"/>
      <c r="M227" s="57"/>
      <c r="N227" s="57"/>
      <c r="O227" s="57"/>
      <c r="P227" s="57"/>
      <c r="Q227" s="57"/>
      <c r="R227" s="57"/>
      <c r="S227" s="57"/>
      <c r="T227" s="57"/>
      <c r="U227" s="57"/>
      <c r="V227" s="57"/>
      <c r="W227" s="57"/>
      <c r="X227" s="57"/>
      <c r="Y227" s="57"/>
      <c r="Z227" s="57"/>
    </row>
    <row r="228" spans="3:26" x14ac:dyDescent="0.25">
      <c r="C228" s="57"/>
      <c r="D228" s="57"/>
      <c r="E228" s="57"/>
      <c r="F228" s="60"/>
      <c r="G228" s="60"/>
      <c r="H228" s="60"/>
      <c r="I228" s="57"/>
      <c r="J228" s="57"/>
      <c r="K228" s="57"/>
      <c r="L228" s="57"/>
      <c r="M228" s="57"/>
      <c r="N228" s="57"/>
      <c r="O228" s="57"/>
      <c r="P228" s="57"/>
      <c r="Q228" s="57"/>
      <c r="R228" s="57"/>
      <c r="S228" s="57"/>
      <c r="T228" s="57"/>
      <c r="U228" s="57"/>
      <c r="V228" s="57"/>
      <c r="W228" s="57"/>
      <c r="X228" s="57"/>
      <c r="Y228" s="57"/>
      <c r="Z228" s="57"/>
    </row>
    <row r="229" spans="3:26" x14ac:dyDescent="0.25">
      <c r="C229" s="57"/>
      <c r="D229" s="57"/>
      <c r="E229" s="57"/>
      <c r="F229" s="60"/>
      <c r="G229" s="60"/>
      <c r="H229" s="60"/>
      <c r="I229" s="57"/>
      <c r="J229" s="57"/>
      <c r="K229" s="57"/>
      <c r="L229" s="57"/>
      <c r="M229" s="57"/>
      <c r="N229" s="57"/>
      <c r="O229" s="57"/>
      <c r="P229" s="57"/>
      <c r="Q229" s="57"/>
      <c r="R229" s="57"/>
      <c r="S229" s="57"/>
      <c r="T229" s="57"/>
      <c r="U229" s="57"/>
      <c r="V229" s="57"/>
      <c r="W229" s="57"/>
      <c r="X229" s="57"/>
      <c r="Y229" s="57"/>
      <c r="Z229" s="57"/>
    </row>
    <row r="230" spans="3:26" x14ac:dyDescent="0.25">
      <c r="C230" s="57"/>
      <c r="D230" s="57"/>
      <c r="E230" s="57"/>
      <c r="F230" s="60"/>
      <c r="G230" s="60"/>
      <c r="H230" s="60"/>
      <c r="I230" s="57"/>
      <c r="J230" s="57"/>
      <c r="K230" s="57"/>
      <c r="L230" s="57"/>
      <c r="M230" s="57"/>
      <c r="N230" s="57"/>
      <c r="O230" s="57"/>
      <c r="P230" s="57"/>
      <c r="Q230" s="57"/>
      <c r="R230" s="57"/>
      <c r="S230" s="57"/>
      <c r="T230" s="57"/>
      <c r="U230" s="57"/>
      <c r="V230" s="57"/>
      <c r="W230" s="57"/>
      <c r="X230" s="57"/>
      <c r="Y230" s="57"/>
      <c r="Z230" s="57"/>
    </row>
    <row r="231" spans="3:26" x14ac:dyDescent="0.25">
      <c r="C231" s="57"/>
      <c r="D231" s="57"/>
      <c r="E231" s="57"/>
      <c r="F231" s="60"/>
      <c r="G231" s="60"/>
      <c r="H231" s="60"/>
      <c r="I231" s="57"/>
      <c r="J231" s="57"/>
      <c r="K231" s="57"/>
      <c r="L231" s="57"/>
      <c r="M231" s="57"/>
      <c r="N231" s="57"/>
      <c r="O231" s="57"/>
      <c r="P231" s="57"/>
      <c r="Q231" s="57"/>
      <c r="R231" s="57"/>
      <c r="S231" s="57"/>
      <c r="T231" s="57"/>
      <c r="U231" s="57"/>
      <c r="V231" s="57"/>
      <c r="W231" s="57"/>
      <c r="X231" s="57"/>
      <c r="Y231" s="57"/>
      <c r="Z231" s="57"/>
    </row>
    <row r="232" spans="3:26" x14ac:dyDescent="0.25">
      <c r="C232" s="57"/>
      <c r="D232" s="57"/>
      <c r="E232" s="57"/>
      <c r="F232" s="60"/>
      <c r="G232" s="60"/>
      <c r="H232" s="60"/>
      <c r="I232" s="57"/>
      <c r="J232" s="57"/>
      <c r="K232" s="57"/>
      <c r="L232" s="57"/>
      <c r="M232" s="57"/>
      <c r="N232" s="57"/>
      <c r="O232" s="57"/>
      <c r="P232" s="57"/>
      <c r="Q232" s="57"/>
      <c r="R232" s="57"/>
      <c r="S232" s="57"/>
      <c r="T232" s="57"/>
      <c r="U232" s="57"/>
      <c r="V232" s="57"/>
      <c r="W232" s="57"/>
      <c r="X232" s="57"/>
      <c r="Y232" s="57"/>
      <c r="Z232" s="57"/>
    </row>
    <row r="233" spans="3:26" x14ac:dyDescent="0.25">
      <c r="C233" s="57"/>
      <c r="D233" s="57"/>
      <c r="E233" s="57"/>
      <c r="F233" s="60"/>
      <c r="G233" s="60"/>
      <c r="H233" s="60"/>
      <c r="I233" s="57"/>
      <c r="J233" s="57"/>
      <c r="K233" s="57"/>
      <c r="L233" s="57"/>
      <c r="M233" s="57"/>
      <c r="N233" s="57"/>
      <c r="O233" s="57"/>
      <c r="P233" s="57"/>
      <c r="Q233" s="57"/>
      <c r="R233" s="57"/>
      <c r="S233" s="57"/>
      <c r="T233" s="57"/>
      <c r="U233" s="57"/>
      <c r="V233" s="57"/>
      <c r="W233" s="57"/>
      <c r="X233" s="57"/>
      <c r="Y233" s="57"/>
      <c r="Z233" s="57"/>
    </row>
    <row r="234" spans="3:26" x14ac:dyDescent="0.25">
      <c r="C234" s="57"/>
      <c r="D234" s="57"/>
      <c r="E234" s="57"/>
      <c r="F234" s="60"/>
      <c r="G234" s="60"/>
      <c r="H234" s="60"/>
      <c r="I234" s="57"/>
      <c r="J234" s="57"/>
      <c r="K234" s="57"/>
      <c r="L234" s="57"/>
      <c r="M234" s="57"/>
      <c r="N234" s="57"/>
      <c r="O234" s="57"/>
      <c r="P234" s="57"/>
      <c r="Q234" s="57"/>
      <c r="R234" s="57"/>
      <c r="S234" s="57"/>
      <c r="T234" s="57"/>
      <c r="U234" s="57"/>
      <c r="V234" s="57"/>
      <c r="W234" s="57"/>
      <c r="X234" s="57"/>
      <c r="Y234" s="57"/>
      <c r="Z234" s="57"/>
    </row>
    <row r="235" spans="3:26" x14ac:dyDescent="0.25">
      <c r="C235" s="57"/>
      <c r="D235" s="57"/>
      <c r="E235" s="57"/>
      <c r="F235" s="60"/>
      <c r="G235" s="60"/>
      <c r="H235" s="60"/>
      <c r="I235" s="57"/>
      <c r="J235" s="57"/>
      <c r="K235" s="57"/>
      <c r="L235" s="57"/>
      <c r="M235" s="57"/>
      <c r="N235" s="57"/>
      <c r="O235" s="57"/>
      <c r="P235" s="57"/>
      <c r="Q235" s="57"/>
      <c r="R235" s="57"/>
      <c r="S235" s="57"/>
      <c r="T235" s="57"/>
      <c r="U235" s="57"/>
      <c r="V235" s="57"/>
      <c r="W235" s="57"/>
      <c r="X235" s="57"/>
      <c r="Y235" s="57"/>
      <c r="Z235" s="57"/>
    </row>
    <row r="236" spans="3:26" x14ac:dyDescent="0.25">
      <c r="C236" s="57"/>
      <c r="D236" s="57"/>
      <c r="E236" s="57"/>
      <c r="F236" s="60"/>
      <c r="G236" s="60"/>
      <c r="H236" s="60"/>
      <c r="I236" s="57"/>
      <c r="J236" s="57"/>
      <c r="K236" s="57"/>
      <c r="L236" s="57"/>
      <c r="M236" s="57"/>
      <c r="N236" s="57"/>
      <c r="O236" s="57"/>
      <c r="P236" s="57"/>
      <c r="Q236" s="57"/>
      <c r="R236" s="57"/>
      <c r="S236" s="57"/>
      <c r="T236" s="57"/>
      <c r="U236" s="57"/>
      <c r="V236" s="57"/>
      <c r="W236" s="57"/>
      <c r="X236" s="57"/>
      <c r="Y236" s="57"/>
      <c r="Z236" s="57"/>
    </row>
    <row r="237" spans="3:26" x14ac:dyDescent="0.25">
      <c r="C237" s="57"/>
      <c r="D237" s="57"/>
      <c r="E237" s="57"/>
      <c r="F237" s="60"/>
      <c r="G237" s="60"/>
      <c r="H237" s="60"/>
      <c r="I237" s="57"/>
      <c r="J237" s="57"/>
      <c r="K237" s="57"/>
      <c r="L237" s="57"/>
      <c r="M237" s="57"/>
      <c r="N237" s="57"/>
      <c r="O237" s="57"/>
      <c r="P237" s="57"/>
      <c r="Q237" s="57"/>
      <c r="R237" s="57"/>
      <c r="S237" s="57"/>
      <c r="T237" s="57"/>
      <c r="U237" s="57"/>
      <c r="V237" s="57"/>
      <c r="W237" s="57"/>
      <c r="X237" s="57"/>
      <c r="Y237" s="57"/>
      <c r="Z237" s="57"/>
    </row>
    <row r="238" spans="3:26" x14ac:dyDescent="0.25">
      <c r="C238" s="57"/>
      <c r="D238" s="57"/>
      <c r="E238" s="57"/>
      <c r="F238" s="60"/>
      <c r="G238" s="60"/>
      <c r="H238" s="60"/>
      <c r="I238" s="57"/>
      <c r="J238" s="57"/>
      <c r="K238" s="57"/>
      <c r="L238" s="57"/>
      <c r="M238" s="57"/>
      <c r="N238" s="57"/>
      <c r="O238" s="57"/>
      <c r="P238" s="57"/>
      <c r="Q238" s="57"/>
      <c r="R238" s="57"/>
      <c r="S238" s="57"/>
      <c r="T238" s="57"/>
      <c r="U238" s="57"/>
      <c r="V238" s="57"/>
      <c r="W238" s="57"/>
      <c r="X238" s="57"/>
      <c r="Y238" s="57"/>
      <c r="Z238" s="57"/>
    </row>
    <row r="239" spans="3:26" x14ac:dyDescent="0.25">
      <c r="C239" s="57"/>
      <c r="D239" s="57"/>
      <c r="E239" s="57"/>
      <c r="F239" s="60"/>
      <c r="G239" s="60"/>
      <c r="H239" s="60"/>
      <c r="I239" s="57"/>
      <c r="J239" s="57"/>
      <c r="K239" s="57"/>
      <c r="L239" s="57"/>
      <c r="M239" s="57"/>
      <c r="N239" s="57"/>
      <c r="O239" s="57"/>
      <c r="P239" s="57"/>
      <c r="Q239" s="57"/>
      <c r="R239" s="57"/>
      <c r="S239" s="57"/>
      <c r="T239" s="57"/>
      <c r="U239" s="57"/>
      <c r="V239" s="57"/>
      <c r="W239" s="57"/>
      <c r="X239" s="57"/>
      <c r="Y239" s="57"/>
      <c r="Z239" s="57"/>
    </row>
    <row r="240" spans="3:26" x14ac:dyDescent="0.25">
      <c r="C240" s="57"/>
      <c r="D240" s="57"/>
      <c r="E240" s="57"/>
      <c r="F240" s="60"/>
      <c r="G240" s="60"/>
      <c r="H240" s="60"/>
      <c r="I240" s="57"/>
      <c r="J240" s="57"/>
      <c r="K240" s="57"/>
      <c r="L240" s="57"/>
      <c r="M240" s="57"/>
      <c r="N240" s="57"/>
      <c r="O240" s="57"/>
      <c r="P240" s="57"/>
      <c r="Q240" s="57"/>
      <c r="R240" s="57"/>
      <c r="S240" s="57"/>
      <c r="T240" s="57"/>
      <c r="U240" s="57"/>
      <c r="V240" s="57"/>
      <c r="W240" s="57"/>
      <c r="X240" s="57"/>
      <c r="Y240" s="57"/>
      <c r="Z240" s="57"/>
    </row>
    <row r="241" spans="3:26" x14ac:dyDescent="0.25">
      <c r="C241" s="57"/>
      <c r="D241" s="57"/>
      <c r="E241" s="57"/>
      <c r="F241" s="60"/>
      <c r="G241" s="60"/>
      <c r="H241" s="60"/>
      <c r="I241" s="57"/>
      <c r="J241" s="57"/>
      <c r="K241" s="57"/>
      <c r="L241" s="57"/>
      <c r="M241" s="57"/>
      <c r="N241" s="57"/>
      <c r="O241" s="57"/>
      <c r="P241" s="57"/>
      <c r="Q241" s="57"/>
      <c r="R241" s="57"/>
      <c r="S241" s="57"/>
      <c r="T241" s="57"/>
      <c r="U241" s="57"/>
      <c r="V241" s="57"/>
      <c r="W241" s="57"/>
      <c r="X241" s="57"/>
      <c r="Y241" s="57"/>
      <c r="Z241" s="57"/>
    </row>
    <row r="242" spans="3:26" x14ac:dyDescent="0.25">
      <c r="C242" s="57"/>
      <c r="D242" s="57"/>
      <c r="E242" s="57"/>
      <c r="F242" s="60"/>
      <c r="G242" s="60"/>
      <c r="H242" s="60"/>
      <c r="I242" s="57"/>
      <c r="J242" s="57"/>
      <c r="K242" s="57"/>
      <c r="L242" s="57"/>
      <c r="M242" s="57"/>
      <c r="N242" s="57"/>
      <c r="O242" s="57"/>
      <c r="P242" s="57"/>
      <c r="Q242" s="57"/>
      <c r="R242" s="57"/>
      <c r="S242" s="57"/>
      <c r="T242" s="57"/>
      <c r="U242" s="57"/>
      <c r="V242" s="57"/>
      <c r="W242" s="57"/>
      <c r="X242" s="57"/>
      <c r="Y242" s="57"/>
      <c r="Z242" s="57"/>
    </row>
    <row r="243" spans="3:26" x14ac:dyDescent="0.25">
      <c r="C243" s="57"/>
      <c r="D243" s="57"/>
      <c r="E243" s="57"/>
      <c r="F243" s="60"/>
      <c r="G243" s="60"/>
      <c r="H243" s="60"/>
      <c r="I243" s="57"/>
      <c r="J243" s="57"/>
      <c r="K243" s="57"/>
      <c r="L243" s="57"/>
      <c r="M243" s="57"/>
      <c r="N243" s="57"/>
      <c r="O243" s="57"/>
      <c r="P243" s="57"/>
      <c r="Q243" s="57"/>
      <c r="R243" s="57"/>
      <c r="S243" s="57"/>
      <c r="T243" s="57"/>
      <c r="U243" s="57"/>
      <c r="V243" s="57"/>
      <c r="W243" s="57"/>
      <c r="X243" s="57"/>
      <c r="Y243" s="57"/>
      <c r="Z243" s="57"/>
    </row>
    <row r="244" spans="3:26" x14ac:dyDescent="0.25">
      <c r="C244" s="57"/>
      <c r="D244" s="57"/>
      <c r="E244" s="57"/>
      <c r="F244" s="60"/>
      <c r="G244" s="60"/>
      <c r="H244" s="60"/>
      <c r="I244" s="57"/>
      <c r="J244" s="57"/>
      <c r="K244" s="57"/>
      <c r="L244" s="57"/>
      <c r="M244" s="57"/>
      <c r="N244" s="57"/>
      <c r="O244" s="57"/>
      <c r="P244" s="57"/>
      <c r="Q244" s="57"/>
      <c r="R244" s="57"/>
      <c r="S244" s="57"/>
      <c r="T244" s="57"/>
      <c r="U244" s="57"/>
      <c r="V244" s="57"/>
      <c r="W244" s="57"/>
      <c r="X244" s="57"/>
      <c r="Y244" s="57"/>
      <c r="Z244" s="57"/>
    </row>
    <row r="245" spans="3:26" x14ac:dyDescent="0.25">
      <c r="C245" s="57"/>
      <c r="D245" s="57"/>
      <c r="E245" s="57"/>
      <c r="F245" s="60"/>
      <c r="G245" s="60"/>
      <c r="H245" s="60"/>
      <c r="I245" s="57"/>
      <c r="J245" s="57"/>
      <c r="K245" s="57"/>
      <c r="L245" s="57"/>
      <c r="M245" s="57"/>
      <c r="N245" s="57"/>
      <c r="O245" s="57"/>
      <c r="P245" s="57"/>
      <c r="Q245" s="57"/>
      <c r="R245" s="57"/>
      <c r="S245" s="57"/>
      <c r="T245" s="57"/>
      <c r="U245" s="57"/>
      <c r="V245" s="57"/>
      <c r="W245" s="57"/>
      <c r="X245" s="57"/>
      <c r="Y245" s="57"/>
      <c r="Z245" s="57"/>
    </row>
    <row r="246" spans="3:26" x14ac:dyDescent="0.25">
      <c r="C246" s="57"/>
      <c r="D246" s="57"/>
      <c r="E246" s="57"/>
      <c r="F246" s="60"/>
      <c r="G246" s="60"/>
      <c r="H246" s="60"/>
      <c r="I246" s="57"/>
      <c r="J246" s="57"/>
      <c r="K246" s="57"/>
      <c r="L246" s="57"/>
      <c r="M246" s="57"/>
      <c r="N246" s="57"/>
      <c r="O246" s="57"/>
      <c r="P246" s="57"/>
      <c r="Q246" s="57"/>
      <c r="R246" s="57"/>
      <c r="S246" s="57"/>
      <c r="T246" s="57"/>
      <c r="U246" s="57"/>
      <c r="V246" s="57"/>
      <c r="W246" s="57"/>
      <c r="X246" s="57"/>
      <c r="Y246" s="57"/>
      <c r="Z246" s="57"/>
    </row>
    <row r="247" spans="3:26" x14ac:dyDescent="0.25">
      <c r="C247" s="57"/>
      <c r="D247" s="57"/>
      <c r="E247" s="57"/>
      <c r="F247" s="60"/>
      <c r="G247" s="60"/>
      <c r="H247" s="60"/>
      <c r="I247" s="57"/>
      <c r="J247" s="57"/>
      <c r="K247" s="57"/>
      <c r="L247" s="57"/>
      <c r="M247" s="57"/>
      <c r="N247" s="57"/>
      <c r="O247" s="57"/>
      <c r="P247" s="57"/>
      <c r="Q247" s="57"/>
      <c r="R247" s="57"/>
      <c r="S247" s="57"/>
      <c r="T247" s="57"/>
      <c r="U247" s="57"/>
      <c r="V247" s="57"/>
      <c r="W247" s="57"/>
      <c r="X247" s="57"/>
      <c r="Y247" s="57"/>
      <c r="Z247" s="57"/>
    </row>
    <row r="248" spans="3:26" x14ac:dyDescent="0.25">
      <c r="C248" s="57"/>
      <c r="D248" s="57"/>
      <c r="E248" s="57"/>
      <c r="F248" s="60"/>
      <c r="G248" s="60"/>
      <c r="H248" s="60"/>
      <c r="I248" s="57"/>
      <c r="J248" s="57"/>
      <c r="K248" s="57"/>
      <c r="L248" s="57"/>
      <c r="M248" s="57"/>
      <c r="N248" s="57"/>
      <c r="O248" s="57"/>
      <c r="P248" s="57"/>
      <c r="Q248" s="57"/>
      <c r="R248" s="57"/>
      <c r="S248" s="57"/>
      <c r="T248" s="57"/>
      <c r="U248" s="57"/>
      <c r="V248" s="57"/>
      <c r="W248" s="57"/>
      <c r="X248" s="57"/>
      <c r="Y248" s="57"/>
      <c r="Z248" s="57"/>
    </row>
    <row r="249" spans="3:26" x14ac:dyDescent="0.25">
      <c r="C249" s="57"/>
      <c r="D249" s="57"/>
      <c r="E249" s="57"/>
      <c r="F249" s="60"/>
      <c r="G249" s="60"/>
      <c r="H249" s="60"/>
      <c r="I249" s="57"/>
      <c r="J249" s="57"/>
      <c r="K249" s="57"/>
      <c r="L249" s="57"/>
      <c r="M249" s="57"/>
      <c r="N249" s="57"/>
      <c r="O249" s="57"/>
      <c r="P249" s="57"/>
      <c r="Q249" s="57"/>
      <c r="R249" s="57"/>
      <c r="S249" s="57"/>
      <c r="T249" s="57"/>
      <c r="U249" s="57"/>
      <c r="V249" s="57"/>
      <c r="W249" s="57"/>
      <c r="X249" s="57"/>
      <c r="Y249" s="57"/>
      <c r="Z249" s="57"/>
    </row>
    <row r="250" spans="3:26" x14ac:dyDescent="0.25">
      <c r="C250" s="57"/>
      <c r="D250" s="57"/>
      <c r="E250" s="57"/>
      <c r="F250" s="60"/>
      <c r="G250" s="60"/>
      <c r="H250" s="60"/>
      <c r="I250" s="57"/>
      <c r="J250" s="57"/>
      <c r="K250" s="57"/>
      <c r="L250" s="57"/>
      <c r="M250" s="57"/>
      <c r="N250" s="57"/>
      <c r="O250" s="57"/>
      <c r="P250" s="57"/>
      <c r="Q250" s="57"/>
      <c r="R250" s="57"/>
      <c r="S250" s="57"/>
      <c r="T250" s="57"/>
      <c r="U250" s="57"/>
      <c r="V250" s="57"/>
      <c r="W250" s="57"/>
      <c r="X250" s="57"/>
      <c r="Y250" s="57"/>
      <c r="Z250" s="57"/>
    </row>
    <row r="251" spans="3:26" x14ac:dyDescent="0.25">
      <c r="C251" s="57"/>
      <c r="D251" s="57"/>
      <c r="E251" s="57"/>
      <c r="F251" s="60"/>
      <c r="G251" s="60"/>
      <c r="H251" s="60"/>
      <c r="I251" s="57"/>
      <c r="J251" s="57"/>
      <c r="K251" s="57"/>
      <c r="L251" s="57"/>
      <c r="M251" s="57"/>
      <c r="N251" s="57"/>
      <c r="O251" s="57"/>
      <c r="P251" s="57"/>
      <c r="Q251" s="57"/>
      <c r="R251" s="57"/>
      <c r="S251" s="57"/>
      <c r="T251" s="57"/>
      <c r="U251" s="57"/>
      <c r="V251" s="57"/>
      <c r="W251" s="57"/>
      <c r="X251" s="57"/>
      <c r="Y251" s="57"/>
      <c r="Z251" s="57"/>
    </row>
    <row r="252" spans="3:26" x14ac:dyDescent="0.25">
      <c r="C252" s="57"/>
      <c r="D252" s="57"/>
      <c r="E252" s="57"/>
      <c r="F252" s="60"/>
      <c r="G252" s="60"/>
      <c r="H252" s="60"/>
      <c r="I252" s="57"/>
      <c r="J252" s="57"/>
      <c r="K252" s="57"/>
      <c r="L252" s="57"/>
      <c r="M252" s="57"/>
      <c r="N252" s="57"/>
      <c r="O252" s="57"/>
      <c r="P252" s="57"/>
      <c r="Q252" s="57"/>
      <c r="R252" s="57"/>
      <c r="S252" s="57"/>
      <c r="T252" s="57"/>
      <c r="U252" s="57"/>
      <c r="V252" s="57"/>
      <c r="W252" s="57"/>
      <c r="X252" s="57"/>
      <c r="Y252" s="57"/>
      <c r="Z252" s="57"/>
    </row>
    <row r="253" spans="3:26" x14ac:dyDescent="0.25">
      <c r="C253" s="57"/>
      <c r="D253" s="57"/>
      <c r="E253" s="57"/>
      <c r="F253" s="60"/>
      <c r="G253" s="60"/>
      <c r="H253" s="60"/>
      <c r="I253" s="57"/>
      <c r="J253" s="57"/>
      <c r="K253" s="57"/>
      <c r="L253" s="57"/>
      <c r="M253" s="57"/>
      <c r="N253" s="57"/>
      <c r="O253" s="57"/>
      <c r="P253" s="57"/>
      <c r="Q253" s="57"/>
      <c r="R253" s="57"/>
      <c r="S253" s="57"/>
      <c r="T253" s="57"/>
      <c r="U253" s="57"/>
      <c r="V253" s="57"/>
      <c r="W253" s="57"/>
      <c r="X253" s="57"/>
      <c r="Y253" s="57"/>
      <c r="Z253" s="57"/>
    </row>
    <row r="254" spans="3:26" x14ac:dyDescent="0.25">
      <c r="C254" s="57"/>
      <c r="D254" s="57"/>
      <c r="E254" s="57"/>
      <c r="F254" s="60"/>
      <c r="G254" s="60"/>
      <c r="H254" s="60"/>
      <c r="I254" s="57"/>
      <c r="J254" s="57"/>
      <c r="K254" s="57"/>
      <c r="L254" s="57"/>
      <c r="M254" s="57"/>
      <c r="N254" s="57"/>
      <c r="O254" s="57"/>
      <c r="P254" s="57"/>
      <c r="Q254" s="57"/>
      <c r="R254" s="57"/>
      <c r="S254" s="57"/>
      <c r="T254" s="57"/>
      <c r="U254" s="57"/>
      <c r="V254" s="57"/>
      <c r="W254" s="57"/>
      <c r="X254" s="57"/>
      <c r="Y254" s="57"/>
      <c r="Z254" s="57"/>
    </row>
  </sheetData>
  <sheetProtection algorithmName="SHA-512" hashValue="AjhAvOBgRycLg6JyouW7JtZjklbYlrK+GeH1xx0QwnO56z0o++IdEG1FvUBMxzfYQ1EfVLb7W7DSvpTnw4IRnQ==" saltValue="QUSpyMkSCys/AoJiAxksgQ==" spinCount="100000" sheet="1" objects="1" scenarios="1"/>
  <mergeCells count="7">
    <mergeCell ref="G7:H7"/>
    <mergeCell ref="S39:T39"/>
    <mergeCell ref="U39:V39"/>
    <mergeCell ref="Q5:T5"/>
    <mergeCell ref="Y5:AA5"/>
    <mergeCell ref="Q6:T6"/>
    <mergeCell ref="Y6:AA6"/>
  </mergeCells>
  <hyperlinks>
    <hyperlink ref="I36" r:id="rId1" display="https://www.gov.uk/government/publications/hgv-maximum-weights/hgv-maximum-weights"/>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5"/>
  <sheetViews>
    <sheetView topLeftCell="A10" workbookViewId="0">
      <selection activeCell="D19" sqref="D19"/>
    </sheetView>
  </sheetViews>
  <sheetFormatPr defaultRowHeight="15" x14ac:dyDescent="0.25"/>
  <cols>
    <col min="1" max="1" width="13.7109375" customWidth="1"/>
    <col min="2" max="3" width="11.85546875" customWidth="1"/>
    <col min="4" max="4" width="16.28515625" customWidth="1"/>
    <col min="5" max="5" width="13.5703125" customWidth="1"/>
    <col min="6" max="6" width="13.7109375" style="3" customWidth="1"/>
    <col min="7" max="7" width="10.7109375" style="3" customWidth="1"/>
    <col min="8" max="8" width="10" style="3" customWidth="1"/>
    <col min="9" max="9" width="13.85546875" customWidth="1"/>
    <col min="10" max="10" width="13.42578125" customWidth="1"/>
    <col min="11" max="11" width="12.7109375" customWidth="1"/>
    <col min="12" max="12" width="11" customWidth="1"/>
    <col min="13" max="13" width="14.140625" customWidth="1"/>
    <col min="14" max="14" width="16.28515625" customWidth="1"/>
    <col min="15" max="15" width="15.7109375" customWidth="1"/>
    <col min="16" max="16" width="15.140625" customWidth="1"/>
    <col min="17" max="17" width="12.5703125" customWidth="1"/>
    <col min="18" max="18" width="16.28515625" customWidth="1"/>
    <col min="19" max="19" width="15.5703125" customWidth="1"/>
    <col min="20" max="20" width="14.85546875" customWidth="1"/>
    <col min="21" max="21" width="19.28515625" customWidth="1"/>
    <col min="22" max="22" width="16.140625" customWidth="1"/>
    <col min="23" max="23" width="12.7109375" customWidth="1"/>
    <col min="24" max="24" width="16.28515625" customWidth="1"/>
    <col min="25" max="25" width="15.85546875" customWidth="1"/>
    <col min="26" max="26" width="21" customWidth="1"/>
    <col min="27" max="27" width="13.85546875" customWidth="1"/>
    <col min="28" max="28" width="17.5703125" customWidth="1"/>
    <col min="29" max="29" width="15.42578125" customWidth="1"/>
    <col min="30" max="30" width="11" customWidth="1"/>
    <col min="31" max="31" width="13.28515625" customWidth="1"/>
    <col min="32" max="32" width="12.140625" customWidth="1"/>
    <col min="33" max="33" width="17.5703125" customWidth="1"/>
    <col min="34" max="35" width="14" customWidth="1"/>
    <col min="36" max="36" width="16" customWidth="1"/>
    <col min="37" max="37" width="12.7109375" bestFit="1" customWidth="1"/>
  </cols>
  <sheetData>
    <row r="1" spans="1:37" ht="15.75" thickBot="1" x14ac:dyDescent="0.3">
      <c r="A1" t="s">
        <v>347</v>
      </c>
    </row>
    <row r="2" spans="1:37" x14ac:dyDescent="0.25">
      <c r="A2" t="s">
        <v>484</v>
      </c>
      <c r="K2" s="141" t="s">
        <v>14</v>
      </c>
      <c r="M2" s="139" t="s">
        <v>141</v>
      </c>
      <c r="P2" s="7">
        <v>1.0744</v>
      </c>
    </row>
    <row r="3" spans="1:37" x14ac:dyDescent="0.25">
      <c r="K3" s="142">
        <v>9.81</v>
      </c>
      <c r="L3" s="3"/>
      <c r="M3" s="298">
        <v>80</v>
      </c>
      <c r="P3" s="7">
        <v>430.17</v>
      </c>
      <c r="S3" t="s">
        <v>429</v>
      </c>
    </row>
    <row r="4" spans="1:37" ht="15.75" thickBot="1" x14ac:dyDescent="0.3">
      <c r="K4" s="297" t="s">
        <v>15</v>
      </c>
      <c r="L4" s="8"/>
      <c r="M4" s="297" t="s">
        <v>16</v>
      </c>
      <c r="P4" s="7">
        <v>1.014</v>
      </c>
    </row>
    <row r="5" spans="1:37" ht="15" customHeight="1" thickBot="1" x14ac:dyDescent="0.3">
      <c r="N5" s="324"/>
      <c r="O5" s="3"/>
      <c r="P5" s="619" t="s">
        <v>351</v>
      </c>
      <c r="Q5" s="620"/>
      <c r="R5" s="620"/>
      <c r="S5" s="621"/>
      <c r="W5" s="619" t="s">
        <v>352</v>
      </c>
      <c r="X5" s="620"/>
      <c r="Y5" s="621"/>
    </row>
    <row r="6" spans="1:37" ht="15.75" customHeight="1" thickBot="1" x14ac:dyDescent="0.3">
      <c r="G6"/>
      <c r="I6" s="87" t="s">
        <v>350</v>
      </c>
      <c r="J6" s="88"/>
      <c r="K6" s="89"/>
      <c r="N6" s="8" t="s">
        <v>171</v>
      </c>
      <c r="O6" s="8" t="s">
        <v>171</v>
      </c>
      <c r="P6" s="622" t="s">
        <v>354</v>
      </c>
      <c r="Q6" s="623"/>
      <c r="R6" s="623"/>
      <c r="S6" s="624"/>
      <c r="U6" t="s">
        <v>172</v>
      </c>
      <c r="V6" t="s">
        <v>172</v>
      </c>
      <c r="W6" s="622" t="s">
        <v>353</v>
      </c>
      <c r="X6" s="623"/>
      <c r="Y6" s="624"/>
      <c r="AB6" t="s">
        <v>173</v>
      </c>
      <c r="AC6" t="s">
        <v>173</v>
      </c>
      <c r="AD6" s="321" t="s">
        <v>189</v>
      </c>
      <c r="AE6" s="322"/>
      <c r="AF6" s="322"/>
      <c r="AG6" s="323"/>
      <c r="AJ6" t="s">
        <v>360</v>
      </c>
      <c r="AK6" t="s">
        <v>360</v>
      </c>
    </row>
    <row r="7" spans="1:37" ht="75" x14ac:dyDescent="0.25">
      <c r="B7" s="28" t="s">
        <v>0</v>
      </c>
      <c r="C7" s="29"/>
      <c r="D7" s="29" t="s">
        <v>10</v>
      </c>
      <c r="E7" s="117" t="s">
        <v>6</v>
      </c>
      <c r="F7" s="117"/>
      <c r="G7" s="617" t="s">
        <v>342</v>
      </c>
      <c r="H7" s="618"/>
      <c r="I7" s="116" t="s">
        <v>343</v>
      </c>
      <c r="J7" s="117" t="s">
        <v>12</v>
      </c>
      <c r="K7" s="117" t="s">
        <v>13</v>
      </c>
      <c r="L7" s="117" t="s">
        <v>32</v>
      </c>
      <c r="M7" s="117" t="s">
        <v>190</v>
      </c>
      <c r="N7" s="117" t="s">
        <v>194</v>
      </c>
      <c r="O7" s="118" t="s">
        <v>369</v>
      </c>
      <c r="P7" s="117" t="s">
        <v>344</v>
      </c>
      <c r="Q7" s="117" t="s">
        <v>12</v>
      </c>
      <c r="R7" s="117" t="s">
        <v>13</v>
      </c>
      <c r="S7" s="117" t="s">
        <v>32</v>
      </c>
      <c r="T7" s="117" t="s">
        <v>192</v>
      </c>
      <c r="U7" s="117" t="s">
        <v>195</v>
      </c>
      <c r="V7" s="118" t="s">
        <v>370</v>
      </c>
      <c r="W7" s="116" t="s">
        <v>345</v>
      </c>
      <c r="X7" s="117" t="s">
        <v>12</v>
      </c>
      <c r="Y7" s="117" t="s">
        <v>13</v>
      </c>
      <c r="Z7" s="117" t="s">
        <v>32</v>
      </c>
      <c r="AA7" s="117" t="s">
        <v>193</v>
      </c>
      <c r="AB7" s="117" t="s">
        <v>197</v>
      </c>
      <c r="AC7" s="118" t="s">
        <v>371</v>
      </c>
      <c r="AD7" s="116" t="s">
        <v>102</v>
      </c>
      <c r="AE7" s="117" t="s">
        <v>346</v>
      </c>
      <c r="AF7" s="117" t="s">
        <v>12</v>
      </c>
      <c r="AG7" s="117" t="s">
        <v>13</v>
      </c>
      <c r="AH7" s="117" t="s">
        <v>32</v>
      </c>
      <c r="AI7" s="117" t="s">
        <v>191</v>
      </c>
      <c r="AJ7" s="117" t="s">
        <v>196</v>
      </c>
      <c r="AK7" s="118" t="s">
        <v>372</v>
      </c>
    </row>
    <row r="8" spans="1:37" x14ac:dyDescent="0.25">
      <c r="B8" s="35"/>
      <c r="C8" s="57"/>
      <c r="D8" s="57"/>
      <c r="E8" s="60" t="s">
        <v>5</v>
      </c>
      <c r="F8" s="57"/>
      <c r="G8" s="60" t="s">
        <v>26</v>
      </c>
      <c r="H8" s="119" t="s">
        <v>27</v>
      </c>
      <c r="I8" s="35" t="s">
        <v>4</v>
      </c>
      <c r="J8" s="60" t="s">
        <v>11</v>
      </c>
      <c r="K8" s="60" t="s">
        <v>16</v>
      </c>
      <c r="L8" s="60" t="s">
        <v>31</v>
      </c>
      <c r="M8" s="60"/>
      <c r="N8" s="60"/>
      <c r="O8" s="119"/>
      <c r="P8" s="57" t="s">
        <v>4</v>
      </c>
      <c r="Q8" s="60" t="s">
        <v>11</v>
      </c>
      <c r="R8" s="60" t="s">
        <v>16</v>
      </c>
      <c r="S8" s="60" t="s">
        <v>31</v>
      </c>
      <c r="T8" s="60" t="s">
        <v>11</v>
      </c>
      <c r="U8" s="60" t="s">
        <v>11</v>
      </c>
      <c r="V8" s="119"/>
      <c r="W8" s="35" t="s">
        <v>4</v>
      </c>
      <c r="X8" s="60" t="s">
        <v>11</v>
      </c>
      <c r="Y8" s="60" t="s">
        <v>16</v>
      </c>
      <c r="Z8" s="60" t="s">
        <v>31</v>
      </c>
      <c r="AA8" s="60" t="s">
        <v>11</v>
      </c>
      <c r="AB8" s="60" t="s">
        <v>11</v>
      </c>
      <c r="AC8" s="119"/>
      <c r="AD8" s="72"/>
      <c r="AE8" s="57" t="s">
        <v>4</v>
      </c>
      <c r="AF8" s="60" t="s">
        <v>11</v>
      </c>
      <c r="AG8" s="60" t="s">
        <v>16</v>
      </c>
      <c r="AH8" s="60" t="s">
        <v>31</v>
      </c>
      <c r="AI8" s="60" t="s">
        <v>11</v>
      </c>
      <c r="AJ8" s="60" t="s">
        <v>11</v>
      </c>
      <c r="AK8" s="119"/>
    </row>
    <row r="9" spans="1:37" x14ac:dyDescent="0.25">
      <c r="B9" s="35"/>
      <c r="C9" s="57"/>
      <c r="D9" s="57"/>
      <c r="E9" s="60"/>
      <c r="F9" s="57"/>
      <c r="G9" s="60"/>
      <c r="H9" s="119"/>
      <c r="I9" s="35"/>
      <c r="J9" s="60"/>
      <c r="K9" s="60"/>
      <c r="L9" s="57"/>
      <c r="M9" s="57"/>
      <c r="N9" s="133"/>
      <c r="O9" s="120"/>
      <c r="P9" s="57"/>
      <c r="Q9" s="60"/>
      <c r="R9" s="60"/>
      <c r="S9" s="57"/>
      <c r="T9" s="57"/>
      <c r="U9" s="133"/>
      <c r="V9" s="120"/>
      <c r="W9" s="35"/>
      <c r="X9" s="60"/>
      <c r="Y9" s="60"/>
      <c r="Z9" s="57"/>
      <c r="AA9" s="57"/>
      <c r="AB9" s="133"/>
      <c r="AC9" s="120"/>
      <c r="AD9" s="135"/>
      <c r="AE9" s="57"/>
      <c r="AF9" s="60"/>
      <c r="AG9" s="60"/>
      <c r="AH9" s="57"/>
      <c r="AI9" s="57"/>
      <c r="AJ9" s="133"/>
      <c r="AK9" s="120"/>
    </row>
    <row r="10" spans="1:37" x14ac:dyDescent="0.25">
      <c r="B10" s="35"/>
      <c r="C10" s="57"/>
      <c r="D10" s="57"/>
      <c r="E10" s="60"/>
      <c r="F10" s="57"/>
      <c r="G10" s="60"/>
      <c r="H10" s="119"/>
      <c r="I10" s="35"/>
      <c r="J10" s="57"/>
      <c r="K10" s="57"/>
      <c r="L10" s="57"/>
      <c r="M10" s="60"/>
      <c r="N10" s="134"/>
      <c r="O10" s="121"/>
      <c r="P10" s="57"/>
      <c r="Q10" s="57"/>
      <c r="R10" s="57"/>
      <c r="S10" s="57"/>
      <c r="T10" s="60"/>
      <c r="U10" s="134"/>
      <c r="V10" s="121"/>
      <c r="W10" s="35"/>
      <c r="X10" s="57"/>
      <c r="Y10" s="57"/>
      <c r="Z10" s="57"/>
      <c r="AA10" s="60"/>
      <c r="AB10" s="134"/>
      <c r="AC10" s="121"/>
      <c r="AD10" s="136"/>
      <c r="AE10" s="57"/>
      <c r="AF10" s="57"/>
      <c r="AG10" s="57"/>
      <c r="AH10" s="57"/>
      <c r="AI10" s="60"/>
      <c r="AJ10" s="134"/>
      <c r="AK10" s="121"/>
    </row>
    <row r="11" spans="1:37" ht="30" x14ac:dyDescent="0.25">
      <c r="A11" s="126" t="s">
        <v>41</v>
      </c>
      <c r="B11" s="126" t="s">
        <v>41</v>
      </c>
      <c r="C11" s="312" t="s">
        <v>365</v>
      </c>
      <c r="D11" s="57"/>
      <c r="E11" s="127">
        <v>14154</v>
      </c>
      <c r="F11" s="57"/>
      <c r="G11" s="127">
        <v>14000</v>
      </c>
      <c r="H11" s="128">
        <v>24800</v>
      </c>
      <c r="I11" s="35">
        <v>17000</v>
      </c>
      <c r="J11" s="159">
        <v>2</v>
      </c>
      <c r="K11" s="44">
        <f t="shared" ref="K11:K26" si="0">$K$3*I11/(J11*1000)</f>
        <v>83.385000000000005</v>
      </c>
      <c r="L11" s="122">
        <v>45471.244877773075</v>
      </c>
      <c r="M11" s="111">
        <f t="shared" ref="M11:M26" si="1">(K11/$M$3)^4</f>
        <v>1.1802983076230504</v>
      </c>
      <c r="N11" s="114">
        <f t="shared" ref="N11:N26" si="2">M11*L11*J11*$E11</f>
        <v>1519279981.5723908</v>
      </c>
      <c r="O11" s="320">
        <f t="shared" ref="O11:O26" si="3">M11*J11</f>
        <v>2.3605966152461009</v>
      </c>
      <c r="P11" s="140">
        <f t="shared" ref="P11:P21" si="4">MIN(($P$2*$I11+$P$3),H11)</f>
        <v>18694.969999999998</v>
      </c>
      <c r="Q11" s="159">
        <f t="shared" ref="Q11:Q18" si="5">$J11</f>
        <v>2</v>
      </c>
      <c r="R11" s="44">
        <f t="shared" ref="R11:R25" si="6">$K$3*P11/(Q11*1000)</f>
        <v>91.698827849999986</v>
      </c>
      <c r="S11" s="122">
        <f>$L11*(($P$2*$I11+$P$3)/P11)</f>
        <v>45471.244877773075</v>
      </c>
      <c r="T11" s="111">
        <f t="shared" ref="T11:T26" si="7">(R11/$M$3)^4</f>
        <v>1.726216204697347</v>
      </c>
      <c r="U11" s="114">
        <f t="shared" ref="U11:U26" si="8">T11*S11*Q11*$E11</f>
        <v>2221985498.6864257</v>
      </c>
      <c r="V11" s="320">
        <f>T11*Q11</f>
        <v>3.4524324093946941</v>
      </c>
      <c r="W11" s="259">
        <f>MIN(H11,($I11*$P$4))</f>
        <v>17238</v>
      </c>
      <c r="X11" s="159">
        <f t="shared" ref="X11:X26" si="9">$J11</f>
        <v>2</v>
      </c>
      <c r="Y11" s="44">
        <f t="shared" ref="Y11:Y24" si="10">$K$3*W11/(X11*1000)</f>
        <v>84.552390000000003</v>
      </c>
      <c r="Z11" s="162">
        <f>$L11*(($I11*$P$4)/W11)</f>
        <v>45471.244877773075</v>
      </c>
      <c r="AA11" s="111">
        <f t="shared" ref="AA11:AA26" si="11">(Y11/$M$3)^4</f>
        <v>1.2477960439562705</v>
      </c>
      <c r="AB11" s="114">
        <f t="shared" ref="AB11:AB26" si="12">AA11*Z11*X11*$E11</f>
        <v>1606163067.7805119</v>
      </c>
      <c r="AC11" s="320">
        <f>AA11*X11</f>
        <v>2.4955920879125411</v>
      </c>
      <c r="AD11" s="168" t="s">
        <v>173</v>
      </c>
      <c r="AE11" s="140">
        <f t="shared" ref="AE11:AE24" si="13">IF(AD11="FCEV",W11,IF(AD11="BEV",P11,"error"))</f>
        <v>17238</v>
      </c>
      <c r="AF11" s="159">
        <f t="shared" ref="AF11:AF24" si="14">$J11</f>
        <v>2</v>
      </c>
      <c r="AG11" s="44">
        <f t="shared" ref="AG11:AG24" si="15">$K$3*AE11/(AF11*1000)</f>
        <v>84.552390000000003</v>
      </c>
      <c r="AH11" s="122">
        <f t="shared" ref="AH11:AH24" si="16">L11</f>
        <v>45471.244877773075</v>
      </c>
      <c r="AI11" s="111">
        <f t="shared" ref="AI11:AI26" si="17">(AG11/$M$3)^4</f>
        <v>1.2477960439562705</v>
      </c>
      <c r="AJ11" s="114">
        <f t="shared" ref="AJ11:AJ26" si="18">AI11*AH11*AF11*$E11</f>
        <v>1606163067.7805119</v>
      </c>
      <c r="AK11" s="320">
        <f>AI11*AF11</f>
        <v>2.4955920879125411</v>
      </c>
    </row>
    <row r="12" spans="1:37" ht="15.75" x14ac:dyDescent="0.25">
      <c r="B12" s="126" t="s">
        <v>2</v>
      </c>
      <c r="C12" s="312" t="s">
        <v>2</v>
      </c>
      <c r="D12" s="144" t="s">
        <v>135</v>
      </c>
      <c r="E12" s="127">
        <v>1544505.3520000002</v>
      </c>
      <c r="F12" s="145"/>
      <c r="G12" s="127">
        <v>1000</v>
      </c>
      <c r="H12" s="128">
        <v>2600</v>
      </c>
      <c r="I12" s="124">
        <f>AVERAGE(G12:H12)</f>
        <v>1800</v>
      </c>
      <c r="J12" s="159">
        <v>2</v>
      </c>
      <c r="K12" s="44">
        <f t="shared" si="0"/>
        <v>8.8290000000000006</v>
      </c>
      <c r="L12" s="122">
        <v>14570.798265265224</v>
      </c>
      <c r="M12" s="111">
        <f t="shared" si="1"/>
        <v>1.483495110703145E-4</v>
      </c>
      <c r="N12" s="114">
        <f t="shared" si="2"/>
        <v>6677115.3341941852</v>
      </c>
      <c r="O12" s="314">
        <f t="shared" si="3"/>
        <v>2.96699022140629E-4</v>
      </c>
      <c r="P12" s="140">
        <f t="shared" ref="P12:P13" si="19">$P$2*$I12+$P$3</f>
        <v>2364.09</v>
      </c>
      <c r="Q12" s="159">
        <f t="shared" si="5"/>
        <v>2</v>
      </c>
      <c r="R12" s="44">
        <f t="shared" si="6"/>
        <v>11.595861450000003</v>
      </c>
      <c r="S12" s="122">
        <f t="shared" ref="S12:S25" si="20">$L12*(($P$2*$I12+$P$3)/P12)</f>
        <v>14570.798265265224</v>
      </c>
      <c r="T12" s="111">
        <f t="shared" si="7"/>
        <v>4.4142011817099869E-4</v>
      </c>
      <c r="U12" s="114">
        <f t="shared" si="8"/>
        <v>19868033.393547043</v>
      </c>
      <c r="V12" s="314">
        <f t="shared" ref="V12:V26" si="21">T12*Q12</f>
        <v>8.8284023634199738E-4</v>
      </c>
      <c r="W12" s="259">
        <f t="shared" ref="W12:W14" si="22">$I12*$P$4</f>
        <v>1825.2</v>
      </c>
      <c r="X12" s="159">
        <f t="shared" si="9"/>
        <v>2</v>
      </c>
      <c r="Y12" s="44">
        <f t="shared" si="10"/>
        <v>8.9526059999999994</v>
      </c>
      <c r="Z12" s="162">
        <f t="shared" ref="Z12:Z24" si="23">$L12*(($I12*$P$4)/W12)</f>
        <v>14570.798265265224</v>
      </c>
      <c r="AA12" s="111">
        <f t="shared" si="11"/>
        <v>1.5683317669849909E-4</v>
      </c>
      <c r="AB12" s="114">
        <f t="shared" si="12"/>
        <v>7058959.6250680415</v>
      </c>
      <c r="AC12" s="314">
        <f t="shared" ref="AC12:AC26" si="24">AA12*X12</f>
        <v>3.1366635339699818E-4</v>
      </c>
      <c r="AD12" s="168" t="s">
        <v>172</v>
      </c>
      <c r="AE12" s="140">
        <f t="shared" si="13"/>
        <v>2364.09</v>
      </c>
      <c r="AF12" s="159">
        <f t="shared" si="14"/>
        <v>2</v>
      </c>
      <c r="AG12" s="44">
        <f t="shared" si="15"/>
        <v>11.595861450000003</v>
      </c>
      <c r="AH12" s="122">
        <f t="shared" si="16"/>
        <v>14570.798265265224</v>
      </c>
      <c r="AI12" s="111">
        <f t="shared" si="17"/>
        <v>4.4142011817099869E-4</v>
      </c>
      <c r="AJ12" s="114">
        <f t="shared" si="18"/>
        <v>19868033.393547043</v>
      </c>
      <c r="AK12" s="314">
        <f t="shared" ref="AK12:AK26" si="25">AI12*AF12</f>
        <v>8.8284023634199738E-4</v>
      </c>
    </row>
    <row r="13" spans="1:37" x14ac:dyDescent="0.25">
      <c r="B13" s="126" t="s">
        <v>2</v>
      </c>
      <c r="C13" s="24" t="s">
        <v>2</v>
      </c>
      <c r="D13" s="57" t="s">
        <v>134</v>
      </c>
      <c r="E13" s="127">
        <v>973215.32</v>
      </c>
      <c r="F13" s="145"/>
      <c r="G13" s="127">
        <v>1000</v>
      </c>
      <c r="H13" s="128">
        <v>2600</v>
      </c>
      <c r="I13" s="124">
        <f>AVERAGE(G13:H13)</f>
        <v>1800</v>
      </c>
      <c r="J13" s="159">
        <v>2</v>
      </c>
      <c r="K13" s="44">
        <f t="shared" si="0"/>
        <v>8.8290000000000006</v>
      </c>
      <c r="L13" s="122">
        <v>14570.798265265224</v>
      </c>
      <c r="M13" s="111">
        <f t="shared" si="1"/>
        <v>1.483495110703145E-4</v>
      </c>
      <c r="N13" s="114">
        <f t="shared" si="2"/>
        <v>4207347.6328392159</v>
      </c>
      <c r="O13" s="314">
        <f t="shared" si="3"/>
        <v>2.96699022140629E-4</v>
      </c>
      <c r="P13" s="140">
        <f t="shared" si="19"/>
        <v>2364.09</v>
      </c>
      <c r="Q13" s="159">
        <f t="shared" si="5"/>
        <v>2</v>
      </c>
      <c r="R13" s="44">
        <f t="shared" si="6"/>
        <v>11.595861450000003</v>
      </c>
      <c r="S13" s="122">
        <f t="shared" si="20"/>
        <v>14570.798265265224</v>
      </c>
      <c r="T13" s="111">
        <f t="shared" si="7"/>
        <v>4.4142011817099869E-4</v>
      </c>
      <c r="U13" s="114">
        <f t="shared" si="8"/>
        <v>12519137.2447064</v>
      </c>
      <c r="V13" s="314">
        <f t="shared" si="21"/>
        <v>8.8284023634199738E-4</v>
      </c>
      <c r="W13" s="259">
        <f t="shared" si="22"/>
        <v>1825.2</v>
      </c>
      <c r="X13" s="159">
        <f t="shared" si="9"/>
        <v>2</v>
      </c>
      <c r="Y13" s="44">
        <f t="shared" si="10"/>
        <v>8.9526059999999994</v>
      </c>
      <c r="Z13" s="162">
        <f t="shared" si="23"/>
        <v>14570.798265265224</v>
      </c>
      <c r="AA13" s="111">
        <f t="shared" si="11"/>
        <v>1.5683317669849909E-4</v>
      </c>
      <c r="AB13" s="114">
        <f t="shared" si="12"/>
        <v>4447953.2825715151</v>
      </c>
      <c r="AC13" s="314">
        <f t="shared" si="24"/>
        <v>3.1366635339699818E-4</v>
      </c>
      <c r="AD13" s="168" t="s">
        <v>173</v>
      </c>
      <c r="AE13" s="140">
        <f t="shared" si="13"/>
        <v>1825.2</v>
      </c>
      <c r="AF13" s="159">
        <f t="shared" si="14"/>
        <v>2</v>
      </c>
      <c r="AG13" s="44">
        <f t="shared" si="15"/>
        <v>8.9526059999999994</v>
      </c>
      <c r="AH13" s="122">
        <f t="shared" si="16"/>
        <v>14570.798265265224</v>
      </c>
      <c r="AI13" s="111">
        <f t="shared" si="17"/>
        <v>1.5683317669849909E-4</v>
      </c>
      <c r="AJ13" s="114">
        <f t="shared" si="18"/>
        <v>4447953.2825715151</v>
      </c>
      <c r="AK13" s="314">
        <f t="shared" si="25"/>
        <v>3.1366635339699818E-4</v>
      </c>
    </row>
    <row r="14" spans="1:37" ht="30" x14ac:dyDescent="0.25">
      <c r="A14" s="126" t="s">
        <v>3</v>
      </c>
      <c r="B14" s="126" t="s">
        <v>3</v>
      </c>
      <c r="C14" s="182" t="s">
        <v>366</v>
      </c>
      <c r="D14" s="57"/>
      <c r="E14" s="127">
        <v>71666</v>
      </c>
      <c r="F14" s="129"/>
      <c r="G14" s="127"/>
      <c r="H14" s="128"/>
      <c r="I14" s="35">
        <v>200</v>
      </c>
      <c r="J14" s="159">
        <v>2</v>
      </c>
      <c r="K14" s="44">
        <f t="shared" si="0"/>
        <v>0.98099999999999998</v>
      </c>
      <c r="L14" s="122">
        <v>4490.274328133286</v>
      </c>
      <c r="M14" s="299">
        <f t="shared" si="1"/>
        <v>2.2610807966821278E-8</v>
      </c>
      <c r="N14" s="114">
        <f t="shared" si="2"/>
        <v>14.552316007446178</v>
      </c>
      <c r="O14" s="318">
        <f t="shared" si="3"/>
        <v>4.5221615933642555E-8</v>
      </c>
      <c r="P14" s="140">
        <f>$P$2*$I14+$P$3</f>
        <v>645.04999999999995</v>
      </c>
      <c r="Q14" s="159">
        <f t="shared" si="5"/>
        <v>2</v>
      </c>
      <c r="R14" s="44">
        <f t="shared" si="6"/>
        <v>3.1639702499999998</v>
      </c>
      <c r="S14" s="122">
        <f t="shared" si="20"/>
        <v>4490.274328133286</v>
      </c>
      <c r="T14" s="333">
        <f t="shared" si="7"/>
        <v>2.4466374392934312E-6</v>
      </c>
      <c r="U14" s="114">
        <f t="shared" si="8"/>
        <v>1574.6558559292528</v>
      </c>
      <c r="V14" s="317">
        <f t="shared" si="21"/>
        <v>4.8932748785868625E-6</v>
      </c>
      <c r="W14" s="259">
        <f t="shared" si="22"/>
        <v>202.8</v>
      </c>
      <c r="X14" s="159">
        <f t="shared" si="9"/>
        <v>2</v>
      </c>
      <c r="Y14" s="44">
        <f t="shared" si="10"/>
        <v>0.99473400000000012</v>
      </c>
      <c r="Z14" s="162">
        <f t="shared" si="23"/>
        <v>4490.274328133286</v>
      </c>
      <c r="AA14" s="333">
        <f t="shared" si="11"/>
        <v>2.390385256797732E-8</v>
      </c>
      <c r="AB14" s="114">
        <f t="shared" si="12"/>
        <v>15.384519512750206</v>
      </c>
      <c r="AC14" s="318">
        <f t="shared" si="24"/>
        <v>4.780770513595464E-8</v>
      </c>
      <c r="AD14" s="168" t="s">
        <v>172</v>
      </c>
      <c r="AE14" s="140">
        <f t="shared" si="13"/>
        <v>645.04999999999995</v>
      </c>
      <c r="AF14" s="159">
        <f t="shared" si="14"/>
        <v>2</v>
      </c>
      <c r="AG14" s="44">
        <f t="shared" si="15"/>
        <v>3.1639702499999998</v>
      </c>
      <c r="AH14" s="122">
        <f t="shared" si="16"/>
        <v>4490.274328133286</v>
      </c>
      <c r="AI14" s="111">
        <f t="shared" si="17"/>
        <v>2.4466374392934312E-6</v>
      </c>
      <c r="AJ14" s="114">
        <f t="shared" si="18"/>
        <v>1574.6558559292528</v>
      </c>
      <c r="AK14" s="317">
        <f t="shared" si="25"/>
        <v>4.8932748785868625E-6</v>
      </c>
    </row>
    <row r="15" spans="1:37" ht="30" x14ac:dyDescent="0.25">
      <c r="B15" s="126" t="s">
        <v>44</v>
      </c>
      <c r="C15" s="182" t="s">
        <v>368</v>
      </c>
      <c r="D15" s="296" t="s">
        <v>362</v>
      </c>
      <c r="E15" s="122">
        <v>7986.2615999999998</v>
      </c>
      <c r="F15" s="10" t="s">
        <v>444</v>
      </c>
      <c r="G15" s="122">
        <v>3500</v>
      </c>
      <c r="H15" s="130">
        <v>7500</v>
      </c>
      <c r="I15" s="124">
        <f>AVERAGE(G15:H15)</f>
        <v>5500</v>
      </c>
      <c r="J15" s="159">
        <v>2</v>
      </c>
      <c r="K15" s="44">
        <f t="shared" si="0"/>
        <v>26.977499999999999</v>
      </c>
      <c r="L15" s="122">
        <f>'Mileage &amp; vehicle numbers'!V10</f>
        <v>49966.531173195472</v>
      </c>
      <c r="M15" s="111">
        <f t="shared" si="1"/>
        <v>1.2931439040712131E-2</v>
      </c>
      <c r="N15" s="114">
        <f t="shared" si="2"/>
        <v>10320472.594822234</v>
      </c>
      <c r="O15" s="316">
        <f t="shared" si="3"/>
        <v>2.5862878081424262E-2</v>
      </c>
      <c r="P15" s="140">
        <f t="shared" si="4"/>
        <v>6339.37</v>
      </c>
      <c r="Q15" s="159">
        <f t="shared" si="5"/>
        <v>2</v>
      </c>
      <c r="R15" s="44">
        <f t="shared" si="6"/>
        <v>31.094609850000001</v>
      </c>
      <c r="S15" s="122">
        <f t="shared" si="20"/>
        <v>49966.531173195472</v>
      </c>
      <c r="T15" s="111">
        <f t="shared" si="7"/>
        <v>2.2823408321735711E-2</v>
      </c>
      <c r="U15" s="114">
        <f t="shared" si="8"/>
        <v>18215169.971673895</v>
      </c>
      <c r="V15" s="316">
        <f t="shared" si="21"/>
        <v>4.5646816643471422E-2</v>
      </c>
      <c r="W15" s="259">
        <f t="shared" ref="W15:W24" si="26">MIN(H15,($I15*$P$4))</f>
        <v>5577</v>
      </c>
      <c r="X15" s="159">
        <f t="shared" si="9"/>
        <v>2</v>
      </c>
      <c r="Y15" s="44">
        <f t="shared" si="10"/>
        <v>27.355185000000002</v>
      </c>
      <c r="Z15" s="162">
        <f t="shared" si="23"/>
        <v>49966.531173195472</v>
      </c>
      <c r="AA15" s="111">
        <f t="shared" si="11"/>
        <v>1.3670949431552965E-2</v>
      </c>
      <c r="AB15" s="114">
        <f t="shared" si="12"/>
        <v>10910669.609882269</v>
      </c>
      <c r="AC15" s="316">
        <f t="shared" si="24"/>
        <v>2.734189886310593E-2</v>
      </c>
      <c r="AD15" s="168" t="s">
        <v>173</v>
      </c>
      <c r="AE15" s="140">
        <f t="shared" si="13"/>
        <v>5577</v>
      </c>
      <c r="AF15" s="159">
        <f t="shared" si="14"/>
        <v>2</v>
      </c>
      <c r="AG15" s="44">
        <f t="shared" si="15"/>
        <v>27.355185000000002</v>
      </c>
      <c r="AH15" s="122">
        <f t="shared" si="16"/>
        <v>49966.531173195472</v>
      </c>
      <c r="AI15" s="111">
        <f t="shared" si="17"/>
        <v>1.3670949431552965E-2</v>
      </c>
      <c r="AJ15" s="114">
        <f t="shared" si="18"/>
        <v>10910669.609882269</v>
      </c>
      <c r="AK15" s="316">
        <f t="shared" si="25"/>
        <v>2.734189886310593E-2</v>
      </c>
    </row>
    <row r="16" spans="1:37" ht="30" x14ac:dyDescent="0.25">
      <c r="B16" s="126" t="s">
        <v>44</v>
      </c>
      <c r="C16" s="182" t="s">
        <v>368</v>
      </c>
      <c r="D16" s="5" t="s">
        <v>440</v>
      </c>
      <c r="E16" s="122">
        <v>2512</v>
      </c>
      <c r="F16" s="10" t="s">
        <v>444</v>
      </c>
      <c r="G16" s="122">
        <f>H15+1</f>
        <v>7501</v>
      </c>
      <c r="H16" s="535">
        <v>19000</v>
      </c>
      <c r="I16" s="124">
        <f t="shared" ref="I16:I23" si="27">AVERAGE(G16:H16)</f>
        <v>13250.5</v>
      </c>
      <c r="J16" s="159">
        <v>2</v>
      </c>
      <c r="K16" s="44">
        <f t="shared" si="0"/>
        <v>64.993702500000012</v>
      </c>
      <c r="L16" s="122">
        <f>'Mileage &amp; vehicle numbers'!V11</f>
        <v>49966.531173195472</v>
      </c>
      <c r="M16" s="111">
        <f t="shared" si="1"/>
        <v>0.43563740726387229</v>
      </c>
      <c r="N16" s="114">
        <f t="shared" si="2"/>
        <v>109358865.41346787</v>
      </c>
      <c r="O16" s="319">
        <f t="shared" si="3"/>
        <v>0.87127481452774458</v>
      </c>
      <c r="P16" s="140">
        <f t="shared" si="4"/>
        <v>14666.5072</v>
      </c>
      <c r="Q16" s="159">
        <f t="shared" si="5"/>
        <v>2</v>
      </c>
      <c r="R16" s="44">
        <f t="shared" si="6"/>
        <v>71.93921781600001</v>
      </c>
      <c r="S16" s="122">
        <f t="shared" si="20"/>
        <v>49966.531173195472</v>
      </c>
      <c r="T16" s="111">
        <f t="shared" si="7"/>
        <v>0.65388729330572049</v>
      </c>
      <c r="U16" s="114">
        <f t="shared" si="8"/>
        <v>164146538.63937667</v>
      </c>
      <c r="V16" s="319">
        <f t="shared" si="21"/>
        <v>1.307774586611441</v>
      </c>
      <c r="W16" s="259">
        <f t="shared" si="26"/>
        <v>13436.007</v>
      </c>
      <c r="X16" s="159">
        <f t="shared" si="9"/>
        <v>2</v>
      </c>
      <c r="Y16" s="44">
        <f t="shared" si="10"/>
        <v>65.903614335</v>
      </c>
      <c r="Z16" s="162">
        <f t="shared" si="23"/>
        <v>49966.531173195472</v>
      </c>
      <c r="AA16" s="111">
        <f t="shared" si="11"/>
        <v>0.46055020995321994</v>
      </c>
      <c r="AB16" s="114">
        <f t="shared" si="12"/>
        <v>115612772.42638519</v>
      </c>
      <c r="AC16" s="319">
        <f t="shared" si="24"/>
        <v>0.92110041990643987</v>
      </c>
      <c r="AD16" s="168" t="s">
        <v>173</v>
      </c>
      <c r="AE16" s="140">
        <f t="shared" si="13"/>
        <v>13436.007</v>
      </c>
      <c r="AF16" s="159">
        <f t="shared" si="14"/>
        <v>2</v>
      </c>
      <c r="AG16" s="44">
        <f t="shared" si="15"/>
        <v>65.903614335</v>
      </c>
      <c r="AH16" s="122">
        <f t="shared" si="16"/>
        <v>49966.531173195472</v>
      </c>
      <c r="AI16" s="111">
        <f t="shared" si="17"/>
        <v>0.46055020995321994</v>
      </c>
      <c r="AJ16" s="114">
        <f t="shared" si="18"/>
        <v>115612772.42638519</v>
      </c>
      <c r="AK16" s="319">
        <f t="shared" si="25"/>
        <v>0.92110041990643987</v>
      </c>
    </row>
    <row r="17" spans="1:37" s="196" customFormat="1" ht="15.75" x14ac:dyDescent="0.25">
      <c r="B17" s="530"/>
      <c r="C17" s="531"/>
      <c r="D17" s="144"/>
      <c r="E17" s="162"/>
      <c r="F17" s="10"/>
      <c r="G17" s="162"/>
      <c r="H17" s="532"/>
      <c r="I17" s="533"/>
      <c r="J17" s="160"/>
      <c r="K17" s="161"/>
      <c r="L17" s="162"/>
      <c r="M17" s="111"/>
      <c r="N17" s="114"/>
      <c r="O17" s="320"/>
      <c r="P17" s="419"/>
      <c r="Q17" s="160"/>
      <c r="R17" s="161"/>
      <c r="S17" s="162"/>
      <c r="T17" s="111"/>
      <c r="U17" s="114"/>
      <c r="V17" s="320"/>
      <c r="W17" s="534"/>
      <c r="X17" s="160"/>
      <c r="Y17" s="161"/>
      <c r="Z17" s="162"/>
      <c r="AA17" s="111"/>
      <c r="AB17" s="114"/>
      <c r="AC17" s="320"/>
      <c r="AD17" s="168"/>
      <c r="AE17" s="419"/>
      <c r="AF17" s="160"/>
      <c r="AG17" s="161"/>
      <c r="AH17" s="162"/>
      <c r="AI17" s="111"/>
      <c r="AJ17" s="114"/>
      <c r="AK17" s="320"/>
    </row>
    <row r="18" spans="1:37" ht="30" x14ac:dyDescent="0.25">
      <c r="B18" s="126" t="s">
        <v>44</v>
      </c>
      <c r="C18" s="182" t="s">
        <v>368</v>
      </c>
      <c r="D18" s="5" t="s">
        <v>441</v>
      </c>
      <c r="E18" s="122">
        <v>10700</v>
      </c>
      <c r="F18" s="10" t="s">
        <v>444</v>
      </c>
      <c r="G18" s="122">
        <v>18001</v>
      </c>
      <c r="H18" s="535">
        <v>27000</v>
      </c>
      <c r="I18" s="124">
        <f t="shared" si="27"/>
        <v>22500.5</v>
      </c>
      <c r="J18" s="159">
        <v>3</v>
      </c>
      <c r="K18" s="44">
        <f t="shared" si="0"/>
        <v>73.576634999999996</v>
      </c>
      <c r="L18" s="122">
        <f>'Mileage &amp; vehicle numbers'!V14</f>
        <v>30419.716055913941</v>
      </c>
      <c r="M18" s="111">
        <f t="shared" si="1"/>
        <v>0.71548369084240593</v>
      </c>
      <c r="N18" s="114">
        <f t="shared" si="2"/>
        <v>698650424.04983199</v>
      </c>
      <c r="O18" s="319">
        <f t="shared" si="3"/>
        <v>2.1464510725272179</v>
      </c>
      <c r="P18" s="140">
        <f t="shared" si="4"/>
        <v>24604.707199999997</v>
      </c>
      <c r="Q18" s="159">
        <f t="shared" si="5"/>
        <v>3</v>
      </c>
      <c r="R18" s="44">
        <f t="shared" si="6"/>
        <v>80.457392543999987</v>
      </c>
      <c r="S18" s="122">
        <f t="shared" si="20"/>
        <v>30419.716055913941</v>
      </c>
      <c r="T18" s="111">
        <f t="shared" si="7"/>
        <v>1.0230665082909625</v>
      </c>
      <c r="U18" s="114">
        <f t="shared" si="8"/>
        <v>998996705.30169749</v>
      </c>
      <c r="V18" s="319">
        <f t="shared" si="21"/>
        <v>3.0691995248728876</v>
      </c>
      <c r="W18" s="259">
        <f t="shared" si="26"/>
        <v>22815.507000000001</v>
      </c>
      <c r="X18" s="159">
        <f t="shared" si="9"/>
        <v>3</v>
      </c>
      <c r="Y18" s="44">
        <f t="shared" si="10"/>
        <v>74.60670789000001</v>
      </c>
      <c r="Z18" s="162">
        <f t="shared" si="23"/>
        <v>30419.716055913941</v>
      </c>
      <c r="AA18" s="111">
        <f t="shared" si="11"/>
        <v>0.75640006698502404</v>
      </c>
      <c r="AB18" s="114">
        <f t="shared" si="12"/>
        <v>738604155.92171478</v>
      </c>
      <c r="AC18" s="319">
        <f t="shared" si="24"/>
        <v>2.2692002009550722</v>
      </c>
      <c r="AD18" s="168" t="s">
        <v>173</v>
      </c>
      <c r="AE18" s="140">
        <f t="shared" si="13"/>
        <v>22815.507000000001</v>
      </c>
      <c r="AF18" s="159">
        <f t="shared" si="14"/>
        <v>3</v>
      </c>
      <c r="AG18" s="44">
        <f t="shared" si="15"/>
        <v>74.60670789000001</v>
      </c>
      <c r="AH18" s="122">
        <f t="shared" si="16"/>
        <v>30419.716055913941</v>
      </c>
      <c r="AI18" s="111">
        <f t="shared" si="17"/>
        <v>0.75640006698502404</v>
      </c>
      <c r="AJ18" s="114">
        <f t="shared" si="18"/>
        <v>738604155.92171478</v>
      </c>
      <c r="AK18" s="319">
        <f t="shared" si="25"/>
        <v>2.2692002009550722</v>
      </c>
    </row>
    <row r="19" spans="1:37" s="196" customFormat="1" ht="15.75" x14ac:dyDescent="0.25">
      <c r="B19" s="530"/>
      <c r="C19" s="531"/>
      <c r="D19" s="144"/>
      <c r="E19" s="162"/>
      <c r="F19" s="10"/>
      <c r="G19" s="162"/>
      <c r="H19" s="532"/>
      <c r="I19" s="533"/>
      <c r="J19" s="160"/>
      <c r="K19" s="161"/>
      <c r="L19" s="162"/>
      <c r="M19" s="111"/>
      <c r="N19" s="114"/>
      <c r="O19" s="320"/>
      <c r="P19" s="419"/>
      <c r="Q19" s="160"/>
      <c r="R19" s="161"/>
      <c r="S19" s="162"/>
      <c r="T19" s="111"/>
      <c r="U19" s="114"/>
      <c r="V19" s="320"/>
      <c r="W19" s="534"/>
      <c r="X19" s="160"/>
      <c r="Y19" s="161"/>
      <c r="Z19" s="162"/>
      <c r="AA19" s="111"/>
      <c r="AB19" s="114"/>
      <c r="AC19" s="320"/>
      <c r="AD19" s="168"/>
      <c r="AE19" s="419"/>
      <c r="AF19" s="160"/>
      <c r="AG19" s="161"/>
      <c r="AH19" s="162"/>
      <c r="AI19" s="111"/>
      <c r="AJ19" s="114"/>
      <c r="AK19" s="320"/>
    </row>
    <row r="20" spans="1:37" s="196" customFormat="1" ht="15.75" x14ac:dyDescent="0.25">
      <c r="B20" s="530"/>
      <c r="C20" s="531"/>
      <c r="D20" s="144"/>
      <c r="E20" s="162"/>
      <c r="F20" s="10"/>
      <c r="G20" s="162"/>
      <c r="H20" s="532"/>
      <c r="I20" s="533"/>
      <c r="J20" s="160"/>
      <c r="K20" s="161"/>
      <c r="L20" s="162"/>
      <c r="M20" s="111"/>
      <c r="N20" s="114"/>
      <c r="O20" s="320"/>
      <c r="P20" s="419"/>
      <c r="Q20" s="433"/>
      <c r="R20" s="161"/>
      <c r="S20" s="162"/>
      <c r="T20" s="111"/>
      <c r="U20" s="114"/>
      <c r="V20" s="320"/>
      <c r="W20" s="534"/>
      <c r="X20" s="160"/>
      <c r="Y20" s="161"/>
      <c r="Z20" s="162"/>
      <c r="AA20" s="111"/>
      <c r="AB20" s="114"/>
      <c r="AC20" s="320"/>
      <c r="AD20" s="168"/>
      <c r="AE20" s="419"/>
      <c r="AF20" s="160"/>
      <c r="AG20" s="161"/>
      <c r="AH20" s="162"/>
      <c r="AI20" s="111"/>
      <c r="AJ20" s="114"/>
      <c r="AK20" s="320"/>
    </row>
    <row r="21" spans="1:37" ht="30" x14ac:dyDescent="0.25">
      <c r="B21" s="126" t="s">
        <v>44</v>
      </c>
      <c r="C21" s="182" t="s">
        <v>368</v>
      </c>
      <c r="D21" s="5" t="s">
        <v>363</v>
      </c>
      <c r="E21" s="122">
        <v>4446.2259000000004</v>
      </c>
      <c r="F21" s="10" t="s">
        <v>444</v>
      </c>
      <c r="G21" s="122">
        <v>28001</v>
      </c>
      <c r="H21" s="130">
        <v>32000</v>
      </c>
      <c r="I21" s="124">
        <f t="shared" si="27"/>
        <v>30000.5</v>
      </c>
      <c r="J21" s="159">
        <v>4</v>
      </c>
      <c r="K21" s="44">
        <f t="shared" si="0"/>
        <v>73.576226250000005</v>
      </c>
      <c r="L21" s="122">
        <f>'Mileage &amp; vehicle numbers'!V16</f>
        <v>45692.513219871638</v>
      </c>
      <c r="M21" s="111">
        <f t="shared" si="1"/>
        <v>0.71546779169064001</v>
      </c>
      <c r="N21" s="114">
        <f t="shared" si="2"/>
        <v>581415558.95223272</v>
      </c>
      <c r="O21" s="320">
        <f t="shared" si="3"/>
        <v>2.86187116676256</v>
      </c>
      <c r="P21" s="419">
        <f t="shared" si="4"/>
        <v>32000</v>
      </c>
      <c r="Q21" s="160">
        <f t="shared" ref="Q21:Q26" si="28">$J21</f>
        <v>4</v>
      </c>
      <c r="R21" s="161">
        <f t="shared" si="6"/>
        <v>78.48</v>
      </c>
      <c r="S21" s="162">
        <f t="shared" si="20"/>
        <v>46638.786891649892</v>
      </c>
      <c r="T21" s="111">
        <f t="shared" si="7"/>
        <v>0.92613869432100027</v>
      </c>
      <c r="U21" s="114">
        <f t="shared" si="8"/>
        <v>768200862.8204335</v>
      </c>
      <c r="V21" s="320">
        <f t="shared" si="21"/>
        <v>3.7045547772840011</v>
      </c>
      <c r="W21" s="259">
        <f t="shared" si="26"/>
        <v>30420.507000000001</v>
      </c>
      <c r="X21" s="160">
        <f t="shared" si="9"/>
        <v>4</v>
      </c>
      <c r="Y21" s="161">
        <f t="shared" si="10"/>
        <v>74.606293417500012</v>
      </c>
      <c r="Z21" s="162">
        <f t="shared" si="23"/>
        <v>45692.513219871638</v>
      </c>
      <c r="AA21" s="111">
        <f t="shared" si="11"/>
        <v>0.75638325860823685</v>
      </c>
      <c r="AB21" s="114">
        <f t="shared" si="12"/>
        <v>614664978.90372109</v>
      </c>
      <c r="AC21" s="320">
        <f t="shared" si="24"/>
        <v>3.0255330344329474</v>
      </c>
      <c r="AD21" s="168" t="s">
        <v>173</v>
      </c>
      <c r="AE21" s="140">
        <f t="shared" si="13"/>
        <v>30420.507000000001</v>
      </c>
      <c r="AF21" s="159">
        <f t="shared" si="14"/>
        <v>4</v>
      </c>
      <c r="AG21" s="44">
        <f t="shared" si="15"/>
        <v>74.606293417500012</v>
      </c>
      <c r="AH21" s="122">
        <f t="shared" si="16"/>
        <v>45692.513219871638</v>
      </c>
      <c r="AI21" s="111">
        <f t="shared" si="17"/>
        <v>0.75638325860823685</v>
      </c>
      <c r="AJ21" s="114">
        <f t="shared" si="18"/>
        <v>614664978.90372109</v>
      </c>
      <c r="AK21" s="320">
        <f t="shared" si="25"/>
        <v>3.0255330344329474</v>
      </c>
    </row>
    <row r="22" spans="1:37" ht="30" x14ac:dyDescent="0.25">
      <c r="B22" s="126" t="s">
        <v>44</v>
      </c>
      <c r="C22" s="182" t="s">
        <v>368</v>
      </c>
      <c r="D22" s="5" t="s">
        <v>364</v>
      </c>
      <c r="E22" s="122">
        <v>637.28010000000017</v>
      </c>
      <c r="F22" s="432" t="s">
        <v>443</v>
      </c>
      <c r="G22" s="122">
        <f t="shared" ref="G22:G24" si="29">H21+1</f>
        <v>32001</v>
      </c>
      <c r="H22" s="130">
        <v>38000</v>
      </c>
      <c r="I22" s="124">
        <f t="shared" si="27"/>
        <v>35000.5</v>
      </c>
      <c r="J22" s="159">
        <v>4</v>
      </c>
      <c r="K22" s="44">
        <f t="shared" si="0"/>
        <v>85.838726250000008</v>
      </c>
      <c r="L22" s="122">
        <f>'Mileage &amp; vehicle numbers'!V17</f>
        <v>173886.06449727292</v>
      </c>
      <c r="M22" s="111">
        <f t="shared" si="1"/>
        <v>1.3254797899821145</v>
      </c>
      <c r="N22" s="114">
        <f t="shared" si="2"/>
        <v>587527551.4636327</v>
      </c>
      <c r="O22" s="320">
        <f t="shared" si="3"/>
        <v>5.3019191599284579</v>
      </c>
      <c r="P22" s="419">
        <f>MIN(($P$2*$I22+$P$3),H22)</f>
        <v>38000</v>
      </c>
      <c r="Q22" s="433">
        <f t="shared" si="28"/>
        <v>4</v>
      </c>
      <c r="R22" s="161">
        <f t="shared" si="6"/>
        <v>93.194999999999993</v>
      </c>
      <c r="S22" s="162">
        <f t="shared" si="20"/>
        <v>174044.88287668661</v>
      </c>
      <c r="T22" s="111">
        <f t="shared" si="7"/>
        <v>1.8416644406525728</v>
      </c>
      <c r="U22" s="114">
        <f t="shared" si="8"/>
        <v>817075353.08607769</v>
      </c>
      <c r="V22" s="320">
        <f t="shared" si="21"/>
        <v>7.3666577626102914</v>
      </c>
      <c r="W22" s="259">
        <f t="shared" si="26"/>
        <v>35490.506999999998</v>
      </c>
      <c r="X22" s="160">
        <f t="shared" si="9"/>
        <v>4</v>
      </c>
      <c r="Y22" s="161">
        <f t="shared" si="10"/>
        <v>87.040468417499994</v>
      </c>
      <c r="Z22" s="162">
        <f t="shared" si="23"/>
        <v>173886.06449727292</v>
      </c>
      <c r="AA22" s="111">
        <f t="shared" si="11"/>
        <v>1.4012800218399368</v>
      </c>
      <c r="AB22" s="114">
        <f t="shared" si="12"/>
        <v>621126498.01898003</v>
      </c>
      <c r="AC22" s="320">
        <f t="shared" si="24"/>
        <v>5.6051200873597473</v>
      </c>
      <c r="AD22" s="168" t="s">
        <v>173</v>
      </c>
      <c r="AE22" s="140">
        <f t="shared" si="13"/>
        <v>35490.506999999998</v>
      </c>
      <c r="AF22" s="159">
        <f t="shared" si="14"/>
        <v>4</v>
      </c>
      <c r="AG22" s="44">
        <f t="shared" si="15"/>
        <v>87.040468417499994</v>
      </c>
      <c r="AH22" s="122">
        <f t="shared" si="16"/>
        <v>173886.06449727292</v>
      </c>
      <c r="AI22" s="111">
        <f t="shared" si="17"/>
        <v>1.4012800218399368</v>
      </c>
      <c r="AJ22" s="114">
        <f t="shared" si="18"/>
        <v>621126498.01898003</v>
      </c>
      <c r="AK22" s="320">
        <f t="shared" si="25"/>
        <v>5.6051200873597473</v>
      </c>
    </row>
    <row r="23" spans="1:37" ht="30" x14ac:dyDescent="0.25">
      <c r="B23" s="126" t="s">
        <v>44</v>
      </c>
      <c r="C23" s="182" t="s">
        <v>368</v>
      </c>
      <c r="D23" s="5" t="s">
        <v>442</v>
      </c>
      <c r="E23" s="122">
        <v>3957.6751875000004</v>
      </c>
      <c r="F23" s="10" t="s">
        <v>443</v>
      </c>
      <c r="G23" s="122">
        <f>H22+1</f>
        <v>38001</v>
      </c>
      <c r="H23" s="130">
        <v>40000</v>
      </c>
      <c r="I23" s="124">
        <f t="shared" si="27"/>
        <v>39000.5</v>
      </c>
      <c r="J23" s="159">
        <v>5</v>
      </c>
      <c r="K23" s="44">
        <f t="shared" si="0"/>
        <v>76.518981000000011</v>
      </c>
      <c r="L23" s="122">
        <f>'Mileage &amp; vehicle numbers'!V18</f>
        <v>125999.11689226481</v>
      </c>
      <c r="M23" s="111">
        <f t="shared" si="1"/>
        <v>0.83698324393909784</v>
      </c>
      <c r="N23" s="114">
        <f t="shared" si="2"/>
        <v>2086865298.1349676</v>
      </c>
      <c r="O23" s="320">
        <f t="shared" si="3"/>
        <v>4.1849162196954897</v>
      </c>
      <c r="P23" s="397">
        <f t="shared" ref="P23:P25" si="30">MIN(($P$2*$I23+$P$3),H23)</f>
        <v>40000</v>
      </c>
      <c r="Q23" s="160">
        <f t="shared" si="28"/>
        <v>5</v>
      </c>
      <c r="R23" s="161">
        <f t="shared" si="6"/>
        <v>78.48</v>
      </c>
      <c r="S23" s="162">
        <f t="shared" si="20"/>
        <v>133345.83308030159</v>
      </c>
      <c r="T23" s="111">
        <f t="shared" si="7"/>
        <v>0.92613869432100027</v>
      </c>
      <c r="U23" s="114">
        <f t="shared" si="8"/>
        <v>2443799833.9194913</v>
      </c>
      <c r="V23" s="320">
        <f t="shared" si="21"/>
        <v>4.6306934716050012</v>
      </c>
      <c r="W23" s="259">
        <f t="shared" si="26"/>
        <v>39546.506999999998</v>
      </c>
      <c r="X23" s="159">
        <f t="shared" si="9"/>
        <v>5</v>
      </c>
      <c r="Y23" s="44">
        <f t="shared" si="10"/>
        <v>77.590246734000004</v>
      </c>
      <c r="Z23" s="162">
        <f t="shared" si="23"/>
        <v>125999.11689226481</v>
      </c>
      <c r="AA23" s="111">
        <f t="shared" si="11"/>
        <v>0.88484781677619317</v>
      </c>
      <c r="AB23" s="114">
        <f t="shared" si="12"/>
        <v>2206206894.0236616</v>
      </c>
      <c r="AC23" s="320">
        <f t="shared" si="24"/>
        <v>4.4242390838809662</v>
      </c>
      <c r="AD23" s="168" t="s">
        <v>173</v>
      </c>
      <c r="AE23" s="140">
        <f t="shared" si="13"/>
        <v>39546.506999999998</v>
      </c>
      <c r="AF23" s="159">
        <f t="shared" si="14"/>
        <v>5</v>
      </c>
      <c r="AG23" s="44">
        <f t="shared" si="15"/>
        <v>77.590246734000004</v>
      </c>
      <c r="AH23" s="122">
        <f t="shared" si="16"/>
        <v>125999.11689226481</v>
      </c>
      <c r="AI23" s="111">
        <f t="shared" si="17"/>
        <v>0.88484781677619317</v>
      </c>
      <c r="AJ23" s="114">
        <f t="shared" si="18"/>
        <v>2206206894.0236616</v>
      </c>
      <c r="AK23" s="320">
        <f t="shared" si="25"/>
        <v>4.4242390838809662</v>
      </c>
    </row>
    <row r="24" spans="1:37" ht="30" x14ac:dyDescent="0.25">
      <c r="B24" s="126" t="s">
        <v>44</v>
      </c>
      <c r="C24" s="182" t="s">
        <v>368</v>
      </c>
      <c r="D24" s="5" t="s">
        <v>385</v>
      </c>
      <c r="E24" s="122">
        <v>6596.1253124999994</v>
      </c>
      <c r="F24" s="10" t="s">
        <v>443</v>
      </c>
      <c r="G24" s="122">
        <f t="shared" si="29"/>
        <v>40001</v>
      </c>
      <c r="H24" s="130">
        <v>44000</v>
      </c>
      <c r="I24" s="124">
        <f t="shared" ref="I24" si="31">AVERAGE(G24:H24)</f>
        <v>42000.5</v>
      </c>
      <c r="J24" s="159">
        <v>6</v>
      </c>
      <c r="K24" s="44">
        <f t="shared" ref="K24" si="32">$K$3*I24/(J24*1000)</f>
        <v>68.670817499999998</v>
      </c>
      <c r="L24" s="122">
        <f>'Mileage &amp; vehicle numbers'!V19</f>
        <v>125999.11689226482</v>
      </c>
      <c r="M24" s="111">
        <f t="shared" ref="M24" si="33">(K24/$M$3)^4</f>
        <v>0.5429113514354621</v>
      </c>
      <c r="N24" s="114">
        <f t="shared" ref="N24" si="34">M24*L24*J24*$E24</f>
        <v>2707301173.5385799</v>
      </c>
      <c r="O24" s="320">
        <f t="shared" ref="O24" si="35">M24*J24</f>
        <v>3.2574681086127724</v>
      </c>
      <c r="P24" s="397">
        <f t="shared" si="30"/>
        <v>44000</v>
      </c>
      <c r="Q24" s="160">
        <f t="shared" si="28"/>
        <v>6</v>
      </c>
      <c r="R24" s="161">
        <f t="shared" si="6"/>
        <v>71.94</v>
      </c>
      <c r="S24" s="162">
        <f t="shared" si="20"/>
        <v>130453.49265407299</v>
      </c>
      <c r="T24" s="111">
        <f t="shared" ref="T24" si="36">(R24/$M$3)^4</f>
        <v>0.6539157322315664</v>
      </c>
      <c r="U24" s="114">
        <f t="shared" ref="U24" si="37">T24*S24*Q24*$E24</f>
        <v>3376118215.3269711</v>
      </c>
      <c r="V24" s="320">
        <f t="shared" ref="V24" si="38">T24*Q24</f>
        <v>3.9234943933893982</v>
      </c>
      <c r="W24" s="259">
        <f t="shared" si="26"/>
        <v>42588.506999999998</v>
      </c>
      <c r="X24" s="159">
        <f t="shared" si="9"/>
        <v>6</v>
      </c>
      <c r="Y24" s="44">
        <f t="shared" si="10"/>
        <v>69.632208945000002</v>
      </c>
      <c r="Z24" s="162">
        <f t="shared" si="23"/>
        <v>125999.11689226482</v>
      </c>
      <c r="AA24" s="111">
        <f t="shared" ref="AA24" si="39">(Y24/$M$3)^4</f>
        <v>0.57395883071661202</v>
      </c>
      <c r="AB24" s="114">
        <f t="shared" ref="AB24" si="40">AA24*Z24*X24*$E24</f>
        <v>2862123644.7781854</v>
      </c>
      <c r="AC24" s="320">
        <f t="shared" ref="AC24" si="41">AA24*X24</f>
        <v>3.4437529842996719</v>
      </c>
      <c r="AD24" s="168" t="s">
        <v>173</v>
      </c>
      <c r="AE24" s="140">
        <f t="shared" si="13"/>
        <v>42588.506999999998</v>
      </c>
      <c r="AF24" s="159">
        <f t="shared" si="14"/>
        <v>6</v>
      </c>
      <c r="AG24" s="44">
        <f t="shared" si="15"/>
        <v>69.632208945000002</v>
      </c>
      <c r="AH24" s="122">
        <f t="shared" si="16"/>
        <v>125999.11689226482</v>
      </c>
      <c r="AI24" s="111">
        <f t="shared" ref="AI24" si="42">(AG24/$M$3)^4</f>
        <v>0.57395883071661202</v>
      </c>
      <c r="AJ24" s="114">
        <f t="shared" ref="AJ24" si="43">AI24*AH24*AF24*$E24</f>
        <v>2862123644.7781854</v>
      </c>
      <c r="AK24" s="320">
        <f t="shared" ref="AK24" si="44">AI24*AF24</f>
        <v>3.4437529842996719</v>
      </c>
    </row>
    <row r="25" spans="1:37" ht="30" x14ac:dyDescent="0.25">
      <c r="B25" s="126" t="s">
        <v>47</v>
      </c>
      <c r="C25" s="182" t="s">
        <v>367</v>
      </c>
      <c r="D25" s="144" t="s">
        <v>135</v>
      </c>
      <c r="E25" s="127">
        <v>9842.1440000000002</v>
      </c>
      <c r="F25" s="146"/>
      <c r="G25" s="122"/>
      <c r="H25" s="130">
        <v>3500</v>
      </c>
      <c r="I25" s="35">
        <v>3000</v>
      </c>
      <c r="J25" s="159">
        <v>2</v>
      </c>
      <c r="K25" s="44">
        <f t="shared" si="0"/>
        <v>14.715</v>
      </c>
      <c r="L25" s="122">
        <v>26261.95019929899</v>
      </c>
      <c r="M25" s="111">
        <f t="shared" si="1"/>
        <v>1.1446721533203278E-3</v>
      </c>
      <c r="N25" s="114">
        <f t="shared" si="2"/>
        <v>591735.74126663699</v>
      </c>
      <c r="O25" s="315">
        <f t="shared" si="3"/>
        <v>2.2893443066406556E-3</v>
      </c>
      <c r="P25" s="419">
        <f t="shared" si="30"/>
        <v>3500</v>
      </c>
      <c r="Q25" s="160">
        <f t="shared" si="28"/>
        <v>2</v>
      </c>
      <c r="R25" s="161">
        <f t="shared" si="6"/>
        <v>17.1675</v>
      </c>
      <c r="S25" s="162">
        <f t="shared" si="20"/>
        <v>27412.748857032278</v>
      </c>
      <c r="T25" s="111">
        <f t="shared" si="7"/>
        <v>2.1206464815757002E-3</v>
      </c>
      <c r="U25" s="114">
        <f t="shared" si="8"/>
        <v>1144301.7816966884</v>
      </c>
      <c r="V25" s="315">
        <f t="shared" si="21"/>
        <v>4.2412929631514005E-3</v>
      </c>
      <c r="W25" s="259">
        <f t="shared" ref="W25:W26" si="45">MIN(H25,($I25*$P$4))</f>
        <v>3042</v>
      </c>
      <c r="X25" s="159">
        <f t="shared" si="9"/>
        <v>2</v>
      </c>
      <c r="Y25" s="44">
        <f t="shared" ref="Y25:Y26" si="46">$K$3*W25/(X25*1000)</f>
        <v>14.921010000000001</v>
      </c>
      <c r="Z25" s="162">
        <f t="shared" ref="Z25:Z26" si="47">$L25*(($I25*$P$4)/W25)</f>
        <v>26261.95019929899</v>
      </c>
      <c r="AA25" s="111">
        <f t="shared" si="11"/>
        <v>1.2101325362538513E-3</v>
      </c>
      <c r="AB25" s="114">
        <f t="shared" si="12"/>
        <v>625575.34163291473</v>
      </c>
      <c r="AC25" s="315">
        <f t="shared" si="24"/>
        <v>2.4202650725077025E-3</v>
      </c>
      <c r="AD25" s="168" t="s">
        <v>172</v>
      </c>
      <c r="AE25" s="140">
        <f t="shared" ref="AE25" si="48">IF(AD25="FCEV",W25,IF(AD25="BEV",P25,"error"))</f>
        <v>3500</v>
      </c>
      <c r="AF25" s="159">
        <f t="shared" ref="AF25:AF26" si="49">$J25</f>
        <v>2</v>
      </c>
      <c r="AG25" s="44">
        <f t="shared" ref="AG25" si="50">$K$3*AE25/(AF25*1000)</f>
        <v>17.1675</v>
      </c>
      <c r="AH25" s="122">
        <f t="shared" ref="AH25" si="51">L25</f>
        <v>26261.95019929899</v>
      </c>
      <c r="AI25" s="111">
        <f t="shared" si="17"/>
        <v>2.1206464815757002E-3</v>
      </c>
      <c r="AJ25" s="114">
        <f t="shared" si="18"/>
        <v>1096263.5144916633</v>
      </c>
      <c r="AK25" s="315">
        <f t="shared" si="25"/>
        <v>4.2412929631514005E-3</v>
      </c>
    </row>
    <row r="26" spans="1:37" ht="30" x14ac:dyDescent="0.25">
      <c r="B26" s="126" t="s">
        <v>47</v>
      </c>
      <c r="C26" s="182" t="s">
        <v>367</v>
      </c>
      <c r="D26" s="144" t="s">
        <v>134</v>
      </c>
      <c r="E26" s="127">
        <v>296494.58799999999</v>
      </c>
      <c r="F26" s="145"/>
      <c r="G26" s="127"/>
      <c r="H26" s="128">
        <v>3500</v>
      </c>
      <c r="I26" s="35">
        <v>3000</v>
      </c>
      <c r="J26" s="159">
        <v>2</v>
      </c>
      <c r="K26" s="44">
        <f t="shared" si="0"/>
        <v>14.715</v>
      </c>
      <c r="L26" s="122">
        <v>26261.95019929899</v>
      </c>
      <c r="M26" s="111">
        <f t="shared" si="1"/>
        <v>1.1446721533203278E-3</v>
      </c>
      <c r="N26" s="114">
        <f t="shared" si="2"/>
        <v>17826039.205657437</v>
      </c>
      <c r="O26" s="315">
        <f t="shared" si="3"/>
        <v>2.2893443066406556E-3</v>
      </c>
      <c r="P26" s="419">
        <f t="shared" ref="P26" si="52">MIN(($P$2*$I26+$P$3),H26)</f>
        <v>3500</v>
      </c>
      <c r="Q26" s="160">
        <f t="shared" si="28"/>
        <v>2</v>
      </c>
      <c r="R26" s="161">
        <f t="shared" ref="R26" si="53">$K$3*P26/(Q26*1000)</f>
        <v>17.1675</v>
      </c>
      <c r="S26" s="162">
        <f t="shared" ref="S26" si="54">$L26*(($P$2*$I26+$P$3)/P26)</f>
        <v>27412.748857032278</v>
      </c>
      <c r="T26" s="111">
        <f t="shared" si="7"/>
        <v>2.1206464815757002E-3</v>
      </c>
      <c r="U26" s="114">
        <f t="shared" si="8"/>
        <v>34472091.173612736</v>
      </c>
      <c r="V26" s="315">
        <f t="shared" si="21"/>
        <v>4.2412929631514005E-3</v>
      </c>
      <c r="W26" s="259">
        <f t="shared" si="45"/>
        <v>3042</v>
      </c>
      <c r="X26" s="159">
        <f t="shared" si="9"/>
        <v>2</v>
      </c>
      <c r="Y26" s="44">
        <f t="shared" si="46"/>
        <v>14.921010000000001</v>
      </c>
      <c r="Z26" s="162">
        <f t="shared" si="47"/>
        <v>26261.95019929899</v>
      </c>
      <c r="AA26" s="111">
        <f t="shared" si="11"/>
        <v>1.2101325362538513E-3</v>
      </c>
      <c r="AB26" s="114">
        <f t="shared" si="12"/>
        <v>18845457.166691557</v>
      </c>
      <c r="AC26" s="315">
        <f t="shared" si="24"/>
        <v>2.4202650725077025E-3</v>
      </c>
      <c r="AD26" s="168" t="s">
        <v>173</v>
      </c>
      <c r="AE26" s="140">
        <f t="shared" ref="AE26" si="55">IF(AD26="FCEV",W26,IF(AD26="BEV",P26,"error"))</f>
        <v>3042</v>
      </c>
      <c r="AF26" s="159">
        <f t="shared" si="49"/>
        <v>2</v>
      </c>
      <c r="AG26" s="44">
        <f t="shared" ref="AG26" si="56">$K$3*AE26/(AF26*1000)</f>
        <v>14.921010000000001</v>
      </c>
      <c r="AH26" s="122">
        <f t="shared" ref="AH26" si="57">L26</f>
        <v>26261.95019929899</v>
      </c>
      <c r="AI26" s="111">
        <f t="shared" si="17"/>
        <v>1.2101325362538513E-3</v>
      </c>
      <c r="AJ26" s="114">
        <f t="shared" si="18"/>
        <v>18845457.166691557</v>
      </c>
      <c r="AK26" s="315">
        <f t="shared" si="25"/>
        <v>2.4202650725077025E-3</v>
      </c>
    </row>
    <row r="27" spans="1:37" x14ac:dyDescent="0.25">
      <c r="B27" s="126"/>
      <c r="C27" s="112"/>
      <c r="D27" s="57"/>
      <c r="F27" s="129"/>
      <c r="G27" s="127"/>
      <c r="H27" s="128"/>
      <c r="I27" s="35"/>
      <c r="J27" s="125"/>
      <c r="K27" s="44"/>
      <c r="L27" s="122"/>
      <c r="M27" s="111"/>
      <c r="N27" s="114"/>
      <c r="O27" s="123"/>
      <c r="P27" s="140">
        <f>AVERAGE(P15:P23)</f>
        <v>25935.097399999999</v>
      </c>
      <c r="Q27" s="125"/>
      <c r="R27" s="44">
        <f>AVERAGE(R15:R23)</f>
        <v>72.274370035000004</v>
      </c>
      <c r="S27" s="122">
        <f>AVERAGE(S15:S23)</f>
        <v>80730.380208490489</v>
      </c>
      <c r="T27" s="111"/>
      <c r="U27" s="114"/>
      <c r="V27" s="123"/>
      <c r="W27" s="259"/>
      <c r="X27" s="125"/>
      <c r="Y27" s="44"/>
      <c r="Z27" s="122"/>
      <c r="AA27" s="111"/>
      <c r="AB27" s="114"/>
      <c r="AC27" s="123"/>
      <c r="AD27" s="137"/>
      <c r="AE27" s="140"/>
      <c r="AF27" s="125"/>
      <c r="AG27" s="44"/>
      <c r="AH27" s="122"/>
      <c r="AI27" s="111"/>
      <c r="AJ27" s="114"/>
      <c r="AK27" s="123"/>
    </row>
    <row r="28" spans="1:37" x14ac:dyDescent="0.25">
      <c r="A28" t="s">
        <v>9</v>
      </c>
      <c r="B28" s="35" t="s">
        <v>185</v>
      </c>
      <c r="C28" s="112" t="s">
        <v>9</v>
      </c>
      <c r="D28" s="57"/>
      <c r="E28" s="127">
        <f>SUM(E15:E23)</f>
        <v>30239.4427875</v>
      </c>
      <c r="F28" s="57"/>
      <c r="G28" s="60"/>
      <c r="H28" s="119"/>
      <c r="I28" s="125">
        <f>AVERAGE(I15:I23)</f>
        <v>24208.75</v>
      </c>
      <c r="J28" s="170" t="s">
        <v>198</v>
      </c>
      <c r="K28" s="125">
        <f>AVERAGE(K15:K23)</f>
        <v>66.913628500000002</v>
      </c>
      <c r="L28" s="125">
        <f>AVERAGE(L15:L23)</f>
        <v>79321.745501952377</v>
      </c>
      <c r="M28" s="171">
        <f>AVERAGE(M15:M23)</f>
        <v>0.6736638937931404</v>
      </c>
      <c r="N28" s="147">
        <f>SUM(N15:N23)</f>
        <v>4074138170.6089554</v>
      </c>
      <c r="O28" s="325">
        <f>AVERAGE(O15:O23)</f>
        <v>2.5653825519204827</v>
      </c>
      <c r="P28" s="125">
        <f>AVERAGE(P12:P13)</f>
        <v>2364.09</v>
      </c>
      <c r="Q28" s="57"/>
      <c r="R28" s="125">
        <f>AVERAGE(R12:R13)</f>
        <v>11.595861450000003</v>
      </c>
      <c r="S28" s="125">
        <f>AVERAGE(S12:S13)</f>
        <v>14570.798265265224</v>
      </c>
      <c r="T28" s="171">
        <f>AVERAGE(T15:T23)</f>
        <v>0.8989531732021655</v>
      </c>
      <c r="U28" s="147">
        <f>SUM(U15:U23)</f>
        <v>5210434463.7387505</v>
      </c>
      <c r="V28" s="325">
        <f>AVERAGE(V15:V23)</f>
        <v>3.3540878232711826</v>
      </c>
      <c r="W28" s="124">
        <f>AVERAGE(W15:W23)</f>
        <v>24547.672499999997</v>
      </c>
      <c r="X28" s="57"/>
      <c r="Y28" s="125">
        <f>AVERAGE(Y15:Y23)</f>
        <v>67.850419298999995</v>
      </c>
      <c r="Z28" s="125">
        <f>AVERAGE(Z15:Z23)</f>
        <v>79321.745501952377</v>
      </c>
      <c r="AA28" s="171">
        <f>AVERAGE(AA15:AA23)</f>
        <v>0.71218872059902727</v>
      </c>
      <c r="AB28" s="147">
        <f>SUM(AB15:AB23)</f>
        <v>4307125968.9043446</v>
      </c>
      <c r="AC28" s="325">
        <f>AVERAGE(AC15:AC23)</f>
        <v>2.7120891208997135</v>
      </c>
      <c r="AD28" s="124"/>
      <c r="AE28" s="125">
        <f>AVERAGE(AE15:AE23)</f>
        <v>24547.672499999997</v>
      </c>
      <c r="AF28" s="125">
        <f>AVERAGE(AF15:AF23)</f>
        <v>3.3333333333333335</v>
      </c>
      <c r="AG28" s="125">
        <f>AVERAGE(AG15:AG23)</f>
        <v>67.850419298999995</v>
      </c>
      <c r="AH28" s="125">
        <f>AVERAGE(AH15:AH23)</f>
        <v>79321.745501952377</v>
      </c>
      <c r="AI28" s="171">
        <f>AVERAGE(AI15:AI23)</f>
        <v>0.71218872059902727</v>
      </c>
      <c r="AJ28" s="147">
        <f>SUM(AJ15:AJ23)</f>
        <v>4307125968.9043446</v>
      </c>
      <c r="AK28" s="325">
        <f>AVERAGE(AK15:AK23)</f>
        <v>2.7120891208997135</v>
      </c>
    </row>
    <row r="29" spans="1:37" x14ac:dyDescent="0.25">
      <c r="A29" t="s">
        <v>2</v>
      </c>
      <c r="B29" s="35" t="s">
        <v>186</v>
      </c>
      <c r="C29" s="112" t="s">
        <v>2</v>
      </c>
      <c r="D29" s="57"/>
      <c r="E29" s="127">
        <v>2524000</v>
      </c>
      <c r="F29" s="57"/>
      <c r="G29" s="60"/>
      <c r="H29" s="119"/>
      <c r="I29" s="125">
        <f>AVERAGE(I12:I13)</f>
        <v>1800</v>
      </c>
      <c r="J29" s="159">
        <f>J12</f>
        <v>2</v>
      </c>
      <c r="K29" s="125">
        <f>AVERAGE(K12:K13)</f>
        <v>8.8290000000000006</v>
      </c>
      <c r="L29" s="125">
        <f>AVERAGE(L12:L13)</f>
        <v>14570.798265265224</v>
      </c>
      <c r="M29" s="171">
        <f>AVERAGE(M12:M13)</f>
        <v>1.483495110703145E-4</v>
      </c>
      <c r="N29" s="167">
        <f>SUM(N12:N13)</f>
        <v>10884462.967033401</v>
      </c>
      <c r="O29" s="300">
        <f>AVERAGE(O12:O13)</f>
        <v>2.96699022140629E-4</v>
      </c>
      <c r="P29" s="125">
        <f>AVERAGE(P24:P25)</f>
        <v>23750</v>
      </c>
      <c r="Q29" s="57"/>
      <c r="R29" s="125">
        <f>AVERAGE(R24:R25)</f>
        <v>44.553750000000001</v>
      </c>
      <c r="S29" s="125">
        <f>AVERAGE(S24:S25)</f>
        <v>78933.120755552634</v>
      </c>
      <c r="T29" s="171">
        <f>AVERAGE(T12:T13)</f>
        <v>4.4142011817099869E-4</v>
      </c>
      <c r="U29" s="167">
        <f>SUM(U12:U13)</f>
        <v>32387170.638253443</v>
      </c>
      <c r="V29" s="300">
        <f>AVERAGE(V12:V13)</f>
        <v>8.8284023634199738E-4</v>
      </c>
      <c r="W29" s="124">
        <f>AVERAGE(W12:W13)</f>
        <v>1825.2</v>
      </c>
      <c r="X29" s="57"/>
      <c r="Y29" s="125">
        <f>AVERAGE(Y12:Y13)</f>
        <v>8.9526059999999994</v>
      </c>
      <c r="Z29" s="125">
        <f>AVERAGE(Z12:Z13)</f>
        <v>14570.798265265224</v>
      </c>
      <c r="AA29" s="171">
        <f>AVERAGE(AA12:AA13)</f>
        <v>1.5683317669849909E-4</v>
      </c>
      <c r="AB29" s="167">
        <f>SUM(AB12:AB13)</f>
        <v>11506912.907639556</v>
      </c>
      <c r="AC29" s="300">
        <f>AVERAGE(AC12:AC13)</f>
        <v>3.1366635339699818E-4</v>
      </c>
      <c r="AD29" s="124"/>
      <c r="AE29" s="125">
        <f>AVERAGE(AE12:AE13)</f>
        <v>2094.645</v>
      </c>
      <c r="AF29" s="125">
        <f>AVERAGE(AF12:AF13)</f>
        <v>2</v>
      </c>
      <c r="AG29" s="125">
        <f>AVERAGE(AG12:AG13)</f>
        <v>10.274233725000002</v>
      </c>
      <c r="AH29" s="125">
        <f>AVERAGE(AH12:AH13)</f>
        <v>14570.798265265224</v>
      </c>
      <c r="AI29" s="171">
        <f>AVERAGE(AI12:AI13)</f>
        <v>2.9912664743474886E-4</v>
      </c>
      <c r="AJ29" s="167">
        <f>SUM(AJ12:AJ13)</f>
        <v>24315986.67611856</v>
      </c>
      <c r="AK29" s="300">
        <f>AVERAGE(AK12:AK13)</f>
        <v>5.9825329486949772E-4</v>
      </c>
    </row>
    <row r="30" spans="1:37" x14ac:dyDescent="0.25">
      <c r="A30" t="s">
        <v>188</v>
      </c>
      <c r="B30" s="35" t="s">
        <v>187</v>
      </c>
      <c r="C30" t="s">
        <v>188</v>
      </c>
      <c r="D30" s="57"/>
      <c r="E30" s="127">
        <v>308000</v>
      </c>
      <c r="F30" s="57"/>
      <c r="G30" s="60"/>
      <c r="H30" s="119"/>
      <c r="I30" s="125">
        <f>AVERAGE(I25:I26)</f>
        <v>3000</v>
      </c>
      <c r="J30" s="159">
        <f>J25</f>
        <v>2</v>
      </c>
      <c r="K30" s="125">
        <f>AVERAGE(K25:K26)</f>
        <v>14.715</v>
      </c>
      <c r="L30" s="125">
        <f>AVERAGE(L25:L26)</f>
        <v>26261.95019929899</v>
      </c>
      <c r="M30" s="171">
        <f>AVERAGE(M25:M26)</f>
        <v>1.1446721533203278E-3</v>
      </c>
      <c r="N30" s="147">
        <f>SUM(N25:N26)</f>
        <v>18417774.946924075</v>
      </c>
      <c r="O30" s="326">
        <f>AVERAGE(O25:O26)</f>
        <v>2.2893443066406556E-3</v>
      </c>
      <c r="P30" s="125">
        <f>AVERAGE(P25:P26)</f>
        <v>3500</v>
      </c>
      <c r="Q30" s="57"/>
      <c r="R30" s="125">
        <f>AVERAGE(R25:R26)</f>
        <v>17.1675</v>
      </c>
      <c r="S30" s="125">
        <f>AVERAGE(S25:S26)</f>
        <v>27412.748857032278</v>
      </c>
      <c r="T30" s="171">
        <f>AVERAGE(T25:T26)</f>
        <v>2.1206464815757002E-3</v>
      </c>
      <c r="U30" s="147">
        <f>SUM(U25:U26)</f>
        <v>35616392.955309421</v>
      </c>
      <c r="V30" s="326">
        <f>AVERAGE(V25:V26)</f>
        <v>4.2412929631514005E-3</v>
      </c>
      <c r="W30" s="124">
        <f>AVERAGE(W25:W26)</f>
        <v>3042</v>
      </c>
      <c r="X30" s="57"/>
      <c r="Y30" s="125">
        <f>AVERAGE(Y25:Y26)</f>
        <v>14.921010000000001</v>
      </c>
      <c r="Z30" s="125">
        <f>AVERAGE(Z25:Z26)</f>
        <v>26261.95019929899</v>
      </c>
      <c r="AA30" s="171">
        <f>AVERAGE(AA25:AA26)</f>
        <v>1.2101325362538513E-3</v>
      </c>
      <c r="AB30" s="147">
        <f>SUM(AB25:AB26)</f>
        <v>19471032.50832447</v>
      </c>
      <c r="AC30" s="326">
        <f>AVERAGE(AC25:AC26)</f>
        <v>2.4202650725077025E-3</v>
      </c>
      <c r="AD30" s="124"/>
      <c r="AE30" s="125">
        <f>AVERAGE(AE25:AE26)</f>
        <v>3271</v>
      </c>
      <c r="AF30" s="125">
        <f>AVERAGE(AF25:AF26)</f>
        <v>2</v>
      </c>
      <c r="AG30" s="125">
        <f>AVERAGE(AG25:AG26)</f>
        <v>16.044255</v>
      </c>
      <c r="AH30" s="125">
        <f>AVERAGE(AH25:AH26)</f>
        <v>26261.95019929899</v>
      </c>
      <c r="AI30" s="171">
        <f>AVERAGE(AI25:AI26)</f>
        <v>1.6653895089147757E-3</v>
      </c>
      <c r="AJ30" s="147">
        <f>SUM(AJ25:AJ26)</f>
        <v>19941720.681183219</v>
      </c>
      <c r="AK30" s="326">
        <f>AVERAGE(AK25:AK26)</f>
        <v>3.3307790178295515E-3</v>
      </c>
    </row>
    <row r="31" spans="1:37" x14ac:dyDescent="0.25">
      <c r="B31" s="35"/>
      <c r="C31" s="57"/>
      <c r="D31" s="57"/>
      <c r="E31" s="60"/>
      <c r="F31" s="57"/>
      <c r="G31" s="60"/>
      <c r="H31" s="119"/>
      <c r="I31" s="35"/>
      <c r="J31" s="57"/>
      <c r="K31" s="57"/>
      <c r="L31" s="57"/>
      <c r="M31" s="57"/>
      <c r="N31" s="147"/>
      <c r="O31" s="143"/>
      <c r="P31" s="57"/>
      <c r="Q31" s="57"/>
      <c r="R31" s="57"/>
      <c r="S31" s="57"/>
      <c r="T31" s="57"/>
      <c r="U31" s="147"/>
      <c r="V31" s="143"/>
      <c r="W31" s="35"/>
      <c r="X31" s="57"/>
      <c r="Y31" s="57"/>
      <c r="Z31" s="57"/>
      <c r="AA31" s="57"/>
      <c r="AB31" s="147"/>
      <c r="AC31" s="143"/>
      <c r="AD31" s="169"/>
      <c r="AE31" s="57"/>
      <c r="AF31" s="57"/>
      <c r="AG31" s="57"/>
      <c r="AH31" s="125"/>
      <c r="AI31" s="57"/>
      <c r="AJ31" s="147"/>
      <c r="AK31" s="143"/>
    </row>
    <row r="32" spans="1:37" ht="15.75" thickBot="1" x14ac:dyDescent="0.3">
      <c r="B32" s="46"/>
      <c r="C32" s="47"/>
      <c r="D32" s="47"/>
      <c r="E32" s="131"/>
      <c r="F32" s="47"/>
      <c r="G32" s="131"/>
      <c r="H32" s="132"/>
      <c r="I32" s="46"/>
      <c r="J32" s="47"/>
      <c r="K32" s="47"/>
      <c r="L32" s="47"/>
      <c r="M32" s="156" t="s">
        <v>349</v>
      </c>
      <c r="N32" s="313">
        <f>SUM(N11:N26)</f>
        <v>8330021578.1861982</v>
      </c>
      <c r="O32" s="166"/>
      <c r="P32" s="47"/>
      <c r="Q32" s="47"/>
      <c r="R32" s="47"/>
      <c r="S32" s="47"/>
      <c r="T32" s="156" t="s">
        <v>146</v>
      </c>
      <c r="U32" s="313">
        <f>SUM(U11:U26)</f>
        <v>10876543316.001566</v>
      </c>
      <c r="V32" s="166"/>
      <c r="W32" s="46"/>
      <c r="X32" s="47"/>
      <c r="Y32" s="47"/>
      <c r="Z32" s="47"/>
      <c r="AA32" s="156" t="s">
        <v>146</v>
      </c>
      <c r="AB32" s="313">
        <f>SUM(AB11:AB26)</f>
        <v>8806390642.263525</v>
      </c>
      <c r="AC32" s="166"/>
      <c r="AD32" s="138"/>
      <c r="AE32" s="47"/>
      <c r="AF32" s="47"/>
      <c r="AG32" s="47"/>
      <c r="AH32" s="47"/>
      <c r="AI32" s="156" t="s">
        <v>146</v>
      </c>
      <c r="AJ32" s="313">
        <f>SUM(AJ11:AJ26)</f>
        <v>8819671963.4762001</v>
      </c>
      <c r="AK32" s="166"/>
    </row>
    <row r="33" spans="2:37" x14ac:dyDescent="0.25">
      <c r="B33" s="57"/>
      <c r="C33" s="57"/>
      <c r="D33" s="57"/>
      <c r="E33" s="57"/>
      <c r="F33" s="60"/>
      <c r="G33" s="60"/>
      <c r="H33" s="60"/>
      <c r="I33" s="57"/>
      <c r="J33" s="57"/>
      <c r="K33" s="57"/>
      <c r="L33" s="57"/>
      <c r="M33" s="260"/>
      <c r="N33" s="147"/>
      <c r="P33" s="57"/>
      <c r="Q33" s="57"/>
      <c r="R33" s="57"/>
      <c r="S33" s="57"/>
      <c r="T33" s="57"/>
      <c r="U33" s="57">
        <f>U32/N32</f>
        <v>1.3057040985924857</v>
      </c>
      <c r="V33" s="295">
        <f>U32/N32</f>
        <v>1.3057040985924857</v>
      </c>
      <c r="X33" s="57"/>
      <c r="Y33" s="57"/>
      <c r="Z33" s="57"/>
      <c r="AA33" s="57"/>
      <c r="AB33" s="260"/>
      <c r="AC33" s="112" t="s">
        <v>348</v>
      </c>
      <c r="AD33" s="57"/>
      <c r="AE33" s="57"/>
      <c r="AF33" s="60"/>
      <c r="AG33" s="60"/>
      <c r="AH33" s="60"/>
      <c r="AI33" s="57"/>
      <c r="AJ33" s="57"/>
      <c r="AK33" s="57"/>
    </row>
    <row r="34" spans="2:37" x14ac:dyDescent="0.25">
      <c r="B34" s="112"/>
      <c r="C34" s="112"/>
      <c r="N34" s="112"/>
      <c r="P34" s="112"/>
      <c r="Q34" s="112"/>
      <c r="R34" s="112"/>
      <c r="S34" s="112"/>
      <c r="T34" s="112"/>
      <c r="U34" s="112"/>
      <c r="V34" s="112"/>
      <c r="W34" s="112"/>
      <c r="X34" s="112"/>
      <c r="Y34" s="112"/>
      <c r="Z34" s="112"/>
      <c r="AA34" s="112"/>
      <c r="AB34" s="112"/>
      <c r="AC34" s="25">
        <f>AB32/$N$32</f>
        <v>1.0571870144160003</v>
      </c>
      <c r="AD34" s="112"/>
      <c r="AE34" s="112"/>
      <c r="AF34" s="112"/>
      <c r="AG34" s="112"/>
      <c r="AH34" s="112"/>
      <c r="AI34" s="112"/>
      <c r="AJ34" s="25"/>
      <c r="AK34" s="25">
        <f>AJ32/$N$32</f>
        <v>1.0587814065898997</v>
      </c>
    </row>
    <row r="35" spans="2:37" x14ac:dyDescent="0.25">
      <c r="N35" s="112"/>
      <c r="O35" s="112"/>
      <c r="P35" s="112"/>
      <c r="Q35" s="112"/>
      <c r="R35" s="396"/>
      <c r="S35" s="112"/>
      <c r="U35" s="112"/>
      <c r="V35" s="112"/>
      <c r="W35" s="112"/>
      <c r="X35" s="112"/>
      <c r="Y35" s="112"/>
      <c r="Z35" s="295"/>
      <c r="AA35" s="112"/>
      <c r="AB35" s="112"/>
      <c r="AC35" s="112"/>
      <c r="AD35" s="112"/>
      <c r="AE35" s="112"/>
      <c r="AF35" s="112"/>
      <c r="AG35" s="295"/>
      <c r="AH35" s="112"/>
      <c r="AI35" s="112"/>
      <c r="AJ35" s="112"/>
      <c r="AK35" s="112"/>
    </row>
    <row r="36" spans="2:37" x14ac:dyDescent="0.25">
      <c r="I36" s="1"/>
      <c r="N36" s="112"/>
      <c r="P36" s="112"/>
      <c r="Q36" s="112"/>
      <c r="R36" s="112"/>
      <c r="S36" s="112"/>
      <c r="T36" s="295"/>
      <c r="U36" s="112"/>
      <c r="V36" s="112"/>
      <c r="W36" s="112"/>
      <c r="X36" s="112"/>
      <c r="Y36" s="112"/>
      <c r="Z36" s="295"/>
      <c r="AA36" s="112"/>
      <c r="AB36" s="112"/>
      <c r="AC36" s="112"/>
      <c r="AD36" s="112"/>
      <c r="AE36" s="112"/>
      <c r="AF36" s="112"/>
      <c r="AG36" s="295"/>
      <c r="AH36" s="112"/>
      <c r="AI36" s="112"/>
      <c r="AJ36" s="112"/>
      <c r="AK36" s="112"/>
    </row>
    <row r="37" spans="2:37" ht="60" customHeight="1" x14ac:dyDescent="0.25">
      <c r="E37" s="4"/>
      <c r="F37" s="4"/>
      <c r="G37" s="4"/>
      <c r="H37" s="4"/>
      <c r="I37" s="3"/>
      <c r="L37" s="3"/>
      <c r="N37" s="115"/>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row>
    <row r="38" spans="2:37" ht="108.75" customHeight="1" x14ac:dyDescent="0.25">
      <c r="E38" s="3"/>
      <c r="I38" s="3"/>
      <c r="M38" s="3"/>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row>
    <row r="39" spans="2:37" x14ac:dyDescent="0.25">
      <c r="E39" s="3"/>
      <c r="N39" s="112"/>
      <c r="O39" s="112"/>
      <c r="P39" s="112"/>
      <c r="Q39" s="112"/>
      <c r="R39" s="346"/>
      <c r="S39" s="346"/>
      <c r="T39" s="346"/>
      <c r="U39" s="346"/>
      <c r="V39" s="112"/>
      <c r="W39" s="112"/>
      <c r="X39" s="112"/>
      <c r="Y39" s="112"/>
      <c r="Z39" s="112"/>
      <c r="AA39" s="112"/>
      <c r="AB39" s="112"/>
      <c r="AC39" s="112"/>
      <c r="AD39" s="112"/>
      <c r="AE39" s="112"/>
      <c r="AF39" s="112"/>
      <c r="AG39" s="112"/>
      <c r="AH39" s="112"/>
      <c r="AI39" s="112"/>
      <c r="AJ39" s="112"/>
      <c r="AK39" s="112"/>
    </row>
    <row r="40" spans="2:37" x14ac:dyDescent="0.25">
      <c r="E40" s="4"/>
      <c r="N40" s="112"/>
      <c r="O40" s="112"/>
      <c r="P40" s="112"/>
      <c r="U40" s="112"/>
      <c r="V40" s="112"/>
      <c r="W40" s="112"/>
      <c r="X40" s="112"/>
      <c r="Y40" s="112"/>
      <c r="Z40" s="112"/>
      <c r="AA40" s="112"/>
      <c r="AB40" s="112"/>
      <c r="AC40" s="112"/>
      <c r="AD40" s="112"/>
      <c r="AE40" s="112"/>
      <c r="AF40" s="112"/>
      <c r="AG40" s="112"/>
      <c r="AH40" s="112"/>
      <c r="AI40" s="112"/>
      <c r="AJ40" s="112"/>
      <c r="AK40" s="112"/>
    </row>
    <row r="41" spans="2:37" x14ac:dyDescent="0.25">
      <c r="C41" s="122"/>
      <c r="E41" s="9"/>
      <c r="N41" s="112"/>
      <c r="O41" s="113"/>
      <c r="P41" s="113"/>
      <c r="Q41" s="334"/>
      <c r="R41" s="334"/>
      <c r="S41" s="148"/>
      <c r="T41" s="334"/>
      <c r="U41" s="150"/>
      <c r="V41" s="112"/>
      <c r="W41" s="112"/>
      <c r="X41" s="112"/>
      <c r="Y41" s="112"/>
      <c r="Z41" s="112"/>
      <c r="AA41" s="112"/>
      <c r="AB41" s="112"/>
      <c r="AC41" s="112"/>
      <c r="AD41" s="112"/>
      <c r="AE41" s="112"/>
      <c r="AF41" s="112"/>
      <c r="AG41" s="112"/>
      <c r="AH41" s="112"/>
      <c r="AI41" s="112"/>
      <c r="AJ41" s="112"/>
      <c r="AK41" s="112"/>
    </row>
    <row r="42" spans="2:37" x14ac:dyDescent="0.25">
      <c r="C42" s="122"/>
      <c r="E42" s="7"/>
      <c r="N42" s="112"/>
      <c r="O42" s="112"/>
      <c r="P42" s="113"/>
      <c r="Q42" s="11"/>
      <c r="R42" s="334"/>
      <c r="S42" s="148"/>
      <c r="T42" s="334"/>
      <c r="U42" s="334"/>
      <c r="V42" s="112"/>
      <c r="W42" s="112"/>
      <c r="X42" s="112"/>
      <c r="Y42" s="112"/>
      <c r="Z42" s="112"/>
      <c r="AA42" s="112"/>
      <c r="AB42" s="112"/>
      <c r="AC42" s="112"/>
      <c r="AD42" s="112"/>
      <c r="AE42" s="112"/>
      <c r="AF42" s="112"/>
      <c r="AG42" s="112"/>
      <c r="AH42" s="112"/>
      <c r="AI42" s="112"/>
      <c r="AJ42" s="112"/>
      <c r="AK42" s="112"/>
    </row>
    <row r="43" spans="2:37" x14ac:dyDescent="0.25">
      <c r="C43" s="122"/>
      <c r="E43" s="8"/>
      <c r="N43" s="112"/>
      <c r="O43" s="112"/>
      <c r="P43" s="113"/>
      <c r="Q43" s="334"/>
      <c r="R43" s="334"/>
      <c r="S43" s="148"/>
      <c r="T43" s="112"/>
      <c r="U43" s="112"/>
      <c r="V43" s="112"/>
      <c r="W43" s="112"/>
      <c r="X43" s="112"/>
      <c r="Y43" s="112"/>
      <c r="Z43" s="112"/>
      <c r="AA43" s="112"/>
      <c r="AB43" s="112"/>
      <c r="AC43" s="112"/>
      <c r="AD43" s="112"/>
      <c r="AE43" s="112"/>
      <c r="AF43" s="112"/>
      <c r="AG43" s="112"/>
      <c r="AH43" s="112"/>
      <c r="AI43" s="112"/>
      <c r="AJ43" s="112"/>
      <c r="AK43" s="112"/>
    </row>
    <row r="44" spans="2:37" x14ac:dyDescent="0.25">
      <c r="C44" s="122"/>
      <c r="E44" s="8"/>
      <c r="N44" s="112"/>
      <c r="O44" s="112"/>
      <c r="P44" s="113"/>
      <c r="Q44" s="334"/>
      <c r="R44" s="112"/>
      <c r="S44" s="112"/>
      <c r="T44" s="112"/>
      <c r="U44" s="112"/>
      <c r="V44" s="112"/>
      <c r="W44" s="112"/>
      <c r="X44" s="112"/>
      <c r="Y44" s="112"/>
      <c r="Z44" s="112"/>
      <c r="AA44" s="112"/>
      <c r="AB44" s="112"/>
      <c r="AC44" s="112"/>
      <c r="AD44" s="112"/>
      <c r="AE44" s="112"/>
      <c r="AF44" s="112"/>
      <c r="AG44" s="112"/>
      <c r="AH44" s="112"/>
      <c r="AI44" s="112"/>
      <c r="AJ44" s="112"/>
      <c r="AK44" s="112"/>
    </row>
    <row r="45" spans="2:37" x14ac:dyDescent="0.25">
      <c r="C45" s="122"/>
      <c r="E45" s="8"/>
      <c r="N45" s="112"/>
      <c r="O45" s="113"/>
      <c r="P45" s="113"/>
      <c r="Q45" s="334"/>
      <c r="R45" s="112"/>
      <c r="S45" s="112"/>
      <c r="T45" s="112"/>
      <c r="U45" s="112"/>
      <c r="V45" s="112"/>
      <c r="X45" s="112"/>
      <c r="Y45" s="112"/>
      <c r="Z45" s="112"/>
      <c r="AA45" s="112"/>
      <c r="AB45" s="112"/>
      <c r="AC45" s="112"/>
      <c r="AD45" s="112"/>
      <c r="AE45" s="112"/>
      <c r="AF45" s="112"/>
      <c r="AG45" s="112"/>
      <c r="AH45" s="112"/>
      <c r="AI45" s="112"/>
      <c r="AJ45" s="112"/>
      <c r="AK45" s="112"/>
    </row>
    <row r="46" spans="2:37" x14ac:dyDescent="0.25">
      <c r="C46" s="122"/>
      <c r="E46" s="8"/>
      <c r="G46" s="4"/>
      <c r="H46" s="4"/>
      <c r="N46" s="112"/>
      <c r="O46" s="113"/>
      <c r="P46" s="113"/>
      <c r="Q46" s="334"/>
      <c r="R46" s="112"/>
      <c r="S46" s="112"/>
      <c r="T46" s="112"/>
      <c r="U46" s="112"/>
      <c r="V46" s="112"/>
      <c r="X46" s="112"/>
      <c r="Y46" s="112"/>
      <c r="Z46" s="112"/>
      <c r="AA46" s="112"/>
      <c r="AB46" s="112"/>
      <c r="AC46" s="112"/>
      <c r="AD46" s="112"/>
      <c r="AE46" s="112"/>
      <c r="AF46" s="112"/>
      <c r="AG46" s="112"/>
      <c r="AH46" s="112"/>
      <c r="AI46" s="112"/>
      <c r="AJ46" s="112"/>
      <c r="AK46" s="112"/>
    </row>
    <row r="47" spans="2:37" x14ac:dyDescent="0.25">
      <c r="C47" s="122"/>
      <c r="E47" s="8"/>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row>
    <row r="48" spans="2:37" x14ac:dyDescent="0.25">
      <c r="C48" s="122"/>
      <c r="F48" s="8"/>
      <c r="N48" s="112"/>
      <c r="O48" s="112"/>
      <c r="P48" s="112"/>
      <c r="Q48" s="112"/>
      <c r="S48" s="112"/>
      <c r="T48" s="112"/>
      <c r="U48" s="112"/>
      <c r="V48" s="112"/>
      <c r="W48" s="112"/>
      <c r="X48" s="112"/>
      <c r="Y48" s="112"/>
      <c r="Z48" s="112"/>
      <c r="AA48" s="112"/>
      <c r="AB48" s="112"/>
      <c r="AC48" s="112"/>
      <c r="AD48" s="112"/>
      <c r="AE48" s="112"/>
      <c r="AF48" s="112"/>
      <c r="AG48" s="112"/>
      <c r="AH48" s="112"/>
      <c r="AI48" s="112"/>
      <c r="AJ48" s="112"/>
      <c r="AK48" s="112"/>
    </row>
    <row r="49" spans="3:37" x14ac:dyDescent="0.25">
      <c r="C49" s="122"/>
      <c r="F49" s="8"/>
      <c r="N49" s="112"/>
      <c r="O49" s="112"/>
      <c r="P49" s="112"/>
      <c r="Q49" s="112"/>
      <c r="S49" s="149"/>
      <c r="T49" s="112"/>
      <c r="U49" s="149"/>
      <c r="V49" s="112"/>
      <c r="W49" s="112"/>
      <c r="X49" s="112"/>
      <c r="Y49" s="112"/>
      <c r="Z49" s="112"/>
      <c r="AA49" s="112"/>
      <c r="AB49" s="112"/>
      <c r="AC49" s="112"/>
      <c r="AD49" s="112"/>
      <c r="AE49" s="112"/>
      <c r="AF49" s="112"/>
      <c r="AG49" s="112"/>
      <c r="AH49" s="112"/>
      <c r="AI49" s="112"/>
      <c r="AJ49" s="112"/>
      <c r="AK49" s="112"/>
    </row>
    <row r="50" spans="3:37" x14ac:dyDescent="0.25">
      <c r="C50" s="122"/>
      <c r="F50" s="8"/>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row>
    <row r="51" spans="3:37" x14ac:dyDescent="0.25">
      <c r="E51" s="1"/>
      <c r="F51" s="8"/>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row>
    <row r="52" spans="3:37" x14ac:dyDescent="0.25">
      <c r="F52" s="8"/>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row>
    <row r="53" spans="3:37" x14ac:dyDescent="0.25">
      <c r="F53" s="8"/>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row>
    <row r="54" spans="3:37" x14ac:dyDescent="0.25">
      <c r="F54" s="8"/>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row>
    <row r="55" spans="3:37" x14ac:dyDescent="0.25">
      <c r="F55" s="8"/>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row>
    <row r="56" spans="3:37" x14ac:dyDescent="0.25">
      <c r="F56" s="8"/>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row>
    <row r="57" spans="3:37" ht="15.75" thickBot="1" x14ac:dyDescent="0.3">
      <c r="F57" s="8"/>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row>
    <row r="58" spans="3:37" x14ac:dyDescent="0.25">
      <c r="F58" s="8"/>
      <c r="K58" s="28"/>
      <c r="L58" s="29"/>
      <c r="M58" s="29"/>
      <c r="N58" s="151"/>
      <c r="O58" s="151"/>
      <c r="P58" s="151"/>
      <c r="Q58" s="151"/>
      <c r="R58" s="151"/>
      <c r="S58" s="151"/>
      <c r="T58" s="151"/>
      <c r="U58" s="151"/>
      <c r="V58" s="151"/>
      <c r="W58" s="152"/>
      <c r="X58" s="112"/>
      <c r="Y58" s="112"/>
      <c r="Z58" s="112"/>
      <c r="AA58" s="112"/>
      <c r="AB58" s="112"/>
      <c r="AC58" s="112"/>
      <c r="AD58" s="112"/>
      <c r="AE58" s="112"/>
      <c r="AF58" s="112"/>
      <c r="AG58" s="112"/>
      <c r="AH58" s="112"/>
      <c r="AI58" s="112"/>
      <c r="AJ58" s="112"/>
      <c r="AK58" s="112"/>
    </row>
    <row r="59" spans="3:37" x14ac:dyDescent="0.25">
      <c r="F59" s="8"/>
      <c r="K59" s="153"/>
      <c r="L59" s="57"/>
      <c r="M59" s="57"/>
      <c r="N59" s="133"/>
      <c r="O59" s="133"/>
      <c r="P59" s="133"/>
      <c r="Q59" s="133"/>
      <c r="R59" s="133"/>
      <c r="S59" s="133"/>
      <c r="T59" s="133"/>
      <c r="U59" s="133"/>
      <c r="V59" s="133"/>
      <c r="W59" s="120"/>
      <c r="X59" s="112"/>
      <c r="Y59" s="112"/>
      <c r="Z59" s="112"/>
      <c r="AA59" s="112"/>
      <c r="AB59" s="112"/>
      <c r="AC59" s="112"/>
      <c r="AD59" s="112"/>
      <c r="AE59" s="112"/>
      <c r="AF59" s="112"/>
      <c r="AG59" s="112"/>
      <c r="AH59" s="112"/>
      <c r="AI59" s="112"/>
      <c r="AJ59" s="112"/>
      <c r="AK59" s="112"/>
    </row>
    <row r="60" spans="3:37" ht="30.75" customHeight="1" x14ac:dyDescent="0.25">
      <c r="F60" s="8"/>
      <c r="K60" s="35"/>
      <c r="L60" s="341"/>
      <c r="M60" s="341"/>
      <c r="N60" s="341"/>
      <c r="O60" s="406"/>
      <c r="P60" s="406"/>
      <c r="Q60" s="406"/>
      <c r="R60" s="406"/>
      <c r="S60" s="406"/>
      <c r="T60" s="134"/>
      <c r="U60" s="134"/>
      <c r="V60" s="133"/>
      <c r="W60" s="120"/>
      <c r="X60" s="112"/>
      <c r="Y60" s="112"/>
      <c r="Z60" s="112"/>
      <c r="AA60" s="112"/>
      <c r="AB60" s="112"/>
      <c r="AC60" s="112"/>
      <c r="AD60" s="112"/>
      <c r="AE60" s="112"/>
      <c r="AF60" s="112"/>
      <c r="AG60" s="112"/>
      <c r="AH60" s="112"/>
      <c r="AI60" s="112"/>
      <c r="AJ60" s="112"/>
      <c r="AK60" s="112"/>
    </row>
    <row r="61" spans="3:37" x14ac:dyDescent="0.25">
      <c r="K61" s="35"/>
      <c r="L61" s="57"/>
      <c r="M61" s="57"/>
      <c r="N61" s="57"/>
      <c r="O61" s="57"/>
      <c r="P61" s="57"/>
      <c r="Q61" s="57"/>
      <c r="R61" s="57"/>
      <c r="S61" s="57"/>
      <c r="T61" s="57"/>
      <c r="U61" s="57"/>
      <c r="V61" s="57"/>
      <c r="W61" s="67"/>
    </row>
    <row r="62" spans="3:37" x14ac:dyDescent="0.25">
      <c r="K62" s="35"/>
      <c r="L62" s="57"/>
      <c r="M62" s="57"/>
      <c r="N62" s="57"/>
      <c r="O62" s="57"/>
      <c r="P62" s="57"/>
      <c r="Q62" s="57"/>
      <c r="R62" s="57"/>
      <c r="S62" s="57"/>
      <c r="T62" s="57"/>
      <c r="U62" s="57"/>
      <c r="V62" s="154"/>
      <c r="W62" s="155"/>
    </row>
    <row r="63" spans="3:37" x14ac:dyDescent="0.25">
      <c r="K63" s="35"/>
      <c r="L63" s="57"/>
      <c r="M63" s="57"/>
      <c r="N63" s="57"/>
      <c r="O63" s="57"/>
      <c r="P63" s="57"/>
      <c r="Q63" s="57"/>
      <c r="R63" s="57"/>
      <c r="S63" s="57"/>
      <c r="T63" s="57"/>
      <c r="U63" s="57"/>
      <c r="V63" s="154"/>
      <c r="W63" s="155"/>
    </row>
    <row r="64" spans="3:37" x14ac:dyDescent="0.25">
      <c r="K64" s="35"/>
      <c r="L64" s="57"/>
      <c r="M64" s="57"/>
      <c r="N64" s="57"/>
      <c r="O64" s="57"/>
      <c r="P64" s="57"/>
      <c r="Q64" s="57"/>
      <c r="R64" s="57"/>
      <c r="S64" s="57"/>
      <c r="T64" s="57"/>
      <c r="U64" s="57"/>
      <c r="V64" s="154"/>
      <c r="W64" s="155"/>
    </row>
    <row r="65" spans="10:23" x14ac:dyDescent="0.25">
      <c r="K65" s="35"/>
      <c r="L65" s="57"/>
      <c r="M65" s="57"/>
      <c r="N65" s="57"/>
      <c r="O65" s="57"/>
      <c r="P65" s="57"/>
      <c r="Q65" s="57"/>
      <c r="R65" s="57"/>
      <c r="S65" s="57"/>
      <c r="T65" s="57"/>
      <c r="U65" s="57"/>
      <c r="V65" s="154"/>
      <c r="W65" s="155"/>
    </row>
    <row r="66" spans="10:23" ht="15.75" thickBot="1" x14ac:dyDescent="0.3">
      <c r="K66" s="46"/>
      <c r="L66" s="47"/>
      <c r="M66" s="47"/>
      <c r="N66" s="47"/>
      <c r="O66" s="47"/>
      <c r="P66" s="47"/>
      <c r="Q66" s="47"/>
      <c r="R66" s="47"/>
      <c r="S66" s="47"/>
      <c r="T66" s="156"/>
      <c r="U66" s="156"/>
      <c r="V66" s="157"/>
      <c r="W66" s="158"/>
    </row>
    <row r="67" spans="10:23" x14ac:dyDescent="0.25">
      <c r="W67" s="294"/>
    </row>
    <row r="71" spans="10:23" x14ac:dyDescent="0.25">
      <c r="J71" s="57"/>
      <c r="K71" s="57"/>
    </row>
    <row r="72" spans="10:23" x14ac:dyDescent="0.25">
      <c r="J72" s="57"/>
      <c r="K72" s="57"/>
      <c r="M72" s="293"/>
    </row>
    <row r="73" spans="10:23" x14ac:dyDescent="0.25">
      <c r="J73" s="57"/>
      <c r="K73" s="57"/>
      <c r="M73" s="293"/>
    </row>
    <row r="74" spans="10:23" x14ac:dyDescent="0.25">
      <c r="J74" s="57"/>
      <c r="K74" s="57"/>
      <c r="M74" s="293"/>
    </row>
    <row r="75" spans="10:23" x14ac:dyDescent="0.25">
      <c r="J75" s="57"/>
      <c r="K75" s="57"/>
      <c r="M75" s="293"/>
    </row>
  </sheetData>
  <sheetProtection algorithmName="SHA-512" hashValue="dv9d08Nbk7ebAfmdJdNZu/8XXHj8Ty5z9rQDj8/HhSWs+OztviRy+HE6oEZwS/J45in9BO+a9HnpDuo6hJt7BQ==" saltValue="XpNVD7thk93aHdTqcE2URA==" spinCount="100000" sheet="1" objects="1" scenarios="1"/>
  <mergeCells count="5">
    <mergeCell ref="P5:S5"/>
    <mergeCell ref="W5:Y5"/>
    <mergeCell ref="P6:S6"/>
    <mergeCell ref="W6:Y6"/>
    <mergeCell ref="G7:H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7" workbookViewId="0">
      <selection activeCell="G8" sqref="G8"/>
    </sheetView>
  </sheetViews>
  <sheetFormatPr defaultRowHeight="15" x14ac:dyDescent="0.25"/>
  <cols>
    <col min="2" max="2" width="16.140625" customWidth="1"/>
    <col min="3" max="3" width="17.140625" customWidth="1"/>
    <col min="4" max="4" width="15.28515625" customWidth="1"/>
    <col min="5" max="5" width="11.85546875" customWidth="1"/>
    <col min="6" max="6" width="15.42578125" customWidth="1"/>
    <col min="7" max="7" width="15.140625" customWidth="1"/>
    <col min="8" max="8" width="13.7109375" customWidth="1"/>
    <col min="9" max="9" width="16.42578125" customWidth="1"/>
    <col min="10" max="10" width="13.7109375" customWidth="1"/>
    <col min="11" max="11" width="15.140625" customWidth="1"/>
    <col min="12" max="12" width="30.140625" customWidth="1"/>
    <col min="13" max="13" width="15" customWidth="1"/>
    <col min="14" max="14" width="13.7109375" customWidth="1"/>
    <col min="15" max="15" width="16.5703125" customWidth="1"/>
    <col min="16" max="16" width="13.7109375" customWidth="1"/>
    <col min="17" max="17" width="16.5703125" customWidth="1"/>
    <col min="18" max="18" width="13.140625" customWidth="1"/>
    <col min="19" max="19" width="18.42578125" customWidth="1"/>
  </cols>
  <sheetData>
    <row r="1" spans="2:12" x14ac:dyDescent="0.25">
      <c r="G1" s="185">
        <f>G2/F2</f>
        <v>971.92998984375015</v>
      </c>
    </row>
    <row r="2" spans="2:12" x14ac:dyDescent="0.25">
      <c r="B2" t="s">
        <v>357</v>
      </c>
      <c r="E2" s="6">
        <f>E7*E8*E10/1000000</f>
        <v>66198050.678752966</v>
      </c>
      <c r="F2" s="6">
        <f>F7*F8*F10/1000000</f>
        <v>64360.000000000015</v>
      </c>
      <c r="G2" s="6">
        <f>G7*G8*G10/1000000</f>
        <v>62553414.146343775</v>
      </c>
    </row>
    <row r="3" spans="2:12" x14ac:dyDescent="0.25">
      <c r="B3" t="s">
        <v>358</v>
      </c>
      <c r="G3" s="6">
        <f>G18/F18</f>
        <v>498234418.99703139</v>
      </c>
    </row>
    <row r="4" spans="2:12" x14ac:dyDescent="0.25">
      <c r="G4" s="185">
        <f>G18/E18</f>
        <v>666.1297606497609</v>
      </c>
    </row>
    <row r="5" spans="2:12" ht="15.75" thickBot="1" x14ac:dyDescent="0.3">
      <c r="B5" s="24" t="s">
        <v>333</v>
      </c>
      <c r="C5" s="57"/>
      <c r="D5" s="57"/>
      <c r="E5" s="57"/>
      <c r="F5" s="57"/>
      <c r="G5" s="57"/>
    </row>
    <row r="6" spans="2:12" ht="30" x14ac:dyDescent="0.25">
      <c r="B6" s="28" t="s">
        <v>0</v>
      </c>
      <c r="C6" s="29"/>
      <c r="D6" s="270" t="s">
        <v>41</v>
      </c>
      <c r="E6" s="270" t="s">
        <v>2</v>
      </c>
      <c r="F6" s="270" t="s">
        <v>3</v>
      </c>
      <c r="G6" s="270" t="s">
        <v>9</v>
      </c>
      <c r="H6" s="271" t="s">
        <v>188</v>
      </c>
      <c r="I6" s="308" t="s">
        <v>361</v>
      </c>
      <c r="J6" s="60"/>
    </row>
    <row r="7" spans="2:12" ht="45" x14ac:dyDescent="0.25">
      <c r="B7" s="72" t="s">
        <v>6</v>
      </c>
      <c r="C7" s="266" t="s">
        <v>5</v>
      </c>
      <c r="D7" s="127">
        <f>VLOOKUP(D$6,'Main table (road wear)'!$A$10:$AB$31,MATCH($B7,'Main table (road wear)'!$A$7:$AB$7,0),0)</f>
        <v>14154</v>
      </c>
      <c r="E7" s="127">
        <f>VLOOKUP(E$6,'Main table (road wear)'!$A$10:$AB$31,MATCH($B7,'Main table (road wear)'!$A$7:$AB$7,0),0)</f>
        <v>2524000</v>
      </c>
      <c r="F7" s="127">
        <f>VLOOKUP(F$6,'Main table (road wear)'!$A$10:$AB$31,MATCH($B7,'Main table (road wear)'!$A$7:$AB$7,0),0)</f>
        <v>71666</v>
      </c>
      <c r="G7" s="127">
        <f>VLOOKUP(G$6,'Main table (road wear)'!$A$10:$AB$31,MATCH($B7,'Main table (road wear)'!$A$7:$AB$7,0),0)</f>
        <v>36837</v>
      </c>
      <c r="H7" s="128">
        <f>VLOOKUP(H$6,'Main table (road wear)'!$A$10:$AB$31,MATCH($B7,'Main table (road wear)'!$A$7:$AB$7,0),0)</f>
        <v>308000</v>
      </c>
      <c r="I7" s="164"/>
      <c r="J7" s="127"/>
      <c r="L7" s="17"/>
    </row>
    <row r="8" spans="2:12" ht="45" x14ac:dyDescent="0.25">
      <c r="B8" s="72" t="s">
        <v>32</v>
      </c>
      <c r="C8" s="266" t="s">
        <v>31</v>
      </c>
      <c r="D8" s="127">
        <f>VLOOKUP(D$6,'Main table (road wear)'!$A$10:$AB$31,MATCH($B8,'Main table (road wear)'!$A$7:$AB$7,0),0)</f>
        <v>45471.244877773075</v>
      </c>
      <c r="E8" s="127">
        <f>VLOOKUP(E$6,'Main table (road wear)'!$A$10:$AB$31,MATCH($B8,'Main table (road wear)'!$A$7:$AB$7,0),0)</f>
        <v>14570.798265265224</v>
      </c>
      <c r="F8" s="127">
        <f>VLOOKUP(F$6,'Main table (road wear)'!$A$10:$AB$31,MATCH($B8,'Main table (road wear)'!$A$7:$AB$7,0),0)</f>
        <v>4490.274328133286</v>
      </c>
      <c r="G8" s="127">
        <f>VLOOKUP(G$6,'Main table (road wear)'!$A$10:$AB$31,MATCH($B8,'Main table (road wear)'!$A$7:$AB$7,0),0)</f>
        <v>70170.168580503305</v>
      </c>
      <c r="H8" s="128">
        <f>VLOOKUP(H$6,'Main table (road wear)'!$A$10:$AB$31,MATCH($B8,'Main table (road wear)'!$A$7:$AB$7,0),0)</f>
        <v>26261.950199298994</v>
      </c>
      <c r="I8" s="60"/>
      <c r="J8" s="60"/>
      <c r="L8" s="17"/>
    </row>
    <row r="9" spans="2:12" ht="15.75" thickBot="1" x14ac:dyDescent="0.3">
      <c r="B9" s="165" t="s">
        <v>12</v>
      </c>
      <c r="C9" s="96" t="s">
        <v>5</v>
      </c>
      <c r="D9" s="47">
        <f>VLOOKUP(D$6,'[2]Revised Final table'!$A$10:$AB$31,MATCH($B9,'[2]Revised Final table'!$A$7:$AB$7,0),0)</f>
        <v>2</v>
      </c>
      <c r="E9" s="47">
        <f>VLOOKUP(E$6,'[2]Revised Final table'!$A$10:$AB$31,MATCH($B9,'[2]Revised Final table'!$A$7:$AB$7,0),0)</f>
        <v>2</v>
      </c>
      <c r="F9" s="47">
        <f>VLOOKUP(F$6,'[2]Revised Final table'!$A$10:$AB$31,MATCH($B9,'[2]Revised Final table'!$A$7:$AB$7,0),0)</f>
        <v>2</v>
      </c>
      <c r="G9" s="156" t="str">
        <f>VLOOKUP(G$6,'[2]Revised Final table'!$A$10:$AB$31,MATCH($B9,'[2]Revised Final table'!$A$7:$AB$7,0),0)</f>
        <v>2 to 6</v>
      </c>
      <c r="H9" s="74">
        <f>VLOOKUP(H$6,'[2]Revised Final table'!$A$10:$AB$31,MATCH($B9,'[2]Revised Final table'!$A$7:$AB$7,0),0)</f>
        <v>2</v>
      </c>
      <c r="I9" s="57"/>
      <c r="J9" s="57"/>
      <c r="L9" s="17"/>
    </row>
    <row r="10" spans="2:12" ht="30" x14ac:dyDescent="0.25">
      <c r="B10" s="116" t="s">
        <v>343</v>
      </c>
      <c r="C10" s="272" t="s">
        <v>4</v>
      </c>
      <c r="D10" s="127">
        <f>VLOOKUP(D$6,'Main table (road wear)'!$A$10:$AJ$31,MATCH($B10,'Main table (road wear)'!$A$7:$AJ$7,0),0)</f>
        <v>17000</v>
      </c>
      <c r="E10" s="261">
        <f>VLOOKUP(E$6,'Main table (road wear)'!$A$10:$AJ$31,MATCH($B10,'Main table (road wear)'!$A$7:$AJ$7,0),0)</f>
        <v>1800</v>
      </c>
      <c r="F10" s="261">
        <f>VLOOKUP(F$6,'Main table (road wear)'!$A$10:$AJ$31,MATCH($B10,'Main table (road wear)'!$A$7:$AJ$7,0),0)</f>
        <v>200</v>
      </c>
      <c r="G10" s="261">
        <f>VLOOKUP(G$6,'Main table (road wear)'!$A$10:$AJ$31,MATCH($B10,'Main table (road wear)'!$A$7:$AJ$7,0),0)</f>
        <v>24199.937500000004</v>
      </c>
      <c r="H10" s="273">
        <f>VLOOKUP(H$6,'Main table (road wear)'!$A$10:$AJ$31,MATCH($B10,'Main table (road wear)'!$A$7:$AJ$7,0),0)</f>
        <v>3000.0000000000005</v>
      </c>
      <c r="I10" s="57"/>
      <c r="J10" s="57"/>
      <c r="L10" s="17"/>
    </row>
    <row r="11" spans="2:12" ht="30" x14ac:dyDescent="0.25">
      <c r="B11" s="72" t="s">
        <v>344</v>
      </c>
      <c r="C11" s="175" t="s">
        <v>4</v>
      </c>
      <c r="D11" s="301">
        <f>VLOOKUP(D$6,'Main table (road wear)'!$A$10:$AJ$31,MATCH($B11,'Main table (road wear)'!$A$7:$AJ$7,0),0)</f>
        <v>18694.969999999998</v>
      </c>
      <c r="E11" s="127">
        <f>VLOOKUP(E$6,'Main table (road wear)'!$A$10:$AJ$31,MATCH($B11,'Main table (road wear)'!$A$7:$AJ$7,0),0)</f>
        <v>2364.09</v>
      </c>
      <c r="F11" s="127">
        <f>VLOOKUP(F$6,'Main table (road wear)'!$A$10:$AJ$31,MATCH($B11,'Main table (road wear)'!$A$7:$AJ$7,0),0)</f>
        <v>645.04999999999995</v>
      </c>
      <c r="G11" s="127">
        <f>VLOOKUP(G$6,'Main table (road wear)'!$A$10:$AJ$31,MATCH($B11,'Main table (road wear)'!$A$7:$AJ$7,0),0)</f>
        <v>25765.403666000002</v>
      </c>
      <c r="H11" s="128">
        <f>VLOOKUP(H$6,'Main table (road wear)'!$A$10:$AJ$31,MATCH($B11,'Main table (road wear)'!$A$7:$AJ$7,0),0)</f>
        <v>3500.0000000000005</v>
      </c>
      <c r="I11" s="57"/>
      <c r="J11" s="57"/>
      <c r="L11" s="17"/>
    </row>
    <row r="12" spans="2:12" ht="30" x14ac:dyDescent="0.25">
      <c r="B12" s="72" t="s">
        <v>345</v>
      </c>
      <c r="C12" s="175" t="s">
        <v>4</v>
      </c>
      <c r="D12" s="127">
        <f>VLOOKUP(D$6,'Main table (road wear)'!$A$10:$AJ$31,MATCH($B12,'Main table (road wear)'!$A$7:$AJ$7,0),0)</f>
        <v>17238</v>
      </c>
      <c r="E12" s="127">
        <f>VLOOKUP(E$6,'Main table (road wear)'!$A$10:$AJ$31,MATCH($B12,'Main table (road wear)'!$A$7:$AJ$7,0),0)</f>
        <v>1825.1999999999998</v>
      </c>
      <c r="F12" s="127">
        <f>VLOOKUP(F$6,'Main table (road wear)'!$A$10:$AJ$31,MATCH($B12,'Main table (road wear)'!$A$7:$AJ$7,0),0)</f>
        <v>202.8</v>
      </c>
      <c r="G12" s="127">
        <f>VLOOKUP(G$6,'Main table (road wear)'!$A$10:$AJ$31,MATCH($B12,'Main table (road wear)'!$A$7:$AJ$7,0),0)</f>
        <v>24538.736625000001</v>
      </c>
      <c r="H12" s="128">
        <f>VLOOKUP(H$6,'Main table (road wear)'!$A$10:$AJ$31,MATCH($B12,'Main table (road wear)'!$A$7:$AJ$7,0),0)</f>
        <v>3042.0000000000005</v>
      </c>
      <c r="I12" s="57"/>
      <c r="J12" s="57"/>
      <c r="L12" s="17"/>
    </row>
    <row r="13" spans="2:12" ht="45.75" thickBot="1" x14ac:dyDescent="0.3">
      <c r="B13" s="165" t="s">
        <v>346</v>
      </c>
      <c r="C13" s="274" t="s">
        <v>4</v>
      </c>
      <c r="D13" s="163">
        <f>VLOOKUP(D$6,'Main table (road wear)'!$A$10:$AJ$31,MATCH($B13,'Main table (road wear)'!$A$7:$AJ$7,0),0)</f>
        <v>17238</v>
      </c>
      <c r="E13" s="163">
        <f>VLOOKUP(E$6,'Main table (road wear)'!$A$10:$AJ$31,MATCH($B13,'Main table (road wear)'!$A$7:$AJ$7,0),0)</f>
        <v>2155.7841265060242</v>
      </c>
      <c r="F13" s="163">
        <f>VLOOKUP(F$6,'Main table (road wear)'!$A$10:$AJ$31,MATCH($B13,'Main table (road wear)'!$A$7:$AJ$7,0),0)</f>
        <v>645.04999999999995</v>
      </c>
      <c r="G13" s="163">
        <f>VLOOKUP(G$6,'Main table (road wear)'!$A$10:$AJ$31,MATCH($B13,'Main table (road wear)'!$A$7:$AJ$7,0),0)</f>
        <v>24538.736625000001</v>
      </c>
      <c r="H13" s="275">
        <f>VLOOKUP(H$6,'Main table (road wear)'!$A$10:$AJ$31,MATCH($B13,'Main table (road wear)'!$A$7:$AJ$7,0),0)</f>
        <v>3056.7148594377513</v>
      </c>
      <c r="I13" s="57"/>
      <c r="J13" s="57"/>
      <c r="L13" s="17"/>
    </row>
    <row r="14" spans="2:12" ht="30" x14ac:dyDescent="0.25">
      <c r="B14" s="116" t="s">
        <v>369</v>
      </c>
      <c r="C14" s="272" t="s">
        <v>5</v>
      </c>
      <c r="D14" s="276">
        <f>VLOOKUP(D$6,'Main table (road wear)'!$A$10:$AJ$31,MATCH($B14,'Main table (road wear)'!$A$7:$AJ$7,0),0)</f>
        <v>2.3605966152461009</v>
      </c>
      <c r="E14" s="276">
        <f>VLOOKUP(E$6,'Main table (road wear)'!$A$10:$AJ$31,MATCH($B14,'Main table (road wear)'!$A$7:$AJ$7,0),0)</f>
        <v>2.96699022140629E-4</v>
      </c>
      <c r="F14" s="277">
        <f>VLOOKUP(F$6,'Main table (road wear)'!$A$10:$AJ$31,MATCH($B14,'Main table (road wear)'!$A$7:$AJ$7,0),0)</f>
        <v>4.5221615933642555E-8</v>
      </c>
      <c r="G14" s="276">
        <f>VLOOKUP(G$6,'Main table (road wear)'!$A$10:$AJ$31,MATCH($B14,'Main table (road wear)'!$A$7:$AJ$7,0),0)</f>
        <v>2.3823432841824554</v>
      </c>
      <c r="H14" s="278">
        <f>VLOOKUP(H$6,'Main table (road wear)'!$A$10:$AJ$31,MATCH($B14,'Main table (road wear)'!$A$7:$AJ$7,0),0)</f>
        <v>2.2893443066406556E-3</v>
      </c>
      <c r="I14" s="57"/>
      <c r="J14" s="57"/>
      <c r="L14" s="17"/>
    </row>
    <row r="15" spans="2:12" ht="30" x14ac:dyDescent="0.25">
      <c r="B15" s="72" t="s">
        <v>370</v>
      </c>
      <c r="C15" s="175" t="s">
        <v>5</v>
      </c>
      <c r="D15" s="172">
        <f>VLOOKUP(D$6,'Main table (road wear)'!$A$10:$AJ$31,MATCH($B15,'Main table (road wear)'!$A$7:$AJ$7,0),0)</f>
        <v>3.4524324093946941</v>
      </c>
      <c r="E15" s="172">
        <f>VLOOKUP(E$6,'Main table (road wear)'!$A$10:$AJ$31,MATCH($B15,'Main table (road wear)'!$A$7:$AJ$7,0),0)</f>
        <v>8.8284023634199738E-4</v>
      </c>
      <c r="F15" s="174">
        <f>VLOOKUP(F$6,'Main table (road wear)'!$A$10:$AJ$31,MATCH($B15,'Main table (road wear)'!$A$7:$AJ$7,0),0)</f>
        <v>4.8932748785868625E-6</v>
      </c>
      <c r="G15" s="172">
        <f>VLOOKUP(G$6,'Main table (road wear)'!$A$10:$AJ$31,MATCH($B15,'Main table (road wear)'!$A$7:$AJ$7,0),0)</f>
        <v>3.0372059056468954</v>
      </c>
      <c r="H15" s="173">
        <f>VLOOKUP(H$6,'Main table (road wear)'!$A$10:$AJ$31,MATCH($B15,'Main table (road wear)'!$A$7:$AJ$7,0),0)</f>
        <v>4.2412929631514013E-3</v>
      </c>
      <c r="I15" s="57"/>
      <c r="J15" s="57"/>
      <c r="L15" s="17"/>
    </row>
    <row r="16" spans="2:12" ht="30" x14ac:dyDescent="0.25">
      <c r="B16" s="72" t="s">
        <v>371</v>
      </c>
      <c r="C16" s="175" t="s">
        <v>5</v>
      </c>
      <c r="D16" s="172">
        <f>VLOOKUP(D$6,'Main table (road wear)'!$A$10:$AJ$31,MATCH($B16,'Main table (road wear)'!$A$7:$AJ$7,0),0)</f>
        <v>2.4955920879125411</v>
      </c>
      <c r="E16" s="172">
        <f>VLOOKUP(E$6,'Main table (road wear)'!$A$10:$AJ$31,MATCH($B16,'Main table (road wear)'!$A$7:$AJ$7,0),0)</f>
        <v>3.1366635339699818E-4</v>
      </c>
      <c r="F16" s="174">
        <f>VLOOKUP(F$6,'Main table (road wear)'!$A$10:$AJ$31,MATCH($B16,'Main table (road wear)'!$A$7:$AJ$7,0),0)</f>
        <v>4.780770513595464E-8</v>
      </c>
      <c r="G16" s="172">
        <f>VLOOKUP(G$6,'Main table (road wear)'!$A$10:$AJ$31,MATCH($B16,'Main table (road wear)'!$A$7:$AJ$7,0),0)</f>
        <v>2.5185823839188588</v>
      </c>
      <c r="H16" s="173">
        <f>VLOOKUP(H$6,'Main table (road wear)'!$A$10:$AJ$31,MATCH($B16,'Main table (road wear)'!$A$7:$AJ$7,0),0)</f>
        <v>2.420265072507703E-3</v>
      </c>
      <c r="I16" s="57"/>
      <c r="J16" s="57"/>
      <c r="L16" s="17"/>
    </row>
    <row r="17" spans="1:17" ht="45.75" thickBot="1" x14ac:dyDescent="0.3">
      <c r="B17" s="165" t="s">
        <v>372</v>
      </c>
      <c r="C17" s="274" t="s">
        <v>5</v>
      </c>
      <c r="D17" s="279">
        <f>VLOOKUP(D$6,'Main table (road wear)'!$A$10:$AK$31,MATCH($B17,'Main table (road wear)'!$A$7:$AK$7,0),0)</f>
        <v>2.4955920879125411</v>
      </c>
      <c r="E17" s="279">
        <f>VLOOKUP(E$6,'Main table (road wear)'!$A$10:$AK$31,MATCH($B17,'Main table (road wear)'!$A$7:$AK$7,0),0)</f>
        <v>6.6282824343655094E-4</v>
      </c>
      <c r="F17" s="280">
        <f>VLOOKUP(F$6,'Main table (road wear)'!$A$10:$AK$31,MATCH($B17,'Main table (road wear)'!$A$7:$AK$7,0),0)</f>
        <v>4.8932748785868625E-6</v>
      </c>
      <c r="G17" s="279">
        <f>VLOOKUP(G$6,'Main table (road wear)'!$A$10:$AK$31,MATCH($B17,'Main table (road wear)'!$A$7:$AK$7,0),0)</f>
        <v>2.5185823839188588</v>
      </c>
      <c r="H17" s="281">
        <f>VLOOKUP(H$6,'Main table (road wear)'!$A$10:$AK$31,MATCH($B17,'Main table (road wear)'!$A$7:$AK$7,0),0)</f>
        <v>2.4787719926890263E-3</v>
      </c>
      <c r="I17" s="635" t="s">
        <v>359</v>
      </c>
      <c r="J17" s="631"/>
      <c r="L17" s="17"/>
    </row>
    <row r="18" spans="1:17" ht="30" x14ac:dyDescent="0.25">
      <c r="A18" t="s">
        <v>171</v>
      </c>
      <c r="B18" s="116" t="s">
        <v>194</v>
      </c>
      <c r="C18" s="267" t="s">
        <v>356</v>
      </c>
      <c r="D18" s="261">
        <f>VLOOKUP(D$6,'Main table (road wear)'!$A$10:$AJ$31,MATCH($B18,'Main table (road wear)'!$A$7:$AJ$7,0),0)/1000000</f>
        <v>1519.2799815723909</v>
      </c>
      <c r="E18" s="261">
        <f>VLOOKUP(E$6,'Main table (road wear)'!$A$10:$AJ$31,MATCH($B18,'Main table (road wear)'!$A$7:$AJ$7,0),0)/1000000</f>
        <v>10.884462967033402</v>
      </c>
      <c r="F18" s="305">
        <f>VLOOKUP(F$6,'Main table (road wear)'!$A$10:$AJ$31,MATCH($B18,'Main table (road wear)'!$A$7:$AJ$7,0),0)/1000000</f>
        <v>1.4552316007446179E-5</v>
      </c>
      <c r="G18" s="261">
        <f>VLOOKUP(G$6,'Main table (road wear)'!$A$10:$AJ$31,MATCH($B18,'Main table (road wear)'!$A$7:$AJ$7,0),0)/1000000</f>
        <v>7250.4647110311462</v>
      </c>
      <c r="H18" s="273">
        <f>VLOOKUP(H$6,'Main table (road wear)'!$A$10:$AJ$31,MATCH($B18,'Main table (road wear)'!$A$7:$AJ$7,0),0)/1000000</f>
        <v>18.417774946924077</v>
      </c>
      <c r="I18" s="268">
        <f>SUM(D18:H18)</f>
        <v>8799.046945069811</v>
      </c>
      <c r="J18" s="57"/>
      <c r="L18" s="17"/>
    </row>
    <row r="19" spans="1:17" ht="45" x14ac:dyDescent="0.25">
      <c r="A19" t="s">
        <v>172</v>
      </c>
      <c r="B19" s="72" t="s">
        <v>195</v>
      </c>
      <c r="C19" s="175" t="s">
        <v>356</v>
      </c>
      <c r="D19" s="127">
        <f>VLOOKUP(D$6,'Main table (road wear)'!$A$10:$AJ$31,MATCH($B19,'Main table (road wear)'!$A$7:$AJ$7,0),0)/1000000</f>
        <v>2221.9854986864257</v>
      </c>
      <c r="E19" s="127">
        <f>VLOOKUP(E$6,'Main table (road wear)'!$A$10:$AJ$31,MATCH($B19,'Main table (road wear)'!$A$7:$AJ$7,0),0)/1000000</f>
        <v>32.387170638253444</v>
      </c>
      <c r="F19" s="306">
        <f>VLOOKUP(F$6,'Main table (road wear)'!$A$10:$AJ$31,MATCH($B19,'Main table (road wear)'!$A$7:$AJ$7,0),0)/1000000</f>
        <v>1.5746558559292527E-3</v>
      </c>
      <c r="G19" s="127">
        <f>VLOOKUP(G$6,'Main table (road wear)'!$A$10:$AJ$31,MATCH($B19,'Main table (road wear)'!$A$7:$AJ$7,0),0)/1000000</f>
        <v>9237.7110676071079</v>
      </c>
      <c r="H19" s="128">
        <f>VLOOKUP(H$6,'Main table (road wear)'!$A$10:$AJ$31,MATCH($B19,'Main table (road wear)'!$A$7:$AJ$7,0),0)/1000000</f>
        <v>35.616392955309422</v>
      </c>
      <c r="I19" s="268">
        <f>SUM(D19:H19)</f>
        <v>11527.701704542953</v>
      </c>
      <c r="J19" s="269">
        <f>I19/I18-1</f>
        <v>0.31010798970700271</v>
      </c>
      <c r="L19" s="17"/>
    </row>
    <row r="20" spans="1:17" ht="45" x14ac:dyDescent="0.25">
      <c r="A20" t="s">
        <v>173</v>
      </c>
      <c r="B20" s="72" t="s">
        <v>197</v>
      </c>
      <c r="C20" s="175" t="s">
        <v>356</v>
      </c>
      <c r="D20" s="127">
        <f>VLOOKUP(D$6,'Main table (road wear)'!$A$10:$AJ$31,MATCH($B20,'Main table (road wear)'!$A$7:$AJ$7,0),0)/1000000</f>
        <v>1606.1630677805119</v>
      </c>
      <c r="E20" s="127">
        <f>VLOOKUP(E$6,'Main table (road wear)'!$A$10:$AJ$31,MATCH($B20,'Main table (road wear)'!$A$7:$AJ$7,0),0)/1000000</f>
        <v>11.506912907639556</v>
      </c>
      <c r="F20" s="306">
        <f>VLOOKUP(F$6,'Main table (road wear)'!$A$10:$AJ$31,MATCH($B20,'Main table (road wear)'!$A$7:$AJ$7,0),0)/1000000</f>
        <v>1.5384519512750206E-5</v>
      </c>
      <c r="G20" s="127">
        <f>VLOOKUP(G$6,'Main table (road wear)'!$A$10:$AJ$31,MATCH($B20,'Main table (road wear)'!$A$7:$AJ$7,0),0)/1000000</f>
        <v>7665.0971409835865</v>
      </c>
      <c r="H20" s="128">
        <f>VLOOKUP(H$6,'Main table (road wear)'!$A$10:$AJ$31,MATCH($B20,'Main table (road wear)'!$A$7:$AJ$7,0),0)/1000000</f>
        <v>19.47103250832447</v>
      </c>
      <c r="I20" s="268">
        <f>SUM(D20:H20)</f>
        <v>9302.2381695645818</v>
      </c>
      <c r="J20" s="269">
        <f>I20/I18-1</f>
        <v>5.718701441600027E-2</v>
      </c>
      <c r="L20" s="17"/>
    </row>
    <row r="21" spans="1:17" ht="45.75" thickBot="1" x14ac:dyDescent="0.3">
      <c r="A21" t="s">
        <v>360</v>
      </c>
      <c r="B21" s="165" t="s">
        <v>196</v>
      </c>
      <c r="C21" s="96" t="s">
        <v>356</v>
      </c>
      <c r="D21" s="163">
        <f>VLOOKUP(D$6,'Main table (road wear)'!$A$10:$AJ$31,MATCH($B21,'Main table (road wear)'!$A$7:$AJ$7,0),0)/1000000</f>
        <v>1606.1630677805119</v>
      </c>
      <c r="E21" s="163">
        <f>VLOOKUP(E$6,'Main table (road wear)'!$A$10:$AJ$31,MATCH($B21,'Main table (road wear)'!$A$7:$AJ$7,0),0)/1000000</f>
        <v>24.315986676118559</v>
      </c>
      <c r="F21" s="307">
        <f>VLOOKUP(F$6,'Main table (road wear)'!$A$10:$AJ$31,MATCH($B21,'Main table (road wear)'!$A$7:$AJ$7,0),0)/1000000</f>
        <v>1.5746558559292527E-3</v>
      </c>
      <c r="G21" s="163">
        <f>VLOOKUP(G$6,'Main table (road wear)'!$A$10:$AJ$31,MATCH($B21,'Main table (road wear)'!$A$7:$AJ$7,0),0)/1000000</f>
        <v>7665.0971409835865</v>
      </c>
      <c r="H21" s="275">
        <f>VLOOKUP(H$6,'Main table (road wear)'!$A$10:$AJ$31,MATCH($B21,'Main table (road wear)'!$A$7:$AJ$7,0),0)/1000000</f>
        <v>19.94172068118322</v>
      </c>
      <c r="I21" s="268">
        <f>SUM(D21:H21)</f>
        <v>9315.5194907772566</v>
      </c>
      <c r="J21" s="269">
        <f>I21/I18-1</f>
        <v>5.8696418933965377E-2</v>
      </c>
      <c r="L21" s="17"/>
    </row>
    <row r="22" spans="1:17" x14ac:dyDescent="0.25">
      <c r="B22" s="60"/>
      <c r="C22" s="264"/>
      <c r="D22" s="127"/>
      <c r="E22" s="127"/>
      <c r="F22" s="127"/>
      <c r="G22" s="127"/>
      <c r="H22" s="127"/>
      <c r="I22" s="127"/>
      <c r="J22" s="269"/>
    </row>
    <row r="23" spans="1:17" x14ac:dyDescent="0.25">
      <c r="B23" s="60"/>
      <c r="C23" s="264"/>
      <c r="D23" s="127"/>
      <c r="E23" s="127"/>
      <c r="F23" s="127"/>
      <c r="G23" s="127"/>
      <c r="H23" s="127"/>
      <c r="I23" s="127"/>
      <c r="J23" s="269"/>
    </row>
    <row r="24" spans="1:17" x14ac:dyDescent="0.25">
      <c r="B24" s="60"/>
      <c r="C24" s="264"/>
      <c r="D24" s="127"/>
      <c r="E24" s="127"/>
      <c r="F24" s="127"/>
      <c r="G24" s="127"/>
      <c r="H24" s="127"/>
      <c r="I24" s="127"/>
      <c r="J24" s="269"/>
    </row>
    <row r="25" spans="1:17" x14ac:dyDescent="0.25">
      <c r="A25" s="57"/>
      <c r="B25" s="60"/>
      <c r="C25" s="127"/>
      <c r="D25" s="127"/>
      <c r="E25" s="127"/>
      <c r="F25" s="127"/>
      <c r="G25" s="127"/>
      <c r="H25" s="127"/>
      <c r="I25" s="127"/>
      <c r="J25" s="57"/>
      <c r="K25" s="57"/>
      <c r="L25" s="57"/>
      <c r="M25" s="57"/>
      <c r="N25" s="57"/>
      <c r="O25" s="57"/>
      <c r="P25" s="57"/>
      <c r="Q25" s="57"/>
    </row>
    <row r="26" spans="1:17" x14ac:dyDescent="0.25">
      <c r="A26" s="57"/>
      <c r="B26" s="57"/>
      <c r="C26" s="57"/>
      <c r="D26" s="57"/>
      <c r="E26" s="57"/>
      <c r="F26" s="57"/>
      <c r="G26" s="57"/>
      <c r="H26" s="57"/>
      <c r="I26" s="57"/>
      <c r="J26" s="57"/>
      <c r="K26" s="57"/>
      <c r="L26" s="57"/>
      <c r="M26" s="57"/>
      <c r="N26" s="57"/>
      <c r="O26" s="57"/>
      <c r="P26" s="57"/>
      <c r="Q26" s="57"/>
    </row>
    <row r="27" spans="1:17" x14ac:dyDescent="0.25">
      <c r="A27" s="57"/>
      <c r="B27" s="57"/>
      <c r="C27" s="57"/>
      <c r="D27" s="57"/>
      <c r="E27" s="57"/>
      <c r="F27" s="57"/>
      <c r="G27" s="57"/>
      <c r="H27" s="57"/>
      <c r="I27" s="57"/>
      <c r="J27" s="57"/>
      <c r="K27" s="57"/>
      <c r="L27" s="57"/>
      <c r="M27" s="57"/>
      <c r="N27" s="57"/>
      <c r="O27" s="57"/>
      <c r="P27" s="57"/>
      <c r="Q27" s="57"/>
    </row>
    <row r="28" spans="1:17" x14ac:dyDescent="0.25">
      <c r="A28" s="57"/>
      <c r="B28" s="309"/>
      <c r="C28" s="57"/>
      <c r="D28" s="57"/>
      <c r="E28" s="57"/>
      <c r="F28" s="57"/>
      <c r="G28" s="57"/>
      <c r="H28" s="57"/>
      <c r="I28" s="57"/>
      <c r="J28" s="57"/>
      <c r="K28" s="57"/>
      <c r="L28" s="57"/>
      <c r="M28" s="57"/>
      <c r="N28" s="57"/>
      <c r="O28" s="57"/>
      <c r="P28" s="57"/>
      <c r="Q28" s="57"/>
    </row>
    <row r="29" spans="1:17" x14ac:dyDescent="0.25">
      <c r="A29" s="57"/>
      <c r="B29" s="60"/>
      <c r="C29" s="127"/>
      <c r="D29" s="57"/>
      <c r="E29" s="57"/>
      <c r="F29" s="57"/>
      <c r="G29" s="57"/>
      <c r="H29" s="57"/>
      <c r="I29" s="57"/>
      <c r="J29" s="57"/>
      <c r="K29" s="57"/>
      <c r="L29" s="57"/>
      <c r="M29" s="269"/>
      <c r="N29" s="269"/>
      <c r="O29" s="269"/>
      <c r="P29" s="57"/>
      <c r="Q29" s="57"/>
    </row>
    <row r="30" spans="1:17" x14ac:dyDescent="0.25">
      <c r="A30" s="57"/>
      <c r="B30" s="304"/>
      <c r="C30" s="304"/>
      <c r="D30" s="310"/>
      <c r="E30" s="310"/>
      <c r="F30" s="310"/>
      <c r="G30" s="310"/>
      <c r="H30" s="310"/>
      <c r="I30" s="304"/>
      <c r="J30" s="285"/>
      <c r="K30" s="269"/>
      <c r="L30" s="269"/>
      <c r="M30" s="57"/>
      <c r="N30" s="57"/>
      <c r="O30" s="57"/>
      <c r="P30" s="57"/>
      <c r="Q30" s="57"/>
    </row>
    <row r="31" spans="1:17" x14ac:dyDescent="0.25">
      <c r="A31" s="57"/>
      <c r="B31" s="285"/>
      <c r="C31" s="285"/>
      <c r="D31" s="287"/>
      <c r="E31" s="287"/>
      <c r="F31" s="287"/>
      <c r="G31" s="287"/>
      <c r="H31" s="287"/>
      <c r="I31" s="286"/>
      <c r="J31" s="287"/>
      <c r="K31" s="269"/>
      <c r="L31" s="269"/>
      <c r="M31" s="57"/>
      <c r="N31" s="57"/>
      <c r="O31" s="57"/>
      <c r="P31" s="57"/>
      <c r="Q31" s="57"/>
    </row>
    <row r="32" spans="1:17" x14ac:dyDescent="0.25">
      <c r="A32" s="57"/>
      <c r="B32" s="285"/>
      <c r="C32" s="288"/>
      <c r="D32" s="287"/>
      <c r="E32" s="287"/>
      <c r="F32" s="287"/>
      <c r="G32" s="287"/>
      <c r="H32" s="287"/>
      <c r="I32" s="304"/>
      <c r="J32" s="304"/>
      <c r="K32" s="269"/>
      <c r="L32" s="269"/>
      <c r="M32" s="57"/>
      <c r="N32" s="57"/>
      <c r="O32" s="57"/>
      <c r="P32" s="57"/>
      <c r="Q32" s="57"/>
    </row>
    <row r="33" spans="1:17" x14ac:dyDescent="0.25">
      <c r="A33" s="57"/>
      <c r="B33" s="285"/>
      <c r="C33" s="288"/>
      <c r="D33" s="287"/>
      <c r="E33" s="287"/>
      <c r="F33" s="287"/>
      <c r="G33" s="287"/>
      <c r="H33" s="287"/>
      <c r="I33" s="304"/>
      <c r="J33" s="304"/>
      <c r="K33" s="269"/>
      <c r="L33" s="269"/>
      <c r="M33" s="57"/>
      <c r="N33" s="57"/>
      <c r="O33" s="57"/>
      <c r="P33" s="57"/>
      <c r="Q33" s="57"/>
    </row>
    <row r="34" spans="1:17" x14ac:dyDescent="0.25">
      <c r="A34" s="57"/>
      <c r="B34" s="285"/>
      <c r="C34" s="288"/>
      <c r="D34" s="287"/>
      <c r="E34" s="287"/>
      <c r="F34" s="287"/>
      <c r="G34" s="287"/>
      <c r="H34" s="287"/>
      <c r="I34" s="304"/>
      <c r="J34" s="304"/>
      <c r="K34" s="269"/>
      <c r="L34" s="269"/>
      <c r="M34" s="57"/>
      <c r="N34" s="57"/>
      <c r="O34" s="57"/>
      <c r="P34" s="57"/>
      <c r="Q34" s="57"/>
    </row>
    <row r="35" spans="1:17" x14ac:dyDescent="0.25">
      <c r="A35" s="57"/>
      <c r="B35" s="285"/>
      <c r="C35" s="288"/>
      <c r="D35" s="287"/>
      <c r="E35" s="287"/>
      <c r="F35" s="287"/>
      <c r="G35" s="287"/>
      <c r="H35" s="287"/>
      <c r="I35" s="304"/>
      <c r="J35" s="304"/>
      <c r="K35" s="269"/>
      <c r="L35" s="269"/>
      <c r="M35" s="57"/>
      <c r="N35" s="57"/>
      <c r="O35" s="57"/>
      <c r="P35" s="57"/>
      <c r="Q35" s="57"/>
    </row>
    <row r="36" spans="1:17" x14ac:dyDescent="0.25">
      <c r="A36" s="57"/>
      <c r="B36" s="311"/>
      <c r="C36" s="288"/>
      <c r="D36" s="289"/>
      <c r="E36" s="289"/>
      <c r="F36" s="289"/>
      <c r="G36" s="289"/>
      <c r="H36" s="289"/>
      <c r="I36" s="304"/>
      <c r="J36" s="304"/>
      <c r="K36" s="269"/>
      <c r="L36" s="269"/>
      <c r="M36" s="57"/>
      <c r="N36" s="57"/>
      <c r="O36" s="57"/>
      <c r="P36" s="57"/>
      <c r="Q36" s="57"/>
    </row>
    <row r="37" spans="1:17" x14ac:dyDescent="0.25">
      <c r="A37" s="57"/>
      <c r="B37" s="311"/>
      <c r="C37" s="288"/>
      <c r="D37" s="289"/>
      <c r="E37" s="289"/>
      <c r="F37" s="289"/>
      <c r="G37" s="289"/>
      <c r="H37" s="289"/>
      <c r="I37" s="304"/>
      <c r="J37" s="304"/>
      <c r="K37" s="269"/>
      <c r="L37" s="269"/>
      <c r="M37" s="57"/>
      <c r="N37" s="57"/>
      <c r="O37" s="57"/>
      <c r="P37" s="57"/>
      <c r="Q37" s="57"/>
    </row>
    <row r="38" spans="1:17" x14ac:dyDescent="0.25">
      <c r="A38" s="57"/>
      <c r="B38" s="311"/>
      <c r="C38" s="288"/>
      <c r="D38" s="289"/>
      <c r="E38" s="289"/>
      <c r="F38" s="289"/>
      <c r="G38" s="289"/>
      <c r="H38" s="289"/>
      <c r="I38" s="304"/>
      <c r="J38" s="304"/>
      <c r="K38" s="269"/>
      <c r="L38" s="269"/>
      <c r="M38" s="57"/>
      <c r="N38" s="57"/>
      <c r="O38" s="57"/>
      <c r="P38" s="57"/>
      <c r="Q38" s="57"/>
    </row>
    <row r="39" spans="1:17" x14ac:dyDescent="0.25">
      <c r="A39" s="57"/>
      <c r="B39" s="311"/>
      <c r="C39" s="288"/>
      <c r="D39" s="289"/>
      <c r="E39" s="289"/>
      <c r="F39" s="289"/>
      <c r="G39" s="289"/>
      <c r="H39" s="289"/>
      <c r="I39" s="633"/>
      <c r="J39" s="633"/>
      <c r="K39" s="269"/>
      <c r="L39" s="269"/>
      <c r="M39" s="57"/>
      <c r="N39" s="57"/>
      <c r="O39" s="57"/>
      <c r="P39" s="57"/>
      <c r="Q39" s="57"/>
    </row>
    <row r="40" spans="1:17" x14ac:dyDescent="0.25">
      <c r="A40" s="57"/>
      <c r="B40" s="285"/>
      <c r="C40" s="288"/>
      <c r="D40" s="291"/>
      <c r="E40" s="291"/>
      <c r="F40" s="291"/>
      <c r="G40" s="291"/>
      <c r="H40" s="291"/>
      <c r="I40" s="290"/>
      <c r="J40" s="304"/>
      <c r="K40" s="269"/>
      <c r="L40" s="269"/>
      <c r="M40" s="57"/>
      <c r="N40" s="57"/>
      <c r="O40" s="57"/>
      <c r="P40" s="57"/>
      <c r="Q40" s="57"/>
    </row>
    <row r="41" spans="1:17" x14ac:dyDescent="0.25">
      <c r="A41" s="57"/>
      <c r="B41" s="285"/>
      <c r="C41" s="304"/>
      <c r="D41" s="291"/>
      <c r="E41" s="291"/>
      <c r="F41" s="291"/>
      <c r="G41" s="291"/>
      <c r="H41" s="291"/>
      <c r="I41" s="290"/>
      <c r="J41" s="292"/>
      <c r="K41" s="269"/>
      <c r="L41" s="269"/>
      <c r="M41" s="57"/>
      <c r="N41" s="57"/>
      <c r="O41" s="57"/>
      <c r="P41" s="57"/>
      <c r="Q41" s="57"/>
    </row>
    <row r="42" spans="1:17" x14ac:dyDescent="0.25">
      <c r="A42" s="57"/>
      <c r="B42" s="285"/>
      <c r="C42" s="304"/>
      <c r="D42" s="291"/>
      <c r="E42" s="291"/>
      <c r="F42" s="291"/>
      <c r="G42" s="291"/>
      <c r="H42" s="291"/>
      <c r="I42" s="290"/>
      <c r="J42" s="292"/>
      <c r="K42" s="269"/>
      <c r="L42" s="269"/>
      <c r="M42" s="57"/>
      <c r="N42" s="57"/>
      <c r="O42" s="57"/>
      <c r="P42" s="57"/>
      <c r="Q42" s="57"/>
    </row>
    <row r="43" spans="1:17" x14ac:dyDescent="0.25">
      <c r="A43" s="57"/>
      <c r="B43" s="285"/>
      <c r="C43" s="304"/>
      <c r="D43" s="291"/>
      <c r="E43" s="291"/>
      <c r="F43" s="291"/>
      <c r="G43" s="291"/>
      <c r="H43" s="291"/>
      <c r="I43" s="290"/>
      <c r="J43" s="292"/>
      <c r="K43" s="269"/>
      <c r="L43" s="269"/>
      <c r="M43" s="57"/>
      <c r="N43" s="57"/>
      <c r="O43" s="57"/>
      <c r="P43" s="57"/>
      <c r="Q43" s="57"/>
    </row>
    <row r="44" spans="1:17" x14ac:dyDescent="0.25">
      <c r="A44" s="57"/>
      <c r="B44" s="60"/>
      <c r="C44" s="127"/>
      <c r="D44" s="57"/>
      <c r="E44" s="57"/>
      <c r="F44" s="57"/>
      <c r="G44" s="57"/>
      <c r="H44" s="57"/>
      <c r="I44" s="57"/>
      <c r="J44" s="57"/>
      <c r="K44" s="57"/>
      <c r="L44" s="57"/>
      <c r="M44" s="269"/>
      <c r="N44" s="269"/>
      <c r="O44" s="269"/>
      <c r="P44" s="57"/>
      <c r="Q44" s="57"/>
    </row>
    <row r="45" spans="1:17" x14ac:dyDescent="0.25">
      <c r="A45" s="57"/>
      <c r="B45" s="60"/>
      <c r="C45" s="127"/>
      <c r="D45" s="57"/>
      <c r="E45" s="57"/>
      <c r="F45" s="57"/>
      <c r="G45" s="57"/>
      <c r="H45" s="57"/>
      <c r="I45" s="57"/>
      <c r="J45" s="57"/>
      <c r="K45" s="57"/>
      <c r="L45" s="57"/>
      <c r="M45" s="269"/>
      <c r="N45" s="269"/>
      <c r="O45" s="269"/>
      <c r="P45" s="57"/>
      <c r="Q45" s="57"/>
    </row>
    <row r="46" spans="1:17" x14ac:dyDescent="0.25">
      <c r="A46" s="57"/>
      <c r="B46" s="60"/>
      <c r="C46" s="127"/>
      <c r="D46" s="57"/>
      <c r="E46" s="57"/>
      <c r="F46" s="57"/>
      <c r="G46" s="57"/>
      <c r="H46" s="57"/>
      <c r="I46" s="57"/>
      <c r="J46" s="57"/>
      <c r="K46" s="57"/>
      <c r="L46" s="57"/>
      <c r="M46" s="269"/>
      <c r="N46" s="269"/>
      <c r="O46" s="269"/>
      <c r="P46" s="57"/>
      <c r="Q46" s="57"/>
    </row>
    <row r="47" spans="1:17" x14ac:dyDescent="0.25">
      <c r="A47" s="57"/>
      <c r="B47" s="60"/>
      <c r="C47" s="127"/>
      <c r="D47" s="57"/>
      <c r="E47" s="57"/>
      <c r="F47" s="57"/>
      <c r="G47" s="57"/>
      <c r="H47" s="57"/>
      <c r="I47" s="57"/>
      <c r="J47" s="57"/>
      <c r="K47" s="57"/>
      <c r="L47" s="57"/>
      <c r="M47" s="269"/>
      <c r="N47" s="269"/>
      <c r="O47" s="269"/>
      <c r="P47" s="57"/>
      <c r="Q47" s="57"/>
    </row>
    <row r="48" spans="1:17" x14ac:dyDescent="0.25">
      <c r="A48" s="57"/>
      <c r="B48" s="57"/>
      <c r="C48" s="57"/>
      <c r="D48" s="57"/>
      <c r="E48" s="57"/>
      <c r="F48" s="57"/>
      <c r="G48" s="57"/>
      <c r="H48" s="57"/>
      <c r="I48" s="57"/>
      <c r="J48" s="57"/>
      <c r="K48" s="57"/>
      <c r="L48" s="57"/>
      <c r="M48" s="57"/>
      <c r="N48" s="57"/>
      <c r="O48" s="57"/>
      <c r="P48" s="57"/>
      <c r="Q48" s="57"/>
    </row>
    <row r="49" spans="1:17" x14ac:dyDescent="0.25">
      <c r="A49" s="57"/>
      <c r="B49" s="57"/>
      <c r="C49" s="57"/>
      <c r="D49" s="57"/>
      <c r="E49" s="57"/>
      <c r="F49" s="57"/>
      <c r="G49" s="57"/>
      <c r="H49" s="57"/>
      <c r="I49" s="57"/>
      <c r="J49" s="57"/>
      <c r="K49" s="57"/>
      <c r="L49" s="57"/>
      <c r="M49" s="57"/>
      <c r="N49" s="57"/>
      <c r="O49" s="57"/>
      <c r="P49" s="57"/>
      <c r="Q49" s="57"/>
    </row>
    <row r="50" spans="1:17" x14ac:dyDescent="0.25">
      <c r="A50" s="57"/>
      <c r="B50" s="309"/>
      <c r="C50" s="57"/>
      <c r="D50" s="57"/>
      <c r="E50" s="57"/>
      <c r="F50" s="57"/>
      <c r="G50" s="57"/>
      <c r="H50" s="57"/>
      <c r="I50" s="57"/>
      <c r="J50" s="57"/>
      <c r="K50" s="57"/>
      <c r="L50" s="57"/>
      <c r="M50" s="57"/>
      <c r="N50" s="57"/>
      <c r="O50" s="57"/>
      <c r="P50" s="57"/>
      <c r="Q50" s="57"/>
    </row>
    <row r="51" spans="1:17" x14ac:dyDescent="0.25">
      <c r="A51" s="57"/>
      <c r="B51" s="57"/>
      <c r="C51" s="57"/>
      <c r="D51" s="57"/>
      <c r="E51" s="57"/>
      <c r="F51" s="57"/>
      <c r="G51" s="57"/>
      <c r="H51" s="57"/>
      <c r="I51" s="57"/>
      <c r="J51" s="57"/>
      <c r="K51" s="57"/>
      <c r="L51" s="57"/>
      <c r="M51" s="57"/>
      <c r="N51" s="57"/>
      <c r="O51" s="57"/>
      <c r="P51" s="57"/>
      <c r="Q51" s="57"/>
    </row>
    <row r="52" spans="1:17" x14ac:dyDescent="0.25">
      <c r="A52" s="57"/>
      <c r="B52" s="57"/>
      <c r="C52" s="57"/>
      <c r="D52" s="312"/>
      <c r="E52" s="312"/>
      <c r="F52" s="312"/>
      <c r="G52" s="312"/>
      <c r="H52" s="312"/>
      <c r="I52" s="57"/>
      <c r="J52" s="60"/>
      <c r="K52" s="57"/>
      <c r="L52" s="57"/>
      <c r="M52" s="57"/>
      <c r="N52" s="57"/>
      <c r="O52" s="57"/>
      <c r="P52" s="57"/>
      <c r="Q52" s="57"/>
    </row>
    <row r="53" spans="1:17" x14ac:dyDescent="0.25">
      <c r="A53" s="57"/>
      <c r="B53" s="60"/>
      <c r="C53" s="303"/>
      <c r="D53" s="127"/>
      <c r="E53" s="127"/>
      <c r="F53" s="127"/>
      <c r="G53" s="127"/>
      <c r="H53" s="127"/>
      <c r="I53" s="164"/>
      <c r="J53" s="127"/>
      <c r="K53" s="57"/>
      <c r="L53" s="57"/>
      <c r="M53" s="57"/>
      <c r="N53" s="57"/>
      <c r="O53" s="57"/>
      <c r="P53" s="57"/>
      <c r="Q53" s="57"/>
    </row>
    <row r="54" spans="1:17" x14ac:dyDescent="0.25">
      <c r="A54" s="57"/>
      <c r="B54" s="60"/>
      <c r="C54" s="175"/>
      <c r="D54" s="127"/>
      <c r="E54" s="127"/>
      <c r="F54" s="127"/>
      <c r="G54" s="127"/>
      <c r="H54" s="127"/>
      <c r="I54" s="57"/>
      <c r="J54" s="57"/>
      <c r="K54" s="57"/>
      <c r="L54" s="57"/>
      <c r="M54" s="57"/>
      <c r="N54" s="57"/>
      <c r="O54" s="57"/>
      <c r="P54" s="57"/>
      <c r="Q54" s="57"/>
    </row>
    <row r="55" spans="1:17" x14ac:dyDescent="0.25">
      <c r="A55" s="57"/>
      <c r="B55" s="60"/>
      <c r="C55" s="175"/>
      <c r="D55" s="127"/>
      <c r="E55" s="127"/>
      <c r="F55" s="127"/>
      <c r="G55" s="127"/>
      <c r="H55" s="127"/>
      <c r="I55" s="57"/>
      <c r="J55" s="57"/>
      <c r="K55" s="57"/>
      <c r="L55" s="57"/>
      <c r="M55" s="57"/>
      <c r="N55" s="57"/>
      <c r="O55" s="57"/>
      <c r="P55" s="57"/>
      <c r="Q55" s="57"/>
    </row>
    <row r="56" spans="1:17" x14ac:dyDescent="0.25">
      <c r="A56" s="57"/>
      <c r="B56" s="60"/>
      <c r="C56" s="175"/>
      <c r="D56" s="127"/>
      <c r="E56" s="127"/>
      <c r="F56" s="127"/>
      <c r="G56" s="127"/>
      <c r="H56" s="127"/>
      <c r="I56" s="57"/>
      <c r="J56" s="57"/>
      <c r="K56" s="57"/>
      <c r="L56" s="57"/>
      <c r="M56" s="57"/>
      <c r="N56" s="57"/>
      <c r="O56" s="57"/>
      <c r="P56" s="57"/>
      <c r="Q56" s="57"/>
    </row>
    <row r="57" spans="1:17" x14ac:dyDescent="0.25">
      <c r="A57" s="57"/>
      <c r="B57" s="60"/>
      <c r="C57" s="175"/>
      <c r="D57" s="127"/>
      <c r="E57" s="127"/>
      <c r="F57" s="127"/>
      <c r="G57" s="127"/>
      <c r="H57" s="127"/>
      <c r="I57" s="57"/>
      <c r="J57" s="57"/>
      <c r="K57" s="57"/>
      <c r="L57" s="57"/>
      <c r="M57" s="57"/>
      <c r="N57" s="57"/>
      <c r="O57" s="57"/>
      <c r="P57" s="57"/>
      <c r="Q57" s="57"/>
    </row>
    <row r="58" spans="1:17" x14ac:dyDescent="0.25">
      <c r="A58" s="57"/>
      <c r="B58" s="176"/>
      <c r="C58" s="175"/>
      <c r="D58" s="262"/>
      <c r="E58" s="262"/>
      <c r="F58" s="262"/>
      <c r="G58" s="262"/>
      <c r="H58" s="262"/>
      <c r="I58" s="57"/>
      <c r="J58" s="57"/>
      <c r="K58" s="57"/>
      <c r="L58" s="57"/>
      <c r="M58" s="57"/>
      <c r="N58" s="57"/>
      <c r="O58" s="57"/>
      <c r="P58" s="57"/>
      <c r="Q58" s="57"/>
    </row>
    <row r="59" spans="1:17" x14ac:dyDescent="0.25">
      <c r="A59" s="57"/>
      <c r="B59" s="176"/>
      <c r="C59" s="175"/>
      <c r="D59" s="262"/>
      <c r="E59" s="262"/>
      <c r="F59" s="262"/>
      <c r="G59" s="262"/>
      <c r="H59" s="262"/>
      <c r="I59" s="57"/>
      <c r="J59" s="57"/>
      <c r="K59" s="57"/>
      <c r="L59" s="57"/>
      <c r="M59" s="57"/>
      <c r="N59" s="57"/>
      <c r="O59" s="57"/>
      <c r="P59" s="57"/>
      <c r="Q59" s="57"/>
    </row>
    <row r="60" spans="1:17" x14ac:dyDescent="0.25">
      <c r="A60" s="57"/>
      <c r="B60" s="176"/>
      <c r="C60" s="175"/>
      <c r="D60" s="262"/>
      <c r="E60" s="262"/>
      <c r="F60" s="262"/>
      <c r="G60" s="262"/>
      <c r="H60" s="262"/>
      <c r="I60" s="57"/>
      <c r="J60" s="57"/>
      <c r="K60" s="57"/>
      <c r="L60" s="57"/>
      <c r="M60" s="57"/>
      <c r="N60" s="57"/>
      <c r="O60" s="57"/>
      <c r="P60" s="57"/>
      <c r="Q60" s="57"/>
    </row>
    <row r="61" spans="1:17" x14ac:dyDescent="0.25">
      <c r="A61" s="57"/>
      <c r="B61" s="176"/>
      <c r="C61" s="175"/>
      <c r="D61" s="262"/>
      <c r="E61" s="262"/>
      <c r="F61" s="262"/>
      <c r="G61" s="262"/>
      <c r="H61" s="262"/>
      <c r="I61" s="634"/>
      <c r="J61" s="634"/>
      <c r="K61" s="57"/>
      <c r="L61" s="57"/>
      <c r="M61" s="57"/>
      <c r="N61" s="57"/>
      <c r="O61" s="57"/>
      <c r="P61" s="57"/>
      <c r="Q61" s="57"/>
    </row>
    <row r="62" spans="1:17" x14ac:dyDescent="0.25">
      <c r="A62" s="57"/>
      <c r="B62" s="60"/>
      <c r="C62" s="175"/>
      <c r="D62" s="125"/>
      <c r="E62" s="125"/>
      <c r="F62" s="125"/>
      <c r="G62" s="125"/>
      <c r="H62" s="125"/>
      <c r="I62" s="283"/>
      <c r="J62" s="282"/>
      <c r="K62" s="57"/>
      <c r="L62" s="57"/>
      <c r="M62" s="57"/>
      <c r="N62" s="57"/>
      <c r="O62" s="57"/>
      <c r="P62" s="57"/>
      <c r="Q62" s="57"/>
    </row>
    <row r="63" spans="1:17" x14ac:dyDescent="0.25">
      <c r="A63" s="57"/>
      <c r="B63" s="60"/>
      <c r="C63" s="302"/>
      <c r="D63" s="125"/>
      <c r="E63" s="125"/>
      <c r="F63" s="125"/>
      <c r="G63" s="125"/>
      <c r="H63" s="125"/>
      <c r="I63" s="283"/>
      <c r="J63" s="284"/>
      <c r="K63" s="57"/>
      <c r="L63" s="57"/>
      <c r="M63" s="57"/>
      <c r="N63" s="57"/>
      <c r="O63" s="57"/>
      <c r="P63" s="57"/>
      <c r="Q63" s="57"/>
    </row>
    <row r="64" spans="1:17" x14ac:dyDescent="0.25">
      <c r="A64" s="57"/>
      <c r="B64" s="60"/>
      <c r="C64" s="302"/>
      <c r="D64" s="125"/>
      <c r="E64" s="125"/>
      <c r="F64" s="125"/>
      <c r="G64" s="125"/>
      <c r="H64" s="125"/>
      <c r="I64" s="283"/>
      <c r="J64" s="284"/>
      <c r="K64" s="57"/>
      <c r="L64" s="57"/>
      <c r="M64" s="57"/>
      <c r="N64" s="57"/>
      <c r="O64" s="57"/>
      <c r="P64" s="57"/>
      <c r="Q64" s="57"/>
    </row>
    <row r="65" spans="1:17" x14ac:dyDescent="0.25">
      <c r="A65" s="57"/>
      <c r="B65" s="60"/>
      <c r="C65" s="302"/>
      <c r="D65" s="125"/>
      <c r="E65" s="125"/>
      <c r="F65" s="125"/>
      <c r="G65" s="125"/>
      <c r="H65" s="125"/>
      <c r="I65" s="283"/>
      <c r="J65" s="284"/>
      <c r="K65" s="57"/>
      <c r="L65" s="57"/>
      <c r="M65" s="57"/>
      <c r="N65" s="57"/>
      <c r="O65" s="57"/>
      <c r="P65" s="57"/>
      <c r="Q65" s="57"/>
    </row>
  </sheetData>
  <sheetProtection algorithmName="SHA-512" hashValue="+EppwUn480UlQ3Tdl49jtMYZe7ZMGFsTKroykMlx8lJneKqgiMeL7CU/ZZCOmYV8uFt7fGlKUIoc3KWflTG4oQ==" saltValue="cwcLbxQ/8+w1dNuIfvF4CA==" spinCount="100000" sheet="1" objects="1" scenarios="1"/>
  <mergeCells count="3">
    <mergeCell ref="I39:J39"/>
    <mergeCell ref="I61:J61"/>
    <mergeCell ref="I17:J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8:L52"/>
  <sheetViews>
    <sheetView topLeftCell="B27" zoomScale="205" zoomScaleNormal="205" workbookViewId="0">
      <selection activeCell="M33" sqref="M33"/>
    </sheetView>
  </sheetViews>
  <sheetFormatPr defaultRowHeight="15" x14ac:dyDescent="0.25"/>
  <sheetData>
    <row r="8" spans="12:12" x14ac:dyDescent="0.25">
      <c r="L8" s="24" t="s">
        <v>485</v>
      </c>
    </row>
    <row r="22" spans="12:12" x14ac:dyDescent="0.25">
      <c r="L22" s="24" t="s">
        <v>486</v>
      </c>
    </row>
    <row r="37" spans="12:12" x14ac:dyDescent="0.25">
      <c r="L37" s="24" t="s">
        <v>487</v>
      </c>
    </row>
    <row r="52" spans="12:12" x14ac:dyDescent="0.25">
      <c r="L52" s="24" t="s">
        <v>488</v>
      </c>
    </row>
  </sheetData>
  <sheetProtection algorithmName="SHA-512" hashValue="V9Gae7vC9gJQ1H+zMrvG7h1hnYWbcAo5f+REcJZRheOS4yFtOIOLN/b5Qi0XS6z/D152+9dZMfCCoguErfG4gA==" saltValue="0nT/JWLIOEEVhmbMoWZoTw==" spinCount="100000" sheet="1" objects="1" scenario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7030A0"/>
  </sheetPr>
  <dimension ref="A1:Z63"/>
  <sheetViews>
    <sheetView workbookViewId="0"/>
  </sheetViews>
  <sheetFormatPr defaultRowHeight="15" x14ac:dyDescent="0.25"/>
  <cols>
    <col min="2" max="2" width="30.5703125" customWidth="1"/>
    <col min="3" max="3" width="20.28515625" customWidth="1"/>
    <col min="4" max="4" width="30.42578125" customWidth="1"/>
    <col min="5" max="5" width="15.5703125" customWidth="1"/>
    <col min="6" max="6" width="15.28515625" customWidth="1"/>
    <col min="7" max="8" width="14.85546875" customWidth="1"/>
    <col min="9" max="9" width="16.42578125" customWidth="1"/>
    <col min="10" max="10" width="13.85546875" customWidth="1"/>
    <col min="11" max="11" width="14" customWidth="1"/>
    <col min="12" max="12" width="14.28515625" bestFit="1" customWidth="1"/>
    <col min="13" max="13" width="14.28515625" customWidth="1"/>
    <col min="14" max="14" width="15.140625" customWidth="1"/>
    <col min="15" max="15" width="6.5703125" customWidth="1"/>
    <col min="16" max="16" width="15.140625" customWidth="1"/>
    <col min="17" max="17" width="9.5703125" bestFit="1" customWidth="1"/>
    <col min="23" max="23" width="10.28515625" customWidth="1"/>
  </cols>
  <sheetData>
    <row r="1" spans="1:26" ht="19.5" thickTop="1" x14ac:dyDescent="0.3">
      <c r="A1" s="12" t="s">
        <v>33</v>
      </c>
      <c r="B1" s="13"/>
      <c r="C1" s="13"/>
      <c r="D1" s="13"/>
      <c r="E1" s="13"/>
      <c r="F1" s="14"/>
      <c r="G1" s="15"/>
      <c r="H1" s="15"/>
      <c r="I1" s="16"/>
      <c r="J1" s="17"/>
      <c r="K1" s="2">
        <f>0.34*H6</f>
        <v>844220.00000000012</v>
      </c>
      <c r="L1" s="2">
        <f>H6*0.66</f>
        <v>1638780</v>
      </c>
    </row>
    <row r="2" spans="1:26" ht="15.75" thickBot="1" x14ac:dyDescent="0.3">
      <c r="A2" s="18" t="s">
        <v>34</v>
      </c>
      <c r="B2" s="19"/>
      <c r="C2" s="19"/>
      <c r="D2" s="19"/>
      <c r="E2" s="19"/>
      <c r="F2" s="20"/>
      <c r="G2" s="21"/>
      <c r="H2" s="21"/>
      <c r="I2" s="22"/>
      <c r="J2" s="6"/>
      <c r="K2" s="23"/>
      <c r="O2" t="s">
        <v>35</v>
      </c>
    </row>
    <row r="3" spans="1:26" ht="15.75" thickTop="1" x14ac:dyDescent="0.25">
      <c r="B3" s="24"/>
      <c r="D3" s="25">
        <f>(E22+J22)/N22</f>
        <v>0.22801459805670338</v>
      </c>
      <c r="E3" s="17" t="str">
        <f>E26</f>
        <v>diesel</v>
      </c>
      <c r="F3" s="17" t="str">
        <f t="shared" ref="F3:L3" si="0">F26</f>
        <v>petrol</v>
      </c>
      <c r="G3" s="17" t="str">
        <f t="shared" si="0"/>
        <v>diesel</v>
      </c>
      <c r="H3" s="17" t="s">
        <v>36</v>
      </c>
      <c r="I3" s="17" t="str">
        <f t="shared" si="0"/>
        <v>petrol</v>
      </c>
      <c r="J3" s="17" t="str">
        <f t="shared" si="0"/>
        <v>diesel</v>
      </c>
      <c r="K3" s="17" t="str">
        <f t="shared" si="0"/>
        <v>petrol</v>
      </c>
      <c r="L3" s="17" t="str">
        <f t="shared" si="0"/>
        <v>diesel</v>
      </c>
      <c r="M3" s="17" t="s">
        <v>37</v>
      </c>
      <c r="O3" s="26">
        <f>(J5+E5)/N5</f>
        <v>0.20725858716785484</v>
      </c>
      <c r="P3" s="26">
        <f>SUM(J7,E7)/N7</f>
        <v>1.7739273927392739E-2</v>
      </c>
    </row>
    <row r="4" spans="1:26" ht="30.75" thickBot="1" x14ac:dyDescent="0.3">
      <c r="B4" s="24" t="s">
        <v>38</v>
      </c>
      <c r="C4" s="24" t="s">
        <v>39</v>
      </c>
      <c r="D4" s="24" t="s">
        <v>40</v>
      </c>
      <c r="E4" s="27" t="s">
        <v>41</v>
      </c>
      <c r="F4" s="27" t="s">
        <v>42</v>
      </c>
      <c r="G4" s="27" t="s">
        <v>43</v>
      </c>
      <c r="H4" s="27" t="s">
        <v>2</v>
      </c>
      <c r="I4" s="27" t="s">
        <v>3</v>
      </c>
      <c r="J4" s="27" t="s">
        <v>44</v>
      </c>
      <c r="K4" s="27" t="s">
        <v>45</v>
      </c>
      <c r="L4" s="27" t="s">
        <v>46</v>
      </c>
      <c r="M4" s="27" t="s">
        <v>47</v>
      </c>
      <c r="N4" s="27" t="s">
        <v>48</v>
      </c>
      <c r="O4" s="27"/>
      <c r="P4" s="27" t="s">
        <v>49</v>
      </c>
    </row>
    <row r="5" spans="1:26" ht="15.75" thickBot="1" x14ac:dyDescent="0.3">
      <c r="B5" s="28" t="s">
        <v>50</v>
      </c>
      <c r="C5" s="29" t="s">
        <v>51</v>
      </c>
      <c r="D5" s="30" t="s">
        <v>52</v>
      </c>
      <c r="E5" s="31">
        <v>942</v>
      </c>
      <c r="F5" s="32">
        <v>9592</v>
      </c>
      <c r="G5" s="32">
        <v>9527</v>
      </c>
      <c r="H5" s="32">
        <f>SUM(F5:G5)</f>
        <v>19119</v>
      </c>
      <c r="I5" s="32">
        <v>148</v>
      </c>
      <c r="J5" s="32">
        <v>5454</v>
      </c>
      <c r="K5" s="32">
        <v>176</v>
      </c>
      <c r="L5" s="32">
        <v>5021</v>
      </c>
      <c r="M5" s="32">
        <f>SUM(K5:L5)</f>
        <v>5197</v>
      </c>
      <c r="N5" s="33">
        <f t="shared" ref="N5:N10" si="1">SUM(E5,H5,I5,J5,M5)</f>
        <v>30860</v>
      </c>
      <c r="O5" s="2" t="s">
        <v>53</v>
      </c>
      <c r="P5" s="1" t="s">
        <v>54</v>
      </c>
    </row>
    <row r="6" spans="1:26" x14ac:dyDescent="0.25">
      <c r="B6" s="28" t="s">
        <v>55</v>
      </c>
      <c r="C6" s="29" t="s">
        <v>56</v>
      </c>
      <c r="D6" s="29"/>
      <c r="E6" s="31">
        <v>14700</v>
      </c>
      <c r="F6" s="639">
        <v>2483000</v>
      </c>
      <c r="G6" s="640"/>
      <c r="H6" s="34">
        <f>F6</f>
        <v>2483000</v>
      </c>
      <c r="I6" s="32">
        <v>79500</v>
      </c>
      <c r="J6" s="32">
        <v>36900</v>
      </c>
      <c r="K6" s="639">
        <v>294700</v>
      </c>
      <c r="L6" s="640"/>
      <c r="M6" s="34">
        <f>K6</f>
        <v>294700</v>
      </c>
      <c r="N6" s="33">
        <f t="shared" si="1"/>
        <v>2908800</v>
      </c>
      <c r="O6" s="2" t="s">
        <v>57</v>
      </c>
      <c r="P6" s="1" t="s">
        <v>58</v>
      </c>
    </row>
    <row r="7" spans="1:26" ht="45" customHeight="1" x14ac:dyDescent="0.25">
      <c r="B7" s="35" t="s">
        <v>55</v>
      </c>
      <c r="C7" t="s">
        <v>56</v>
      </c>
      <c r="D7" s="3" t="s">
        <v>59</v>
      </c>
      <c r="E7" s="36">
        <f>E6</f>
        <v>14700</v>
      </c>
      <c r="F7" s="37">
        <f>F6*F9/(F9+G9)</f>
        <v>1471227.9062716153</v>
      </c>
      <c r="G7" s="38">
        <f>F6*G9/(F9+G9)</f>
        <v>1011772.0937283848</v>
      </c>
      <c r="H7" s="39">
        <f>H6</f>
        <v>2483000</v>
      </c>
      <c r="I7" s="2">
        <f>I6</f>
        <v>79500</v>
      </c>
      <c r="J7" s="2">
        <f>J6</f>
        <v>36900</v>
      </c>
      <c r="K7" s="37">
        <f>K6*K9/(K9+L9)</f>
        <v>9503.1221074225105</v>
      </c>
      <c r="L7" s="38">
        <f>K6*L9/(K9+L9)</f>
        <v>285196.8778925775</v>
      </c>
      <c r="M7" s="39">
        <f>M6</f>
        <v>294700</v>
      </c>
      <c r="N7" s="40">
        <f t="shared" si="1"/>
        <v>2908800</v>
      </c>
      <c r="O7" s="2"/>
      <c r="P7" s="1"/>
    </row>
    <row r="8" spans="1:26" x14ac:dyDescent="0.25">
      <c r="B8" s="35" t="s">
        <v>60</v>
      </c>
      <c r="C8" t="s">
        <v>56</v>
      </c>
      <c r="E8" s="36">
        <v>163400</v>
      </c>
      <c r="F8" s="641">
        <v>32471300</v>
      </c>
      <c r="G8" s="642"/>
      <c r="H8" s="41">
        <f>F8</f>
        <v>32471300</v>
      </c>
      <c r="I8" s="2">
        <v>1345800</v>
      </c>
      <c r="J8" s="2">
        <v>525200</v>
      </c>
      <c r="K8" s="641">
        <v>4094700</v>
      </c>
      <c r="L8" s="642"/>
      <c r="M8" s="41">
        <f>K8</f>
        <v>4094700</v>
      </c>
      <c r="N8" s="40">
        <f t="shared" si="1"/>
        <v>38600400</v>
      </c>
      <c r="O8" s="2" t="s">
        <v>61</v>
      </c>
      <c r="P8" s="1" t="s">
        <v>58</v>
      </c>
    </row>
    <row r="9" spans="1:26" x14ac:dyDescent="0.25">
      <c r="B9" s="35" t="s">
        <v>60</v>
      </c>
      <c r="C9" t="s">
        <v>62</v>
      </c>
      <c r="E9" s="36">
        <f>E8</f>
        <v>163400</v>
      </c>
      <c r="F9" s="42">
        <v>18760200</v>
      </c>
      <c r="G9" s="43">
        <v>12901500</v>
      </c>
      <c r="H9" s="44">
        <f>SUM(F9:G9)</f>
        <v>31661700</v>
      </c>
      <c r="I9" s="2">
        <f>I8</f>
        <v>1345800</v>
      </c>
      <c r="J9" s="2">
        <f>J8</f>
        <v>525200</v>
      </c>
      <c r="K9" s="42">
        <v>128900</v>
      </c>
      <c r="L9" s="42">
        <v>3868400</v>
      </c>
      <c r="M9" s="44">
        <f>SUM(K9:L9)</f>
        <v>3997300</v>
      </c>
      <c r="N9" s="45">
        <f t="shared" si="1"/>
        <v>37693400</v>
      </c>
      <c r="O9" s="2" t="s">
        <v>63</v>
      </c>
      <c r="P9" s="1" t="s">
        <v>64</v>
      </c>
    </row>
    <row r="10" spans="1:26" ht="15.75" thickBot="1" x14ac:dyDescent="0.3">
      <c r="B10" s="46" t="s">
        <v>65</v>
      </c>
      <c r="C10" s="47" t="s">
        <v>62</v>
      </c>
      <c r="D10" s="47"/>
      <c r="E10" s="48"/>
      <c r="F10" s="49">
        <v>18348300</v>
      </c>
      <c r="G10" s="50">
        <v>12360200</v>
      </c>
      <c r="H10" s="51">
        <f>SUM(F10:G10)</f>
        <v>30708500</v>
      </c>
      <c r="I10" s="51"/>
      <c r="J10" s="51"/>
      <c r="K10" s="49">
        <v>127700</v>
      </c>
      <c r="L10" s="49">
        <v>3756600</v>
      </c>
      <c r="M10" s="51">
        <f>SUM(K10:L10)</f>
        <v>3884300</v>
      </c>
      <c r="N10" s="52">
        <f t="shared" si="1"/>
        <v>34592800</v>
      </c>
      <c r="O10" s="2" t="s">
        <v>63</v>
      </c>
      <c r="P10" s="1" t="s">
        <v>64</v>
      </c>
    </row>
    <row r="11" spans="1:26" x14ac:dyDescent="0.25">
      <c r="B11" s="35" t="s">
        <v>66</v>
      </c>
      <c r="C11" t="s">
        <v>67</v>
      </c>
      <c r="D11" s="3" t="s">
        <v>68</v>
      </c>
      <c r="E11" s="53">
        <v>3.7</v>
      </c>
      <c r="F11" s="54"/>
      <c r="G11" s="54"/>
      <c r="H11" s="54">
        <v>410.4</v>
      </c>
      <c r="I11" s="32">
        <v>4.4000000000000004</v>
      </c>
      <c r="J11" s="54">
        <v>27.5</v>
      </c>
      <c r="K11" s="54"/>
      <c r="L11" s="54"/>
      <c r="M11" s="54">
        <v>82</v>
      </c>
      <c r="N11" s="33">
        <f>SUM(E11,H11,I11,J11,M11)</f>
        <v>528</v>
      </c>
      <c r="O11" s="2" t="s">
        <v>69</v>
      </c>
      <c r="P11" s="643" t="str">
        <f>HYPERLINK("https://www.gov.uk/government/organisations/department-for-transport/series/road-traffic-statistics",
                         "Traffic - www.gov.uk/government/organisations/department-for-transport/series/road-traffic-statistics")</f>
        <v>Traffic - www.gov.uk/government/organisations/department-for-transport/series/road-traffic-statistics</v>
      </c>
      <c r="Q11" s="644"/>
      <c r="R11" s="644"/>
      <c r="S11" s="644"/>
      <c r="T11" s="644"/>
      <c r="U11" s="644"/>
      <c r="V11" s="644"/>
      <c r="W11" s="644"/>
    </row>
    <row r="12" spans="1:26" ht="30" x14ac:dyDescent="0.25">
      <c r="B12" s="35" t="s">
        <v>70</v>
      </c>
      <c r="C12" t="s">
        <v>67</v>
      </c>
      <c r="D12" s="3" t="s">
        <v>71</v>
      </c>
      <c r="E12" s="55">
        <f>E11*E21/E20</f>
        <v>3.7484117249268003</v>
      </c>
      <c r="F12" s="56"/>
      <c r="G12" s="56"/>
      <c r="H12" s="56">
        <f>H11*H21/H20</f>
        <v>427.07672325091562</v>
      </c>
      <c r="I12" s="56">
        <f>I11*I21/I20</f>
        <v>4.4764491635286134</v>
      </c>
      <c r="J12" s="56">
        <f>J11*J21/J20</f>
        <v>28.472799968872863</v>
      </c>
      <c r="K12" s="56"/>
      <c r="L12" s="56"/>
      <c r="M12" s="56">
        <f>M11*M21/M20</f>
        <v>82.977970867119424</v>
      </c>
      <c r="N12" s="40">
        <f>N11*N21/N20</f>
        <v>545.88247903286242</v>
      </c>
      <c r="O12" s="2"/>
    </row>
    <row r="13" spans="1:26" x14ac:dyDescent="0.25">
      <c r="B13" s="35" t="s">
        <v>72</v>
      </c>
      <c r="C13" t="s">
        <v>31</v>
      </c>
      <c r="D13" s="57" t="s">
        <v>73</v>
      </c>
      <c r="E13" s="58">
        <f>E11*1000000000/E8</f>
        <v>22643.818849449206</v>
      </c>
      <c r="F13" s="59"/>
      <c r="G13" s="59"/>
      <c r="H13" s="56">
        <f>H11*1000000000/H9</f>
        <v>12962.032992543041</v>
      </c>
      <c r="I13" s="44">
        <f>4800*8/5</f>
        <v>7680</v>
      </c>
      <c r="J13" s="56">
        <f>J11*1000000000/J8</f>
        <v>52361.00533130236</v>
      </c>
      <c r="K13" s="59"/>
      <c r="L13" s="59"/>
      <c r="M13" s="56">
        <f>M11*1000000000/M9</f>
        <v>20513.846846621469</v>
      </c>
      <c r="N13" s="45"/>
      <c r="O13" s="2"/>
      <c r="P13" s="6"/>
    </row>
    <row r="14" spans="1:26" ht="42.95" customHeight="1" x14ac:dyDescent="0.25">
      <c r="B14" s="35" t="s">
        <v>74</v>
      </c>
      <c r="C14" s="57" t="s">
        <v>67</v>
      </c>
      <c r="D14" s="60" t="s">
        <v>75</v>
      </c>
      <c r="E14" s="61">
        <v>0.5</v>
      </c>
      <c r="F14" s="62"/>
      <c r="G14" s="62"/>
      <c r="H14" s="62">
        <v>36.4</v>
      </c>
      <c r="I14" s="63">
        <v>0.3</v>
      </c>
      <c r="J14" s="62">
        <v>2.6</v>
      </c>
      <c r="K14" s="62"/>
      <c r="L14" s="62"/>
      <c r="M14" s="62">
        <v>8</v>
      </c>
      <c r="N14" s="45"/>
      <c r="O14" s="2"/>
      <c r="P14" s="630" t="s">
        <v>76</v>
      </c>
      <c r="Q14" s="630"/>
      <c r="R14" s="630"/>
      <c r="S14" s="630"/>
      <c r="T14" s="630"/>
      <c r="U14" s="630"/>
      <c r="V14" s="630"/>
      <c r="W14" s="630"/>
    </row>
    <row r="15" spans="1:26" ht="15.75" thickBot="1" x14ac:dyDescent="0.3">
      <c r="B15" s="64" t="s">
        <v>77</v>
      </c>
      <c r="C15" s="65" t="s">
        <v>31</v>
      </c>
      <c r="D15" s="47" t="s">
        <v>78</v>
      </c>
      <c r="E15" s="48">
        <f>E14*1000000000/E6</f>
        <v>34013.605442176871</v>
      </c>
      <c r="F15" s="51"/>
      <c r="G15" s="51"/>
      <c r="H15" s="51">
        <f>H14*1000000000/H6</f>
        <v>14659.685863874345</v>
      </c>
      <c r="I15" s="51">
        <f>I14*1000000000/I6</f>
        <v>3773.5849056603774</v>
      </c>
      <c r="J15" s="51">
        <f>J14*1000000000/J6</f>
        <v>70460.704607046064</v>
      </c>
      <c r="K15" s="51"/>
      <c r="L15" s="51"/>
      <c r="M15" s="51">
        <f>M14*1000000000/M6</f>
        <v>27146.250424160164</v>
      </c>
      <c r="N15" s="52"/>
      <c r="O15" s="2"/>
      <c r="P15" s="636" t="s">
        <v>79</v>
      </c>
      <c r="Q15" s="636"/>
      <c r="R15" s="636"/>
      <c r="S15" s="636"/>
      <c r="T15" s="636"/>
      <c r="U15" s="636"/>
      <c r="V15" s="636"/>
      <c r="W15" s="636"/>
      <c r="X15" s="66" t="s">
        <v>80</v>
      </c>
      <c r="Z15" s="66"/>
    </row>
    <row r="16" spans="1:26" ht="15" customHeight="1" x14ac:dyDescent="0.25">
      <c r="B16" s="28" t="s">
        <v>81</v>
      </c>
      <c r="C16" s="29" t="s">
        <v>82</v>
      </c>
      <c r="D16" s="30"/>
      <c r="E16" s="31">
        <v>144224</v>
      </c>
      <c r="F16" s="32">
        <v>937560</v>
      </c>
      <c r="G16" s="32">
        <v>969337</v>
      </c>
      <c r="H16" s="32">
        <f>SUM(F16:G16)</f>
        <v>1906897</v>
      </c>
      <c r="I16" s="32">
        <v>10963</v>
      </c>
      <c r="J16" s="32">
        <v>574141</v>
      </c>
      <c r="K16" s="32">
        <v>19373</v>
      </c>
      <c r="L16" s="32">
        <v>539435</v>
      </c>
      <c r="M16" s="32">
        <f>SUM(K16:L16)</f>
        <v>558808</v>
      </c>
      <c r="N16" s="33">
        <f t="shared" ref="N16:N21" si="2">SUM(E16,H16,I16,J16,M16)</f>
        <v>3195033</v>
      </c>
      <c r="O16" s="2" t="s">
        <v>83</v>
      </c>
      <c r="P16" s="629" t="s">
        <v>84</v>
      </c>
      <c r="Q16" s="629"/>
      <c r="R16" s="629"/>
      <c r="S16" s="629"/>
      <c r="T16" s="629"/>
      <c r="U16" s="629"/>
      <c r="V16" s="629"/>
      <c r="W16" s="629"/>
    </row>
    <row r="17" spans="2:23" x14ac:dyDescent="0.25">
      <c r="B17" s="35" t="s">
        <v>85</v>
      </c>
      <c r="C17" t="s">
        <v>82</v>
      </c>
      <c r="D17" s="67"/>
      <c r="E17" s="36">
        <v>1112024</v>
      </c>
      <c r="F17" s="2">
        <v>11497729</v>
      </c>
      <c r="G17" s="2">
        <v>11008004</v>
      </c>
      <c r="H17" s="44">
        <f>SUM(F17:G17)</f>
        <v>22505733</v>
      </c>
      <c r="I17" s="2">
        <v>178189</v>
      </c>
      <c r="J17" s="2">
        <v>6322456</v>
      </c>
      <c r="K17" s="2">
        <v>216636</v>
      </c>
      <c r="L17" s="2">
        <v>5970943</v>
      </c>
      <c r="M17" s="44">
        <f>SUM(K17:L17)</f>
        <v>6187579</v>
      </c>
      <c r="N17" s="40">
        <f t="shared" si="2"/>
        <v>36305981</v>
      </c>
      <c r="O17" s="2" t="s">
        <v>83</v>
      </c>
      <c r="P17" s="629"/>
      <c r="Q17" s="629"/>
      <c r="R17" s="629"/>
      <c r="S17" s="629"/>
      <c r="T17" s="629"/>
      <c r="U17" s="629"/>
      <c r="V17" s="629"/>
      <c r="W17" s="629"/>
    </row>
    <row r="18" spans="2:23" x14ac:dyDescent="0.25">
      <c r="B18" s="35" t="s">
        <v>86</v>
      </c>
      <c r="C18" t="s">
        <v>82</v>
      </c>
      <c r="D18" s="67"/>
      <c r="E18" s="36">
        <v>1126574</v>
      </c>
      <c r="F18" s="2">
        <v>11898562</v>
      </c>
      <c r="G18" s="2">
        <v>11521698</v>
      </c>
      <c r="H18" s="44">
        <f>SUM(F18:G18)</f>
        <v>23420260</v>
      </c>
      <c r="I18" s="2">
        <v>181285</v>
      </c>
      <c r="J18" s="2">
        <v>6546110</v>
      </c>
      <c r="K18" s="2">
        <v>217557</v>
      </c>
      <c r="L18" s="2">
        <v>6043818</v>
      </c>
      <c r="M18" s="44">
        <f>SUM(K18:L18)</f>
        <v>6261375</v>
      </c>
      <c r="N18" s="40">
        <f t="shared" si="2"/>
        <v>37535604</v>
      </c>
      <c r="O18" s="2" t="s">
        <v>83</v>
      </c>
      <c r="P18" s="629"/>
      <c r="Q18" s="629"/>
      <c r="R18" s="629"/>
      <c r="S18" s="629"/>
      <c r="T18" s="629"/>
      <c r="U18" s="629"/>
      <c r="V18" s="629"/>
      <c r="W18" s="629"/>
    </row>
    <row r="19" spans="2:23" x14ac:dyDescent="0.25">
      <c r="B19" s="35" t="s">
        <v>81</v>
      </c>
      <c r="C19" t="s">
        <v>87</v>
      </c>
      <c r="D19" t="s">
        <v>88</v>
      </c>
      <c r="E19" s="58">
        <f t="shared" ref="E19:M21" si="3">E16*$C$34/1000000</f>
        <v>1677.32512</v>
      </c>
      <c r="F19" s="68">
        <f t="shared" si="3"/>
        <v>10903.8228</v>
      </c>
      <c r="G19" s="68">
        <f t="shared" si="3"/>
        <v>11273.38931</v>
      </c>
      <c r="H19" s="68">
        <f>H16*$C$34/1000000</f>
        <v>22177.21211</v>
      </c>
      <c r="I19" s="68">
        <f t="shared" si="3"/>
        <v>127.49969</v>
      </c>
      <c r="J19" s="68">
        <f t="shared" si="3"/>
        <v>6677.25983</v>
      </c>
      <c r="K19" s="68">
        <f t="shared" si="3"/>
        <v>225.30798999999999</v>
      </c>
      <c r="L19" s="68">
        <f t="shared" si="3"/>
        <v>6273.6290499999996</v>
      </c>
      <c r="M19" s="68">
        <f t="shared" si="3"/>
        <v>6498.9370399999998</v>
      </c>
      <c r="N19" s="40">
        <f t="shared" si="2"/>
        <v>37158.233789999998</v>
      </c>
      <c r="O19" s="25">
        <f>N16/N18</f>
        <v>8.5120063606809154E-2</v>
      </c>
      <c r="P19" s="17">
        <f>N19/12.7</f>
        <v>2925.8451803149605</v>
      </c>
      <c r="Q19" s="17">
        <v>1115.8628765765766</v>
      </c>
    </row>
    <row r="20" spans="2:23" x14ac:dyDescent="0.25">
      <c r="B20" s="35" t="s">
        <v>85</v>
      </c>
      <c r="C20" t="s">
        <v>87</v>
      </c>
      <c r="D20" t="s">
        <v>88</v>
      </c>
      <c r="E20" s="58">
        <f t="shared" si="3"/>
        <v>12932.839120000001</v>
      </c>
      <c r="F20" s="68">
        <f t="shared" si="3"/>
        <v>133718.58827000001</v>
      </c>
      <c r="G20" s="68">
        <f t="shared" si="3"/>
        <v>128023.08652</v>
      </c>
      <c r="H20" s="68">
        <f>H17*$C$34/1000000</f>
        <v>261741.67478999999</v>
      </c>
      <c r="I20" s="68">
        <f t="shared" si="3"/>
        <v>2072.3380699999998</v>
      </c>
      <c r="J20" s="68">
        <f t="shared" si="3"/>
        <v>73530.163279999993</v>
      </c>
      <c r="K20" s="68">
        <f t="shared" si="3"/>
        <v>2519.4766800000002</v>
      </c>
      <c r="L20" s="68">
        <f t="shared" si="3"/>
        <v>69442.067089999997</v>
      </c>
      <c r="M20" s="68">
        <f t="shared" si="3"/>
        <v>71961.543770000004</v>
      </c>
      <c r="N20" s="40">
        <f t="shared" si="2"/>
        <v>422238.55902999995</v>
      </c>
      <c r="O20" s="2"/>
      <c r="P20" s="69">
        <f>N19</f>
        <v>37158.233789999998</v>
      </c>
      <c r="Q20" t="s">
        <v>87</v>
      </c>
    </row>
    <row r="21" spans="2:23" ht="15.75" thickBot="1" x14ac:dyDescent="0.3">
      <c r="B21" s="46" t="s">
        <v>86</v>
      </c>
      <c r="C21" s="47" t="s">
        <v>87</v>
      </c>
      <c r="D21" s="47" t="s">
        <v>88</v>
      </c>
      <c r="E21" s="58">
        <f t="shared" si="3"/>
        <v>13102.055619999999</v>
      </c>
      <c r="F21" s="56">
        <f t="shared" si="3"/>
        <v>138380.27606</v>
      </c>
      <c r="G21" s="56">
        <f t="shared" si="3"/>
        <v>133997.34774</v>
      </c>
      <c r="H21" s="56">
        <f>H18*$C$34/1000000</f>
        <v>272377.6238</v>
      </c>
      <c r="I21" s="56">
        <f t="shared" si="3"/>
        <v>2108.3445499999998</v>
      </c>
      <c r="J21" s="56">
        <f t="shared" si="3"/>
        <v>76131.259300000005</v>
      </c>
      <c r="K21" s="56">
        <f t="shared" si="3"/>
        <v>2530.1879100000001</v>
      </c>
      <c r="L21" s="56">
        <f t="shared" si="3"/>
        <v>70289.603340000001</v>
      </c>
      <c r="M21" s="56">
        <f t="shared" si="3"/>
        <v>72819.791249999995</v>
      </c>
      <c r="N21" s="40">
        <f t="shared" si="2"/>
        <v>436539.07452000002</v>
      </c>
      <c r="O21" s="2"/>
      <c r="P21" s="71">
        <v>33.299999999999997</v>
      </c>
      <c r="Q21" t="s">
        <v>89</v>
      </c>
    </row>
    <row r="22" spans="2:23" ht="45" x14ac:dyDescent="0.25">
      <c r="B22" s="72" t="s">
        <v>90</v>
      </c>
      <c r="C22" t="s">
        <v>91</v>
      </c>
      <c r="D22" s="3" t="s">
        <v>92</v>
      </c>
      <c r="E22" s="53">
        <f t="shared" ref="E22:N22" si="4">(E19/E21)*E5</f>
        <v>120.5948370901512</v>
      </c>
      <c r="F22" s="54">
        <f t="shared" si="4"/>
        <v>755.81196450461835</v>
      </c>
      <c r="G22" s="54">
        <f t="shared" si="4"/>
        <v>801.52019250981937</v>
      </c>
      <c r="H22" s="54">
        <f>(H19/H21)*H5</f>
        <v>1556.6848422263458</v>
      </c>
      <c r="I22" s="54">
        <f t="shared" si="4"/>
        <v>8.9501282510963414</v>
      </c>
      <c r="J22" s="54">
        <f t="shared" si="4"/>
        <v>478.35508630316326</v>
      </c>
      <c r="K22" s="54">
        <f t="shared" si="4"/>
        <v>15.672435269837329</v>
      </c>
      <c r="L22" s="54">
        <f t="shared" si="4"/>
        <v>448.1443906815195</v>
      </c>
      <c r="M22" s="54">
        <f t="shared" si="4"/>
        <v>463.81588325248049</v>
      </c>
      <c r="N22" s="33">
        <f t="shared" si="4"/>
        <v>2626.8051629061301</v>
      </c>
      <c r="O22" s="2"/>
      <c r="P22" s="73">
        <f>P20/P21</f>
        <v>1115.8628765765766</v>
      </c>
      <c r="Q22" t="s">
        <v>93</v>
      </c>
    </row>
    <row r="23" spans="2:23" x14ac:dyDescent="0.25">
      <c r="B23" s="35" t="s">
        <v>94</v>
      </c>
      <c r="C23" t="s">
        <v>95</v>
      </c>
      <c r="D23" s="57" t="s">
        <v>52</v>
      </c>
      <c r="E23" s="55">
        <f t="shared" ref="E23:M23" si="5">(E22*1000)/E7</f>
        <v>8.2037304142960004</v>
      </c>
      <c r="F23" s="59">
        <f t="shared" si="5"/>
        <v>0.51372867608254957</v>
      </c>
      <c r="G23" s="59">
        <f t="shared" si="5"/>
        <v>0.7921944057146445</v>
      </c>
      <c r="H23" s="59">
        <f>(H22*1000)/H7</f>
        <v>0.62693710923332491</v>
      </c>
      <c r="I23" s="59">
        <f t="shared" si="5"/>
        <v>0.11258022957353889</v>
      </c>
      <c r="J23" s="59">
        <f t="shared" si="5"/>
        <v>12.963552474340467</v>
      </c>
      <c r="K23" s="106">
        <f t="shared" si="5"/>
        <v>1.6491880344877621</v>
      </c>
      <c r="L23" s="106">
        <f t="shared" si="5"/>
        <v>1.5713509698739339</v>
      </c>
      <c r="M23" s="106">
        <f t="shared" si="5"/>
        <v>1.5738577646843586</v>
      </c>
      <c r="N23" s="45"/>
      <c r="O23" s="2"/>
      <c r="P23">
        <v>9</v>
      </c>
      <c r="Q23" t="s">
        <v>96</v>
      </c>
    </row>
    <row r="24" spans="2:23" x14ac:dyDescent="0.25">
      <c r="B24" s="35" t="s">
        <v>97</v>
      </c>
      <c r="C24" t="s">
        <v>98</v>
      </c>
      <c r="D24" s="57" t="s">
        <v>52</v>
      </c>
      <c r="E24" s="55">
        <v>241.1896741803024</v>
      </c>
      <c r="F24" s="59"/>
      <c r="G24" s="59"/>
      <c r="H24" s="59">
        <v>42.766067094130378</v>
      </c>
      <c r="I24" s="107">
        <v>29.833760836987807</v>
      </c>
      <c r="J24" s="59">
        <v>183.98272550121663</v>
      </c>
      <c r="K24" s="59"/>
      <c r="L24" s="59"/>
      <c r="M24" s="59">
        <v>57.976985406560061</v>
      </c>
      <c r="N24" s="45"/>
      <c r="O24" s="2"/>
      <c r="P24" s="17">
        <f>P23*P22</f>
        <v>10042.76588918919</v>
      </c>
      <c r="Q24" t="s">
        <v>99</v>
      </c>
    </row>
    <row r="25" spans="2:23" ht="15.75" thickBot="1" x14ac:dyDescent="0.3">
      <c r="B25" s="46" t="s">
        <v>97</v>
      </c>
      <c r="C25" s="47" t="s">
        <v>98</v>
      </c>
      <c r="D25" s="47" t="s">
        <v>100</v>
      </c>
      <c r="E25" s="75">
        <f>E24/$B$45</f>
        <v>884.36213866110893</v>
      </c>
      <c r="F25" s="70"/>
      <c r="G25" s="70"/>
      <c r="H25" s="76">
        <f>H24/$B$45</f>
        <v>156.80891267847807</v>
      </c>
      <c r="I25" s="51">
        <f>I24/$B$45</f>
        <v>109.39045640228863</v>
      </c>
      <c r="J25" s="70">
        <f>J24/$B$45</f>
        <v>674.60332683779438</v>
      </c>
      <c r="K25" s="70"/>
      <c r="L25" s="70"/>
      <c r="M25" s="70">
        <f>M24/$B$45</f>
        <v>212.58227982405359</v>
      </c>
      <c r="N25" s="110"/>
      <c r="O25" s="2"/>
      <c r="P25" s="6">
        <f>P24*1000</f>
        <v>10042765.889189189</v>
      </c>
      <c r="Q25" t="s">
        <v>101</v>
      </c>
    </row>
    <row r="26" spans="2:23" x14ac:dyDescent="0.25">
      <c r="B26" s="28" t="s">
        <v>102</v>
      </c>
      <c r="C26" s="29"/>
      <c r="D26" s="30"/>
      <c r="E26" s="108" t="s">
        <v>103</v>
      </c>
      <c r="F26" s="108" t="s">
        <v>104</v>
      </c>
      <c r="G26" s="108" t="s">
        <v>103</v>
      </c>
      <c r="H26" s="108"/>
      <c r="I26" s="108" t="s">
        <v>104</v>
      </c>
      <c r="J26" s="108" t="s">
        <v>103</v>
      </c>
      <c r="K26" s="108" t="s">
        <v>104</v>
      </c>
      <c r="L26" s="108" t="s">
        <v>103</v>
      </c>
      <c r="M26" s="108"/>
      <c r="N26" s="109"/>
      <c r="P26" s="77">
        <v>0.57720057720057716</v>
      </c>
      <c r="Q26" t="s">
        <v>105</v>
      </c>
    </row>
    <row r="27" spans="2:23" x14ac:dyDescent="0.25">
      <c r="B27" s="35" t="s">
        <v>106</v>
      </c>
      <c r="C27" s="57" t="s">
        <v>107</v>
      </c>
      <c r="D27" s="67"/>
      <c r="E27" s="17">
        <v>0.84126984126984128</v>
      </c>
      <c r="F27" s="17">
        <v>0.7421875</v>
      </c>
      <c r="G27" s="17">
        <v>0.84126984126984128</v>
      </c>
      <c r="H27" s="17"/>
      <c r="I27" s="17">
        <v>0.7421875</v>
      </c>
      <c r="J27" s="17">
        <v>0.84126984126984128</v>
      </c>
      <c r="K27" s="17">
        <v>0.7421875</v>
      </c>
      <c r="L27" s="17">
        <v>0.84126984126984128</v>
      </c>
      <c r="M27" s="17"/>
      <c r="N27" s="78"/>
      <c r="P27" s="17">
        <f>P26*P25</f>
        <v>5796690.2679302674</v>
      </c>
      <c r="Q27" t="s">
        <v>108</v>
      </c>
    </row>
    <row r="28" spans="2:23" x14ac:dyDescent="0.25">
      <c r="B28" s="35" t="s">
        <v>109</v>
      </c>
      <c r="C28" s="57" t="s">
        <v>110</v>
      </c>
      <c r="D28" s="67"/>
      <c r="E28" s="2">
        <f>(E19/E7)*1000000</f>
        <v>114103.74965986394</v>
      </c>
      <c r="F28" s="2">
        <f t="shared" ref="F28:L28" si="6">(F19/F7)*1000000</f>
        <v>7411.3757314680497</v>
      </c>
      <c r="G28" s="2">
        <f t="shared" si="6"/>
        <v>11142.222027944563</v>
      </c>
      <c r="H28" s="2"/>
      <c r="I28" s="2">
        <f t="shared" si="6"/>
        <v>1603.7696855345912</v>
      </c>
      <c r="J28" s="2">
        <f t="shared" si="6"/>
        <v>180955.55094850948</v>
      </c>
      <c r="K28" s="2">
        <f t="shared" si="6"/>
        <v>23708.83878509999</v>
      </c>
      <c r="L28" s="2">
        <f t="shared" si="6"/>
        <v>21997.537618076694</v>
      </c>
      <c r="M28" s="79"/>
      <c r="N28" s="45"/>
    </row>
    <row r="29" spans="2:23" x14ac:dyDescent="0.25">
      <c r="B29" s="35" t="s">
        <v>111</v>
      </c>
      <c r="C29" s="57" t="s">
        <v>112</v>
      </c>
      <c r="D29" s="67"/>
      <c r="E29" s="80">
        <v>10.6</v>
      </c>
      <c r="F29" s="80">
        <v>9.5</v>
      </c>
      <c r="G29" s="80">
        <v>10.6</v>
      </c>
      <c r="H29" s="80"/>
      <c r="I29" s="80">
        <v>9.5</v>
      </c>
      <c r="J29" s="80">
        <v>10.6</v>
      </c>
      <c r="K29" s="80">
        <v>9.5</v>
      </c>
      <c r="L29" s="80">
        <v>10.6</v>
      </c>
      <c r="M29" s="80"/>
      <c r="N29" s="81"/>
    </row>
    <row r="30" spans="2:23" x14ac:dyDescent="0.25">
      <c r="B30" s="35" t="s">
        <v>109</v>
      </c>
      <c r="C30" s="57" t="s">
        <v>113</v>
      </c>
      <c r="D30" s="67"/>
      <c r="E30" s="6">
        <f>E28/E29</f>
        <v>10764.504684892825</v>
      </c>
      <c r="F30" s="6">
        <f t="shared" ref="F30:L30" si="7">F28/F29</f>
        <v>780.14481383874204</v>
      </c>
      <c r="G30" s="6">
        <f t="shared" si="7"/>
        <v>1051.1530215042042</v>
      </c>
      <c r="H30" s="6"/>
      <c r="I30" s="6">
        <f t="shared" si="7"/>
        <v>168.81786163522011</v>
      </c>
      <c r="J30" s="6">
        <f t="shared" si="7"/>
        <v>17071.278391368818</v>
      </c>
      <c r="K30" s="6">
        <f t="shared" si="7"/>
        <v>2495.6672405368408</v>
      </c>
      <c r="L30" s="6">
        <f t="shared" si="7"/>
        <v>2075.2393979317635</v>
      </c>
      <c r="M30" s="6"/>
      <c r="N30" s="82"/>
    </row>
    <row r="31" spans="2:23" x14ac:dyDescent="0.25">
      <c r="B31" s="83" t="s">
        <v>114</v>
      </c>
      <c r="C31" s="57" t="s">
        <v>115</v>
      </c>
      <c r="D31" s="67" t="s">
        <v>116</v>
      </c>
      <c r="E31" s="17">
        <f>E30/(E13/100)</f>
        <v>47.538380148959121</v>
      </c>
      <c r="F31" s="17"/>
      <c r="G31" s="17"/>
      <c r="H31" s="17"/>
      <c r="I31" s="17">
        <f>I30/(I13/100)</f>
        <v>2.1981492400419285</v>
      </c>
      <c r="J31" s="17">
        <f>J30/(J13/100)</f>
        <v>32.603037858716014</v>
      </c>
      <c r="K31" s="17"/>
      <c r="L31" s="17"/>
      <c r="M31" s="17"/>
      <c r="N31" s="78"/>
    </row>
    <row r="32" spans="2:23" ht="15.75" thickBot="1" x14ac:dyDescent="0.3">
      <c r="B32" s="84" t="s">
        <v>114</v>
      </c>
      <c r="C32" s="47" t="s">
        <v>117</v>
      </c>
      <c r="D32" s="74">
        <f>4.545/(8/500)</f>
        <v>284.0625</v>
      </c>
      <c r="E32" s="85">
        <f>$D$32/E31</f>
        <v>5.9754349876858335</v>
      </c>
      <c r="F32" s="85"/>
      <c r="G32" s="85"/>
      <c r="H32" s="85"/>
      <c r="I32" s="85">
        <f>$D$32/I31</f>
        <v>129.22803184854803</v>
      </c>
      <c r="J32" s="85">
        <f>$D$32/J31</f>
        <v>8.7127617135241717</v>
      </c>
      <c r="K32" s="85"/>
      <c r="L32" s="85"/>
      <c r="M32" s="85"/>
      <c r="N32" s="86"/>
    </row>
    <row r="33" spans="2:16" ht="15.75" thickBot="1" x14ac:dyDescent="0.3">
      <c r="B33" s="87" t="s">
        <v>118</v>
      </c>
      <c r="C33" s="88" t="s">
        <v>119</v>
      </c>
      <c r="D33" s="89"/>
      <c r="E33" s="90">
        <f>E19/$C$35</f>
        <v>132.0728440944882</v>
      </c>
      <c r="F33" s="90">
        <f t="shared" ref="F33:L33" si="8">F19/$C$35</f>
        <v>858.56872440944881</v>
      </c>
      <c r="G33" s="90">
        <f t="shared" si="8"/>
        <v>887.6684496062993</v>
      </c>
      <c r="H33" s="90"/>
      <c r="I33" s="90">
        <f t="shared" si="8"/>
        <v>10.03934566929134</v>
      </c>
      <c r="J33" s="90">
        <f t="shared" si="8"/>
        <v>525.76849055118112</v>
      </c>
      <c r="K33" s="90">
        <f t="shared" si="8"/>
        <v>17.740786614173228</v>
      </c>
      <c r="L33" s="90">
        <f t="shared" si="8"/>
        <v>493.98653937007873</v>
      </c>
      <c r="M33" s="90"/>
      <c r="N33" s="91">
        <f>N19/$C$35</f>
        <v>2925.8451803149605</v>
      </c>
    </row>
    <row r="34" spans="2:16" ht="15.75" thickBot="1" x14ac:dyDescent="0.3">
      <c r="B34" s="46" t="s">
        <v>120</v>
      </c>
      <c r="C34" s="92">
        <v>11630</v>
      </c>
      <c r="D34" s="74" t="s">
        <v>110</v>
      </c>
    </row>
    <row r="35" spans="2:16" ht="15.75" thickBot="1" x14ac:dyDescent="0.3">
      <c r="B35" s="93" t="s">
        <v>121</v>
      </c>
      <c r="C35" s="29">
        <v>12.7</v>
      </c>
      <c r="D35" s="30" t="s">
        <v>122</v>
      </c>
    </row>
    <row r="36" spans="2:16" x14ac:dyDescent="0.25">
      <c r="B36" s="93" t="s">
        <v>123</v>
      </c>
      <c r="C36" s="94" t="s">
        <v>124</v>
      </c>
      <c r="D36" s="29"/>
      <c r="E36" s="95">
        <v>0.877</v>
      </c>
      <c r="F36" s="637">
        <v>222.10900000000001</v>
      </c>
      <c r="G36" s="637"/>
      <c r="H36" s="95">
        <f>F36</f>
        <v>222.10900000000001</v>
      </c>
      <c r="I36" s="95">
        <v>6.9459999999999997</v>
      </c>
      <c r="J36" s="95">
        <v>4.8940000000000001</v>
      </c>
      <c r="K36" s="637">
        <v>29.382000000000001</v>
      </c>
      <c r="L36" s="637"/>
      <c r="M36" s="95">
        <f>K36</f>
        <v>29.382000000000001</v>
      </c>
      <c r="N36" s="30"/>
      <c r="P36" t="s">
        <v>125</v>
      </c>
    </row>
    <row r="37" spans="2:16" ht="15.75" thickBot="1" x14ac:dyDescent="0.3">
      <c r="B37" s="84"/>
      <c r="C37" s="47" t="s">
        <v>126</v>
      </c>
      <c r="D37" s="47"/>
      <c r="E37" s="96">
        <f>E36*1000</f>
        <v>877</v>
      </c>
      <c r="F37" s="96">
        <f>ROUND(F36*1000*(F7/SUM(F7:G7)),0)</f>
        <v>131604</v>
      </c>
      <c r="G37" s="96">
        <f>F36*1000-F37</f>
        <v>90505</v>
      </c>
      <c r="H37" s="96">
        <f>H36*1000</f>
        <v>222109</v>
      </c>
      <c r="I37" s="96">
        <f>I36*1000</f>
        <v>6946</v>
      </c>
      <c r="J37" s="96">
        <f>J36*1000</f>
        <v>4894</v>
      </c>
      <c r="K37" s="96">
        <f>ROUND(K36*1000*(K7/SUM(K7:L7)),0)</f>
        <v>947</v>
      </c>
      <c r="L37" s="96">
        <f>K36*1000-K37</f>
        <v>28435</v>
      </c>
      <c r="M37" s="96">
        <f>M36*1000</f>
        <v>29382</v>
      </c>
      <c r="N37" s="74"/>
    </row>
    <row r="38" spans="2:16" x14ac:dyDescent="0.25">
      <c r="B38" s="93" t="s">
        <v>127</v>
      </c>
      <c r="C38" s="29"/>
      <c r="D38" s="29"/>
      <c r="E38" s="97">
        <f>(E22/E14)/$B$45</f>
        <v>884.36213866110893</v>
      </c>
      <c r="F38" s="97"/>
      <c r="G38" s="97"/>
      <c r="H38" s="97">
        <f>(H22/H14)/$B$45</f>
        <v>156.80891267847809</v>
      </c>
      <c r="I38" s="97">
        <f>(I22/I14)/$B$45</f>
        <v>109.39045640228863</v>
      </c>
      <c r="J38" s="97">
        <f>(J22/J14)/$B$45</f>
        <v>674.60332683779438</v>
      </c>
      <c r="K38" s="97"/>
      <c r="L38" s="97"/>
      <c r="M38" s="97">
        <f>(M22/M14)/$B$45</f>
        <v>212.58227982405359</v>
      </c>
      <c r="N38" s="30"/>
    </row>
    <row r="39" spans="2:16" ht="15.75" thickBot="1" x14ac:dyDescent="0.3">
      <c r="B39" s="84" t="s">
        <v>128</v>
      </c>
      <c r="C39" s="47"/>
      <c r="D39" s="47"/>
      <c r="E39" s="98">
        <f>(E5/E12)/$B$45</f>
        <v>921.45694055725721</v>
      </c>
      <c r="F39" s="98"/>
      <c r="G39" s="98"/>
      <c r="H39" s="98">
        <f>(H5/H12)/$B$45</f>
        <v>164.14615028975291</v>
      </c>
      <c r="I39" s="98">
        <f>(I5/I12)/$B$45</f>
        <v>121.22703661821625</v>
      </c>
      <c r="J39" s="98">
        <f>(J5/J12)/$B$45</f>
        <v>702.35452859789996</v>
      </c>
      <c r="K39" s="98"/>
      <c r="L39" s="98"/>
      <c r="M39" s="98">
        <f>(M5/M12)/$B$45</f>
        <v>229.64729635510528</v>
      </c>
      <c r="N39" s="74"/>
    </row>
    <row r="40" spans="2:16" ht="27" thickBot="1" x14ac:dyDescent="0.3">
      <c r="B40" s="99" t="s">
        <v>129</v>
      </c>
      <c r="C40" s="638" t="s">
        <v>130</v>
      </c>
      <c r="D40" s="638"/>
      <c r="E40" s="100">
        <v>30</v>
      </c>
      <c r="F40" s="101"/>
      <c r="G40" s="101"/>
      <c r="H40" s="101">
        <v>11237</v>
      </c>
      <c r="I40" s="101">
        <v>28</v>
      </c>
      <c r="J40" s="101">
        <v>10</v>
      </c>
      <c r="K40" s="101"/>
      <c r="L40" s="101"/>
      <c r="M40" s="101">
        <v>496</v>
      </c>
      <c r="N40" s="102">
        <f>SUM(E40:M40)</f>
        <v>11801</v>
      </c>
      <c r="P40" t="s">
        <v>131</v>
      </c>
    </row>
    <row r="41" spans="2:16" ht="30" x14ac:dyDescent="0.25">
      <c r="B41" s="103"/>
      <c r="C41" s="57"/>
      <c r="D41" s="57"/>
      <c r="E41" s="27" t="s">
        <v>41</v>
      </c>
      <c r="F41" s="27" t="s">
        <v>42</v>
      </c>
      <c r="G41" s="27" t="s">
        <v>43</v>
      </c>
      <c r="H41" s="27" t="s">
        <v>2</v>
      </c>
      <c r="I41" s="27" t="s">
        <v>3</v>
      </c>
      <c r="J41" s="27" t="s">
        <v>44</v>
      </c>
      <c r="K41" s="27" t="s">
        <v>45</v>
      </c>
      <c r="L41" s="27" t="s">
        <v>46</v>
      </c>
      <c r="M41" s="27" t="s">
        <v>47</v>
      </c>
      <c r="N41" s="27" t="s">
        <v>48</v>
      </c>
    </row>
    <row r="42" spans="2:16" x14ac:dyDescent="0.25">
      <c r="B42" s="103" t="s">
        <v>132</v>
      </c>
      <c r="C42" s="57"/>
      <c r="D42" s="57" t="s">
        <v>133</v>
      </c>
      <c r="E42" s="26">
        <f>E19/$N$19</f>
        <v>4.5140065845955271E-2</v>
      </c>
      <c r="F42" s="26">
        <f t="shared" ref="F42:N42" si="9">F19/$N$19</f>
        <v>0.29344297852322654</v>
      </c>
      <c r="G42" s="26">
        <f t="shared" si="9"/>
        <v>0.30338872869231714</v>
      </c>
      <c r="H42" s="26">
        <f t="shared" si="9"/>
        <v>0.59683170721554368</v>
      </c>
      <c r="I42" s="26">
        <f t="shared" si="9"/>
        <v>3.4312634642584289E-3</v>
      </c>
      <c r="J42" s="26">
        <f t="shared" si="9"/>
        <v>0.17969798746992599</v>
      </c>
      <c r="K42" s="26">
        <f t="shared" si="9"/>
        <v>6.0634741487803102E-3</v>
      </c>
      <c r="L42" s="26">
        <f t="shared" si="9"/>
        <v>0.16883550185553639</v>
      </c>
      <c r="M42" s="26">
        <f t="shared" si="9"/>
        <v>0.1748989760043167</v>
      </c>
      <c r="N42" s="26">
        <f t="shared" si="9"/>
        <v>1</v>
      </c>
    </row>
    <row r="43" spans="2:16" ht="15.75" thickBot="1" x14ac:dyDescent="0.3">
      <c r="B43" s="103"/>
      <c r="C43" s="57"/>
      <c r="D43" s="57" t="s">
        <v>134</v>
      </c>
      <c r="E43" s="26">
        <f>E19/SUM($E$19,$G$19,$J$19,$L$19)</f>
        <v>6.4757578900624432E-2</v>
      </c>
      <c r="F43" s="26"/>
      <c r="G43" s="26">
        <f>G19/SUM($E$19,$G$19,$J$19,$L$19)</f>
        <v>0.43523905354722231</v>
      </c>
      <c r="H43" s="26">
        <f>G43</f>
        <v>0.43523905354722231</v>
      </c>
      <c r="I43" s="26"/>
      <c r="J43" s="26">
        <f>J19/SUM($E$19,$G$19,$J$19,$L$19)</f>
        <v>0.25779330144485951</v>
      </c>
      <c r="K43" s="26"/>
      <c r="L43" s="26">
        <f>L19/SUM($E$19,$G$19,$J$19,$L$19)</f>
        <v>0.24221006610729379</v>
      </c>
      <c r="M43" s="26">
        <f>L43</f>
        <v>0.24221006610729379</v>
      </c>
      <c r="N43" s="26">
        <f>SUM(E43:M43)</f>
        <v>1.6774491196545163</v>
      </c>
    </row>
    <row r="44" spans="2:16" x14ac:dyDescent="0.25">
      <c r="B44" s="104" t="s">
        <v>139</v>
      </c>
      <c r="C44" s="57"/>
      <c r="D44" s="57" t="s">
        <v>135</v>
      </c>
      <c r="E44" s="26"/>
      <c r="F44" s="26">
        <f>F19/(SUM($F$19,$I$19,$K$19))</f>
        <v>0.96865778967988292</v>
      </c>
      <c r="G44" s="26"/>
      <c r="H44" s="26">
        <f>F44</f>
        <v>0.96865778967988292</v>
      </c>
      <c r="I44" s="26">
        <f>I19/(SUM($F$19,$I$19,$K$19))</f>
        <v>1.132663013381603E-2</v>
      </c>
      <c r="J44" s="26"/>
      <c r="K44" s="26">
        <f>K19/(SUM($F$19,$I$19,$K$19))</f>
        <v>2.0015580186301007E-2</v>
      </c>
      <c r="L44" s="26"/>
      <c r="M44" s="26">
        <f>K44</f>
        <v>2.0015580186301007E-2</v>
      </c>
      <c r="N44" s="26">
        <f>SUM(E44:M44)</f>
        <v>1.9886733698661838</v>
      </c>
    </row>
    <row r="45" spans="2:16" ht="15.75" thickBot="1" x14ac:dyDescent="0.3">
      <c r="B45" s="105">
        <v>0.27272727272727271</v>
      </c>
      <c r="C45" s="57"/>
      <c r="D45" s="57"/>
      <c r="E45" s="26"/>
      <c r="F45" s="26"/>
      <c r="G45" s="26"/>
      <c r="H45" s="26"/>
      <c r="I45" s="26"/>
      <c r="J45" s="26"/>
      <c r="K45" s="26"/>
      <c r="L45" s="26"/>
      <c r="M45" s="26"/>
      <c r="N45" s="26"/>
    </row>
    <row r="51" spans="2:14" x14ac:dyDescent="0.25">
      <c r="B51" t="s">
        <v>136</v>
      </c>
    </row>
    <row r="52" spans="2:14" x14ac:dyDescent="0.25">
      <c r="B52" t="s">
        <v>137</v>
      </c>
    </row>
    <row r="53" spans="2:14" x14ac:dyDescent="0.25">
      <c r="B53" t="s">
        <v>138</v>
      </c>
    </row>
    <row r="57" spans="2:14" x14ac:dyDescent="0.25">
      <c r="E57" s="6"/>
      <c r="L57" t="s">
        <v>1</v>
      </c>
      <c r="N57" s="2">
        <v>14700</v>
      </c>
    </row>
    <row r="58" spans="2:14" x14ac:dyDescent="0.25">
      <c r="E58" s="17"/>
      <c r="L58" t="s">
        <v>42</v>
      </c>
      <c r="N58" s="2">
        <v>1471227.9062716153</v>
      </c>
    </row>
    <row r="59" spans="2:14" x14ac:dyDescent="0.25">
      <c r="E59" s="6"/>
      <c r="L59" t="s">
        <v>43</v>
      </c>
      <c r="N59" s="2">
        <v>1011772.0937283848</v>
      </c>
    </row>
    <row r="60" spans="2:14" x14ac:dyDescent="0.25">
      <c r="E60" s="17"/>
      <c r="L60" t="s">
        <v>3</v>
      </c>
      <c r="N60" s="2">
        <v>79500</v>
      </c>
    </row>
    <row r="61" spans="2:14" x14ac:dyDescent="0.25">
      <c r="E61" s="17"/>
      <c r="L61" t="s">
        <v>44</v>
      </c>
      <c r="N61" s="2">
        <v>36900</v>
      </c>
    </row>
    <row r="62" spans="2:14" x14ac:dyDescent="0.25">
      <c r="L62" t="s">
        <v>45</v>
      </c>
      <c r="N62" s="2">
        <v>9503.1221074225105</v>
      </c>
    </row>
    <row r="63" spans="2:14" x14ac:dyDescent="0.25">
      <c r="L63" t="s">
        <v>46</v>
      </c>
      <c r="N63" s="2">
        <v>285196.8778925775</v>
      </c>
    </row>
  </sheetData>
  <sheetProtection algorithmName="SHA-512" hashValue="wTrf7+chcY2mVDUy8enTTrqE+01d/aBG5UX4JlkDyP7537OB2IxOQ3ro7Hc/a5UOZNQgiKmVHCLgkZDgfn1Clw==" saltValue="1kclTinZTxBc+/RBbc8ptw==" spinCount="100000" sheet="1" objects="1" scenarios="1"/>
  <mergeCells count="11">
    <mergeCell ref="P14:W14"/>
    <mergeCell ref="F6:G6"/>
    <mergeCell ref="K6:L6"/>
    <mergeCell ref="F8:G8"/>
    <mergeCell ref="K8:L8"/>
    <mergeCell ref="P11:W11"/>
    <mergeCell ref="P15:W15"/>
    <mergeCell ref="P16:W18"/>
    <mergeCell ref="F36:G36"/>
    <mergeCell ref="K36:L36"/>
    <mergeCell ref="C40:D40"/>
  </mergeCells>
  <hyperlinks>
    <hyperlink ref="P9" r:id="rId1"/>
    <hyperlink ref="P10" r:id="rId2"/>
    <hyperlink ref="P16" r:id="rId3"/>
    <hyperlink ref="P5" r:id="rId4"/>
    <hyperlink ref="P8" r:id="rId5"/>
    <hyperlink ref="P6" r:id="rId6"/>
    <hyperlink ref="P15" r:id="rId7"/>
  </hyperlinks>
  <pageMargins left="0.7" right="0.7" top="0.75" bottom="0.75" header="0.3" footer="0.3"/>
  <pageSetup paperSize="9" orientation="portrait" r:id="rId8"/>
  <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4"/>
  <sheetViews>
    <sheetView topLeftCell="D1" workbookViewId="0">
      <selection activeCell="D16" sqref="D16"/>
    </sheetView>
  </sheetViews>
  <sheetFormatPr defaultRowHeight="15" x14ac:dyDescent="0.25"/>
  <cols>
    <col min="2" max="2" width="19.5703125" customWidth="1"/>
    <col min="3" max="3" width="25.42578125" customWidth="1"/>
    <col min="4" max="4" width="16.7109375" customWidth="1"/>
    <col min="7" max="13" width="15" customWidth="1"/>
    <col min="14" max="17" width="12" customWidth="1"/>
    <col min="18" max="18" width="12.42578125" customWidth="1"/>
    <col min="19" max="19" width="11.7109375" customWidth="1"/>
    <col min="20" max="20" width="13.28515625" bestFit="1" customWidth="1"/>
    <col min="22" max="22" width="11.5703125" bestFit="1" customWidth="1"/>
  </cols>
  <sheetData>
    <row r="1" spans="2:22" ht="15.75" thickBot="1" x14ac:dyDescent="0.3"/>
    <row r="2" spans="2:22" ht="29.25" thickBot="1" x14ac:dyDescent="0.5">
      <c r="I2" s="382" t="s">
        <v>207</v>
      </c>
      <c r="J2" s="29"/>
      <c r="K2" s="29"/>
      <c r="L2" s="29" t="s">
        <v>426</v>
      </c>
      <c r="M2" s="29"/>
      <c r="N2" s="29"/>
      <c r="O2" s="30"/>
      <c r="P2" s="28"/>
      <c r="Q2" s="331" t="s">
        <v>395</v>
      </c>
      <c r="R2" s="332">
        <v>1.609</v>
      </c>
      <c r="S2" s="29"/>
      <c r="T2" s="29"/>
      <c r="U2" s="29"/>
      <c r="V2" s="30"/>
    </row>
    <row r="3" spans="2:22" s="24" customFormat="1" ht="60.75" thickBot="1" x14ac:dyDescent="0.3">
      <c r="E3" s="182" t="s">
        <v>388</v>
      </c>
      <c r="F3" s="24" t="s">
        <v>384</v>
      </c>
      <c r="I3" s="370" t="s">
        <v>402</v>
      </c>
      <c r="J3" s="371" t="s">
        <v>418</v>
      </c>
      <c r="K3" s="658" t="s">
        <v>405</v>
      </c>
      <c r="L3" s="658"/>
      <c r="M3" s="658"/>
      <c r="N3" s="658"/>
      <c r="O3" s="661"/>
      <c r="P3" s="370" t="s">
        <v>393</v>
      </c>
      <c r="Q3" s="371"/>
      <c r="R3" s="371" t="s">
        <v>394</v>
      </c>
      <c r="S3" s="658" t="s">
        <v>397</v>
      </c>
      <c r="T3" s="658"/>
      <c r="U3" s="658"/>
      <c r="V3" s="392" t="s">
        <v>391</v>
      </c>
    </row>
    <row r="4" spans="2:22" s="24" customFormat="1" ht="30" x14ac:dyDescent="0.25">
      <c r="E4" s="182"/>
      <c r="I4" s="370"/>
      <c r="J4" s="371"/>
      <c r="K4" s="372"/>
      <c r="L4" s="268" t="s">
        <v>423</v>
      </c>
      <c r="M4" s="268" t="s">
        <v>424</v>
      </c>
      <c r="N4" s="364" t="s">
        <v>427</v>
      </c>
      <c r="O4" s="373"/>
      <c r="P4" s="370"/>
      <c r="Q4" s="371"/>
      <c r="R4" s="371"/>
      <c r="S4" s="372"/>
      <c r="T4" s="372"/>
      <c r="U4" s="388" t="s">
        <v>428</v>
      </c>
      <c r="V4" s="393"/>
    </row>
    <row r="5" spans="2:22" s="24" customFormat="1" x14ac:dyDescent="0.25">
      <c r="E5" s="182"/>
      <c r="I5" s="370" t="s">
        <v>401</v>
      </c>
      <c r="J5" s="371" t="s">
        <v>415</v>
      </c>
      <c r="K5" s="371" t="s">
        <v>400</v>
      </c>
      <c r="L5" s="309" t="s">
        <v>425</v>
      </c>
      <c r="M5" s="309" t="s">
        <v>425</v>
      </c>
      <c r="N5" s="365"/>
      <c r="O5" s="374" t="s">
        <v>404</v>
      </c>
      <c r="P5" s="383" t="s">
        <v>403</v>
      </c>
      <c r="Q5" s="371"/>
      <c r="R5" s="309" t="s">
        <v>389</v>
      </c>
      <c r="S5" s="309" t="s">
        <v>389</v>
      </c>
      <c r="T5" s="309" t="s">
        <v>398</v>
      </c>
      <c r="U5" s="370"/>
      <c r="V5" s="393"/>
    </row>
    <row r="6" spans="2:22" ht="30" customHeight="1" x14ac:dyDescent="0.25">
      <c r="B6" s="126" t="s">
        <v>41</v>
      </c>
      <c r="C6" s="312" t="s">
        <v>1</v>
      </c>
      <c r="D6" s="57"/>
      <c r="F6" s="159">
        <v>2</v>
      </c>
      <c r="I6" s="381">
        <v>153600</v>
      </c>
      <c r="J6" s="127"/>
      <c r="K6" s="127">
        <v>14400</v>
      </c>
      <c r="L6" s="127">
        <v>14154</v>
      </c>
      <c r="M6" s="127"/>
      <c r="N6" s="366">
        <f>L6</f>
        <v>14154</v>
      </c>
      <c r="O6" s="128"/>
      <c r="P6" s="384">
        <f>2.4*R2</f>
        <v>3.8615999999999997</v>
      </c>
      <c r="Q6" s="57" t="s">
        <v>398</v>
      </c>
      <c r="R6" s="127"/>
      <c r="S6" s="127"/>
      <c r="T6" s="385">
        <f>0.4*R2</f>
        <v>0.64360000000000006</v>
      </c>
      <c r="U6" s="389">
        <f>T6</f>
        <v>0.64360000000000006</v>
      </c>
      <c r="V6" s="368">
        <f>U6*10^9/N6</f>
        <v>45471.244877773075</v>
      </c>
    </row>
    <row r="7" spans="2:22" ht="30" x14ac:dyDescent="0.25">
      <c r="B7" s="126" t="s">
        <v>2</v>
      </c>
      <c r="C7" s="312" t="s">
        <v>419</v>
      </c>
      <c r="D7" s="60" t="s">
        <v>417</v>
      </c>
      <c r="F7" s="159">
        <v>2</v>
      </c>
      <c r="I7" s="668">
        <v>31976200</v>
      </c>
      <c r="J7" s="339">
        <v>61.1</v>
      </c>
      <c r="K7" s="659">
        <v>2530600</v>
      </c>
      <c r="L7" s="659">
        <v>2403571</v>
      </c>
      <c r="M7" s="659">
        <f>2524477+3355</f>
        <v>2527832</v>
      </c>
      <c r="N7" s="366">
        <f>J7*M7/100</f>
        <v>1544505.3520000002</v>
      </c>
      <c r="O7" s="128"/>
      <c r="P7" s="662">
        <f>278.2*R2</f>
        <v>447.62379999999996</v>
      </c>
      <c r="Q7" s="649" t="s">
        <v>398</v>
      </c>
      <c r="R7" s="650">
        <f>278.231*R2</f>
        <v>447.67367899999999</v>
      </c>
      <c r="S7" s="651">
        <f>R2*22.834</f>
        <v>36.739905999999998</v>
      </c>
      <c r="T7" s="664">
        <f>R2*22.8</f>
        <v>36.685200000000002</v>
      </c>
      <c r="U7" s="656">
        <f>T7</f>
        <v>36.685200000000002</v>
      </c>
      <c r="V7" s="394">
        <f>U7*10^9/SUM(N7:N8)</f>
        <v>14570.798265265224</v>
      </c>
    </row>
    <row r="8" spans="2:22" x14ac:dyDescent="0.25">
      <c r="B8" s="126" t="s">
        <v>2</v>
      </c>
      <c r="C8" s="312" t="s">
        <v>419</v>
      </c>
      <c r="D8" s="57" t="s">
        <v>134</v>
      </c>
      <c r="F8" s="159">
        <v>2</v>
      </c>
      <c r="I8" s="668"/>
      <c r="J8" s="339">
        <v>38.5</v>
      </c>
      <c r="K8" s="659"/>
      <c r="L8" s="659"/>
      <c r="M8" s="659"/>
      <c r="N8" s="366">
        <f>J8*M7/100</f>
        <v>973215.32</v>
      </c>
      <c r="O8" s="128"/>
      <c r="P8" s="662"/>
      <c r="Q8" s="649"/>
      <c r="R8" s="650"/>
      <c r="S8" s="651"/>
      <c r="T8" s="664"/>
      <c r="U8" s="657"/>
      <c r="V8" s="394">
        <f>U7*10^9/SUM(N7:N8)</f>
        <v>14570.798265265224</v>
      </c>
    </row>
    <row r="9" spans="2:22" ht="30" x14ac:dyDescent="0.25">
      <c r="B9" s="126" t="s">
        <v>3</v>
      </c>
      <c r="C9" s="182" t="s">
        <v>366</v>
      </c>
      <c r="D9" s="57"/>
      <c r="F9" s="159">
        <v>2</v>
      </c>
      <c r="I9" s="381">
        <v>1342400</v>
      </c>
      <c r="J9" s="127"/>
      <c r="K9" s="127">
        <v>81800</v>
      </c>
      <c r="L9" s="127">
        <v>62516</v>
      </c>
      <c r="M9" s="127">
        <v>71666</v>
      </c>
      <c r="N9" s="366">
        <f>M9</f>
        <v>71666</v>
      </c>
      <c r="O9" s="128"/>
      <c r="P9" s="384">
        <f>3*R2</f>
        <v>4.827</v>
      </c>
      <c r="Q9" s="57" t="s">
        <v>398</v>
      </c>
      <c r="R9" s="127"/>
      <c r="S9" s="127"/>
      <c r="T9" s="385">
        <f>0.2*R2</f>
        <v>0.32180000000000003</v>
      </c>
      <c r="U9" s="390">
        <f>T9</f>
        <v>0.32180000000000003</v>
      </c>
      <c r="V9" s="368">
        <f>U9*10^9/N9</f>
        <v>4490.274328133286</v>
      </c>
    </row>
    <row r="10" spans="2:22" ht="15.75" x14ac:dyDescent="0.25">
      <c r="B10" s="126" t="s">
        <v>44</v>
      </c>
      <c r="C10" s="182" t="s">
        <v>383</v>
      </c>
      <c r="D10" s="434" t="s">
        <v>446</v>
      </c>
      <c r="E10" t="s">
        <v>386</v>
      </c>
      <c r="F10" s="159">
        <v>2</v>
      </c>
      <c r="I10" s="669">
        <v>503700</v>
      </c>
      <c r="J10" s="338"/>
      <c r="K10" s="660">
        <v>37000</v>
      </c>
      <c r="L10" s="122">
        <v>6085.7928000000002</v>
      </c>
      <c r="M10" s="660">
        <v>36837</v>
      </c>
      <c r="N10" s="367">
        <f>L10*$M$10/SUM($L$10:$L$19)</f>
        <v>7986.2615999999998</v>
      </c>
      <c r="O10" s="645">
        <v>36800</v>
      </c>
      <c r="P10" s="647">
        <v>8.1999999999999993</v>
      </c>
      <c r="Q10" s="649" t="s">
        <v>392</v>
      </c>
      <c r="R10" s="653">
        <f>R2*17.37</f>
        <v>27.948330000000002</v>
      </c>
      <c r="S10" s="653">
        <f>R2*1.607</f>
        <v>2.5856629999999998</v>
      </c>
      <c r="T10" s="652">
        <f>1.6*R2</f>
        <v>2.5744000000000002</v>
      </c>
      <c r="U10" s="654">
        <f>P10*$S$10/SUM($P$10:$P$19)</f>
        <v>0.75722987857142843</v>
      </c>
      <c r="V10" s="395">
        <f>$U$10*10^9/SUM($N$10:$N$13)</f>
        <v>49966.531173195472</v>
      </c>
    </row>
    <row r="11" spans="2:22" ht="15.75" x14ac:dyDescent="0.25">
      <c r="B11" s="126" t="s">
        <v>44</v>
      </c>
      <c r="C11" s="182" t="s">
        <v>383</v>
      </c>
      <c r="D11" s="422" t="s">
        <v>447</v>
      </c>
      <c r="E11" t="s">
        <v>386</v>
      </c>
      <c r="F11" s="159">
        <v>2</v>
      </c>
      <c r="I11" s="669"/>
      <c r="J11" s="338"/>
      <c r="K11" s="660"/>
      <c r="L11" s="122">
        <v>971.25660000000016</v>
      </c>
      <c r="M11" s="660"/>
      <c r="N11" s="367">
        <f t="shared" ref="N11:N17" si="0">L11*$M$10/SUM($L$10:$L$19)</f>
        <v>1274.5602000000003</v>
      </c>
      <c r="O11" s="645"/>
      <c r="P11" s="647"/>
      <c r="Q11" s="649"/>
      <c r="R11" s="653"/>
      <c r="S11" s="653"/>
      <c r="T11" s="652"/>
      <c r="U11" s="654"/>
      <c r="V11" s="395">
        <f t="shared" ref="V11:V13" si="1">$U$10*10^9/SUM($N$10:$N$13)</f>
        <v>49966.531173195472</v>
      </c>
    </row>
    <row r="12" spans="2:22" ht="15.75" x14ac:dyDescent="0.25">
      <c r="B12" s="126" t="s">
        <v>44</v>
      </c>
      <c r="C12" s="182" t="s">
        <v>383</v>
      </c>
      <c r="D12" s="422" t="s">
        <v>448</v>
      </c>
      <c r="E12" t="s">
        <v>386</v>
      </c>
      <c r="F12" s="159">
        <v>2</v>
      </c>
      <c r="I12" s="669"/>
      <c r="J12" s="338"/>
      <c r="K12" s="660"/>
      <c r="L12" s="122">
        <v>943.18560000000002</v>
      </c>
      <c r="M12" s="660"/>
      <c r="N12" s="367">
        <f t="shared" si="0"/>
        <v>1237.7231999999999</v>
      </c>
      <c r="O12" s="645"/>
      <c r="P12" s="647"/>
      <c r="Q12" s="649"/>
      <c r="R12" s="653"/>
      <c r="S12" s="653"/>
      <c r="T12" s="652"/>
      <c r="U12" s="654"/>
      <c r="V12" s="395">
        <f t="shared" si="1"/>
        <v>49966.531173195472</v>
      </c>
    </row>
    <row r="13" spans="2:22" ht="15.75" x14ac:dyDescent="0.25">
      <c r="B13" s="126" t="s">
        <v>44</v>
      </c>
      <c r="C13" s="182" t="s">
        <v>383</v>
      </c>
      <c r="D13" s="422" t="s">
        <v>449</v>
      </c>
      <c r="E13" t="s">
        <v>386</v>
      </c>
      <c r="F13" s="159">
        <v>2</v>
      </c>
      <c r="I13" s="669"/>
      <c r="J13" s="338"/>
      <c r="K13" s="660"/>
      <c r="L13" s="122">
        <v>3548.1744000000003</v>
      </c>
      <c r="M13" s="660"/>
      <c r="N13" s="367">
        <f t="shared" si="0"/>
        <v>4656.1968000000006</v>
      </c>
      <c r="O13" s="645"/>
      <c r="P13" s="647"/>
      <c r="Q13" s="649"/>
      <c r="R13" s="653"/>
      <c r="S13" s="653"/>
      <c r="T13" s="652"/>
      <c r="U13" s="654"/>
      <c r="V13" s="395">
        <f t="shared" si="1"/>
        <v>49966.531173195472</v>
      </c>
    </row>
    <row r="14" spans="2:22" ht="15.75" x14ac:dyDescent="0.25">
      <c r="B14" s="126" t="s">
        <v>44</v>
      </c>
      <c r="C14" s="182" t="s">
        <v>383</v>
      </c>
      <c r="D14" s="435" t="s">
        <v>450</v>
      </c>
      <c r="E14" t="s">
        <v>386</v>
      </c>
      <c r="F14" s="159">
        <v>3</v>
      </c>
      <c r="I14" s="669"/>
      <c r="J14" s="338"/>
      <c r="K14" s="660"/>
      <c r="L14" s="122">
        <v>516.50639999999999</v>
      </c>
      <c r="M14" s="660"/>
      <c r="N14" s="367">
        <f t="shared" si="0"/>
        <v>677.80079999999998</v>
      </c>
      <c r="O14" s="645"/>
      <c r="P14" s="646">
        <v>2</v>
      </c>
      <c r="Q14" s="648" t="s">
        <v>392</v>
      </c>
      <c r="R14" s="653"/>
      <c r="S14" s="653"/>
      <c r="T14" s="652"/>
      <c r="U14" s="654">
        <f>P14*(T10/SUM(P10:P19))</f>
        <v>0.18388571428571429</v>
      </c>
      <c r="V14" s="395">
        <f>$U$14*10^9/SUM($N$14:$N$15)</f>
        <v>30419.716055913941</v>
      </c>
    </row>
    <row r="15" spans="2:22" ht="15.75" x14ac:dyDescent="0.25">
      <c r="B15" s="126" t="s">
        <v>44</v>
      </c>
      <c r="C15" s="182" t="s">
        <v>383</v>
      </c>
      <c r="D15" s="435" t="s">
        <v>451</v>
      </c>
      <c r="E15" t="s">
        <v>386</v>
      </c>
      <c r="F15" s="159">
        <v>3</v>
      </c>
      <c r="I15" s="669"/>
      <c r="J15" s="338"/>
      <c r="K15" s="660"/>
      <c r="L15" s="122">
        <v>4089.9447000000005</v>
      </c>
      <c r="M15" s="660"/>
      <c r="N15" s="367">
        <f t="shared" si="0"/>
        <v>5367.1509000000005</v>
      </c>
      <c r="O15" s="645"/>
      <c r="P15" s="646"/>
      <c r="Q15" s="648"/>
      <c r="R15" s="653"/>
      <c r="S15" s="653"/>
      <c r="T15" s="652"/>
      <c r="U15" s="654"/>
      <c r="V15" s="395">
        <f>$U$14*10^9/SUM($N$14:$N$15)</f>
        <v>30419.716055913941</v>
      </c>
    </row>
    <row r="16" spans="2:22" ht="15.75" x14ac:dyDescent="0.25">
      <c r="B16" s="126" t="s">
        <v>44</v>
      </c>
      <c r="C16" s="182" t="s">
        <v>383</v>
      </c>
      <c r="D16" s="5" t="s">
        <v>452</v>
      </c>
      <c r="E16" t="s">
        <v>386</v>
      </c>
      <c r="F16" s="159">
        <v>4</v>
      </c>
      <c r="I16" s="669"/>
      <c r="J16" s="338"/>
      <c r="K16" s="660"/>
      <c r="L16" s="122">
        <v>3388.1697000000004</v>
      </c>
      <c r="M16" s="660"/>
      <c r="N16" s="367">
        <f t="shared" si="0"/>
        <v>4446.2259000000004</v>
      </c>
      <c r="O16" s="645"/>
      <c r="P16" s="340">
        <v>2.2000000000000002</v>
      </c>
      <c r="Q16" s="57" t="s">
        <v>392</v>
      </c>
      <c r="R16" s="653"/>
      <c r="S16" s="653"/>
      <c r="T16" s="652"/>
      <c r="U16" s="391">
        <f>$S$10*P16/SUM($P$10:$P$19)</f>
        <v>0.20315923571428571</v>
      </c>
      <c r="V16" s="395">
        <f>U16*10^9/N16</f>
        <v>45692.513219871638</v>
      </c>
    </row>
    <row r="17" spans="2:22" ht="15.75" x14ac:dyDescent="0.25">
      <c r="B17" s="126" t="s">
        <v>44</v>
      </c>
      <c r="C17" s="182" t="s">
        <v>383</v>
      </c>
      <c r="D17" s="5" t="s">
        <v>453</v>
      </c>
      <c r="E17" t="s">
        <v>387</v>
      </c>
      <c r="F17" s="159">
        <v>4</v>
      </c>
      <c r="I17" s="669"/>
      <c r="J17" s="338"/>
      <c r="K17" s="660"/>
      <c r="L17" s="122">
        <v>485.62830000000008</v>
      </c>
      <c r="M17" s="660"/>
      <c r="N17" s="367">
        <f t="shared" si="0"/>
        <v>637.28010000000017</v>
      </c>
      <c r="O17" s="645"/>
      <c r="P17" s="340">
        <v>1.2</v>
      </c>
      <c r="Q17" s="57" t="s">
        <v>392</v>
      </c>
      <c r="R17" s="653"/>
      <c r="S17" s="653"/>
      <c r="T17" s="652"/>
      <c r="U17" s="391">
        <f>$S$10*P17/SUM($P$10:$P$19)</f>
        <v>0.11081412857142857</v>
      </c>
      <c r="V17" s="395">
        <f>U17*10^9/N17</f>
        <v>173886.06449727292</v>
      </c>
    </row>
    <row r="18" spans="2:22" ht="15.75" x14ac:dyDescent="0.25">
      <c r="B18" s="126" t="s">
        <v>44</v>
      </c>
      <c r="C18" s="182" t="s">
        <v>383</v>
      </c>
      <c r="D18" s="5" t="s">
        <v>454</v>
      </c>
      <c r="E18" t="s">
        <v>387</v>
      </c>
      <c r="F18" s="159">
        <v>5</v>
      </c>
      <c r="H18" s="667">
        <v>10554</v>
      </c>
      <c r="I18" s="669"/>
      <c r="J18" s="338"/>
      <c r="K18" s="660"/>
      <c r="L18" s="660">
        <v>8042.3415000000005</v>
      </c>
      <c r="M18" s="660"/>
      <c r="N18" s="367">
        <f>(L18*P18/SUM(P18:P19))*$M$10/SUM($L$10:$L$19)</f>
        <v>3957.6751875000004</v>
      </c>
      <c r="O18" s="645"/>
      <c r="P18" s="340">
        <v>5.4</v>
      </c>
      <c r="Q18" s="57" t="s">
        <v>392</v>
      </c>
      <c r="R18" s="653"/>
      <c r="S18" s="653"/>
      <c r="T18" s="652"/>
      <c r="U18" s="391">
        <f>$S$10*P18/SUM($P$10:$P$19)</f>
        <v>0.49866357857142857</v>
      </c>
      <c r="V18" s="395">
        <f>U18*10^9/N18</f>
        <v>125999.11689226481</v>
      </c>
    </row>
    <row r="19" spans="2:22" ht="15.75" x14ac:dyDescent="0.25">
      <c r="B19" s="126" t="s">
        <v>44</v>
      </c>
      <c r="C19" s="182" t="s">
        <v>383</v>
      </c>
      <c r="D19" s="5" t="s">
        <v>445</v>
      </c>
      <c r="E19" t="s">
        <v>387</v>
      </c>
      <c r="F19" s="159">
        <v>6</v>
      </c>
      <c r="H19" s="667"/>
      <c r="I19" s="669"/>
      <c r="J19" s="338"/>
      <c r="K19" s="660"/>
      <c r="L19" s="660"/>
      <c r="M19" s="660"/>
      <c r="N19" s="367">
        <f>(L18*P19/SUM(P18:P19))*$M$10/SUM($L$10:$L$19)</f>
        <v>6596.1253124999994</v>
      </c>
      <c r="O19" s="645"/>
      <c r="P19" s="386">
        <v>9</v>
      </c>
      <c r="Q19" s="57" t="s">
        <v>392</v>
      </c>
      <c r="R19" s="653"/>
      <c r="S19" s="653"/>
      <c r="T19" s="652"/>
      <c r="U19" s="391">
        <f>$S$10*P19/SUM($P$10:$P$19)</f>
        <v>0.83110596428571426</v>
      </c>
      <c r="V19" s="395">
        <f>U19*10^9/N19</f>
        <v>125999.11689226482</v>
      </c>
    </row>
    <row r="20" spans="2:22" ht="15.75" x14ac:dyDescent="0.25">
      <c r="B20" s="126" t="s">
        <v>47</v>
      </c>
      <c r="C20" s="182" t="s">
        <v>47</v>
      </c>
      <c r="D20" s="144" t="s">
        <v>135</v>
      </c>
      <c r="F20" s="159">
        <v>2</v>
      </c>
      <c r="I20" s="668">
        <v>4137000</v>
      </c>
      <c r="J20" s="339">
        <v>3.2</v>
      </c>
      <c r="K20" s="659">
        <v>308200</v>
      </c>
      <c r="L20" s="659">
        <v>307625</v>
      </c>
      <c r="M20" s="659">
        <v>307567</v>
      </c>
      <c r="N20" s="367">
        <f>M20*J20/100</f>
        <v>9842.1440000000002</v>
      </c>
      <c r="O20" s="130"/>
      <c r="P20" s="657">
        <v>55.5</v>
      </c>
      <c r="Q20" s="649" t="s">
        <v>398</v>
      </c>
      <c r="R20" s="665">
        <f>R2*55.53</f>
        <v>89.347769999999997</v>
      </c>
      <c r="S20" s="666">
        <f>R2*4.507</f>
        <v>7.2517629999999995</v>
      </c>
      <c r="T20" s="663">
        <f>5*R2</f>
        <v>8.0449999999999999</v>
      </c>
      <c r="U20" s="655">
        <f>T20</f>
        <v>8.0449999999999999</v>
      </c>
      <c r="V20" s="394">
        <f>U20*10^9/SUM(N20:N21)</f>
        <v>26261.95019929899</v>
      </c>
    </row>
    <row r="21" spans="2:22" ht="15.75" x14ac:dyDescent="0.25">
      <c r="B21" s="126" t="s">
        <v>47</v>
      </c>
      <c r="C21" s="182" t="s">
        <v>47</v>
      </c>
      <c r="D21" s="144" t="s">
        <v>134</v>
      </c>
      <c r="F21" s="159">
        <v>2</v>
      </c>
      <c r="I21" s="668"/>
      <c r="J21" s="339">
        <v>96.4</v>
      </c>
      <c r="K21" s="659"/>
      <c r="L21" s="659"/>
      <c r="M21" s="659"/>
      <c r="N21" s="366">
        <f>M20*J21/100</f>
        <v>296494.58799999999</v>
      </c>
      <c r="O21" s="128"/>
      <c r="P21" s="657"/>
      <c r="Q21" s="649"/>
      <c r="R21" s="665"/>
      <c r="S21" s="666"/>
      <c r="T21" s="663"/>
      <c r="U21" s="655"/>
      <c r="V21" s="394">
        <f>U20*10^9/SUM(N20:N21)</f>
        <v>26261.95019929899</v>
      </c>
    </row>
    <row r="22" spans="2:22" x14ac:dyDescent="0.25">
      <c r="I22" s="35"/>
      <c r="J22" s="57"/>
      <c r="K22" s="125">
        <f>SUM(K6:K21)</f>
        <v>2972000</v>
      </c>
      <c r="L22" s="125"/>
      <c r="M22" s="125"/>
      <c r="N22" s="368">
        <f t="shared" ref="N22" si="2">SUM(N6:N21)</f>
        <v>2946714.4040000001</v>
      </c>
      <c r="O22" s="67"/>
      <c r="P22" s="35"/>
      <c r="Q22" s="57"/>
      <c r="R22" s="57"/>
      <c r="S22" s="57"/>
      <c r="T22" s="57"/>
      <c r="U22" s="35"/>
      <c r="V22" s="365"/>
    </row>
    <row r="23" spans="2:22" ht="15.75" thickBot="1" x14ac:dyDescent="0.3">
      <c r="I23" s="72" t="s">
        <v>401</v>
      </c>
      <c r="J23" s="60" t="s">
        <v>416</v>
      </c>
      <c r="K23" s="57"/>
      <c r="L23" s="60"/>
      <c r="M23" s="60"/>
      <c r="N23" s="369"/>
      <c r="O23" s="67"/>
      <c r="P23" s="35" t="s">
        <v>392</v>
      </c>
      <c r="Q23" s="57" t="s">
        <v>398</v>
      </c>
      <c r="R23" s="57" t="s">
        <v>389</v>
      </c>
      <c r="S23" s="57" t="s">
        <v>389</v>
      </c>
      <c r="T23" s="57" t="s">
        <v>398</v>
      </c>
      <c r="U23" s="46"/>
      <c r="V23" s="369"/>
    </row>
    <row r="24" spans="2:22" x14ac:dyDescent="0.25">
      <c r="I24" s="35" t="s">
        <v>390</v>
      </c>
      <c r="J24" s="57" t="s">
        <v>390</v>
      </c>
      <c r="K24" s="57"/>
      <c r="L24" s="57"/>
      <c r="M24" s="57"/>
      <c r="N24" s="57"/>
      <c r="O24" s="67"/>
      <c r="P24" s="35" t="s">
        <v>390</v>
      </c>
      <c r="Q24" s="57" t="s">
        <v>390</v>
      </c>
      <c r="R24" s="57" t="s">
        <v>390</v>
      </c>
      <c r="S24" s="57" t="s">
        <v>390</v>
      </c>
      <c r="T24" s="57" t="s">
        <v>390</v>
      </c>
      <c r="U24" s="57"/>
      <c r="V24" s="67"/>
    </row>
    <row r="25" spans="2:22" x14ac:dyDescent="0.25">
      <c r="I25" s="375">
        <v>44614</v>
      </c>
      <c r="J25" s="376">
        <v>44615</v>
      </c>
      <c r="K25" s="57"/>
      <c r="L25" s="125"/>
      <c r="M25" s="125"/>
      <c r="N25" s="57"/>
      <c r="O25" s="67"/>
      <c r="P25" s="375">
        <v>44764</v>
      </c>
      <c r="Q25" s="376">
        <v>44614</v>
      </c>
      <c r="R25" s="376">
        <v>44614</v>
      </c>
      <c r="S25" s="376">
        <v>44614</v>
      </c>
      <c r="T25" s="376">
        <v>44614</v>
      </c>
      <c r="U25" s="57"/>
      <c r="V25" s="67"/>
    </row>
    <row r="26" spans="2:22" ht="45" x14ac:dyDescent="0.25">
      <c r="I26" s="35"/>
      <c r="J26" s="57"/>
      <c r="K26" s="57"/>
      <c r="L26" s="377"/>
      <c r="M26" s="377"/>
      <c r="N26" s="57"/>
      <c r="O26" s="67"/>
      <c r="P26" s="35"/>
      <c r="Q26" s="60" t="s">
        <v>399</v>
      </c>
      <c r="R26" s="60" t="s">
        <v>396</v>
      </c>
      <c r="S26" s="60" t="s">
        <v>396</v>
      </c>
      <c r="T26" s="60" t="s">
        <v>396</v>
      </c>
      <c r="U26" s="57"/>
      <c r="V26" s="67"/>
    </row>
    <row r="27" spans="2:22" ht="15.75" thickBot="1" x14ac:dyDescent="0.3">
      <c r="I27" s="378"/>
      <c r="J27" s="379"/>
      <c r="K27" s="379"/>
      <c r="L27" s="380"/>
      <c r="M27" s="380"/>
      <c r="N27" s="47"/>
      <c r="O27" s="74"/>
      <c r="P27" s="378"/>
      <c r="Q27" s="379"/>
      <c r="R27" s="47"/>
      <c r="S27" s="47"/>
      <c r="T27" s="47"/>
      <c r="U27" s="47"/>
      <c r="V27" s="74"/>
    </row>
    <row r="28" spans="2:22" x14ac:dyDescent="0.25">
      <c r="D28">
        <f>2524+308</f>
        <v>2832</v>
      </c>
      <c r="L28" s="363"/>
      <c r="M28" s="363"/>
      <c r="T28">
        <f>48.27/R2</f>
        <v>30.000000000000004</v>
      </c>
    </row>
    <row r="29" spans="2:22" x14ac:dyDescent="0.25">
      <c r="K29" t="s">
        <v>422</v>
      </c>
    </row>
    <row r="30" spans="2:22" x14ac:dyDescent="0.25">
      <c r="K30" t="s">
        <v>421</v>
      </c>
    </row>
    <row r="31" spans="2:22" x14ac:dyDescent="0.25">
      <c r="K31" s="7" t="s">
        <v>414</v>
      </c>
    </row>
    <row r="32" spans="2:22" x14ac:dyDescent="0.25">
      <c r="K32" s="362" t="s">
        <v>420</v>
      </c>
    </row>
    <row r="33" spans="4:18" ht="15.75" thickBot="1" x14ac:dyDescent="0.3"/>
    <row r="34" spans="4:18" x14ac:dyDescent="0.25">
      <c r="D34" s="361" t="s">
        <v>412</v>
      </c>
      <c r="E34" s="29"/>
      <c r="F34" s="30"/>
    </row>
    <row r="35" spans="4:18" x14ac:dyDescent="0.25">
      <c r="D35" s="356" t="s">
        <v>406</v>
      </c>
      <c r="E35" s="122">
        <f>1000*69.5</f>
        <v>69500</v>
      </c>
      <c r="F35" s="358"/>
      <c r="G35" s="196"/>
      <c r="H35" s="196"/>
      <c r="I35" s="196"/>
      <c r="J35" s="196"/>
      <c r="K35" s="196"/>
      <c r="L35" s="196"/>
      <c r="M35" s="196"/>
      <c r="N35" s="196"/>
      <c r="O35" s="196"/>
      <c r="P35" s="196"/>
      <c r="Q35" s="196"/>
      <c r="R35" s="196"/>
    </row>
    <row r="36" spans="4:18" x14ac:dyDescent="0.25">
      <c r="D36" s="356" t="s">
        <v>407</v>
      </c>
      <c r="E36" s="122">
        <f>1000*97.3</f>
        <v>97300</v>
      </c>
      <c r="F36" s="358"/>
      <c r="G36" s="196"/>
      <c r="H36" s="196"/>
      <c r="I36" s="196"/>
      <c r="J36" s="196"/>
      <c r="K36" s="196"/>
      <c r="L36" s="196"/>
      <c r="M36" s="196"/>
      <c r="N36" s="196"/>
      <c r="O36" s="196"/>
      <c r="P36" s="196"/>
      <c r="Q36" s="196"/>
      <c r="R36" s="196"/>
    </row>
    <row r="37" spans="4:18" x14ac:dyDescent="0.25">
      <c r="D37" s="356" t="s">
        <v>408</v>
      </c>
      <c r="E37" s="122">
        <f>1000*101.1</f>
        <v>101100</v>
      </c>
      <c r="F37" s="358"/>
      <c r="G37" s="196"/>
      <c r="H37" s="196"/>
      <c r="I37" s="196"/>
      <c r="J37" s="196"/>
      <c r="K37" s="196"/>
      <c r="L37" s="196"/>
      <c r="M37" s="196"/>
      <c r="N37" s="196"/>
      <c r="O37" s="196"/>
      <c r="P37" s="196"/>
      <c r="Q37" s="196"/>
      <c r="R37" s="196"/>
    </row>
    <row r="38" spans="4:18" x14ac:dyDescent="0.25">
      <c r="D38" s="356" t="s">
        <v>409</v>
      </c>
      <c r="E38" s="122">
        <f>1000*61.5</f>
        <v>61500</v>
      </c>
      <c r="F38" s="358"/>
      <c r="G38" s="196"/>
      <c r="H38" s="196"/>
      <c r="I38" s="196"/>
      <c r="J38" s="196"/>
      <c r="K38" s="196"/>
      <c r="L38" s="196"/>
      <c r="M38" s="196"/>
      <c r="N38" s="196"/>
      <c r="O38" s="196"/>
      <c r="P38" s="196"/>
      <c r="Q38" s="196"/>
      <c r="R38" s="196"/>
    </row>
    <row r="39" spans="4:18" x14ac:dyDescent="0.25">
      <c r="D39" s="356" t="s">
        <v>410</v>
      </c>
      <c r="E39" s="122">
        <f>1000*55.5</f>
        <v>55500</v>
      </c>
      <c r="F39" s="358"/>
      <c r="G39" s="196"/>
      <c r="H39" s="196"/>
      <c r="I39" s="196"/>
      <c r="J39" s="196"/>
      <c r="K39" s="196"/>
      <c r="L39" s="196"/>
      <c r="M39" s="196"/>
      <c r="N39" s="196"/>
      <c r="O39" s="196"/>
      <c r="P39" s="196"/>
      <c r="Q39" s="196"/>
      <c r="R39" s="196"/>
    </row>
    <row r="40" spans="4:18" x14ac:dyDescent="0.25">
      <c r="D40" s="356" t="s">
        <v>411</v>
      </c>
      <c r="E40" s="122">
        <f>1000*116.5</f>
        <v>116500</v>
      </c>
      <c r="F40" s="358"/>
      <c r="G40" s="196"/>
      <c r="H40" s="196"/>
      <c r="I40" s="196"/>
      <c r="J40" s="196"/>
      <c r="K40" s="196"/>
      <c r="L40" s="196"/>
      <c r="M40" s="196"/>
      <c r="N40" s="196"/>
      <c r="O40" s="196"/>
      <c r="P40" s="196"/>
      <c r="Q40" s="196"/>
      <c r="R40" s="196"/>
    </row>
    <row r="41" spans="4:18" x14ac:dyDescent="0.25">
      <c r="D41" s="356" t="s">
        <v>413</v>
      </c>
      <c r="E41" s="357"/>
      <c r="F41" s="358"/>
      <c r="G41" s="196"/>
      <c r="H41" s="196"/>
      <c r="I41" s="196"/>
      <c r="J41" s="196"/>
      <c r="K41" s="196"/>
      <c r="L41" s="196"/>
      <c r="M41" s="196"/>
      <c r="N41" s="196"/>
      <c r="O41" s="196"/>
      <c r="P41" s="196"/>
      <c r="Q41" s="196"/>
      <c r="R41" s="196"/>
    </row>
    <row r="42" spans="4:18" ht="15.75" thickBot="1" x14ac:dyDescent="0.3">
      <c r="D42" s="359">
        <v>44615</v>
      </c>
      <c r="E42" s="65"/>
      <c r="F42" s="360"/>
      <c r="G42" s="196"/>
      <c r="H42" s="196"/>
      <c r="I42" s="196"/>
      <c r="J42" s="196"/>
      <c r="K42" s="196"/>
      <c r="L42" s="196"/>
      <c r="M42" s="196"/>
      <c r="N42" s="196"/>
      <c r="O42" s="196"/>
      <c r="P42" s="196"/>
      <c r="Q42" s="196"/>
      <c r="R42" s="196"/>
    </row>
    <row r="43" spans="4:18" x14ac:dyDescent="0.25">
      <c r="D43" s="196"/>
      <c r="E43" s="355"/>
      <c r="F43" s="355"/>
      <c r="G43" s="355"/>
      <c r="H43" s="355"/>
      <c r="I43" s="355"/>
      <c r="J43" s="355"/>
      <c r="K43" s="355"/>
      <c r="L43" s="355"/>
      <c r="M43" s="355"/>
      <c r="N43" s="355"/>
      <c r="O43" s="196"/>
      <c r="P43" s="196"/>
      <c r="Q43" s="196"/>
      <c r="R43" s="196"/>
    </row>
    <row r="44" spans="4:18" x14ac:dyDescent="0.25">
      <c r="D44" s="196"/>
      <c r="E44" s="196"/>
      <c r="F44" s="196"/>
      <c r="G44" s="196"/>
      <c r="H44" s="196"/>
      <c r="I44" s="196"/>
      <c r="J44" s="196"/>
      <c r="K44" s="196"/>
      <c r="L44" s="196"/>
      <c r="M44" s="196"/>
      <c r="N44" s="196"/>
      <c r="O44" s="196"/>
      <c r="P44" s="196"/>
      <c r="Q44" s="196"/>
      <c r="R44" s="196"/>
    </row>
  </sheetData>
  <sheetProtection algorithmName="SHA-512" hashValue="KN6jXmK36Krg2L2higuArc7Pymb2zhgRg4Ci5MOlLcwHar1+CyPu5+E3iXKpKa4pFB1zLPuM7Cb3OG+XrZZPcg==" saltValue="OHLObsxmTCPN8OJ2pjE0Kg==" spinCount="100000" sheet="1" objects="1" scenarios="1"/>
  <mergeCells count="37">
    <mergeCell ref="H18:H19"/>
    <mergeCell ref="L18:L19"/>
    <mergeCell ref="L7:L8"/>
    <mergeCell ref="L20:L21"/>
    <mergeCell ref="I7:I8"/>
    <mergeCell ref="I20:I21"/>
    <mergeCell ref="I10:I19"/>
    <mergeCell ref="Q7:Q8"/>
    <mergeCell ref="Q20:Q21"/>
    <mergeCell ref="T20:T21"/>
    <mergeCell ref="T7:T8"/>
    <mergeCell ref="M7:M8"/>
    <mergeCell ref="R20:R21"/>
    <mergeCell ref="S20:S21"/>
    <mergeCell ref="M20:M21"/>
    <mergeCell ref="M10:M19"/>
    <mergeCell ref="K7:K8"/>
    <mergeCell ref="K20:K21"/>
    <mergeCell ref="K10:K19"/>
    <mergeCell ref="K3:O3"/>
    <mergeCell ref="P7:P8"/>
    <mergeCell ref="P20:P21"/>
    <mergeCell ref="U10:U13"/>
    <mergeCell ref="U14:U15"/>
    <mergeCell ref="U20:U21"/>
    <mergeCell ref="U7:U8"/>
    <mergeCell ref="S3:U3"/>
    <mergeCell ref="R7:R8"/>
    <mergeCell ref="S7:S8"/>
    <mergeCell ref="T10:T19"/>
    <mergeCell ref="R10:R19"/>
    <mergeCell ref="S10:S19"/>
    <mergeCell ref="O10:O19"/>
    <mergeCell ref="P14:P15"/>
    <mergeCell ref="P10:P13"/>
    <mergeCell ref="Q14:Q15"/>
    <mergeCell ref="Q10:Q13"/>
  </mergeCells>
  <hyperlinks>
    <hyperlink ref="K3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05"/>
  <sheetViews>
    <sheetView workbookViewId="0"/>
  </sheetViews>
  <sheetFormatPr defaultRowHeight="15" x14ac:dyDescent="0.25"/>
  <cols>
    <col min="1" max="1" width="38.42578125" bestFit="1" customWidth="1"/>
    <col min="2" max="2" width="7" bestFit="1" customWidth="1"/>
    <col min="3" max="3" width="44.7109375" bestFit="1" customWidth="1"/>
    <col min="4" max="4" width="54" bestFit="1" customWidth="1"/>
    <col min="5" max="5" width="13.140625" customWidth="1"/>
    <col min="6" max="6" width="6.7109375" customWidth="1"/>
    <col min="7" max="7" width="14.85546875" bestFit="1" customWidth="1"/>
    <col min="8" max="8" width="9.5703125" bestFit="1" customWidth="1"/>
    <col min="9" max="9" width="24" bestFit="1" customWidth="1"/>
    <col min="10" max="11" width="17" customWidth="1"/>
    <col min="12" max="12" width="15.85546875" customWidth="1"/>
    <col min="13" max="17" width="15.28515625" customWidth="1"/>
    <col min="18" max="18" width="19.85546875" customWidth="1"/>
    <col min="19" max="20" width="15.28515625" customWidth="1"/>
    <col min="21" max="21" width="15.7109375" customWidth="1"/>
    <col min="22" max="22" width="13.7109375" customWidth="1"/>
    <col min="23" max="23" width="18.7109375" customWidth="1"/>
    <col min="24" max="24" width="10.7109375" customWidth="1"/>
    <col min="25" max="25" width="11.140625" customWidth="1"/>
    <col min="26" max="29" width="12" customWidth="1"/>
  </cols>
  <sheetData>
    <row r="1" spans="1:30" x14ac:dyDescent="0.25">
      <c r="L1" s="177"/>
    </row>
    <row r="2" spans="1:30" x14ac:dyDescent="0.25">
      <c r="Z2" t="s">
        <v>203</v>
      </c>
    </row>
    <row r="3" spans="1:30" x14ac:dyDescent="0.25">
      <c r="Z3" t="s">
        <v>204</v>
      </c>
      <c r="AB3" t="s">
        <v>205</v>
      </c>
    </row>
    <row r="4" spans="1:30" ht="15.75" thickBot="1" x14ac:dyDescent="0.3">
      <c r="Y4" t="s">
        <v>200</v>
      </c>
      <c r="Z4">
        <v>1.4E-2</v>
      </c>
      <c r="AA4">
        <v>1.2E-5</v>
      </c>
      <c r="AB4">
        <v>4.0000000000000002E-4</v>
      </c>
      <c r="AC4">
        <v>2.9999999999999999E-7</v>
      </c>
    </row>
    <row r="5" spans="1:30" x14ac:dyDescent="0.25">
      <c r="L5" s="178" t="s">
        <v>206</v>
      </c>
      <c r="Y5" t="s">
        <v>201</v>
      </c>
      <c r="Z5">
        <v>2</v>
      </c>
      <c r="AA5">
        <v>4</v>
      </c>
      <c r="AB5">
        <v>3</v>
      </c>
      <c r="AC5">
        <v>5</v>
      </c>
    </row>
    <row r="6" spans="1:30" ht="15.75" thickBot="1" x14ac:dyDescent="0.3">
      <c r="L6" s="179" t="s">
        <v>207</v>
      </c>
      <c r="S6" s="180"/>
      <c r="Y6" t="s">
        <v>208</v>
      </c>
      <c r="Z6">
        <v>0.14000000000000001</v>
      </c>
      <c r="AA6">
        <v>0.14000000000000001</v>
      </c>
      <c r="AB6">
        <v>0.15</v>
      </c>
      <c r="AC6">
        <v>0.2</v>
      </c>
    </row>
    <row r="7" spans="1:30" ht="30" customHeight="1" x14ac:dyDescent="0.25">
      <c r="A7" s="1" t="s">
        <v>209</v>
      </c>
      <c r="B7" t="s">
        <v>210</v>
      </c>
      <c r="K7" s="670" t="s">
        <v>211</v>
      </c>
      <c r="L7" s="670"/>
      <c r="Q7" s="24" t="s">
        <v>212</v>
      </c>
      <c r="S7" s="263" t="s">
        <v>213</v>
      </c>
      <c r="T7" s="11"/>
      <c r="Y7" t="s">
        <v>214</v>
      </c>
      <c r="Z7">
        <v>0.6</v>
      </c>
      <c r="AA7">
        <v>0.6</v>
      </c>
      <c r="AB7">
        <v>0.6</v>
      </c>
      <c r="AC7">
        <v>0.6</v>
      </c>
    </row>
    <row r="8" spans="1:30" ht="45" x14ac:dyDescent="0.25">
      <c r="A8" s="24" t="s">
        <v>215</v>
      </c>
      <c r="B8" s="24" t="s">
        <v>216</v>
      </c>
      <c r="C8" s="24" t="s">
        <v>217</v>
      </c>
      <c r="D8" s="24" t="s">
        <v>49</v>
      </c>
      <c r="E8" s="24" t="s">
        <v>218</v>
      </c>
      <c r="F8" s="24" t="s">
        <v>219</v>
      </c>
      <c r="G8" s="24" t="s">
        <v>220</v>
      </c>
      <c r="H8" s="24" t="s">
        <v>221</v>
      </c>
      <c r="I8" s="24" t="s">
        <v>222</v>
      </c>
      <c r="J8" s="24" t="s">
        <v>0</v>
      </c>
      <c r="K8" s="181" t="s">
        <v>223</v>
      </c>
      <c r="L8" s="181" t="s">
        <v>224</v>
      </c>
      <c r="M8" s="182" t="s">
        <v>225</v>
      </c>
      <c r="N8" s="182" t="s">
        <v>226</v>
      </c>
      <c r="O8" s="182" t="s">
        <v>227</v>
      </c>
      <c r="P8" s="182"/>
      <c r="Q8" s="182" t="s">
        <v>219</v>
      </c>
      <c r="R8" s="182" t="s">
        <v>0</v>
      </c>
      <c r="S8" s="182" t="s">
        <v>228</v>
      </c>
      <c r="T8" s="182" t="s">
        <v>229</v>
      </c>
      <c r="U8" s="182" t="s">
        <v>230</v>
      </c>
      <c r="V8" s="182" t="s">
        <v>231</v>
      </c>
      <c r="W8" s="182" t="s">
        <v>232</v>
      </c>
      <c r="Y8" s="182" t="s">
        <v>233</v>
      </c>
      <c r="Z8" s="182"/>
    </row>
    <row r="9" spans="1:30" ht="30" x14ac:dyDescent="0.25">
      <c r="A9" s="24"/>
      <c r="B9" s="24"/>
      <c r="C9" s="24"/>
      <c r="D9" s="24"/>
      <c r="E9" s="24"/>
      <c r="F9" s="24"/>
      <c r="G9" s="24"/>
      <c r="H9" s="24"/>
      <c r="I9" s="24"/>
      <c r="J9" s="24"/>
      <c r="K9" s="181"/>
      <c r="L9" s="181"/>
      <c r="M9" s="182" t="s">
        <v>67</v>
      </c>
      <c r="N9" s="182" t="s">
        <v>4</v>
      </c>
      <c r="O9" s="182" t="s">
        <v>4</v>
      </c>
      <c r="P9" s="182"/>
      <c r="Q9" s="182"/>
      <c r="R9" s="182"/>
      <c r="S9" s="182" t="s">
        <v>202</v>
      </c>
      <c r="T9" s="182" t="s">
        <v>202</v>
      </c>
      <c r="U9" s="182" t="s">
        <v>4</v>
      </c>
      <c r="V9" s="182" t="s">
        <v>4</v>
      </c>
      <c r="W9" s="182" t="s">
        <v>4</v>
      </c>
      <c r="Y9" s="182" t="s">
        <v>234</v>
      </c>
      <c r="Z9" s="182" t="s">
        <v>235</v>
      </c>
      <c r="AB9" s="182"/>
      <c r="AD9" s="182"/>
    </row>
    <row r="10" spans="1:30" x14ac:dyDescent="0.25">
      <c r="A10" t="s">
        <v>236</v>
      </c>
      <c r="B10" t="s">
        <v>237</v>
      </c>
      <c r="C10" t="s">
        <v>238</v>
      </c>
      <c r="D10" t="s">
        <v>239</v>
      </c>
      <c r="E10" t="s">
        <v>229</v>
      </c>
      <c r="F10">
        <v>1994</v>
      </c>
      <c r="G10">
        <v>8.4410000000000006E-3</v>
      </c>
      <c r="H10" t="s">
        <v>240</v>
      </c>
      <c r="I10" t="s">
        <v>241</v>
      </c>
      <c r="J10" t="s">
        <v>242</v>
      </c>
      <c r="K10" s="183">
        <f ca="1">VLOOKUP(F10,
    OFFSET(INDIRECT(ADDRESS(MATCH(J10,'Vehicle numbers'!$A$5:$A$162,0),1,1,1,$L$6)),4,1,COUNTIF('Vehicle numbers'!$A$5:$A$162,J10),4),
    MATCH(K$8,'Vehicle numbers'!$B$4:$D$4,0))*1000</f>
        <v>151552</v>
      </c>
      <c r="L10" s="183">
        <f ca="1">VLOOKUP(F10,
    OFFSET(INDIRECT(ADDRESS(MATCH(J10,'Vehicle numbers'!$A$5:$A$162,0),1,1,1,$L$6)),4,1,COUNTIF('Vehicle numbers'!$A$5:$A$162,J10),4),
    MATCH(L$8,'Vehicle numbers'!$B$4:$D$4,0))*1000</f>
        <v>156847.17176948764</v>
      </c>
      <c r="M10" s="184">
        <f>VLOOKUP(F10,'Annual distance covered (GB)'!$A$8:$H$33,MATCH(J10,'Annual distance covered (GB)'!$A$7:$H$7,0))</f>
        <v>4.5999999999999996</v>
      </c>
      <c r="N10" s="2">
        <f ca="1">M10*G10*1000000*(L10/K10)</f>
        <v>40185.25716433124</v>
      </c>
      <c r="O10" s="180">
        <f ca="1">N10/L10</f>
        <v>0.25620645059121622</v>
      </c>
      <c r="P10" s="180"/>
      <c r="Q10" s="185">
        <v>1994</v>
      </c>
      <c r="R10" s="186" t="s">
        <v>2</v>
      </c>
      <c r="S10" s="180">
        <f t="shared" ref="S10:T29" ca="1" si="0">IF(SUMIFS($O$10:$O$3241,$F$10:$F$3241,$Q10,$J$10:$J$3241,$R10,$E$10:$E$3241,S$8)=0,-1,SUMIFS($O$10:$O$3241,$F$10:$F$3241,$Q10,$J$10:$J$3241,$R10,$E$10:$E$3241,S$8))</f>
        <v>0.65223149709704364</v>
      </c>
      <c r="T10" s="180">
        <f t="shared" ca="1" si="0"/>
        <v>0.47794596692191382</v>
      </c>
      <c r="U10">
        <f ca="1">IF(S10=-1,-1,VLOOKUP(R10,'Vehicle weight data'!$A$4:$C$9,2,0))</f>
        <v>1000</v>
      </c>
      <c r="V10">
        <f ca="1">IF(S10=-1,-1,VLOOKUP(R10,'Vehicle weight data'!$A$4:$C$9,3,0))</f>
        <v>2000</v>
      </c>
      <c r="W10">
        <f t="shared" ref="W10:W41" ca="1" si="1">IF(V10=-1,-1,AVERAGE(U10:V10))</f>
        <v>1500</v>
      </c>
      <c r="Y10">
        <v>100</v>
      </c>
      <c r="Z10" s="180">
        <f>Z$4*($Y10/1000)^Z$5+Z$6*($Y10/1000)+Z$7</f>
        <v>0.61414000000000002</v>
      </c>
      <c r="AA10" s="180">
        <f>AA$4*($Y10/1000)^AA$5+AA$6*($Y10/1000)+AA$7</f>
        <v>0.61400000119999998</v>
      </c>
      <c r="AB10" s="180">
        <f>AB$4*($Y10/1000)^AB$5+AB$6*($Y10/1000)+AB$7</f>
        <v>0.6150004</v>
      </c>
      <c r="AC10" s="180">
        <f>AC$4*($Y10/1000)^AC$5+AC$6*($Y10/1000)+AC$7</f>
        <v>0.62000000000299993</v>
      </c>
      <c r="AD10" s="180"/>
    </row>
    <row r="11" spans="1:30" x14ac:dyDescent="0.25">
      <c r="A11" t="s">
        <v>243</v>
      </c>
      <c r="B11" t="s">
        <v>237</v>
      </c>
      <c r="C11" t="s">
        <v>238</v>
      </c>
      <c r="D11" t="s">
        <v>239</v>
      </c>
      <c r="E11" t="s">
        <v>229</v>
      </c>
      <c r="F11">
        <v>1994</v>
      </c>
      <c r="G11">
        <v>3.3763999999999999E-3</v>
      </c>
      <c r="H11" t="s">
        <v>240</v>
      </c>
      <c r="I11" t="s">
        <v>241</v>
      </c>
      <c r="J11" t="s">
        <v>242</v>
      </c>
      <c r="K11" s="183">
        <f ca="1">VLOOKUP(F11,
    OFFSET(INDIRECT(ADDRESS(MATCH(J11,'Vehicle numbers'!$A$5:$A$162,0),1,1,1,$L$6)),4,1,COUNTIF('Vehicle numbers'!$A$5:$A$162,J11),4),
    MATCH(K$8,'Vehicle numbers'!$B$4:$D$4,0))*1000</f>
        <v>151552</v>
      </c>
      <c r="L11" s="183">
        <f ca="1">VLOOKUP(F11,
    OFFSET(INDIRECT(ADDRESS(MATCH(J11,'Vehicle numbers'!$A$5:$A$162,0),1,1,1,$L$6)),4,1,COUNTIF('Vehicle numbers'!$A$5:$A$162,J11),4),
    MATCH(L$8,'Vehicle numbers'!$B$4:$D$4,0))*1000</f>
        <v>156847.17176948764</v>
      </c>
      <c r="M11" s="184">
        <f>VLOOKUP(F11,'Annual distance covered (GB)'!$A$8:$H$33,MATCH(J11,'Annual distance covered (GB)'!$A$7:$H$7,0))</f>
        <v>4.5999999999999996</v>
      </c>
      <c r="N11" s="2">
        <f t="shared" ref="N11:N74" ca="1" si="2">M11*G11*1000000*(L11/K11)</f>
        <v>16074.102865732495</v>
      </c>
      <c r="O11" s="180">
        <f t="shared" ref="O11:O74" ca="1" si="3">N11/L11</f>
        <v>0.10248258023648649</v>
      </c>
      <c r="P11" s="180"/>
      <c r="Q11" s="185">
        <f>Q10</f>
        <v>1994</v>
      </c>
      <c r="R11" s="186" t="s">
        <v>188</v>
      </c>
      <c r="S11" s="180">
        <f t="shared" ca="1" si="0"/>
        <v>1.281181350709083</v>
      </c>
      <c r="T11" s="180">
        <f t="shared" ca="1" si="0"/>
        <v>0.9269073455794743</v>
      </c>
      <c r="U11">
        <f ca="1">IF(S11=-1,-1,VLOOKUP(R11,'Vehicle weight data'!$A$4:$C$9,2,0))</f>
        <v>1500</v>
      </c>
      <c r="V11">
        <f ca="1">IF(S11=-1,-1,VLOOKUP(R11,'Vehicle weight data'!$A$4:$C$9,3,0))</f>
        <v>3500</v>
      </c>
      <c r="W11">
        <f t="shared" ca="1" si="1"/>
        <v>2500</v>
      </c>
      <c r="Y11">
        <v>500</v>
      </c>
      <c r="Z11" s="180">
        <f t="shared" ref="Z11:AC33" si="4">Z$4*($Y11/1000)^Z$5+Z$6*($Y11/1000)+Z$7</f>
        <v>0.67349999999999999</v>
      </c>
      <c r="AA11" s="180">
        <f t="shared" si="4"/>
        <v>0.67000075000000003</v>
      </c>
      <c r="AB11" s="180">
        <f t="shared" si="4"/>
        <v>0.67504999999999993</v>
      </c>
      <c r="AC11" s="180">
        <f t="shared" si="4"/>
        <v>0.70000000937499995</v>
      </c>
      <c r="AD11" s="180"/>
    </row>
    <row r="12" spans="1:30" x14ac:dyDescent="0.25">
      <c r="A12" t="s">
        <v>244</v>
      </c>
      <c r="B12" t="s">
        <v>237</v>
      </c>
      <c r="C12" t="s">
        <v>238</v>
      </c>
      <c r="D12" t="s">
        <v>239</v>
      </c>
      <c r="E12" t="s">
        <v>229</v>
      </c>
      <c r="F12">
        <v>1994</v>
      </c>
      <c r="G12">
        <v>8.4409999999999997E-4</v>
      </c>
      <c r="H12" t="s">
        <v>240</v>
      </c>
      <c r="I12" t="s">
        <v>241</v>
      </c>
      <c r="J12" t="s">
        <v>242</v>
      </c>
      <c r="K12" s="183">
        <f ca="1">VLOOKUP(F12,
    OFFSET(INDIRECT(ADDRESS(MATCH(J12,'Vehicle numbers'!$A$5:$A$162,0),1,1,1,$L$6)),4,1,COUNTIF('Vehicle numbers'!$A$5:$A$162,J12),4),
    MATCH(K$8,'Vehicle numbers'!$B$4:$D$4,0))*1000</f>
        <v>151552</v>
      </c>
      <c r="L12" s="183">
        <f ca="1">VLOOKUP(F12,
    OFFSET(INDIRECT(ADDRESS(MATCH(J12,'Vehicle numbers'!$A$5:$A$162,0),1,1,1,$L$6)),4,1,COUNTIF('Vehicle numbers'!$A$5:$A$162,J12),4),
    MATCH(L$8,'Vehicle numbers'!$B$4:$D$4,0))*1000</f>
        <v>156847.17176948764</v>
      </c>
      <c r="M12" s="184">
        <f>VLOOKUP(F12,'Annual distance covered (GB)'!$A$8:$H$33,MATCH(J12,'Annual distance covered (GB)'!$A$7:$H$7,0))</f>
        <v>4.5999999999999996</v>
      </c>
      <c r="N12" s="2">
        <f t="shared" ca="1" si="2"/>
        <v>4018.5257164331238</v>
      </c>
      <c r="O12" s="180">
        <f t="shared" ca="1" si="3"/>
        <v>2.5620645059121622E-2</v>
      </c>
      <c r="P12" s="180"/>
      <c r="Q12" s="185">
        <f>Q11</f>
        <v>1994</v>
      </c>
      <c r="R12" s="187" t="s">
        <v>245</v>
      </c>
      <c r="S12" s="180">
        <f t="shared" si="0"/>
        <v>-1</v>
      </c>
      <c r="T12" s="180">
        <f t="shared" si="0"/>
        <v>-1</v>
      </c>
      <c r="U12">
        <f>IF(S12=-1,-1,VLOOKUP(R12,'Vehicle weight data'!$A$4:$C$9,2,0))</f>
        <v>-1</v>
      </c>
      <c r="V12">
        <f>IF(S12=-1,-1,VLOOKUP(R12,'Vehicle weight data'!$A$4:$C$9,3,0))</f>
        <v>-1</v>
      </c>
      <c r="W12">
        <f t="shared" si="1"/>
        <v>-1</v>
      </c>
      <c r="Y12">
        <v>1000</v>
      </c>
      <c r="Z12" s="180">
        <f t="shared" si="4"/>
        <v>0.754</v>
      </c>
      <c r="AA12" s="180">
        <f t="shared" si="4"/>
        <v>0.740012</v>
      </c>
      <c r="AB12" s="180">
        <f t="shared" si="4"/>
        <v>0.75039999999999996</v>
      </c>
      <c r="AC12" s="180">
        <f t="shared" si="4"/>
        <v>0.8000003</v>
      </c>
      <c r="AD12" s="180"/>
    </row>
    <row r="13" spans="1:30" x14ac:dyDescent="0.25">
      <c r="A13" t="s">
        <v>246</v>
      </c>
      <c r="B13" t="s">
        <v>237</v>
      </c>
      <c r="C13" t="s">
        <v>238</v>
      </c>
      <c r="D13" t="s">
        <v>239</v>
      </c>
      <c r="E13" t="s">
        <v>229</v>
      </c>
      <c r="F13">
        <v>1994</v>
      </c>
      <c r="G13">
        <v>6.7528E-4</v>
      </c>
      <c r="H13" t="s">
        <v>240</v>
      </c>
      <c r="I13" t="s">
        <v>241</v>
      </c>
      <c r="J13" t="s">
        <v>242</v>
      </c>
      <c r="K13" s="183">
        <f ca="1">VLOOKUP(F13,
    OFFSET(INDIRECT(ADDRESS(MATCH(J13,'Vehicle numbers'!$A$5:$A$162,0),1,1,1,$L$6)),4,1,COUNTIF('Vehicle numbers'!$A$5:$A$162,J13),4),
    MATCH(K$8,'Vehicle numbers'!$B$4:$D$4,0))*1000</f>
        <v>151552</v>
      </c>
      <c r="L13" s="183">
        <f ca="1">VLOOKUP(F13,
    OFFSET(INDIRECT(ADDRESS(MATCH(J13,'Vehicle numbers'!$A$5:$A$162,0),1,1,1,$L$6)),4,1,COUNTIF('Vehicle numbers'!$A$5:$A$162,J13),4),
    MATCH(L$8,'Vehicle numbers'!$B$4:$D$4,0))*1000</f>
        <v>156847.17176948764</v>
      </c>
      <c r="M13" s="184">
        <f>VLOOKUP(F13,'Annual distance covered (GB)'!$A$8:$H$33,MATCH(J13,'Annual distance covered (GB)'!$A$7:$H$7,0))</f>
        <v>4.5999999999999996</v>
      </c>
      <c r="N13" s="2">
        <f t="shared" ca="1" si="2"/>
        <v>3214.8205731464986</v>
      </c>
      <c r="O13" s="180">
        <f t="shared" ca="1" si="3"/>
        <v>2.0496516047297294E-2</v>
      </c>
      <c r="P13" s="180"/>
      <c r="Q13" s="185">
        <f>Q12</f>
        <v>1994</v>
      </c>
      <c r="R13" s="188" t="s">
        <v>247</v>
      </c>
      <c r="S13" s="180">
        <f t="shared" si="0"/>
        <v>-1</v>
      </c>
      <c r="T13" s="180">
        <f t="shared" si="0"/>
        <v>-1</v>
      </c>
      <c r="U13">
        <f>IF(S13=-1,-1,VLOOKUP(R13,'Vehicle weight data'!$A$4:$C$9,2,0))</f>
        <v>-1</v>
      </c>
      <c r="V13">
        <f>IF(S13=-1,-1,VLOOKUP(R13,'Vehicle weight data'!$A$4:$C$9,3,0))</f>
        <v>-1</v>
      </c>
      <c r="W13">
        <f t="shared" si="1"/>
        <v>-1</v>
      </c>
      <c r="Y13">
        <v>1500</v>
      </c>
      <c r="Z13" s="180">
        <f t="shared" si="4"/>
        <v>0.84150000000000003</v>
      </c>
      <c r="AA13" s="180">
        <f t="shared" si="4"/>
        <v>0.81006075</v>
      </c>
      <c r="AB13" s="180">
        <f t="shared" si="4"/>
        <v>0.82634999999999992</v>
      </c>
      <c r="AC13" s="180">
        <f t="shared" si="4"/>
        <v>0.900002278125</v>
      </c>
      <c r="AD13" s="180"/>
    </row>
    <row r="14" spans="1:30" x14ac:dyDescent="0.25">
      <c r="A14" t="s">
        <v>236</v>
      </c>
      <c r="B14" t="s">
        <v>237</v>
      </c>
      <c r="C14" t="s">
        <v>238</v>
      </c>
      <c r="D14" t="s">
        <v>239</v>
      </c>
      <c r="E14" t="s">
        <v>228</v>
      </c>
      <c r="F14">
        <v>1994</v>
      </c>
      <c r="G14">
        <v>1.39232E-2</v>
      </c>
      <c r="H14" t="s">
        <v>240</v>
      </c>
      <c r="I14" t="s">
        <v>241</v>
      </c>
      <c r="J14" t="s">
        <v>242</v>
      </c>
      <c r="K14" s="183">
        <f ca="1">VLOOKUP(F14,
    OFFSET(INDIRECT(ADDRESS(MATCH(J14,'Vehicle numbers'!$A$5:$A$162,0),1,1,1,$L$6)),4,1,COUNTIF('Vehicle numbers'!$A$5:$A$162,J14),4),
    MATCH(K$8,'Vehicle numbers'!$B$4:$D$4,0))*1000</f>
        <v>151552</v>
      </c>
      <c r="L14" s="183">
        <f ca="1">VLOOKUP(F14,
    OFFSET(INDIRECT(ADDRESS(MATCH(J14,'Vehicle numbers'!$A$5:$A$162,0),1,1,1,$L$6)),4,1,COUNTIF('Vehicle numbers'!$A$5:$A$162,J14),4),
    MATCH(L$8,'Vehicle numbers'!$B$4:$D$4,0))*1000</f>
        <v>156847.17176948764</v>
      </c>
      <c r="M14" s="184">
        <f>VLOOKUP(F14,'Annual distance covered (GB)'!$A$8:$H$33,MATCH(J14,'Annual distance covered (GB)'!$A$7:$H$7,0))</f>
        <v>4.5999999999999996</v>
      </c>
      <c r="N14" s="2">
        <f t="shared" ca="1" si="2"/>
        <v>66284.489106790279</v>
      </c>
      <c r="O14" s="180">
        <f t="shared" ca="1" si="3"/>
        <v>0.42260557432432438</v>
      </c>
      <c r="P14" s="180"/>
      <c r="Q14" s="185">
        <f>Q13</f>
        <v>1994</v>
      </c>
      <c r="R14" s="186" t="s">
        <v>3</v>
      </c>
      <c r="S14" s="180">
        <f t="shared" ca="1" si="0"/>
        <v>0.16511758553629946</v>
      </c>
      <c r="T14" s="180">
        <f t="shared" ca="1" si="0"/>
        <v>0.17459289077043005</v>
      </c>
      <c r="U14">
        <f ca="1">IF(S14=-1,-1,VLOOKUP(R14,'Vehicle weight data'!$A$4:$C$9,2,0))</f>
        <v>100</v>
      </c>
      <c r="V14">
        <f ca="1">IF(S14=-1,-1,VLOOKUP(R14,'Vehicle weight data'!$A$4:$C$9,3,0))</f>
        <v>200</v>
      </c>
      <c r="W14">
        <f t="shared" ca="1" si="1"/>
        <v>150</v>
      </c>
      <c r="Y14">
        <v>2000</v>
      </c>
      <c r="Z14" s="180">
        <f t="shared" si="4"/>
        <v>0.93599999999999994</v>
      </c>
      <c r="AA14" s="180">
        <f t="shared" si="4"/>
        <v>0.88019200000000009</v>
      </c>
      <c r="AB14" s="180">
        <f t="shared" si="4"/>
        <v>0.9032</v>
      </c>
      <c r="AC14" s="180">
        <f t="shared" si="4"/>
        <v>1.0000096000000001</v>
      </c>
      <c r="AD14" s="180"/>
    </row>
    <row r="15" spans="1:30" x14ac:dyDescent="0.25">
      <c r="A15" t="s">
        <v>243</v>
      </c>
      <c r="B15" t="s">
        <v>237</v>
      </c>
      <c r="C15" t="s">
        <v>238</v>
      </c>
      <c r="D15" t="s">
        <v>239</v>
      </c>
      <c r="E15" t="s">
        <v>228</v>
      </c>
      <c r="F15">
        <v>1994</v>
      </c>
      <c r="G15">
        <v>9.7462399999999998E-3</v>
      </c>
      <c r="H15" t="s">
        <v>240</v>
      </c>
      <c r="I15" t="s">
        <v>241</v>
      </c>
      <c r="J15" t="s">
        <v>242</v>
      </c>
      <c r="K15" s="183">
        <f ca="1">VLOOKUP(F15,
    OFFSET(INDIRECT(ADDRESS(MATCH(J15,'Vehicle numbers'!$A$5:$A$162,0),1,1,1,$L$6)),4,1,COUNTIF('Vehicle numbers'!$A$5:$A$162,J15),4),
    MATCH(K$8,'Vehicle numbers'!$B$4:$D$4,0))*1000</f>
        <v>151552</v>
      </c>
      <c r="L15" s="183">
        <f ca="1">VLOOKUP(F15,
    OFFSET(INDIRECT(ADDRESS(MATCH(J15,'Vehicle numbers'!$A$5:$A$162,0),1,1,1,$L$6)),4,1,COUNTIF('Vehicle numbers'!$A$5:$A$162,J15),4),
    MATCH(L$8,'Vehicle numbers'!$B$4:$D$4,0))*1000</f>
        <v>156847.17176948764</v>
      </c>
      <c r="M15" s="184">
        <f>VLOOKUP(F15,'Annual distance covered (GB)'!$A$8:$H$33,MATCH(J15,'Annual distance covered (GB)'!$A$7:$H$7,0))</f>
        <v>4.5999999999999996</v>
      </c>
      <c r="N15" s="2">
        <f t="shared" ca="1" si="2"/>
        <v>46399.142374753181</v>
      </c>
      <c r="O15" s="180">
        <f t="shared" ca="1" si="3"/>
        <v>0.29582390202702696</v>
      </c>
      <c r="P15" s="180"/>
      <c r="Q15" s="185">
        <f>Q14</f>
        <v>1994</v>
      </c>
      <c r="R15" s="186" t="s">
        <v>41</v>
      </c>
      <c r="S15" s="180">
        <f t="shared" ca="1" si="0"/>
        <v>2.9883790281335365</v>
      </c>
      <c r="T15" s="180">
        <f t="shared" ca="1" si="0"/>
        <v>4.2767695048564116</v>
      </c>
      <c r="U15">
        <f ca="1">IF(S15=-1,-1,VLOOKUP(R15,'Vehicle weight data'!$A$4:$C$9,2,0))</f>
        <v>3500</v>
      </c>
      <c r="V15">
        <f ca="1">IF(S15=-1,-1,VLOOKUP(R15,'Vehicle weight data'!$A$4:$C$9,3,0))</f>
        <v>24000</v>
      </c>
      <c r="W15">
        <f t="shared" ca="1" si="1"/>
        <v>13750</v>
      </c>
      <c r="Y15">
        <v>2500</v>
      </c>
      <c r="Z15" s="180">
        <f t="shared" si="4"/>
        <v>1.0375000000000001</v>
      </c>
      <c r="AA15" s="180">
        <f t="shared" si="4"/>
        <v>0.95046874999999997</v>
      </c>
      <c r="AB15" s="180">
        <f t="shared" si="4"/>
        <v>0.98124999999999996</v>
      </c>
      <c r="AC15" s="180">
        <f t="shared" si="4"/>
        <v>1.1000292968749998</v>
      </c>
      <c r="AD15" s="180"/>
    </row>
    <row r="16" spans="1:30" x14ac:dyDescent="0.25">
      <c r="A16" t="s">
        <v>244</v>
      </c>
      <c r="B16" t="s">
        <v>237</v>
      </c>
      <c r="C16" t="s">
        <v>238</v>
      </c>
      <c r="D16" t="s">
        <v>239</v>
      </c>
      <c r="E16" t="s">
        <v>228</v>
      </c>
      <c r="F16">
        <v>1994</v>
      </c>
      <c r="G16">
        <v>1.3727098591549301E-3</v>
      </c>
      <c r="H16" t="s">
        <v>240</v>
      </c>
      <c r="I16" t="s">
        <v>241</v>
      </c>
      <c r="J16" t="s">
        <v>242</v>
      </c>
      <c r="K16" s="183">
        <f ca="1">VLOOKUP(F16,
    OFFSET(INDIRECT(ADDRESS(MATCH(J16,'Vehicle numbers'!$A$5:$A$162,0),1,1,1,$L$6)),4,1,COUNTIF('Vehicle numbers'!$A$5:$A$162,J16),4),
    MATCH(K$8,'Vehicle numbers'!$B$4:$D$4,0))*1000</f>
        <v>151552</v>
      </c>
      <c r="L16" s="183">
        <f ca="1">VLOOKUP(F16,
    OFFSET(INDIRECT(ADDRESS(MATCH(J16,'Vehicle numbers'!$A$5:$A$162,0),1,1,1,$L$6)),4,1,COUNTIF('Vehicle numbers'!$A$5:$A$162,J16),4),
    MATCH(L$8,'Vehicle numbers'!$B$4:$D$4,0))*1000</f>
        <v>156847.17176948764</v>
      </c>
      <c r="M16" s="184">
        <f>VLOOKUP(F16,'Annual distance covered (GB)'!$A$8:$H$33,MATCH(J16,'Annual distance covered (GB)'!$A$7:$H$7,0))</f>
        <v>4.5999999999999996</v>
      </c>
      <c r="N16" s="2">
        <f t="shared" ca="1" si="2"/>
        <v>6535.0904753173527</v>
      </c>
      <c r="O16" s="180">
        <f t="shared" ca="1" si="3"/>
        <v>4.1665338313665791E-2</v>
      </c>
      <c r="P16" s="180"/>
      <c r="Q16" s="185">
        <f>Q15+1</f>
        <v>1995</v>
      </c>
      <c r="R16" s="186" t="s">
        <v>2</v>
      </c>
      <c r="S16" s="180">
        <f t="shared" ca="1" si="0"/>
        <v>0.65781407986213702</v>
      </c>
      <c r="T16" s="180">
        <f t="shared" ca="1" si="0"/>
        <v>0.48207125860327521</v>
      </c>
      <c r="U16">
        <f ca="1">IF(S16=-1,-1,VLOOKUP(R16,'Vehicle weight data'!$A$4:$C$9,2,0))</f>
        <v>1000</v>
      </c>
      <c r="V16">
        <f ca="1">IF(S16=-1,-1,VLOOKUP(R16,'Vehicle weight data'!$A$4:$C$9,3,0))</f>
        <v>2000</v>
      </c>
      <c r="W16">
        <f t="shared" ca="1" si="1"/>
        <v>1500</v>
      </c>
      <c r="Y16">
        <v>3000</v>
      </c>
      <c r="Z16" s="180">
        <f t="shared" si="4"/>
        <v>1.1459999999999999</v>
      </c>
      <c r="AA16" s="180">
        <f t="shared" si="4"/>
        <v>1.020972</v>
      </c>
      <c r="AB16" s="180">
        <f t="shared" si="4"/>
        <v>1.0608</v>
      </c>
      <c r="AC16" s="180">
        <f t="shared" si="4"/>
        <v>1.2000729000000001</v>
      </c>
      <c r="AD16" s="180"/>
    </row>
    <row r="17" spans="1:30" x14ac:dyDescent="0.25">
      <c r="A17" t="s">
        <v>246</v>
      </c>
      <c r="B17" t="s">
        <v>237</v>
      </c>
      <c r="C17" t="s">
        <v>238</v>
      </c>
      <c r="D17" t="s">
        <v>239</v>
      </c>
      <c r="E17" t="s">
        <v>228</v>
      </c>
      <c r="F17">
        <v>1994</v>
      </c>
      <c r="G17">
        <v>1.09816788732394E-3</v>
      </c>
      <c r="H17" t="s">
        <v>240</v>
      </c>
      <c r="I17" t="s">
        <v>241</v>
      </c>
      <c r="J17" t="s">
        <v>242</v>
      </c>
      <c r="K17" s="183">
        <f ca="1">VLOOKUP(F17,
    OFFSET(INDIRECT(ADDRESS(MATCH(J17,'Vehicle numbers'!$A$5:$A$162,0),1,1,1,$L$6)),4,1,COUNTIF('Vehicle numbers'!$A$5:$A$162,J17),4),
    MATCH(K$8,'Vehicle numbers'!$B$4:$D$4,0))*1000</f>
        <v>151552</v>
      </c>
      <c r="L17" s="183">
        <f ca="1">VLOOKUP(F17,
    OFFSET(INDIRECT(ADDRESS(MATCH(J17,'Vehicle numbers'!$A$5:$A$162,0),1,1,1,$L$6)),4,1,COUNTIF('Vehicle numbers'!$A$5:$A$162,J17),4),
    MATCH(L$8,'Vehicle numbers'!$B$4:$D$4,0))*1000</f>
        <v>156847.17176948764</v>
      </c>
      <c r="M17" s="184">
        <f>VLOOKUP(F17,'Annual distance covered (GB)'!$A$8:$H$33,MATCH(J17,'Annual distance covered (GB)'!$A$7:$H$7,0))</f>
        <v>4.5999999999999996</v>
      </c>
      <c r="N17" s="2">
        <f t="shared" ca="1" si="2"/>
        <v>5228.0723802538632</v>
      </c>
      <c r="O17" s="180">
        <f t="shared" ca="1" si="3"/>
        <v>3.3332270650932513E-2</v>
      </c>
      <c r="P17" s="180"/>
      <c r="Q17" s="185">
        <f>Q16</f>
        <v>1995</v>
      </c>
      <c r="R17" s="186" t="s">
        <v>188</v>
      </c>
      <c r="S17" s="180">
        <f t="shared" ca="1" si="0"/>
        <v>1.3259164901249263</v>
      </c>
      <c r="T17" s="180">
        <f t="shared" ca="1" si="0"/>
        <v>0.95927226355702466</v>
      </c>
      <c r="U17">
        <f ca="1">IF(S17=-1,-1,VLOOKUP(R17,'Vehicle weight data'!$A$4:$C$9,2,0))</f>
        <v>1500</v>
      </c>
      <c r="V17">
        <f ca="1">IF(S17=-1,-1,VLOOKUP(R17,'Vehicle weight data'!$A$4:$C$9,3,0))</f>
        <v>3500</v>
      </c>
      <c r="W17">
        <f t="shared" ca="1" si="1"/>
        <v>2500</v>
      </c>
      <c r="Y17">
        <v>3500</v>
      </c>
      <c r="Z17" s="180">
        <f t="shared" si="4"/>
        <v>1.2615000000000001</v>
      </c>
      <c r="AA17" s="180">
        <f t="shared" si="4"/>
        <v>1.09180075</v>
      </c>
      <c r="AB17" s="180">
        <f t="shared" si="4"/>
        <v>1.14215</v>
      </c>
      <c r="AC17" s="180">
        <f t="shared" si="4"/>
        <v>1.3001575656250002</v>
      </c>
      <c r="AD17" s="180"/>
    </row>
    <row r="18" spans="1:30" x14ac:dyDescent="0.25">
      <c r="A18" t="s">
        <v>236</v>
      </c>
      <c r="B18" t="s">
        <v>237</v>
      </c>
      <c r="C18" t="s">
        <v>238</v>
      </c>
      <c r="D18" t="s">
        <v>248</v>
      </c>
      <c r="E18" t="s">
        <v>229</v>
      </c>
      <c r="F18">
        <v>1994</v>
      </c>
      <c r="G18">
        <v>2.71429999999999E-2</v>
      </c>
      <c r="H18" t="s">
        <v>240</v>
      </c>
      <c r="I18" t="s">
        <v>241</v>
      </c>
      <c r="J18" t="s">
        <v>242</v>
      </c>
      <c r="K18" s="183">
        <f ca="1">VLOOKUP(F18,
    OFFSET(INDIRECT(ADDRESS(MATCH(J18,'Vehicle numbers'!$A$5:$A$162,0),1,1,1,$L$6)),4,1,COUNTIF('Vehicle numbers'!$A$5:$A$162,J18),4),
    MATCH(K$8,'Vehicle numbers'!$B$4:$D$4,0))*1000</f>
        <v>151552</v>
      </c>
      <c r="L18" s="183">
        <f ca="1">VLOOKUP(F18,
    OFFSET(INDIRECT(ADDRESS(MATCH(J18,'Vehicle numbers'!$A$5:$A$162,0),1,1,1,$L$6)),4,1,COUNTIF('Vehicle numbers'!$A$5:$A$162,J18),4),
    MATCH(L$8,'Vehicle numbers'!$B$4:$D$4,0))*1000</f>
        <v>156847.17176948764</v>
      </c>
      <c r="M18" s="184">
        <f>VLOOKUP(F18,'Annual distance covered (GB)'!$A$8:$H$33,MATCH(J18,'Annual distance covered (GB)'!$A$7:$H$7,0))</f>
        <v>4.5999999999999996</v>
      </c>
      <c r="N18" s="2">
        <f t="shared" ca="1" si="2"/>
        <v>129220.28612859125</v>
      </c>
      <c r="O18" s="180">
        <f t="shared" ca="1" si="3"/>
        <v>0.82386111697634834</v>
      </c>
      <c r="P18" s="180"/>
      <c r="Q18" s="185">
        <f>Q17</f>
        <v>1995</v>
      </c>
      <c r="R18" s="187" t="s">
        <v>245</v>
      </c>
      <c r="S18" s="180">
        <f t="shared" si="0"/>
        <v>-1</v>
      </c>
      <c r="T18" s="180">
        <f t="shared" si="0"/>
        <v>-1</v>
      </c>
      <c r="U18">
        <f>IF(S18=-1,-1,VLOOKUP(R18,'Vehicle weight data'!$A$4:$C$9,2,0))</f>
        <v>-1</v>
      </c>
      <c r="V18">
        <f>IF(S18=-1,-1,VLOOKUP(R18,'Vehicle weight data'!$A$4:$C$9,3,0))</f>
        <v>-1</v>
      </c>
      <c r="W18">
        <f t="shared" si="1"/>
        <v>-1</v>
      </c>
      <c r="Y18">
        <v>4000</v>
      </c>
      <c r="Z18" s="180">
        <f t="shared" si="4"/>
        <v>1.3839999999999999</v>
      </c>
      <c r="AA18" s="180">
        <f t="shared" si="4"/>
        <v>1.1630720000000001</v>
      </c>
      <c r="AB18" s="180">
        <f t="shared" si="4"/>
        <v>1.2256</v>
      </c>
      <c r="AC18" s="180">
        <f t="shared" si="4"/>
        <v>1.4003071999999999</v>
      </c>
      <c r="AD18" s="180"/>
    </row>
    <row r="19" spans="1:30" x14ac:dyDescent="0.25">
      <c r="A19" t="s">
        <v>243</v>
      </c>
      <c r="B19" t="s">
        <v>237</v>
      </c>
      <c r="C19" t="s">
        <v>238</v>
      </c>
      <c r="D19" t="s">
        <v>248</v>
      </c>
      <c r="E19" t="s">
        <v>229</v>
      </c>
      <c r="F19">
        <v>1994</v>
      </c>
      <c r="G19">
        <v>1.0857199999999999E-2</v>
      </c>
      <c r="H19" t="s">
        <v>240</v>
      </c>
      <c r="I19" t="s">
        <v>241</v>
      </c>
      <c r="J19" t="s">
        <v>242</v>
      </c>
      <c r="K19" s="183">
        <f ca="1">VLOOKUP(F19,
    OFFSET(INDIRECT(ADDRESS(MATCH(J19,'Vehicle numbers'!$A$5:$A$162,0),1,1,1,$L$6)),4,1,COUNTIF('Vehicle numbers'!$A$5:$A$162,J19),4),
    MATCH(K$8,'Vehicle numbers'!$B$4:$D$4,0))*1000</f>
        <v>151552</v>
      </c>
      <c r="L19" s="183">
        <f ca="1">VLOOKUP(F19,
    OFFSET(INDIRECT(ADDRESS(MATCH(J19,'Vehicle numbers'!$A$5:$A$162,0),1,1,1,$L$6)),4,1,COUNTIF('Vehicle numbers'!$A$5:$A$162,J19),4),
    MATCH(L$8,'Vehicle numbers'!$B$4:$D$4,0))*1000</f>
        <v>156847.17176948764</v>
      </c>
      <c r="M19" s="184">
        <f>VLOOKUP(F19,'Annual distance covered (GB)'!$A$8:$H$33,MATCH(J19,'Annual distance covered (GB)'!$A$7:$H$7,0))</f>
        <v>4.5999999999999996</v>
      </c>
      <c r="N19" s="2">
        <f t="shared" ca="1" si="2"/>
        <v>51688.11445143669</v>
      </c>
      <c r="O19" s="180">
        <f t="shared" ca="1" si="3"/>
        <v>0.32954444679054051</v>
      </c>
      <c r="P19" s="180"/>
      <c r="Q19" s="185">
        <f>Q18</f>
        <v>1995</v>
      </c>
      <c r="R19" s="188" t="s">
        <v>247</v>
      </c>
      <c r="S19" s="180">
        <f t="shared" si="0"/>
        <v>-1</v>
      </c>
      <c r="T19" s="180">
        <f t="shared" si="0"/>
        <v>-1</v>
      </c>
      <c r="U19">
        <f>IF(S19=-1,-1,VLOOKUP(R19,'Vehicle weight data'!$A$4:$C$9,2,0))</f>
        <v>-1</v>
      </c>
      <c r="V19">
        <f>IF(S19=-1,-1,VLOOKUP(R19,'Vehicle weight data'!$A$4:$C$9,3,0))</f>
        <v>-1</v>
      </c>
      <c r="W19">
        <f t="shared" si="1"/>
        <v>-1</v>
      </c>
      <c r="Y19">
        <v>4500</v>
      </c>
      <c r="Z19" s="180">
        <f t="shared" si="4"/>
        <v>1.5135000000000001</v>
      </c>
      <c r="AA19" s="180">
        <f t="shared" si="4"/>
        <v>1.2349207500000001</v>
      </c>
      <c r="AB19" s="180">
        <f t="shared" si="4"/>
        <v>1.3114499999999998</v>
      </c>
      <c r="AC19" s="180">
        <f t="shared" si="4"/>
        <v>1.500553584375</v>
      </c>
      <c r="AD19" s="180"/>
    </row>
    <row r="20" spans="1:30" x14ac:dyDescent="0.25">
      <c r="A20" t="s">
        <v>244</v>
      </c>
      <c r="B20" t="s">
        <v>237</v>
      </c>
      <c r="C20" t="s">
        <v>238</v>
      </c>
      <c r="D20" t="s">
        <v>248</v>
      </c>
      <c r="E20" t="s">
        <v>229</v>
      </c>
      <c r="F20">
        <v>1994</v>
      </c>
      <c r="G20">
        <v>2.7142999999999998E-3</v>
      </c>
      <c r="H20" t="s">
        <v>240</v>
      </c>
      <c r="I20" t="s">
        <v>241</v>
      </c>
      <c r="J20" t="s">
        <v>242</v>
      </c>
      <c r="K20" s="183">
        <f ca="1">VLOOKUP(F20,
    OFFSET(INDIRECT(ADDRESS(MATCH(J20,'Vehicle numbers'!$A$5:$A$162,0),1,1,1,$L$6)),4,1,COUNTIF('Vehicle numbers'!$A$5:$A$162,J20),4),
    MATCH(K$8,'Vehicle numbers'!$B$4:$D$4,0))*1000</f>
        <v>151552</v>
      </c>
      <c r="L20" s="183">
        <f ca="1">VLOOKUP(F20,
    OFFSET(INDIRECT(ADDRESS(MATCH(J20,'Vehicle numbers'!$A$5:$A$162,0),1,1,1,$L$6)),4,1,COUNTIF('Vehicle numbers'!$A$5:$A$162,J20),4),
    MATCH(L$8,'Vehicle numbers'!$B$4:$D$4,0))*1000</f>
        <v>156847.17176948764</v>
      </c>
      <c r="M20" s="184">
        <f>VLOOKUP(F20,'Annual distance covered (GB)'!$A$8:$H$33,MATCH(J20,'Annual distance covered (GB)'!$A$7:$H$7,0))</f>
        <v>4.5999999999999996</v>
      </c>
      <c r="N20" s="2">
        <f t="shared" ca="1" si="2"/>
        <v>12922.028612859172</v>
      </c>
      <c r="O20" s="180">
        <f t="shared" ca="1" si="3"/>
        <v>8.2386111697635128E-2</v>
      </c>
      <c r="P20" s="180"/>
      <c r="Q20" s="185">
        <f>Q19</f>
        <v>1995</v>
      </c>
      <c r="R20" s="186" t="s">
        <v>3</v>
      </c>
      <c r="S20" s="180">
        <f t="shared" ca="1" si="0"/>
        <v>0.16499004260540662</v>
      </c>
      <c r="T20" s="180">
        <f t="shared" ca="1" si="0"/>
        <v>0.17445802876327576</v>
      </c>
      <c r="U20">
        <f ca="1">IF(S20=-1,-1,VLOOKUP(R20,'Vehicle weight data'!$A$4:$C$9,2,0))</f>
        <v>100</v>
      </c>
      <c r="V20">
        <f ca="1">IF(S20=-1,-1,VLOOKUP(R20,'Vehicle weight data'!$A$4:$C$9,3,0))</f>
        <v>200</v>
      </c>
      <c r="W20">
        <f t="shared" ca="1" si="1"/>
        <v>150</v>
      </c>
      <c r="Y20">
        <v>5000</v>
      </c>
      <c r="Z20" s="180">
        <f t="shared" si="4"/>
        <v>1.65</v>
      </c>
      <c r="AA20" s="180">
        <f t="shared" si="4"/>
        <v>1.3075000000000001</v>
      </c>
      <c r="AB20" s="180">
        <f t="shared" si="4"/>
        <v>1.4</v>
      </c>
      <c r="AC20" s="180">
        <f t="shared" si="4"/>
        <v>1.6009375000000001</v>
      </c>
      <c r="AD20" s="180"/>
    </row>
    <row r="21" spans="1:30" x14ac:dyDescent="0.25">
      <c r="A21" t="s">
        <v>246</v>
      </c>
      <c r="B21" t="s">
        <v>237</v>
      </c>
      <c r="C21" t="s">
        <v>238</v>
      </c>
      <c r="D21" t="s">
        <v>248</v>
      </c>
      <c r="E21" t="s">
        <v>229</v>
      </c>
      <c r="F21">
        <v>1994</v>
      </c>
      <c r="G21">
        <v>2.1714400000000002E-3</v>
      </c>
      <c r="H21" t="s">
        <v>240</v>
      </c>
      <c r="I21" t="s">
        <v>241</v>
      </c>
      <c r="J21" t="s">
        <v>242</v>
      </c>
      <c r="K21" s="183">
        <f ca="1">VLOOKUP(F21,
    OFFSET(INDIRECT(ADDRESS(MATCH(J21,'Vehicle numbers'!$A$5:$A$162,0),1,1,1,$L$6)),4,1,COUNTIF('Vehicle numbers'!$A$5:$A$162,J21),4),
    MATCH(K$8,'Vehicle numbers'!$B$4:$D$4,0))*1000</f>
        <v>151552</v>
      </c>
      <c r="L21" s="183">
        <f ca="1">VLOOKUP(F21,
    OFFSET(INDIRECT(ADDRESS(MATCH(J21,'Vehicle numbers'!$A$5:$A$162,0),1,1,1,$L$6)),4,1,COUNTIF('Vehicle numbers'!$A$5:$A$162,J21),4),
    MATCH(L$8,'Vehicle numbers'!$B$4:$D$4,0))*1000</f>
        <v>156847.17176948764</v>
      </c>
      <c r="M21" s="184">
        <f>VLOOKUP(F21,'Annual distance covered (GB)'!$A$8:$H$33,MATCH(J21,'Annual distance covered (GB)'!$A$7:$H$7,0))</f>
        <v>4.5999999999999996</v>
      </c>
      <c r="N21" s="2">
        <f t="shared" ca="1" si="2"/>
        <v>10337.622890287339</v>
      </c>
      <c r="O21" s="180">
        <f t="shared" ca="1" si="3"/>
        <v>6.5908889358108111E-2</v>
      </c>
      <c r="P21" s="180"/>
      <c r="Q21" s="185">
        <f>Q20</f>
        <v>1995</v>
      </c>
      <c r="R21" s="186" t="s">
        <v>41</v>
      </c>
      <c r="S21" s="180">
        <f t="shared" ca="1" si="0"/>
        <v>3.1435925915855405</v>
      </c>
      <c r="T21" s="180">
        <f t="shared" ca="1" si="0"/>
        <v>4.4989008438406186</v>
      </c>
      <c r="U21">
        <f ca="1">IF(S21=-1,-1,VLOOKUP(R21,'Vehicle weight data'!$A$4:$C$9,2,0))</f>
        <v>3500</v>
      </c>
      <c r="V21">
        <f ca="1">IF(S21=-1,-1,VLOOKUP(R21,'Vehicle weight data'!$A$4:$C$9,3,0))</f>
        <v>24000</v>
      </c>
      <c r="W21">
        <f t="shared" ca="1" si="1"/>
        <v>13750</v>
      </c>
      <c r="Y21">
        <v>10000</v>
      </c>
      <c r="Z21" s="180">
        <f t="shared" si="4"/>
        <v>3.4000000000000004</v>
      </c>
      <c r="AA21" s="180">
        <f t="shared" si="4"/>
        <v>2.12</v>
      </c>
      <c r="AB21" s="180">
        <f t="shared" si="4"/>
        <v>2.5</v>
      </c>
      <c r="AC21" s="180">
        <f t="shared" si="4"/>
        <v>2.63</v>
      </c>
      <c r="AD21" s="180"/>
    </row>
    <row r="22" spans="1:30" x14ac:dyDescent="0.25">
      <c r="A22" t="s">
        <v>236</v>
      </c>
      <c r="B22" t="s">
        <v>237</v>
      </c>
      <c r="C22" t="s">
        <v>238</v>
      </c>
      <c r="D22" t="s">
        <v>248</v>
      </c>
      <c r="E22" t="s">
        <v>228</v>
      </c>
      <c r="F22">
        <v>1994</v>
      </c>
      <c r="G22">
        <v>1.69552075111827E-2</v>
      </c>
      <c r="H22" t="s">
        <v>240</v>
      </c>
      <c r="I22" t="s">
        <v>241</v>
      </c>
      <c r="J22" t="s">
        <v>242</v>
      </c>
      <c r="K22" s="183">
        <f ca="1">VLOOKUP(F22,
    OFFSET(INDIRECT(ADDRESS(MATCH(J22,'Vehicle numbers'!$A$5:$A$162,0),1,1,1,$L$6)),4,1,COUNTIF('Vehicle numbers'!$A$5:$A$162,J22),4),
    MATCH(K$8,'Vehicle numbers'!$B$4:$D$4,0))*1000</f>
        <v>151552</v>
      </c>
      <c r="L22" s="183">
        <f ca="1">VLOOKUP(F22,
    OFFSET(INDIRECT(ADDRESS(MATCH(J22,'Vehicle numbers'!$A$5:$A$162,0),1,1,1,$L$6)),4,1,COUNTIF('Vehicle numbers'!$A$5:$A$162,J22),4),
    MATCH(L$8,'Vehicle numbers'!$B$4:$D$4,0))*1000</f>
        <v>156847.17176948764</v>
      </c>
      <c r="M22" s="184">
        <f>VLOOKUP(F22,'Annual distance covered (GB)'!$A$8:$H$33,MATCH(J22,'Annual distance covered (GB)'!$A$7:$H$7,0))</f>
        <v>4.5999999999999996</v>
      </c>
      <c r="N22" s="2">
        <f t="shared" ca="1" si="2"/>
        <v>80719.034961672485</v>
      </c>
      <c r="O22" s="180">
        <f t="shared" ca="1" si="3"/>
        <v>0.51463494082189887</v>
      </c>
      <c r="P22" s="180"/>
      <c r="Q22" s="185">
        <f>Q21+1</f>
        <v>1996</v>
      </c>
      <c r="R22" s="186" t="s">
        <v>2</v>
      </c>
      <c r="S22" s="180">
        <f t="shared" ca="1" si="0"/>
        <v>0.64879310294656878</v>
      </c>
      <c r="T22" s="180">
        <f t="shared" ca="1" si="0"/>
        <v>0.47548397609518389</v>
      </c>
      <c r="U22">
        <f ca="1">IF(S22=-1,-1,VLOOKUP(R22,'Vehicle weight data'!$A$4:$C$9,2,0))</f>
        <v>1000</v>
      </c>
      <c r="V22">
        <f ca="1">IF(S22=-1,-1,VLOOKUP(R22,'Vehicle weight data'!$A$4:$C$9,3,0))</f>
        <v>2000</v>
      </c>
      <c r="W22">
        <f t="shared" ca="1" si="1"/>
        <v>1500</v>
      </c>
      <c r="Y22">
        <v>15000</v>
      </c>
      <c r="Z22" s="180">
        <f t="shared" si="4"/>
        <v>5.85</v>
      </c>
      <c r="AA22" s="180">
        <f t="shared" si="4"/>
        <v>3.3075000000000001</v>
      </c>
      <c r="AB22" s="180">
        <f t="shared" si="4"/>
        <v>4.2</v>
      </c>
      <c r="AC22" s="180">
        <f t="shared" si="4"/>
        <v>3.8278125000000003</v>
      </c>
      <c r="AD22" s="180"/>
    </row>
    <row r="23" spans="1:30" x14ac:dyDescent="0.25">
      <c r="A23" t="s">
        <v>243</v>
      </c>
      <c r="B23" t="s">
        <v>237</v>
      </c>
      <c r="C23" t="s">
        <v>238</v>
      </c>
      <c r="D23" t="s">
        <v>248</v>
      </c>
      <c r="E23" t="s">
        <v>228</v>
      </c>
      <c r="F23">
        <v>1994</v>
      </c>
      <c r="G23">
        <v>1.18686452578279E-2</v>
      </c>
      <c r="H23" t="s">
        <v>240</v>
      </c>
      <c r="I23" t="s">
        <v>241</v>
      </c>
      <c r="J23" t="s">
        <v>242</v>
      </c>
      <c r="K23" s="183">
        <f ca="1">VLOOKUP(F23,
    OFFSET(INDIRECT(ADDRESS(MATCH(J23,'Vehicle numbers'!$A$5:$A$162,0),1,1,1,$L$6)),4,1,COUNTIF('Vehicle numbers'!$A$5:$A$162,J23),4),
    MATCH(K$8,'Vehicle numbers'!$B$4:$D$4,0))*1000</f>
        <v>151552</v>
      </c>
      <c r="L23" s="183">
        <f ca="1">VLOOKUP(F23,
    OFFSET(INDIRECT(ADDRESS(MATCH(J23,'Vehicle numbers'!$A$5:$A$162,0),1,1,1,$L$6)),4,1,COUNTIF('Vehicle numbers'!$A$5:$A$162,J23),4),
    MATCH(L$8,'Vehicle numbers'!$B$4:$D$4,0))*1000</f>
        <v>156847.17176948764</v>
      </c>
      <c r="M23" s="184">
        <f>VLOOKUP(F23,'Annual distance covered (GB)'!$A$8:$H$33,MATCH(J23,'Annual distance covered (GB)'!$A$7:$H$7,0))</f>
        <v>4.5999999999999996</v>
      </c>
      <c r="N23" s="2">
        <f t="shared" ca="1" si="2"/>
        <v>56503.324473170789</v>
      </c>
      <c r="O23" s="180">
        <f t="shared" ca="1" si="3"/>
        <v>0.36024445857532955</v>
      </c>
      <c r="P23" s="180"/>
      <c r="Q23" s="185">
        <f>Q22</f>
        <v>1996</v>
      </c>
      <c r="R23" s="186" t="s">
        <v>188</v>
      </c>
      <c r="S23" s="180">
        <f t="shared" ca="1" si="0"/>
        <v>1.3442087829047347</v>
      </c>
      <c r="T23" s="180">
        <f t="shared" ca="1" si="0"/>
        <v>0.97250634672230929</v>
      </c>
      <c r="U23">
        <f ca="1">IF(S23=-1,-1,VLOOKUP(R23,'Vehicle weight data'!$A$4:$C$9,2,0))</f>
        <v>1500</v>
      </c>
      <c r="V23">
        <f ca="1">IF(S23=-1,-1,VLOOKUP(R23,'Vehicle weight data'!$A$4:$C$9,3,0))</f>
        <v>3500</v>
      </c>
      <c r="W23">
        <f t="shared" ca="1" si="1"/>
        <v>2500</v>
      </c>
      <c r="Y23">
        <v>17000</v>
      </c>
      <c r="Z23" s="180">
        <f t="shared" si="4"/>
        <v>7.0259999999999998</v>
      </c>
      <c r="AA23" s="180">
        <f t="shared" si="4"/>
        <v>3.9822520000000003</v>
      </c>
      <c r="AB23" s="180">
        <f t="shared" si="4"/>
        <v>5.1151999999999997</v>
      </c>
      <c r="AC23" s="180">
        <f t="shared" si="4"/>
        <v>4.4259570999999998</v>
      </c>
      <c r="AD23" s="180"/>
    </row>
    <row r="24" spans="1:30" x14ac:dyDescent="0.25">
      <c r="A24" t="s">
        <v>244</v>
      </c>
      <c r="B24" t="s">
        <v>237</v>
      </c>
      <c r="C24" t="s">
        <v>238</v>
      </c>
      <c r="D24" t="s">
        <v>248</v>
      </c>
      <c r="E24" t="s">
        <v>228</v>
      </c>
      <c r="F24">
        <v>1994</v>
      </c>
      <c r="G24">
        <v>1.6716401771588599E-3</v>
      </c>
      <c r="H24" t="s">
        <v>240</v>
      </c>
      <c r="I24" t="s">
        <v>241</v>
      </c>
      <c r="J24" t="s">
        <v>242</v>
      </c>
      <c r="K24" s="183">
        <f ca="1">VLOOKUP(F24,
    OFFSET(INDIRECT(ADDRESS(MATCH(J24,'Vehicle numbers'!$A$5:$A$162,0),1,1,1,$L$6)),4,1,COUNTIF('Vehicle numbers'!$A$5:$A$162,J24),4),
    MATCH(K$8,'Vehicle numbers'!$B$4:$D$4,0))*1000</f>
        <v>151552</v>
      </c>
      <c r="L24" s="183">
        <f ca="1">VLOOKUP(F24,
    OFFSET(INDIRECT(ADDRESS(MATCH(J24,'Vehicle numbers'!$A$5:$A$162,0),1,1,1,$L$6)),4,1,COUNTIF('Vehicle numbers'!$A$5:$A$162,J24),4),
    MATCH(L$8,'Vehicle numbers'!$B$4:$D$4,0))*1000</f>
        <v>156847.17176948764</v>
      </c>
      <c r="M24" s="184">
        <f>VLOOKUP(F24,'Annual distance covered (GB)'!$A$8:$H$33,MATCH(J24,'Annual distance covered (GB)'!$A$7:$H$7,0))</f>
        <v>4.5999999999999996</v>
      </c>
      <c r="N24" s="2">
        <f t="shared" ca="1" si="2"/>
        <v>7958.2147145311001</v>
      </c>
      <c r="O24" s="180">
        <f t="shared" ca="1" si="3"/>
        <v>5.0738656137370379E-2</v>
      </c>
      <c r="P24" s="180"/>
      <c r="Q24" s="185">
        <f>Q23</f>
        <v>1996</v>
      </c>
      <c r="R24" s="187" t="s">
        <v>245</v>
      </c>
      <c r="S24" s="180">
        <f t="shared" si="0"/>
        <v>-1</v>
      </c>
      <c r="T24" s="180">
        <f t="shared" si="0"/>
        <v>-1</v>
      </c>
      <c r="U24">
        <f>IF(S24=-1,-1,VLOOKUP(R24,'Vehicle weight data'!$A$4:$C$9,2,0))</f>
        <v>-1</v>
      </c>
      <c r="V24">
        <f>IF(S24=-1,-1,VLOOKUP(R24,'Vehicle weight data'!$A$4:$C$9,3,0))</f>
        <v>-1</v>
      </c>
      <c r="W24">
        <f t="shared" si="1"/>
        <v>-1</v>
      </c>
      <c r="Y24">
        <v>20000</v>
      </c>
      <c r="Z24" s="180">
        <f t="shared" si="4"/>
        <v>9</v>
      </c>
      <c r="AA24" s="180">
        <f t="shared" si="4"/>
        <v>5.32</v>
      </c>
      <c r="AB24" s="180">
        <f t="shared" si="4"/>
        <v>6.8</v>
      </c>
      <c r="AC24" s="180">
        <f t="shared" si="4"/>
        <v>5.56</v>
      </c>
      <c r="AD24" s="180"/>
    </row>
    <row r="25" spans="1:30" x14ac:dyDescent="0.25">
      <c r="A25" t="s">
        <v>246</v>
      </c>
      <c r="B25" t="s">
        <v>237</v>
      </c>
      <c r="C25" t="s">
        <v>238</v>
      </c>
      <c r="D25" t="s">
        <v>248</v>
      </c>
      <c r="E25" t="s">
        <v>228</v>
      </c>
      <c r="F25">
        <v>1994</v>
      </c>
      <c r="G25">
        <v>1.3373121417270899E-3</v>
      </c>
      <c r="H25" t="s">
        <v>240</v>
      </c>
      <c r="I25" t="s">
        <v>241</v>
      </c>
      <c r="J25" t="s">
        <v>242</v>
      </c>
      <c r="K25" s="183">
        <f ca="1">VLOOKUP(F25,
    OFFSET(INDIRECT(ADDRESS(MATCH(J25,'Vehicle numbers'!$A$5:$A$162,0),1,1,1,$L$6)),4,1,COUNTIF('Vehicle numbers'!$A$5:$A$162,J25),4),
    MATCH(K$8,'Vehicle numbers'!$B$4:$D$4,0))*1000</f>
        <v>151552</v>
      </c>
      <c r="L25" s="183">
        <f ca="1">VLOOKUP(F25,
    OFFSET(INDIRECT(ADDRESS(MATCH(J25,'Vehicle numbers'!$A$5:$A$162,0),1,1,1,$L$6)),4,1,COUNTIF('Vehicle numbers'!$A$5:$A$162,J25),4),
    MATCH(L$8,'Vehicle numbers'!$B$4:$D$4,0))*1000</f>
        <v>156847.17176948764</v>
      </c>
      <c r="M25" s="184">
        <f>VLOOKUP(F25,'Annual distance covered (GB)'!$A$8:$H$33,MATCH(J25,'Annual distance covered (GB)'!$A$7:$H$7,0))</f>
        <v>4.5999999999999996</v>
      </c>
      <c r="N25" s="2">
        <f t="shared" ca="1" si="2"/>
        <v>6366.5717716248892</v>
      </c>
      <c r="O25" s="180">
        <f t="shared" ca="1" si="3"/>
        <v>4.059092490989636E-2</v>
      </c>
      <c r="P25" s="180"/>
      <c r="Q25" s="185">
        <f>Q24</f>
        <v>1996</v>
      </c>
      <c r="R25" s="188" t="s">
        <v>247</v>
      </c>
      <c r="S25" s="180">
        <f t="shared" si="0"/>
        <v>-1</v>
      </c>
      <c r="T25" s="180">
        <f t="shared" si="0"/>
        <v>-1</v>
      </c>
      <c r="U25">
        <f>IF(S25=-1,-1,VLOOKUP(R25,'Vehicle weight data'!$A$4:$C$9,2,0))</f>
        <v>-1</v>
      </c>
      <c r="V25">
        <f>IF(S25=-1,-1,VLOOKUP(R25,'Vehicle weight data'!$A$4:$C$9,3,0))</f>
        <v>-1</v>
      </c>
      <c r="W25">
        <f t="shared" si="1"/>
        <v>-1</v>
      </c>
      <c r="Y25">
        <v>24000</v>
      </c>
      <c r="Z25" s="180">
        <f t="shared" si="4"/>
        <v>12.023999999999999</v>
      </c>
      <c r="AA25" s="180">
        <f t="shared" si="4"/>
        <v>7.9413119999999999</v>
      </c>
      <c r="AB25" s="180">
        <f t="shared" si="4"/>
        <v>9.7295999999999996</v>
      </c>
      <c r="AC25" s="180">
        <f t="shared" si="4"/>
        <v>7.7887871999999998</v>
      </c>
      <c r="AD25" s="180"/>
    </row>
    <row r="26" spans="1:30" x14ac:dyDescent="0.25">
      <c r="A26" t="s">
        <v>236</v>
      </c>
      <c r="B26" t="s">
        <v>237</v>
      </c>
      <c r="C26" t="s">
        <v>238</v>
      </c>
      <c r="D26" t="s">
        <v>249</v>
      </c>
      <c r="E26" t="s">
        <v>229</v>
      </c>
      <c r="F26">
        <v>1994</v>
      </c>
      <c r="G26">
        <v>5.35949999999999E-2</v>
      </c>
      <c r="H26" t="s">
        <v>240</v>
      </c>
      <c r="I26" t="s">
        <v>241</v>
      </c>
      <c r="J26" t="s">
        <v>242</v>
      </c>
      <c r="K26" s="183">
        <f ca="1">VLOOKUP(F26,
    OFFSET(INDIRECT(ADDRESS(MATCH(J26,'Vehicle numbers'!$A$5:$A$162,0),1,1,1,$L$6)),4,1,COUNTIF('Vehicle numbers'!$A$5:$A$162,J26),4),
    MATCH(K$8,'Vehicle numbers'!$B$4:$D$4,0))*1000</f>
        <v>151552</v>
      </c>
      <c r="L26" s="183">
        <f ca="1">VLOOKUP(F26,
    OFFSET(INDIRECT(ADDRESS(MATCH(J26,'Vehicle numbers'!$A$5:$A$162,0),1,1,1,$L$6)),4,1,COUNTIF('Vehicle numbers'!$A$5:$A$162,J26),4),
    MATCH(L$8,'Vehicle numbers'!$B$4:$D$4,0))*1000</f>
        <v>156847.17176948764</v>
      </c>
      <c r="M26" s="184">
        <f>VLOOKUP(F26,'Annual distance covered (GB)'!$A$8:$H$33,MATCH(J26,'Annual distance covered (GB)'!$A$7:$H$7,0))</f>
        <v>4.5999999999999996</v>
      </c>
      <c r="N26" s="2">
        <f t="shared" ca="1" si="2"/>
        <v>255150.91312905206</v>
      </c>
      <c r="O26" s="180">
        <f t="shared" ca="1" si="3"/>
        <v>1.6267485747466184</v>
      </c>
      <c r="P26" s="180"/>
      <c r="Q26" s="185">
        <f>Q25</f>
        <v>1996</v>
      </c>
      <c r="R26" s="186" t="s">
        <v>3</v>
      </c>
      <c r="S26" s="180">
        <f t="shared" ca="1" si="0"/>
        <v>0.16113155087742079</v>
      </c>
      <c r="T26" s="180">
        <f t="shared" ca="1" si="0"/>
        <v>0.17037811672595543</v>
      </c>
      <c r="U26">
        <f ca="1">IF(S26=-1,-1,VLOOKUP(R26,'Vehicle weight data'!$A$4:$C$9,2,0))</f>
        <v>100</v>
      </c>
      <c r="V26">
        <f ca="1">IF(S26=-1,-1,VLOOKUP(R26,'Vehicle weight data'!$A$4:$C$9,3,0))</f>
        <v>200</v>
      </c>
      <c r="W26">
        <f t="shared" ca="1" si="1"/>
        <v>150</v>
      </c>
      <c r="Y26">
        <v>25000</v>
      </c>
      <c r="Z26" s="180">
        <f t="shared" si="4"/>
        <v>12.85</v>
      </c>
      <c r="AA26" s="180">
        <f t="shared" si="4"/>
        <v>8.7874999999999996</v>
      </c>
      <c r="AB26" s="180">
        <f t="shared" si="4"/>
        <v>10.6</v>
      </c>
      <c r="AC26" s="180">
        <f t="shared" si="4"/>
        <v>8.5296874999999996</v>
      </c>
      <c r="AD26" s="180"/>
    </row>
    <row r="27" spans="1:30" x14ac:dyDescent="0.25">
      <c r="A27" t="s">
        <v>243</v>
      </c>
      <c r="B27" t="s">
        <v>237</v>
      </c>
      <c r="C27" t="s">
        <v>238</v>
      </c>
      <c r="D27" t="s">
        <v>249</v>
      </c>
      <c r="E27" t="s">
        <v>229</v>
      </c>
      <c r="F27">
        <v>1994</v>
      </c>
      <c r="G27">
        <v>2.1437999999999999E-2</v>
      </c>
      <c r="H27" t="s">
        <v>240</v>
      </c>
      <c r="I27" t="s">
        <v>241</v>
      </c>
      <c r="J27" t="s">
        <v>242</v>
      </c>
      <c r="K27" s="183">
        <f ca="1">VLOOKUP(F27,
    OFFSET(INDIRECT(ADDRESS(MATCH(J27,'Vehicle numbers'!$A$5:$A$162,0),1,1,1,$L$6)),4,1,COUNTIF('Vehicle numbers'!$A$5:$A$162,J27),4),
    MATCH(K$8,'Vehicle numbers'!$B$4:$D$4,0))*1000</f>
        <v>151552</v>
      </c>
      <c r="L27" s="183">
        <f ca="1">VLOOKUP(F27,
    OFFSET(INDIRECT(ADDRESS(MATCH(J27,'Vehicle numbers'!$A$5:$A$162,0),1,1,1,$L$6)),4,1,COUNTIF('Vehicle numbers'!$A$5:$A$162,J27),4),
    MATCH(L$8,'Vehicle numbers'!$B$4:$D$4,0))*1000</f>
        <v>156847.17176948764</v>
      </c>
      <c r="M27" s="184">
        <f>VLOOKUP(F27,'Annual distance covered (GB)'!$A$8:$H$33,MATCH(J27,'Annual distance covered (GB)'!$A$7:$H$7,0))</f>
        <v>4.5999999999999996</v>
      </c>
      <c r="N27" s="2">
        <f t="shared" ca="1" si="2"/>
        <v>102060.36525162101</v>
      </c>
      <c r="O27" s="180">
        <f t="shared" ca="1" si="3"/>
        <v>0.6506994298986486</v>
      </c>
      <c r="P27" s="180"/>
      <c r="Q27" s="185">
        <f>Q26</f>
        <v>1996</v>
      </c>
      <c r="R27" s="186" t="s">
        <v>41</v>
      </c>
      <c r="S27" s="180">
        <f t="shared" ca="1" si="0"/>
        <v>3.1228319098165942</v>
      </c>
      <c r="T27" s="180">
        <f t="shared" ca="1" si="0"/>
        <v>4.4691895355180922</v>
      </c>
      <c r="U27">
        <f ca="1">IF(S27=-1,-1,VLOOKUP(R27,'Vehicle weight data'!$A$4:$C$9,2,0))</f>
        <v>3500</v>
      </c>
      <c r="V27">
        <f ca="1">IF(S27=-1,-1,VLOOKUP(R27,'Vehicle weight data'!$A$4:$C$9,3,0))</f>
        <v>24000</v>
      </c>
      <c r="W27">
        <f t="shared" ca="1" si="1"/>
        <v>13750</v>
      </c>
      <c r="Y27">
        <v>27000</v>
      </c>
      <c r="Z27" s="180">
        <f t="shared" si="4"/>
        <v>14.586</v>
      </c>
      <c r="AA27" s="180">
        <f t="shared" si="4"/>
        <v>10.757292</v>
      </c>
      <c r="AB27" s="180">
        <f t="shared" si="4"/>
        <v>12.523200000000001</v>
      </c>
      <c r="AC27" s="180">
        <f t="shared" si="4"/>
        <v>10.304672099999999</v>
      </c>
      <c r="AD27" s="180"/>
    </row>
    <row r="28" spans="1:30" x14ac:dyDescent="0.25">
      <c r="A28" t="s">
        <v>244</v>
      </c>
      <c r="B28" t="s">
        <v>237</v>
      </c>
      <c r="C28" t="s">
        <v>238</v>
      </c>
      <c r="D28" t="s">
        <v>249</v>
      </c>
      <c r="E28" t="s">
        <v>229</v>
      </c>
      <c r="F28">
        <v>1994</v>
      </c>
      <c r="G28">
        <v>5.3594999999999997E-3</v>
      </c>
      <c r="H28" t="s">
        <v>240</v>
      </c>
      <c r="I28" t="s">
        <v>241</v>
      </c>
      <c r="J28" t="s">
        <v>242</v>
      </c>
      <c r="K28" s="183">
        <f ca="1">VLOOKUP(F28,
    OFFSET(INDIRECT(ADDRESS(MATCH(J28,'Vehicle numbers'!$A$5:$A$162,0),1,1,1,$L$6)),4,1,COUNTIF('Vehicle numbers'!$A$5:$A$162,J28),4),
    MATCH(K$8,'Vehicle numbers'!$B$4:$D$4,0))*1000</f>
        <v>151552</v>
      </c>
      <c r="L28" s="183">
        <f ca="1">VLOOKUP(F28,
    OFFSET(INDIRECT(ADDRESS(MATCH(J28,'Vehicle numbers'!$A$5:$A$162,0),1,1,1,$L$6)),4,1,COUNTIF('Vehicle numbers'!$A$5:$A$162,J28),4),
    MATCH(L$8,'Vehicle numbers'!$B$4:$D$4,0))*1000</f>
        <v>156847.17176948764</v>
      </c>
      <c r="M28" s="184">
        <f>VLOOKUP(F28,'Annual distance covered (GB)'!$A$8:$H$33,MATCH(J28,'Annual distance covered (GB)'!$A$7:$H$7,0))</f>
        <v>4.5999999999999996</v>
      </c>
      <c r="N28" s="2">
        <f t="shared" ca="1" si="2"/>
        <v>25515.091312905253</v>
      </c>
      <c r="O28" s="180">
        <f t="shared" ca="1" si="3"/>
        <v>0.16267485747466215</v>
      </c>
      <c r="P28" s="180"/>
      <c r="Q28" s="185">
        <f>Q27+1</f>
        <v>1997</v>
      </c>
      <c r="R28" s="186" t="s">
        <v>2</v>
      </c>
      <c r="S28" s="180">
        <f t="shared" ca="1" si="0"/>
        <v>0.64232155749905839</v>
      </c>
      <c r="T28" s="180">
        <f t="shared" ca="1" si="0"/>
        <v>0.47075996443060669</v>
      </c>
      <c r="U28">
        <f ca="1">IF(S28=-1,-1,VLOOKUP(R28,'Vehicle weight data'!$A$4:$C$9,2,0))</f>
        <v>1000</v>
      </c>
      <c r="V28">
        <f ca="1">IF(S28=-1,-1,VLOOKUP(R28,'Vehicle weight data'!$A$4:$C$9,3,0))</f>
        <v>2000</v>
      </c>
      <c r="W28">
        <f t="shared" ca="1" si="1"/>
        <v>1500</v>
      </c>
      <c r="Y28">
        <v>30000</v>
      </c>
      <c r="Z28" s="180">
        <f t="shared" si="4"/>
        <v>17.400000000000002</v>
      </c>
      <c r="AA28" s="180">
        <f t="shared" si="4"/>
        <v>14.520000000000001</v>
      </c>
      <c r="AB28" s="180">
        <f t="shared" si="4"/>
        <v>15.9</v>
      </c>
      <c r="AC28" s="180">
        <f t="shared" si="4"/>
        <v>13.889999999999999</v>
      </c>
      <c r="AD28" s="180"/>
    </row>
    <row r="29" spans="1:30" x14ac:dyDescent="0.25">
      <c r="A29" t="s">
        <v>246</v>
      </c>
      <c r="B29" t="s">
        <v>237</v>
      </c>
      <c r="C29" t="s">
        <v>238</v>
      </c>
      <c r="D29" t="s">
        <v>249</v>
      </c>
      <c r="E29" t="s">
        <v>229</v>
      </c>
      <c r="F29">
        <v>1994</v>
      </c>
      <c r="G29">
        <v>4.2875999999999999E-3</v>
      </c>
      <c r="H29" t="s">
        <v>240</v>
      </c>
      <c r="I29" t="s">
        <v>241</v>
      </c>
      <c r="J29" t="s">
        <v>242</v>
      </c>
      <c r="K29" s="183">
        <f ca="1">VLOOKUP(F29,
    OFFSET(INDIRECT(ADDRESS(MATCH(J29,'Vehicle numbers'!$A$5:$A$162,0),1,1,1,$L$6)),4,1,COUNTIF('Vehicle numbers'!$A$5:$A$162,J29),4),
    MATCH(K$8,'Vehicle numbers'!$B$4:$D$4,0))*1000</f>
        <v>151552</v>
      </c>
      <c r="L29" s="183">
        <f ca="1">VLOOKUP(F29,
    OFFSET(INDIRECT(ADDRESS(MATCH(J29,'Vehicle numbers'!$A$5:$A$162,0),1,1,1,$L$6)),4,1,COUNTIF('Vehicle numbers'!$A$5:$A$162,J29),4),
    MATCH(L$8,'Vehicle numbers'!$B$4:$D$4,0))*1000</f>
        <v>156847.17176948764</v>
      </c>
      <c r="M29" s="184">
        <f>VLOOKUP(F29,'Annual distance covered (GB)'!$A$8:$H$33,MATCH(J29,'Annual distance covered (GB)'!$A$7:$H$7,0))</f>
        <v>4.5999999999999996</v>
      </c>
      <c r="N29" s="2">
        <f t="shared" ca="1" si="2"/>
        <v>20412.073050324205</v>
      </c>
      <c r="O29" s="180">
        <f t="shared" ca="1" si="3"/>
        <v>0.13013988597972972</v>
      </c>
      <c r="P29" s="180"/>
      <c r="Q29" s="185">
        <f>Q28</f>
        <v>1997</v>
      </c>
      <c r="R29" s="186" t="s">
        <v>188</v>
      </c>
      <c r="S29" s="180">
        <f t="shared" ca="1" si="0"/>
        <v>1.3777213447074139</v>
      </c>
      <c r="T29" s="180">
        <f t="shared" ca="1" si="0"/>
        <v>0.99675196947266953</v>
      </c>
      <c r="U29">
        <f ca="1">IF(S29=-1,-1,VLOOKUP(R29,'Vehicle weight data'!$A$4:$C$9,2,0))</f>
        <v>1500</v>
      </c>
      <c r="V29">
        <f ca="1">IF(S29=-1,-1,VLOOKUP(R29,'Vehicle weight data'!$A$4:$C$9,3,0))</f>
        <v>3500</v>
      </c>
      <c r="W29">
        <f t="shared" ca="1" si="1"/>
        <v>2500</v>
      </c>
      <c r="Y29">
        <v>32000</v>
      </c>
      <c r="Z29" s="180">
        <f t="shared" si="4"/>
        <v>19.416000000000004</v>
      </c>
      <c r="AA29" s="180">
        <f t="shared" si="4"/>
        <v>17.662912000000002</v>
      </c>
      <c r="AB29" s="180">
        <f t="shared" si="4"/>
        <v>18.507200000000001</v>
      </c>
      <c r="AC29" s="180">
        <f t="shared" si="4"/>
        <v>17.066329600000003</v>
      </c>
      <c r="AD29" s="180"/>
    </row>
    <row r="30" spans="1:30" x14ac:dyDescent="0.25">
      <c r="A30" t="s">
        <v>236</v>
      </c>
      <c r="B30" t="s">
        <v>237</v>
      </c>
      <c r="C30" t="s">
        <v>238</v>
      </c>
      <c r="D30" t="s">
        <v>249</v>
      </c>
      <c r="E30" t="s">
        <v>228</v>
      </c>
      <c r="F30">
        <v>1994</v>
      </c>
      <c r="G30">
        <v>2.1562200648721799E-2</v>
      </c>
      <c r="H30" t="s">
        <v>240</v>
      </c>
      <c r="I30" t="s">
        <v>241</v>
      </c>
      <c r="J30" t="s">
        <v>242</v>
      </c>
      <c r="K30" s="183">
        <f ca="1">VLOOKUP(F30,
    OFFSET(INDIRECT(ADDRESS(MATCH(J30,'Vehicle numbers'!$A$5:$A$162,0),1,1,1,$L$6)),4,1,COUNTIF('Vehicle numbers'!$A$5:$A$162,J30),4),
    MATCH(K$8,'Vehicle numbers'!$B$4:$D$4,0))*1000</f>
        <v>151552</v>
      </c>
      <c r="L30" s="183">
        <f ca="1">VLOOKUP(F30,
    OFFSET(INDIRECT(ADDRESS(MATCH(J30,'Vehicle numbers'!$A$5:$A$162,0),1,1,1,$L$6)),4,1,COUNTIF('Vehicle numbers'!$A$5:$A$162,J30),4),
    MATCH(L$8,'Vehicle numbers'!$B$4:$D$4,0))*1000</f>
        <v>156847.17176948764</v>
      </c>
      <c r="M30" s="184">
        <f>VLOOKUP(F30,'Annual distance covered (GB)'!$A$8:$H$33,MATCH(J30,'Annual distance covered (GB)'!$A$7:$H$7,0))</f>
        <v>4.5999999999999996</v>
      </c>
      <c r="N30" s="2">
        <f t="shared" ca="1" si="2"/>
        <v>102651.65005305002</v>
      </c>
      <c r="O30" s="180">
        <f t="shared" ca="1" si="3"/>
        <v>0.65446924477486446</v>
      </c>
      <c r="P30" s="180"/>
      <c r="Q30" s="185">
        <f>Q29</f>
        <v>1997</v>
      </c>
      <c r="R30" s="187" t="s">
        <v>245</v>
      </c>
      <c r="S30" s="180">
        <f t="shared" ref="S30:T49" si="5">IF(SUMIFS($O$10:$O$3241,$F$10:$F$3241,$Q30,$J$10:$J$3241,$R30,$E$10:$E$3241,S$8)=0,-1,SUMIFS($O$10:$O$3241,$F$10:$F$3241,$Q30,$J$10:$J$3241,$R30,$E$10:$E$3241,S$8))</f>
        <v>-1</v>
      </c>
      <c r="T30" s="180">
        <f t="shared" si="5"/>
        <v>-1</v>
      </c>
      <c r="U30">
        <f>IF(S30=-1,-1,VLOOKUP(R30,'Vehicle weight data'!$A$4:$C$9,2,0))</f>
        <v>-1</v>
      </c>
      <c r="V30">
        <f>IF(S30=-1,-1,VLOOKUP(R30,'Vehicle weight data'!$A$4:$C$9,3,0))</f>
        <v>-1</v>
      </c>
      <c r="W30">
        <f t="shared" si="1"/>
        <v>-1</v>
      </c>
      <c r="Y30">
        <v>35000</v>
      </c>
      <c r="Z30" s="180">
        <f t="shared" si="4"/>
        <v>22.650000000000006</v>
      </c>
      <c r="AA30" s="180">
        <f t="shared" si="4"/>
        <v>23.5075</v>
      </c>
      <c r="AB30" s="180">
        <f t="shared" si="4"/>
        <v>23.000000000000004</v>
      </c>
      <c r="AC30" s="180">
        <f t="shared" si="4"/>
        <v>23.356562500000003</v>
      </c>
      <c r="AD30" s="180"/>
    </row>
    <row r="31" spans="1:30" x14ac:dyDescent="0.25">
      <c r="A31" t="s">
        <v>243</v>
      </c>
      <c r="B31" t="s">
        <v>237</v>
      </c>
      <c r="C31" t="s">
        <v>238</v>
      </c>
      <c r="D31" t="s">
        <v>249</v>
      </c>
      <c r="E31" t="s">
        <v>228</v>
      </c>
      <c r="F31">
        <v>1994</v>
      </c>
      <c r="G31">
        <v>1.5093540454105299E-2</v>
      </c>
      <c r="H31" t="s">
        <v>240</v>
      </c>
      <c r="I31" t="s">
        <v>241</v>
      </c>
      <c r="J31" t="s">
        <v>242</v>
      </c>
      <c r="K31" s="183">
        <f ca="1">VLOOKUP(F31,
    OFFSET(INDIRECT(ADDRESS(MATCH(J31,'Vehicle numbers'!$A$5:$A$162,0),1,1,1,$L$6)),4,1,COUNTIF('Vehicle numbers'!$A$5:$A$162,J31),4),
    MATCH(K$8,'Vehicle numbers'!$B$4:$D$4,0))*1000</f>
        <v>151552</v>
      </c>
      <c r="L31" s="183">
        <f ca="1">VLOOKUP(F31,
    OFFSET(INDIRECT(ADDRESS(MATCH(J31,'Vehicle numbers'!$A$5:$A$162,0),1,1,1,$L$6)),4,1,COUNTIF('Vehicle numbers'!$A$5:$A$162,J31),4),
    MATCH(L$8,'Vehicle numbers'!$B$4:$D$4,0))*1000</f>
        <v>156847.17176948764</v>
      </c>
      <c r="M31" s="184">
        <f>VLOOKUP(F31,'Annual distance covered (GB)'!$A$8:$H$33,MATCH(J31,'Annual distance covered (GB)'!$A$7:$H$7,0))</f>
        <v>4.5999999999999996</v>
      </c>
      <c r="N31" s="2">
        <f t="shared" ca="1" si="2"/>
        <v>71856.155037135206</v>
      </c>
      <c r="O31" s="180">
        <f t="shared" ca="1" si="3"/>
        <v>0.45812847134240636</v>
      </c>
      <c r="P31" s="180"/>
      <c r="Q31" s="185">
        <f>Q30</f>
        <v>1997</v>
      </c>
      <c r="R31" s="188" t="s">
        <v>247</v>
      </c>
      <c r="S31" s="180">
        <f t="shared" si="5"/>
        <v>-1</v>
      </c>
      <c r="T31" s="180">
        <f t="shared" si="5"/>
        <v>-1</v>
      </c>
      <c r="U31">
        <f>IF(S31=-1,-1,VLOOKUP(R31,'Vehicle weight data'!$A$4:$C$9,2,0))</f>
        <v>-1</v>
      </c>
      <c r="V31">
        <f>IF(S31=-1,-1,VLOOKUP(R31,'Vehicle weight data'!$A$4:$C$9,3,0))</f>
        <v>-1</v>
      </c>
      <c r="W31">
        <f t="shared" si="1"/>
        <v>-1</v>
      </c>
      <c r="Y31">
        <v>38000</v>
      </c>
      <c r="Z31" s="180">
        <f t="shared" si="4"/>
        <v>26.136000000000003</v>
      </c>
      <c r="AA31" s="180">
        <f t="shared" si="4"/>
        <v>30.941632000000002</v>
      </c>
      <c r="AB31" s="180">
        <f t="shared" si="4"/>
        <v>28.248800000000003</v>
      </c>
      <c r="AC31" s="180">
        <f t="shared" si="4"/>
        <v>31.9705504</v>
      </c>
      <c r="AD31" s="180"/>
    </row>
    <row r="32" spans="1:30" x14ac:dyDescent="0.25">
      <c r="A32" t="s">
        <v>244</v>
      </c>
      <c r="B32" t="s">
        <v>237</v>
      </c>
      <c r="C32" t="s">
        <v>238</v>
      </c>
      <c r="D32" t="s">
        <v>249</v>
      </c>
      <c r="E32" t="s">
        <v>228</v>
      </c>
      <c r="F32">
        <v>1994</v>
      </c>
      <c r="G32">
        <v>2.1258507681838402E-3</v>
      </c>
      <c r="H32" t="s">
        <v>240</v>
      </c>
      <c r="I32" t="s">
        <v>241</v>
      </c>
      <c r="J32" t="s">
        <v>242</v>
      </c>
      <c r="K32" s="183">
        <f ca="1">VLOOKUP(F32,
    OFFSET(INDIRECT(ADDRESS(MATCH(J32,'Vehicle numbers'!$A$5:$A$162,0),1,1,1,$L$6)),4,1,COUNTIF('Vehicle numbers'!$A$5:$A$162,J32),4),
    MATCH(K$8,'Vehicle numbers'!$B$4:$D$4,0))*1000</f>
        <v>151552</v>
      </c>
      <c r="L32" s="183">
        <f ca="1">VLOOKUP(F32,
    OFFSET(INDIRECT(ADDRESS(MATCH(J32,'Vehicle numbers'!$A$5:$A$162,0),1,1,1,$L$6)),4,1,COUNTIF('Vehicle numbers'!$A$5:$A$162,J32),4),
    MATCH(L$8,'Vehicle numbers'!$B$4:$D$4,0))*1000</f>
        <v>156847.17176948764</v>
      </c>
      <c r="M32" s="184">
        <f>VLOOKUP(F32,'Annual distance covered (GB)'!$A$8:$H$33,MATCH(J32,'Annual distance covered (GB)'!$A$7:$H$7,0))</f>
        <v>4.5999999999999996</v>
      </c>
      <c r="N32" s="2">
        <f t="shared" ca="1" si="2"/>
        <v>10120.585216497893</v>
      </c>
      <c r="O32" s="180">
        <f t="shared" ca="1" si="3"/>
        <v>6.4525136808789477E-2</v>
      </c>
      <c r="P32" s="180"/>
      <c r="Q32" s="185">
        <f>Q31</f>
        <v>1997</v>
      </c>
      <c r="R32" s="186" t="s">
        <v>3</v>
      </c>
      <c r="S32" s="180">
        <f t="shared" ca="1" si="5"/>
        <v>0.16654593497501885</v>
      </c>
      <c r="T32" s="180">
        <f t="shared" ca="1" si="5"/>
        <v>0.17610320632359383</v>
      </c>
      <c r="U32">
        <f ca="1">IF(S32=-1,-1,VLOOKUP(R32,'Vehicle weight data'!$A$4:$C$9,2,0))</f>
        <v>100</v>
      </c>
      <c r="V32">
        <f ca="1">IF(S32=-1,-1,VLOOKUP(R32,'Vehicle weight data'!$A$4:$C$9,3,0))</f>
        <v>200</v>
      </c>
      <c r="W32">
        <f t="shared" ca="1" si="1"/>
        <v>150</v>
      </c>
      <c r="Y32">
        <v>40000</v>
      </c>
      <c r="Z32" s="180">
        <f t="shared" si="4"/>
        <v>28.600000000000005</v>
      </c>
      <c r="AA32" s="180">
        <f t="shared" si="4"/>
        <v>36.92</v>
      </c>
      <c r="AB32" s="180">
        <f t="shared" si="4"/>
        <v>32.200000000000003</v>
      </c>
      <c r="AC32" s="180">
        <f t="shared" si="4"/>
        <v>39.32</v>
      </c>
      <c r="AD32" s="180"/>
    </row>
    <row r="33" spans="1:30" x14ac:dyDescent="0.25">
      <c r="A33" t="s">
        <v>246</v>
      </c>
      <c r="B33" t="s">
        <v>237</v>
      </c>
      <c r="C33" t="s">
        <v>238</v>
      </c>
      <c r="D33" t="s">
        <v>249</v>
      </c>
      <c r="E33" t="s">
        <v>228</v>
      </c>
      <c r="F33">
        <v>1994</v>
      </c>
      <c r="G33">
        <v>1.7006806145470699E-3</v>
      </c>
      <c r="H33" t="s">
        <v>240</v>
      </c>
      <c r="I33" t="s">
        <v>241</v>
      </c>
      <c r="J33" t="s">
        <v>242</v>
      </c>
      <c r="K33" s="183">
        <f ca="1">VLOOKUP(F33,
    OFFSET(INDIRECT(ADDRESS(MATCH(J33,'Vehicle numbers'!$A$5:$A$162,0),1,1,1,$L$6)),4,1,COUNTIF('Vehicle numbers'!$A$5:$A$162,J33),4),
    MATCH(K$8,'Vehicle numbers'!$B$4:$D$4,0))*1000</f>
        <v>151552</v>
      </c>
      <c r="L33" s="183">
        <f ca="1">VLOOKUP(F33,
    OFFSET(INDIRECT(ADDRESS(MATCH(J33,'Vehicle numbers'!$A$5:$A$162,0),1,1,1,$L$6)),4,1,COUNTIF('Vehicle numbers'!$A$5:$A$162,J33),4),
    MATCH(L$8,'Vehicle numbers'!$B$4:$D$4,0))*1000</f>
        <v>156847.17176948764</v>
      </c>
      <c r="M33" s="184">
        <f>VLOOKUP(F33,'Annual distance covered (GB)'!$A$8:$H$33,MATCH(J33,'Annual distance covered (GB)'!$A$7:$H$7,0))</f>
        <v>4.5999999999999996</v>
      </c>
      <c r="N33" s="2">
        <f t="shared" ca="1" si="2"/>
        <v>8096.4681731983046</v>
      </c>
      <c r="O33" s="180">
        <f t="shared" ca="1" si="3"/>
        <v>5.162010944703152E-2</v>
      </c>
      <c r="P33" s="180"/>
      <c r="Q33" s="185">
        <f>Q32</f>
        <v>1997</v>
      </c>
      <c r="R33" s="186" t="s">
        <v>41</v>
      </c>
      <c r="S33" s="180">
        <f t="shared" ca="1" si="5"/>
        <v>3.1854459321660165</v>
      </c>
      <c r="T33" s="180">
        <f t="shared" ca="1" si="5"/>
        <v>4.5587985639711057</v>
      </c>
      <c r="U33">
        <f ca="1">IF(S33=-1,-1,VLOOKUP(R33,'Vehicle weight data'!$A$4:$C$9,2,0))</f>
        <v>3500</v>
      </c>
      <c r="V33">
        <f ca="1">IF(S33=-1,-1,VLOOKUP(R33,'Vehicle weight data'!$A$4:$C$9,3,0))</f>
        <v>24000</v>
      </c>
      <c r="W33">
        <f t="shared" ca="1" si="1"/>
        <v>13750</v>
      </c>
      <c r="Y33">
        <v>44000</v>
      </c>
      <c r="Z33" s="180">
        <f t="shared" si="4"/>
        <v>33.863999999999997</v>
      </c>
      <c r="AA33" s="180">
        <f t="shared" si="4"/>
        <v>51.737152000000002</v>
      </c>
      <c r="AB33" s="180">
        <f t="shared" si="4"/>
        <v>41.273600000000002</v>
      </c>
      <c r="AC33" s="180">
        <f t="shared" si="4"/>
        <v>58.874867200000004</v>
      </c>
      <c r="AD33" s="180"/>
    </row>
    <row r="34" spans="1:30" x14ac:dyDescent="0.25">
      <c r="A34" t="s">
        <v>236</v>
      </c>
      <c r="B34" t="s">
        <v>237</v>
      </c>
      <c r="C34" t="s">
        <v>238</v>
      </c>
      <c r="D34" t="s">
        <v>250</v>
      </c>
      <c r="E34" t="s">
        <v>229</v>
      </c>
      <c r="F34">
        <v>1994</v>
      </c>
      <c r="G34">
        <v>1.3600000000000001E-3</v>
      </c>
      <c r="H34" t="s">
        <v>240</v>
      </c>
      <c r="I34" t="s">
        <v>241</v>
      </c>
      <c r="J34" t="s">
        <v>2</v>
      </c>
      <c r="K34" s="183">
        <f ca="1">VLOOKUP(F34,
    OFFSET(INDIRECT(ADDRESS(MATCH(J34,'Vehicle numbers'!$A$5:$A$162,0),1,1,1,$L$6)),4,1,COUNTIF('Vehicle numbers'!$A$5:$A$162,J34),4),
    MATCH(K$8,'Vehicle numbers'!$B$4:$D$4,0))*1000</f>
        <v>21199203</v>
      </c>
      <c r="L34" s="183">
        <f ca="1">VLOOKUP(F34,
    OFFSET(INDIRECT(ADDRESS(MATCH(J34,'Vehicle numbers'!$A$5:$A$162,0),1,1,1,$L$6)),4,1,COUNTIF('Vehicle numbers'!$A$5:$A$162,J34),4),
    MATCH(L$8,'Vehicle numbers'!$B$4:$D$4,0))*1000</f>
        <v>21850707.475926153</v>
      </c>
      <c r="M34" s="184">
        <f>VLOOKUP(F34,'Annual distance covered (GB)'!$A$8:$H$33,MATCH(J34,'Annual distance covered (GB)'!$A$7:$H$7,0))</f>
        <v>345</v>
      </c>
      <c r="N34" s="2">
        <f t="shared" ca="1" si="2"/>
        <v>483619.68833000708</v>
      </c>
      <c r="O34" s="180">
        <f t="shared" ca="1" si="3"/>
        <v>2.213290754374115E-2</v>
      </c>
      <c r="P34" s="180"/>
      <c r="Q34" s="185">
        <f>Q33+1</f>
        <v>1998</v>
      </c>
      <c r="R34" s="186" t="s">
        <v>2</v>
      </c>
      <c r="S34" s="180">
        <f t="shared" ca="1" si="5"/>
        <v>0.63787957927246097</v>
      </c>
      <c r="T34" s="180">
        <f t="shared" ca="1" si="5"/>
        <v>0.46751372858283918</v>
      </c>
      <c r="U34">
        <f ca="1">IF(S34=-1,-1,VLOOKUP(R34,'Vehicle weight data'!$A$4:$C$9,2,0))</f>
        <v>1000</v>
      </c>
      <c r="V34">
        <f ca="1">IF(S34=-1,-1,VLOOKUP(R34,'Vehicle weight data'!$A$4:$C$9,3,0))</f>
        <v>2000</v>
      </c>
      <c r="W34">
        <f t="shared" ca="1" si="1"/>
        <v>1500</v>
      </c>
    </row>
    <row r="35" spans="1:30" x14ac:dyDescent="0.25">
      <c r="A35" t="s">
        <v>243</v>
      </c>
      <c r="B35" t="s">
        <v>237</v>
      </c>
      <c r="C35" t="s">
        <v>238</v>
      </c>
      <c r="D35" t="s">
        <v>250</v>
      </c>
      <c r="E35" t="s">
        <v>229</v>
      </c>
      <c r="F35">
        <v>1994</v>
      </c>
      <c r="G35">
        <v>5.44E-4</v>
      </c>
      <c r="H35" t="s">
        <v>240</v>
      </c>
      <c r="I35" t="s">
        <v>241</v>
      </c>
      <c r="J35" t="s">
        <v>2</v>
      </c>
      <c r="K35" s="183">
        <f ca="1">VLOOKUP(F35,
    OFFSET(INDIRECT(ADDRESS(MATCH(J35,'Vehicle numbers'!$A$5:$A$162,0),1,1,1,$L$6)),4,1,COUNTIF('Vehicle numbers'!$A$5:$A$162,J35),4),
    MATCH(K$8,'Vehicle numbers'!$B$4:$D$4,0))*1000</f>
        <v>21199203</v>
      </c>
      <c r="L35" s="183">
        <f ca="1">VLOOKUP(F35,
    OFFSET(INDIRECT(ADDRESS(MATCH(J35,'Vehicle numbers'!$A$5:$A$162,0),1,1,1,$L$6)),4,1,COUNTIF('Vehicle numbers'!$A$5:$A$162,J35),4),
    MATCH(L$8,'Vehicle numbers'!$B$4:$D$4,0))*1000</f>
        <v>21850707.475926153</v>
      </c>
      <c r="M35" s="184">
        <f>VLOOKUP(F35,'Annual distance covered (GB)'!$A$8:$H$33,MATCH(J35,'Annual distance covered (GB)'!$A$7:$H$7,0))</f>
        <v>345</v>
      </c>
      <c r="N35" s="2">
        <f t="shared" ca="1" si="2"/>
        <v>193447.87533200282</v>
      </c>
      <c r="O35" s="180">
        <f t="shared" ca="1" si="3"/>
        <v>8.8531630174964598E-3</v>
      </c>
      <c r="P35" s="180"/>
      <c r="Q35" s="185">
        <f>Q34</f>
        <v>1998</v>
      </c>
      <c r="R35" s="186" t="s">
        <v>188</v>
      </c>
      <c r="S35" s="180">
        <f t="shared" ca="1" si="5"/>
        <v>1.4104729629606521</v>
      </c>
      <c r="T35" s="180">
        <f t="shared" ca="1" si="5"/>
        <v>1.0204470658161644</v>
      </c>
      <c r="U35">
        <f ca="1">IF(S35=-1,-1,VLOOKUP(R35,'Vehicle weight data'!$A$4:$C$9,2,0))</f>
        <v>1500</v>
      </c>
      <c r="V35">
        <f ca="1">IF(S35=-1,-1,VLOOKUP(R35,'Vehicle weight data'!$A$4:$C$9,3,0))</f>
        <v>3500</v>
      </c>
      <c r="W35">
        <f t="shared" ca="1" si="1"/>
        <v>2500</v>
      </c>
    </row>
    <row r="36" spans="1:30" x14ac:dyDescent="0.25">
      <c r="A36" t="s">
        <v>244</v>
      </c>
      <c r="B36" t="s">
        <v>237</v>
      </c>
      <c r="C36" t="s">
        <v>238</v>
      </c>
      <c r="D36" t="s">
        <v>250</v>
      </c>
      <c r="E36" t="s">
        <v>229</v>
      </c>
      <c r="F36">
        <v>1994</v>
      </c>
      <c r="G36">
        <v>1.36E-4</v>
      </c>
      <c r="H36" t="s">
        <v>240</v>
      </c>
      <c r="I36" t="s">
        <v>241</v>
      </c>
      <c r="J36" t="s">
        <v>2</v>
      </c>
      <c r="K36" s="183">
        <f ca="1">VLOOKUP(F36,
    OFFSET(INDIRECT(ADDRESS(MATCH(J36,'Vehicle numbers'!$A$5:$A$162,0),1,1,1,$L$6)),4,1,COUNTIF('Vehicle numbers'!$A$5:$A$162,J36),4),
    MATCH(K$8,'Vehicle numbers'!$B$4:$D$4,0))*1000</f>
        <v>21199203</v>
      </c>
      <c r="L36" s="183">
        <f ca="1">VLOOKUP(F36,
    OFFSET(INDIRECT(ADDRESS(MATCH(J36,'Vehicle numbers'!$A$5:$A$162,0),1,1,1,$L$6)),4,1,COUNTIF('Vehicle numbers'!$A$5:$A$162,J36),4),
    MATCH(L$8,'Vehicle numbers'!$B$4:$D$4,0))*1000</f>
        <v>21850707.475926153</v>
      </c>
      <c r="M36" s="184">
        <f>VLOOKUP(F36,'Annual distance covered (GB)'!$A$8:$H$33,MATCH(J36,'Annual distance covered (GB)'!$A$7:$H$7,0))</f>
        <v>345</v>
      </c>
      <c r="N36" s="2">
        <f t="shared" ca="1" si="2"/>
        <v>48361.968833000705</v>
      </c>
      <c r="O36" s="180">
        <f t="shared" ca="1" si="3"/>
        <v>2.213290754374115E-3</v>
      </c>
      <c r="P36" s="180"/>
      <c r="Q36" s="185">
        <f>Q35</f>
        <v>1998</v>
      </c>
      <c r="R36" s="187" t="s">
        <v>245</v>
      </c>
      <c r="S36" s="180">
        <f t="shared" si="5"/>
        <v>-1</v>
      </c>
      <c r="T36" s="180">
        <f t="shared" si="5"/>
        <v>-1</v>
      </c>
      <c r="U36">
        <f>IF(S36=-1,-1,VLOOKUP(R36,'Vehicle weight data'!$A$4:$C$9,2,0))</f>
        <v>-1</v>
      </c>
      <c r="V36">
        <f>IF(S36=-1,-1,VLOOKUP(R36,'Vehicle weight data'!$A$4:$C$9,3,0))</f>
        <v>-1</v>
      </c>
      <c r="W36">
        <f t="shared" si="1"/>
        <v>-1</v>
      </c>
    </row>
    <row r="37" spans="1:30" x14ac:dyDescent="0.25">
      <c r="A37" t="s">
        <v>246</v>
      </c>
      <c r="B37" t="s">
        <v>237</v>
      </c>
      <c r="C37" t="s">
        <v>238</v>
      </c>
      <c r="D37" t="s">
        <v>250</v>
      </c>
      <c r="E37" t="s">
        <v>229</v>
      </c>
      <c r="F37">
        <v>1994</v>
      </c>
      <c r="G37">
        <v>1.088E-4</v>
      </c>
      <c r="H37" t="s">
        <v>240</v>
      </c>
      <c r="I37" t="s">
        <v>241</v>
      </c>
      <c r="J37" t="s">
        <v>2</v>
      </c>
      <c r="K37" s="183">
        <f ca="1">VLOOKUP(F37,
    OFFSET(INDIRECT(ADDRESS(MATCH(J37,'Vehicle numbers'!$A$5:$A$162,0),1,1,1,$L$6)),4,1,COUNTIF('Vehicle numbers'!$A$5:$A$162,J37),4),
    MATCH(K$8,'Vehicle numbers'!$B$4:$D$4,0))*1000</f>
        <v>21199203</v>
      </c>
      <c r="L37" s="183">
        <f ca="1">VLOOKUP(F37,
    OFFSET(INDIRECT(ADDRESS(MATCH(J37,'Vehicle numbers'!$A$5:$A$162,0),1,1,1,$L$6)),4,1,COUNTIF('Vehicle numbers'!$A$5:$A$162,J37),4),
    MATCH(L$8,'Vehicle numbers'!$B$4:$D$4,0))*1000</f>
        <v>21850707.475926153</v>
      </c>
      <c r="M37" s="184">
        <f>VLOOKUP(F37,'Annual distance covered (GB)'!$A$8:$H$33,MATCH(J37,'Annual distance covered (GB)'!$A$7:$H$7,0))</f>
        <v>345</v>
      </c>
      <c r="N37" s="2">
        <f t="shared" ca="1" si="2"/>
        <v>38689.575066400561</v>
      </c>
      <c r="O37" s="180">
        <f t="shared" ca="1" si="3"/>
        <v>1.7706326034992916E-3</v>
      </c>
      <c r="P37" s="180"/>
      <c r="Q37" s="185">
        <f>Q36</f>
        <v>1998</v>
      </c>
      <c r="R37" s="188" t="s">
        <v>247</v>
      </c>
      <c r="S37" s="180">
        <f t="shared" si="5"/>
        <v>-1</v>
      </c>
      <c r="T37" s="180">
        <f t="shared" si="5"/>
        <v>-1</v>
      </c>
      <c r="U37">
        <f>IF(S37=-1,-1,VLOOKUP(R37,'Vehicle weight data'!$A$4:$C$9,2,0))</f>
        <v>-1</v>
      </c>
      <c r="V37">
        <f>IF(S37=-1,-1,VLOOKUP(R37,'Vehicle weight data'!$A$4:$C$9,3,0))</f>
        <v>-1</v>
      </c>
      <c r="W37">
        <f t="shared" si="1"/>
        <v>-1</v>
      </c>
      <c r="Y37" t="s">
        <v>251</v>
      </c>
    </row>
    <row r="38" spans="1:30" x14ac:dyDescent="0.25">
      <c r="A38" t="s">
        <v>236</v>
      </c>
      <c r="B38" t="s">
        <v>237</v>
      </c>
      <c r="C38" t="s">
        <v>238</v>
      </c>
      <c r="D38" t="s">
        <v>250</v>
      </c>
      <c r="E38" t="s">
        <v>228</v>
      </c>
      <c r="F38">
        <v>1994</v>
      </c>
      <c r="G38">
        <v>5.7909999999999897E-3</v>
      </c>
      <c r="H38" t="s">
        <v>240</v>
      </c>
      <c r="I38" t="s">
        <v>241</v>
      </c>
      <c r="J38" t="s">
        <v>2</v>
      </c>
      <c r="K38" s="183">
        <f ca="1">VLOOKUP(F38,
    OFFSET(INDIRECT(ADDRESS(MATCH(J38,'Vehicle numbers'!$A$5:$A$162,0),1,1,1,$L$6)),4,1,COUNTIF('Vehicle numbers'!$A$5:$A$162,J38),4),
    MATCH(K$8,'Vehicle numbers'!$B$4:$D$4,0))*1000</f>
        <v>21199203</v>
      </c>
      <c r="L38" s="183">
        <f ca="1">VLOOKUP(F38,
    OFFSET(INDIRECT(ADDRESS(MATCH(J38,'Vehicle numbers'!$A$5:$A$162,0),1,1,1,$L$6)),4,1,COUNTIF('Vehicle numbers'!$A$5:$A$162,J38),4),
    MATCH(L$8,'Vehicle numbers'!$B$4:$D$4,0))*1000</f>
        <v>21850707.475926153</v>
      </c>
      <c r="M38" s="184">
        <f>VLOOKUP(F38,'Annual distance covered (GB)'!$A$8:$H$33,MATCH(J38,'Annual distance covered (GB)'!$A$7:$H$7,0))</f>
        <v>345</v>
      </c>
      <c r="N38" s="2">
        <f t="shared" ca="1" si="2"/>
        <v>2059295.3052346073</v>
      </c>
      <c r="O38" s="180">
        <f t="shared" ca="1" si="3"/>
        <v>9.4243873224856445E-2</v>
      </c>
      <c r="P38" s="180"/>
      <c r="Q38" s="185">
        <f>Q37</f>
        <v>1998</v>
      </c>
      <c r="R38" s="186" t="s">
        <v>3</v>
      </c>
      <c r="S38" s="180">
        <f t="shared" ca="1" si="5"/>
        <v>0.15782388201291753</v>
      </c>
      <c r="T38" s="180">
        <f t="shared" ca="1" si="5"/>
        <v>0.16688063663085048</v>
      </c>
      <c r="U38">
        <f ca="1">IF(S38=-1,-1,VLOOKUP(R38,'Vehicle weight data'!$A$4:$C$9,2,0))</f>
        <v>100</v>
      </c>
      <c r="V38">
        <f ca="1">IF(S38=-1,-1,VLOOKUP(R38,'Vehicle weight data'!$A$4:$C$9,3,0))</f>
        <v>200</v>
      </c>
      <c r="W38">
        <f t="shared" ca="1" si="1"/>
        <v>150</v>
      </c>
      <c r="X38" t="s">
        <v>252</v>
      </c>
      <c r="Y38" t="s">
        <v>199</v>
      </c>
    </row>
    <row r="39" spans="1:30" x14ac:dyDescent="0.25">
      <c r="A39" t="s">
        <v>243</v>
      </c>
      <c r="B39" t="s">
        <v>237</v>
      </c>
      <c r="C39" t="s">
        <v>238</v>
      </c>
      <c r="D39" t="s">
        <v>250</v>
      </c>
      <c r="E39" t="s">
        <v>228</v>
      </c>
      <c r="F39">
        <v>1994</v>
      </c>
      <c r="G39">
        <v>4.05369999999999E-3</v>
      </c>
      <c r="H39" t="s">
        <v>240</v>
      </c>
      <c r="I39" t="s">
        <v>241</v>
      </c>
      <c r="J39" t="s">
        <v>2</v>
      </c>
      <c r="K39" s="183">
        <f ca="1">VLOOKUP(F39,
    OFFSET(INDIRECT(ADDRESS(MATCH(J39,'Vehicle numbers'!$A$5:$A$162,0),1,1,1,$L$6)),4,1,COUNTIF('Vehicle numbers'!$A$5:$A$162,J39),4),
    MATCH(K$8,'Vehicle numbers'!$B$4:$D$4,0))*1000</f>
        <v>21199203</v>
      </c>
      <c r="L39" s="183">
        <f ca="1">VLOOKUP(F39,
    OFFSET(INDIRECT(ADDRESS(MATCH(J39,'Vehicle numbers'!$A$5:$A$162,0),1,1,1,$L$6)),4,1,COUNTIF('Vehicle numbers'!$A$5:$A$162,J39),4),
    MATCH(L$8,'Vehicle numbers'!$B$4:$D$4,0))*1000</f>
        <v>21850707.475926153</v>
      </c>
      <c r="M39" s="184">
        <f>VLOOKUP(F39,'Annual distance covered (GB)'!$A$8:$H$33,MATCH(J39,'Annual distance covered (GB)'!$A$7:$H$7,0))</f>
        <v>345</v>
      </c>
      <c r="N39" s="2">
        <f t="shared" ca="1" si="2"/>
        <v>1441506.7136642239</v>
      </c>
      <c r="O39" s="180">
        <f t="shared" ca="1" si="3"/>
        <v>6.597071125739945E-2</v>
      </c>
      <c r="P39" s="180"/>
      <c r="Q39" s="185">
        <f>Q38</f>
        <v>1998</v>
      </c>
      <c r="R39" s="186" t="s">
        <v>41</v>
      </c>
      <c r="S39" s="180">
        <f t="shared" ca="1" si="5"/>
        <v>3.1737753897022776</v>
      </c>
      <c r="T39" s="180">
        <f t="shared" ca="1" si="5"/>
        <v>4.5420964590359016</v>
      </c>
      <c r="U39">
        <f ca="1">IF(S39=-1,-1,VLOOKUP(R39,'Vehicle weight data'!$A$4:$C$9,2,0))</f>
        <v>3500</v>
      </c>
      <c r="V39">
        <f ca="1">IF(S39=-1,-1,VLOOKUP(R39,'Vehicle weight data'!$A$4:$C$9,3,0))</f>
        <v>24000</v>
      </c>
      <c r="W39">
        <f t="shared" ca="1" si="1"/>
        <v>13750</v>
      </c>
    </row>
    <row r="40" spans="1:30" x14ac:dyDescent="0.25">
      <c r="A40" t="s">
        <v>244</v>
      </c>
      <c r="B40" t="s">
        <v>237</v>
      </c>
      <c r="C40" t="s">
        <v>238</v>
      </c>
      <c r="D40" t="s">
        <v>250</v>
      </c>
      <c r="E40" t="s">
        <v>228</v>
      </c>
      <c r="F40">
        <v>1994</v>
      </c>
      <c r="G40">
        <v>5.7094366197182899E-4</v>
      </c>
      <c r="H40" t="s">
        <v>240</v>
      </c>
      <c r="I40" t="s">
        <v>241</v>
      </c>
      <c r="J40" t="s">
        <v>2</v>
      </c>
      <c r="K40" s="183">
        <f ca="1">VLOOKUP(F40,
    OFFSET(INDIRECT(ADDRESS(MATCH(J40,'Vehicle numbers'!$A$5:$A$162,0),1,1,1,$L$6)),4,1,COUNTIF('Vehicle numbers'!$A$5:$A$162,J40),4),
    MATCH(K$8,'Vehicle numbers'!$B$4:$D$4,0))*1000</f>
        <v>21199203</v>
      </c>
      <c r="L40" s="183">
        <f ca="1">VLOOKUP(F40,
    OFFSET(INDIRECT(ADDRESS(MATCH(J40,'Vehicle numbers'!$A$5:$A$162,0),1,1,1,$L$6)),4,1,COUNTIF('Vehicle numbers'!$A$5:$A$162,J40),4),
    MATCH(L$8,'Vehicle numbers'!$B$4:$D$4,0))*1000</f>
        <v>21850707.475926153</v>
      </c>
      <c r="M40" s="184">
        <f>VLOOKUP(F40,'Annual distance covered (GB)'!$A$8:$H$33,MATCH(J40,'Annual distance covered (GB)'!$A$7:$H$7,0))</f>
        <v>345</v>
      </c>
      <c r="N40" s="2">
        <f t="shared" ca="1" si="2"/>
        <v>203029.11460059474</v>
      </c>
      <c r="O40" s="180">
        <f t="shared" ca="1" si="3"/>
        <v>9.2916494728731546E-3</v>
      </c>
      <c r="P40" s="180"/>
      <c r="Q40" s="185">
        <f>Q39+1</f>
        <v>1999</v>
      </c>
      <c r="R40" s="186" t="s">
        <v>2</v>
      </c>
      <c r="S40" s="180">
        <f t="shared" ca="1" si="5"/>
        <v>0.63118814834233317</v>
      </c>
      <c r="T40" s="180">
        <f t="shared" ca="1" si="5"/>
        <v>0.46263493854194204</v>
      </c>
      <c r="U40">
        <f ca="1">IF(S40=-1,-1,VLOOKUP(R40,'Vehicle weight data'!$A$4:$C$9,2,0))</f>
        <v>1000</v>
      </c>
      <c r="V40">
        <f ca="1">IF(S40=-1,-1,VLOOKUP(R40,'Vehicle weight data'!$A$4:$C$9,3,0))</f>
        <v>2000</v>
      </c>
      <c r="W40">
        <f t="shared" ca="1" si="1"/>
        <v>1500</v>
      </c>
      <c r="Y40" t="s">
        <v>253</v>
      </c>
    </row>
    <row r="41" spans="1:30" x14ac:dyDescent="0.25">
      <c r="A41" t="s">
        <v>246</v>
      </c>
      <c r="B41" t="s">
        <v>237</v>
      </c>
      <c r="C41" t="s">
        <v>238</v>
      </c>
      <c r="D41" t="s">
        <v>250</v>
      </c>
      <c r="E41" t="s">
        <v>228</v>
      </c>
      <c r="F41">
        <v>1994</v>
      </c>
      <c r="G41">
        <v>4.5675492957746299E-4</v>
      </c>
      <c r="H41" t="s">
        <v>240</v>
      </c>
      <c r="I41" t="s">
        <v>241</v>
      </c>
      <c r="J41" t="s">
        <v>2</v>
      </c>
      <c r="K41" s="183">
        <f ca="1">VLOOKUP(F41,
    OFFSET(INDIRECT(ADDRESS(MATCH(J41,'Vehicle numbers'!$A$5:$A$162,0),1,1,1,$L$6)),4,1,COUNTIF('Vehicle numbers'!$A$5:$A$162,J41),4),
    MATCH(K$8,'Vehicle numbers'!$B$4:$D$4,0))*1000</f>
        <v>21199203</v>
      </c>
      <c r="L41" s="183">
        <f ca="1">VLOOKUP(F41,
    OFFSET(INDIRECT(ADDRESS(MATCH(J41,'Vehicle numbers'!$A$5:$A$162,0),1,1,1,$L$6)),4,1,COUNTIF('Vehicle numbers'!$A$5:$A$162,J41),4),
    MATCH(L$8,'Vehicle numbers'!$B$4:$D$4,0))*1000</f>
        <v>21850707.475926153</v>
      </c>
      <c r="M41" s="184">
        <f>VLOOKUP(F41,'Annual distance covered (GB)'!$A$8:$H$33,MATCH(J41,'Annual distance covered (GB)'!$A$7:$H$7,0))</f>
        <v>345</v>
      </c>
      <c r="N41" s="2">
        <f t="shared" ca="1" si="2"/>
        <v>162423.29168047573</v>
      </c>
      <c r="O41" s="180">
        <f t="shared" ca="1" si="3"/>
        <v>7.4333195782985209E-3</v>
      </c>
      <c r="P41" s="180"/>
      <c r="Q41" s="185">
        <f>Q40</f>
        <v>1999</v>
      </c>
      <c r="R41" s="186" t="s">
        <v>188</v>
      </c>
      <c r="S41" s="180">
        <f t="shared" ca="1" si="5"/>
        <v>1.3934553665882989</v>
      </c>
      <c r="T41" s="180">
        <f t="shared" ca="1" si="5"/>
        <v>1.0081351982785121</v>
      </c>
      <c r="U41">
        <f ca="1">IF(S41=-1,-1,VLOOKUP(R41,'Vehicle weight data'!$A$4:$C$9,2,0))</f>
        <v>1500</v>
      </c>
      <c r="V41">
        <f ca="1">IF(S41=-1,-1,VLOOKUP(R41,'Vehicle weight data'!$A$4:$C$9,3,0))</f>
        <v>3500</v>
      </c>
      <c r="W41">
        <f t="shared" ca="1" si="1"/>
        <v>2500</v>
      </c>
      <c r="Y41" t="s">
        <v>254</v>
      </c>
    </row>
    <row r="42" spans="1:30" x14ac:dyDescent="0.25">
      <c r="A42" t="s">
        <v>236</v>
      </c>
      <c r="B42" t="s">
        <v>237</v>
      </c>
      <c r="C42" t="s">
        <v>238</v>
      </c>
      <c r="D42" t="s">
        <v>255</v>
      </c>
      <c r="E42" t="s">
        <v>229</v>
      </c>
      <c r="F42">
        <v>1994</v>
      </c>
      <c r="G42">
        <v>5.5270000000000197E-3</v>
      </c>
      <c r="H42" t="s">
        <v>240</v>
      </c>
      <c r="I42" t="s">
        <v>241</v>
      </c>
      <c r="J42" t="s">
        <v>2</v>
      </c>
      <c r="K42" s="183">
        <f ca="1">VLOOKUP(F42,
    OFFSET(INDIRECT(ADDRESS(MATCH(J42,'Vehicle numbers'!$A$5:$A$162,0),1,1,1,$L$6)),4,1,COUNTIF('Vehicle numbers'!$A$5:$A$162,J42),4),
    MATCH(K$8,'Vehicle numbers'!$B$4:$D$4,0))*1000</f>
        <v>21199203</v>
      </c>
      <c r="L42" s="183">
        <f ca="1">VLOOKUP(F42,
    OFFSET(INDIRECT(ADDRESS(MATCH(J42,'Vehicle numbers'!$A$5:$A$162,0),1,1,1,$L$6)),4,1,COUNTIF('Vehicle numbers'!$A$5:$A$162,J42),4),
    MATCH(L$8,'Vehicle numbers'!$B$4:$D$4,0))*1000</f>
        <v>21850707.475926153</v>
      </c>
      <c r="M42" s="184">
        <f>VLOOKUP(F42,'Annual distance covered (GB)'!$A$8:$H$33,MATCH(J42,'Annual distance covered (GB)'!$A$7:$H$7,0))</f>
        <v>345</v>
      </c>
      <c r="N42" s="2">
        <f t="shared" ca="1" si="2"/>
        <v>1965416.1892646754</v>
      </c>
      <c r="O42" s="180">
        <f t="shared" ca="1" si="3"/>
        <v>8.9947485289895407E-2</v>
      </c>
      <c r="P42" s="180"/>
      <c r="Q42" s="185">
        <f>Q41</f>
        <v>1999</v>
      </c>
      <c r="R42" s="187" t="s">
        <v>245</v>
      </c>
      <c r="S42" s="180">
        <f t="shared" si="5"/>
        <v>-1</v>
      </c>
      <c r="T42" s="180">
        <f t="shared" si="5"/>
        <v>-1</v>
      </c>
      <c r="U42">
        <f>IF(S42=-1,-1,VLOOKUP(R42,'Vehicle weight data'!$A$4:$C$9,2,0))</f>
        <v>-1</v>
      </c>
      <c r="V42">
        <f>IF(S42=-1,-1,VLOOKUP(R42,'Vehicle weight data'!$A$4:$C$9,3,0))</f>
        <v>-1</v>
      </c>
      <c r="W42">
        <f t="shared" ref="W42:W73" si="6">IF(V42=-1,-1,AVERAGE(U42:V42))</f>
        <v>-1</v>
      </c>
    </row>
    <row r="43" spans="1:30" x14ac:dyDescent="0.25">
      <c r="A43" t="s">
        <v>243</v>
      </c>
      <c r="B43" t="s">
        <v>237</v>
      </c>
      <c r="C43" t="s">
        <v>238</v>
      </c>
      <c r="D43" t="s">
        <v>255</v>
      </c>
      <c r="E43" t="s">
        <v>229</v>
      </c>
      <c r="F43">
        <v>1994</v>
      </c>
      <c r="G43">
        <v>2.2108000000000102E-3</v>
      </c>
      <c r="H43" t="s">
        <v>240</v>
      </c>
      <c r="I43" t="s">
        <v>241</v>
      </c>
      <c r="J43" t="s">
        <v>2</v>
      </c>
      <c r="K43" s="183">
        <f ca="1">VLOOKUP(F43,
    OFFSET(INDIRECT(ADDRESS(MATCH(J43,'Vehicle numbers'!$A$5:$A$162,0),1,1,1,$L$6)),4,1,COUNTIF('Vehicle numbers'!$A$5:$A$162,J43),4),
    MATCH(K$8,'Vehicle numbers'!$B$4:$D$4,0))*1000</f>
        <v>21199203</v>
      </c>
      <c r="L43" s="183">
        <f ca="1">VLOOKUP(F43,
    OFFSET(INDIRECT(ADDRESS(MATCH(J43,'Vehicle numbers'!$A$5:$A$162,0),1,1,1,$L$6)),4,1,COUNTIF('Vehicle numbers'!$A$5:$A$162,J43),4),
    MATCH(L$8,'Vehicle numbers'!$B$4:$D$4,0))*1000</f>
        <v>21850707.475926153</v>
      </c>
      <c r="M43" s="184">
        <f>VLOOKUP(F43,'Annual distance covered (GB)'!$A$8:$H$33,MATCH(J43,'Annual distance covered (GB)'!$A$7:$H$7,0))</f>
        <v>345</v>
      </c>
      <c r="N43" s="2">
        <f t="shared" ca="1" si="2"/>
        <v>786166.47570587089</v>
      </c>
      <c r="O43" s="180">
        <f t="shared" ca="1" si="3"/>
        <v>3.5978994115958202E-2</v>
      </c>
      <c r="P43" s="180"/>
      <c r="Q43" s="185">
        <f>Q42</f>
        <v>1999</v>
      </c>
      <c r="R43" s="188" t="s">
        <v>247</v>
      </c>
      <c r="S43" s="180">
        <f t="shared" si="5"/>
        <v>-1</v>
      </c>
      <c r="T43" s="180">
        <f t="shared" si="5"/>
        <v>-1</v>
      </c>
      <c r="U43">
        <f>IF(S43=-1,-1,VLOOKUP(R43,'Vehicle weight data'!$A$4:$C$9,2,0))</f>
        <v>-1</v>
      </c>
      <c r="V43">
        <f>IF(S43=-1,-1,VLOOKUP(R43,'Vehicle weight data'!$A$4:$C$9,3,0))</f>
        <v>-1</v>
      </c>
      <c r="W43">
        <f t="shared" si="6"/>
        <v>-1</v>
      </c>
    </row>
    <row r="44" spans="1:30" x14ac:dyDescent="0.25">
      <c r="A44" t="s">
        <v>244</v>
      </c>
      <c r="B44" t="s">
        <v>237</v>
      </c>
      <c r="C44" t="s">
        <v>238</v>
      </c>
      <c r="D44" t="s">
        <v>255</v>
      </c>
      <c r="E44" t="s">
        <v>229</v>
      </c>
      <c r="F44">
        <v>1994</v>
      </c>
      <c r="G44">
        <v>5.5270000000000297E-4</v>
      </c>
      <c r="H44" t="s">
        <v>240</v>
      </c>
      <c r="I44" t="s">
        <v>241</v>
      </c>
      <c r="J44" t="s">
        <v>2</v>
      </c>
      <c r="K44" s="183">
        <f ca="1">VLOOKUP(F44,
    OFFSET(INDIRECT(ADDRESS(MATCH(J44,'Vehicle numbers'!$A$5:$A$162,0),1,1,1,$L$6)),4,1,COUNTIF('Vehicle numbers'!$A$5:$A$162,J44),4),
    MATCH(K$8,'Vehicle numbers'!$B$4:$D$4,0))*1000</f>
        <v>21199203</v>
      </c>
      <c r="L44" s="183">
        <f ca="1">VLOOKUP(F44,
    OFFSET(INDIRECT(ADDRESS(MATCH(J44,'Vehicle numbers'!$A$5:$A$162,0),1,1,1,$L$6)),4,1,COUNTIF('Vehicle numbers'!$A$5:$A$162,J44),4),
    MATCH(L$8,'Vehicle numbers'!$B$4:$D$4,0))*1000</f>
        <v>21850707.475926153</v>
      </c>
      <c r="M44" s="184">
        <f>VLOOKUP(F44,'Annual distance covered (GB)'!$A$8:$H$33,MATCH(J44,'Annual distance covered (GB)'!$A$7:$H$7,0))</f>
        <v>345</v>
      </c>
      <c r="N44" s="2">
        <f t="shared" ca="1" si="2"/>
        <v>196541.61892646787</v>
      </c>
      <c r="O44" s="180">
        <f t="shared" ca="1" si="3"/>
        <v>8.9947485289895556E-3</v>
      </c>
      <c r="P44" s="180"/>
      <c r="Q44" s="185">
        <f>Q43</f>
        <v>1999</v>
      </c>
      <c r="R44" s="186" t="s">
        <v>3</v>
      </c>
      <c r="S44" s="180">
        <f t="shared" ca="1" si="5"/>
        <v>0.15850062516584881</v>
      </c>
      <c r="T44" s="180">
        <f t="shared" ca="1" si="5"/>
        <v>0.16759621482317696</v>
      </c>
      <c r="U44">
        <f ca="1">IF(S44=-1,-1,VLOOKUP(R44,'Vehicle weight data'!$A$4:$C$9,2,0))</f>
        <v>100</v>
      </c>
      <c r="V44">
        <f ca="1">IF(S44=-1,-1,VLOOKUP(R44,'Vehicle weight data'!$A$4:$C$9,3,0))</f>
        <v>200</v>
      </c>
      <c r="W44">
        <f t="shared" ca="1" si="6"/>
        <v>150</v>
      </c>
    </row>
    <row r="45" spans="1:30" x14ac:dyDescent="0.25">
      <c r="A45" t="s">
        <v>246</v>
      </c>
      <c r="B45" t="s">
        <v>237</v>
      </c>
      <c r="C45" t="s">
        <v>238</v>
      </c>
      <c r="D45" t="s">
        <v>255</v>
      </c>
      <c r="E45" t="s">
        <v>229</v>
      </c>
      <c r="F45">
        <v>1994</v>
      </c>
      <c r="G45">
        <v>4.4216000000000199E-4</v>
      </c>
      <c r="H45" t="s">
        <v>240</v>
      </c>
      <c r="I45" t="s">
        <v>241</v>
      </c>
      <c r="J45" t="s">
        <v>2</v>
      </c>
      <c r="K45" s="183">
        <f ca="1">VLOOKUP(F45,
    OFFSET(INDIRECT(ADDRESS(MATCH(J45,'Vehicle numbers'!$A$5:$A$162,0),1,1,1,$L$6)),4,1,COUNTIF('Vehicle numbers'!$A$5:$A$162,J45),4),
    MATCH(K$8,'Vehicle numbers'!$B$4:$D$4,0))*1000</f>
        <v>21199203</v>
      </c>
      <c r="L45" s="183">
        <f ca="1">VLOOKUP(F45,
    OFFSET(INDIRECT(ADDRESS(MATCH(J45,'Vehicle numbers'!$A$5:$A$162,0),1,1,1,$L$6)),4,1,COUNTIF('Vehicle numbers'!$A$5:$A$162,J45),4),
    MATCH(L$8,'Vehicle numbers'!$B$4:$D$4,0))*1000</f>
        <v>21850707.475926153</v>
      </c>
      <c r="M45" s="184">
        <f>VLOOKUP(F45,'Annual distance covered (GB)'!$A$8:$H$33,MATCH(J45,'Annual distance covered (GB)'!$A$7:$H$7,0))</f>
        <v>345</v>
      </c>
      <c r="N45" s="2">
        <f t="shared" ca="1" si="2"/>
        <v>157233.29514117417</v>
      </c>
      <c r="O45" s="180">
        <f t="shared" ca="1" si="3"/>
        <v>7.1957988231916388E-3</v>
      </c>
      <c r="P45" s="180"/>
      <c r="Q45" s="185">
        <f>Q44</f>
        <v>1999</v>
      </c>
      <c r="R45" s="186" t="s">
        <v>41</v>
      </c>
      <c r="S45" s="180">
        <f t="shared" ca="1" si="5"/>
        <v>3.1037978312979879</v>
      </c>
      <c r="T45" s="180">
        <f t="shared" ca="1" si="5"/>
        <v>4.4419492270448098</v>
      </c>
      <c r="U45">
        <f ca="1">IF(S45=-1,-1,VLOOKUP(R45,'Vehicle weight data'!$A$4:$C$9,2,0))</f>
        <v>3500</v>
      </c>
      <c r="V45">
        <f ca="1">IF(S45=-1,-1,VLOOKUP(R45,'Vehicle weight data'!$A$4:$C$9,3,0))</f>
        <v>24000</v>
      </c>
      <c r="W45">
        <f t="shared" ca="1" si="6"/>
        <v>13750</v>
      </c>
    </row>
    <row r="46" spans="1:30" x14ac:dyDescent="0.25">
      <c r="A46" t="s">
        <v>236</v>
      </c>
      <c r="B46" t="s">
        <v>237</v>
      </c>
      <c r="C46" t="s">
        <v>238</v>
      </c>
      <c r="D46" t="s">
        <v>255</v>
      </c>
      <c r="E46" t="s">
        <v>228</v>
      </c>
      <c r="F46">
        <v>1994</v>
      </c>
      <c r="G46">
        <v>6.8000000000000196E-3</v>
      </c>
      <c r="H46" t="s">
        <v>240</v>
      </c>
      <c r="I46" t="s">
        <v>241</v>
      </c>
      <c r="J46" t="s">
        <v>2</v>
      </c>
      <c r="K46" s="183">
        <f ca="1">VLOOKUP(F46,
    OFFSET(INDIRECT(ADDRESS(MATCH(J46,'Vehicle numbers'!$A$5:$A$162,0),1,1,1,$L$6)),4,1,COUNTIF('Vehicle numbers'!$A$5:$A$162,J46),4),
    MATCH(K$8,'Vehicle numbers'!$B$4:$D$4,0))*1000</f>
        <v>21199203</v>
      </c>
      <c r="L46" s="183">
        <f ca="1">VLOOKUP(F46,
    OFFSET(INDIRECT(ADDRESS(MATCH(J46,'Vehicle numbers'!$A$5:$A$162,0),1,1,1,$L$6)),4,1,COUNTIF('Vehicle numbers'!$A$5:$A$162,J46),4),
    MATCH(L$8,'Vehicle numbers'!$B$4:$D$4,0))*1000</f>
        <v>21850707.475926153</v>
      </c>
      <c r="M46" s="184">
        <f>VLOOKUP(F46,'Annual distance covered (GB)'!$A$8:$H$33,MATCH(J46,'Annual distance covered (GB)'!$A$7:$H$7,0))</f>
        <v>345</v>
      </c>
      <c r="N46" s="2">
        <f t="shared" ca="1" si="2"/>
        <v>2418098.4416500418</v>
      </c>
      <c r="O46" s="180">
        <f t="shared" ca="1" si="3"/>
        <v>0.11066453771870605</v>
      </c>
      <c r="P46" s="180"/>
      <c r="Q46" s="185">
        <f>Q45+1</f>
        <v>2000</v>
      </c>
      <c r="R46" s="186" t="s">
        <v>2</v>
      </c>
      <c r="S46" s="180">
        <f t="shared" ca="1" si="5"/>
        <v>0.61779510345512456</v>
      </c>
      <c r="T46" s="180">
        <f t="shared" ca="1" si="5"/>
        <v>0.45283389384427464</v>
      </c>
      <c r="U46">
        <f ca="1">IF(S46=-1,-1,VLOOKUP(R46,'Vehicle weight data'!$A$4:$C$9,2,0))</f>
        <v>1000</v>
      </c>
      <c r="V46">
        <f ca="1">IF(S46=-1,-1,VLOOKUP(R46,'Vehicle weight data'!$A$4:$C$9,3,0))</f>
        <v>2000</v>
      </c>
      <c r="W46">
        <f t="shared" ca="1" si="6"/>
        <v>1500</v>
      </c>
    </row>
    <row r="47" spans="1:30" x14ac:dyDescent="0.25">
      <c r="A47" t="s">
        <v>243</v>
      </c>
      <c r="B47" t="s">
        <v>237</v>
      </c>
      <c r="C47" t="s">
        <v>238</v>
      </c>
      <c r="D47" t="s">
        <v>255</v>
      </c>
      <c r="E47" t="s">
        <v>228</v>
      </c>
      <c r="F47">
        <v>1994</v>
      </c>
      <c r="G47">
        <v>4.7600000000000099E-3</v>
      </c>
      <c r="H47" t="s">
        <v>240</v>
      </c>
      <c r="I47" t="s">
        <v>241</v>
      </c>
      <c r="J47" t="s">
        <v>2</v>
      </c>
      <c r="K47" s="183">
        <f ca="1">VLOOKUP(F47,
    OFFSET(INDIRECT(ADDRESS(MATCH(J47,'Vehicle numbers'!$A$5:$A$162,0),1,1,1,$L$6)),4,1,COUNTIF('Vehicle numbers'!$A$5:$A$162,J47),4),
    MATCH(K$8,'Vehicle numbers'!$B$4:$D$4,0))*1000</f>
        <v>21199203</v>
      </c>
      <c r="L47" s="183">
        <f ca="1">VLOOKUP(F47,
    OFFSET(INDIRECT(ADDRESS(MATCH(J47,'Vehicle numbers'!$A$5:$A$162,0),1,1,1,$L$6)),4,1,COUNTIF('Vehicle numbers'!$A$5:$A$162,J47),4),
    MATCH(L$8,'Vehicle numbers'!$B$4:$D$4,0))*1000</f>
        <v>21850707.475926153</v>
      </c>
      <c r="M47" s="184">
        <f>VLOOKUP(F47,'Annual distance covered (GB)'!$A$8:$H$33,MATCH(J47,'Annual distance covered (GB)'!$A$7:$H$7,0))</f>
        <v>345</v>
      </c>
      <c r="N47" s="2">
        <f t="shared" ca="1" si="2"/>
        <v>1692668.9091550282</v>
      </c>
      <c r="O47" s="180">
        <f t="shared" ca="1" si="3"/>
        <v>7.746517640309418E-2</v>
      </c>
      <c r="P47" s="180"/>
      <c r="Q47" s="185">
        <f>Q46</f>
        <v>2000</v>
      </c>
      <c r="R47" s="186" t="s">
        <v>188</v>
      </c>
      <c r="S47" s="180">
        <f t="shared" ca="1" si="5"/>
        <v>1.3857379440730524</v>
      </c>
      <c r="T47" s="180">
        <f t="shared" ca="1" si="5"/>
        <v>1.0025518079065219</v>
      </c>
      <c r="U47">
        <f ca="1">IF(S47=-1,-1,VLOOKUP(R47,'Vehicle weight data'!$A$4:$C$9,2,0))</f>
        <v>1500</v>
      </c>
      <c r="V47">
        <f ca="1">IF(S47=-1,-1,VLOOKUP(R47,'Vehicle weight data'!$A$4:$C$9,3,0))</f>
        <v>3500</v>
      </c>
      <c r="W47">
        <f t="shared" ca="1" si="6"/>
        <v>2500</v>
      </c>
    </row>
    <row r="48" spans="1:30" x14ac:dyDescent="0.25">
      <c r="A48" t="s">
        <v>244</v>
      </c>
      <c r="B48" t="s">
        <v>237</v>
      </c>
      <c r="C48" t="s">
        <v>238</v>
      </c>
      <c r="D48" t="s">
        <v>255</v>
      </c>
      <c r="E48" t="s">
        <v>228</v>
      </c>
      <c r="F48">
        <v>1994</v>
      </c>
      <c r="G48">
        <v>6.7042253521126804E-4</v>
      </c>
      <c r="H48" t="s">
        <v>240</v>
      </c>
      <c r="I48" t="s">
        <v>241</v>
      </c>
      <c r="J48" t="s">
        <v>2</v>
      </c>
      <c r="K48" s="183">
        <f ca="1">VLOOKUP(F48,
    OFFSET(INDIRECT(ADDRESS(MATCH(J48,'Vehicle numbers'!$A$5:$A$162,0),1,1,1,$L$6)),4,1,COUNTIF('Vehicle numbers'!$A$5:$A$162,J48),4),
    MATCH(K$8,'Vehicle numbers'!$B$4:$D$4,0))*1000</f>
        <v>21199203</v>
      </c>
      <c r="L48" s="183">
        <f ca="1">VLOOKUP(F48,
    OFFSET(INDIRECT(ADDRESS(MATCH(J48,'Vehicle numbers'!$A$5:$A$162,0),1,1,1,$L$6)),4,1,COUNTIF('Vehicle numbers'!$A$5:$A$162,J48),4),
    MATCH(L$8,'Vehicle numbers'!$B$4:$D$4,0))*1000</f>
        <v>21850707.475926153</v>
      </c>
      <c r="M48" s="184">
        <f>VLOOKUP(F48,'Annual distance covered (GB)'!$A$8:$H$33,MATCH(J48,'Annual distance covered (GB)'!$A$7:$H$7,0))</f>
        <v>345</v>
      </c>
      <c r="N48" s="2">
        <f t="shared" ca="1" si="2"/>
        <v>238404.07171197547</v>
      </c>
      <c r="O48" s="180">
        <f t="shared" ca="1" si="3"/>
        <v>1.0910588225787898E-2</v>
      </c>
      <c r="P48" s="180"/>
      <c r="Q48" s="185">
        <f>Q47</f>
        <v>2000</v>
      </c>
      <c r="R48" s="187" t="s">
        <v>245</v>
      </c>
      <c r="S48" s="180">
        <f t="shared" si="5"/>
        <v>-1</v>
      </c>
      <c r="T48" s="180">
        <f t="shared" si="5"/>
        <v>-1</v>
      </c>
      <c r="U48">
        <f>IF(S48=-1,-1,VLOOKUP(R48,'Vehicle weight data'!$A$4:$C$9,2,0))</f>
        <v>-1</v>
      </c>
      <c r="V48">
        <f>IF(S48=-1,-1,VLOOKUP(R48,'Vehicle weight data'!$A$4:$C$9,3,0))</f>
        <v>-1</v>
      </c>
      <c r="W48">
        <f t="shared" si="6"/>
        <v>-1</v>
      </c>
    </row>
    <row r="49" spans="1:23" x14ac:dyDescent="0.25">
      <c r="A49" t="s">
        <v>246</v>
      </c>
      <c r="B49" t="s">
        <v>237</v>
      </c>
      <c r="C49" t="s">
        <v>238</v>
      </c>
      <c r="D49" t="s">
        <v>255</v>
      </c>
      <c r="E49" t="s">
        <v>228</v>
      </c>
      <c r="F49">
        <v>1994</v>
      </c>
      <c r="G49">
        <v>5.3633802816901402E-4</v>
      </c>
      <c r="H49" t="s">
        <v>240</v>
      </c>
      <c r="I49" t="s">
        <v>241</v>
      </c>
      <c r="J49" t="s">
        <v>2</v>
      </c>
      <c r="K49" s="183">
        <f ca="1">VLOOKUP(F49,
    OFFSET(INDIRECT(ADDRESS(MATCH(J49,'Vehicle numbers'!$A$5:$A$162,0),1,1,1,$L$6)),4,1,COUNTIF('Vehicle numbers'!$A$5:$A$162,J49),4),
    MATCH(K$8,'Vehicle numbers'!$B$4:$D$4,0))*1000</f>
        <v>21199203</v>
      </c>
      <c r="L49" s="183">
        <f ca="1">VLOOKUP(F49,
    OFFSET(INDIRECT(ADDRESS(MATCH(J49,'Vehicle numbers'!$A$5:$A$162,0),1,1,1,$L$6)),4,1,COUNTIF('Vehicle numbers'!$A$5:$A$162,J49),4),
    MATCH(L$8,'Vehicle numbers'!$B$4:$D$4,0))*1000</f>
        <v>21850707.475926153</v>
      </c>
      <c r="M49" s="184">
        <f>VLOOKUP(F49,'Annual distance covered (GB)'!$A$8:$H$33,MATCH(J49,'Annual distance covered (GB)'!$A$7:$H$7,0))</f>
        <v>345</v>
      </c>
      <c r="N49" s="2">
        <f t="shared" ca="1" si="2"/>
        <v>190723.25736958021</v>
      </c>
      <c r="O49" s="180">
        <f t="shared" ca="1" si="3"/>
        <v>8.7284705806303098E-3</v>
      </c>
      <c r="P49" s="180"/>
      <c r="Q49" s="185">
        <f>Q48</f>
        <v>2000</v>
      </c>
      <c r="R49" s="188" t="s">
        <v>247</v>
      </c>
      <c r="S49" s="180">
        <f t="shared" si="5"/>
        <v>-1</v>
      </c>
      <c r="T49" s="180">
        <f t="shared" si="5"/>
        <v>-1</v>
      </c>
      <c r="U49">
        <f>IF(S49=-1,-1,VLOOKUP(R49,'Vehicle weight data'!$A$4:$C$9,2,0))</f>
        <v>-1</v>
      </c>
      <c r="V49">
        <f>IF(S49=-1,-1,VLOOKUP(R49,'Vehicle weight data'!$A$4:$C$9,3,0))</f>
        <v>-1</v>
      </c>
      <c r="W49">
        <f t="shared" si="6"/>
        <v>-1</v>
      </c>
    </row>
    <row r="50" spans="1:23" x14ac:dyDescent="0.25">
      <c r="A50" t="s">
        <v>236</v>
      </c>
      <c r="B50" t="s">
        <v>237</v>
      </c>
      <c r="C50" t="s">
        <v>238</v>
      </c>
      <c r="D50" t="s">
        <v>256</v>
      </c>
      <c r="E50" t="s">
        <v>229</v>
      </c>
      <c r="F50">
        <v>1994</v>
      </c>
      <c r="G50">
        <v>1.1700550129900801E-2</v>
      </c>
      <c r="H50" t="s">
        <v>240</v>
      </c>
      <c r="I50" t="s">
        <v>241</v>
      </c>
      <c r="J50" t="s">
        <v>2</v>
      </c>
      <c r="K50" s="183">
        <f ca="1">VLOOKUP(F50,
    OFFSET(INDIRECT(ADDRESS(MATCH(J50,'Vehicle numbers'!$A$5:$A$162,0),1,1,1,$L$6)),4,1,COUNTIF('Vehicle numbers'!$A$5:$A$162,J50),4),
    MATCH(K$8,'Vehicle numbers'!$B$4:$D$4,0))*1000</f>
        <v>21199203</v>
      </c>
      <c r="L50" s="183">
        <f ca="1">VLOOKUP(F50,
    OFFSET(INDIRECT(ADDRESS(MATCH(J50,'Vehicle numbers'!$A$5:$A$162,0),1,1,1,$L$6)),4,1,COUNTIF('Vehicle numbers'!$A$5:$A$162,J50),4),
    MATCH(L$8,'Vehicle numbers'!$B$4:$D$4,0))*1000</f>
        <v>21850707.475926153</v>
      </c>
      <c r="M50" s="184">
        <f>VLOOKUP(F50,'Annual distance covered (GB)'!$A$8:$H$33,MATCH(J50,'Annual distance covered (GB)'!$A$7:$H$7,0))</f>
        <v>345</v>
      </c>
      <c r="N50" s="2">
        <f t="shared" ca="1" si="2"/>
        <v>4160747.3581707706</v>
      </c>
      <c r="O50" s="180">
        <f t="shared" ca="1" si="3"/>
        <v>0.19041705458529623</v>
      </c>
      <c r="P50" s="180"/>
      <c r="Q50" s="185">
        <f>Q49</f>
        <v>2000</v>
      </c>
      <c r="R50" s="186" t="s">
        <v>3</v>
      </c>
      <c r="S50" s="180">
        <f t="shared" ref="S50:T69" ca="1" si="7">IF(SUMIFS($O$10:$O$3241,$F$10:$F$3241,$Q50,$J$10:$J$3241,$R50,$E$10:$E$3241,S$8)=0,-1,SUMIFS($O$10:$O$3241,$F$10:$F$3241,$Q50,$J$10:$J$3241,$R50,$E$10:$E$3241,S$8))</f>
        <v>0.15108703971849666</v>
      </c>
      <c r="T50" s="180">
        <f t="shared" ca="1" si="7"/>
        <v>0.15975719931175975</v>
      </c>
      <c r="U50">
        <f ca="1">IF(S50=-1,-1,VLOOKUP(R50,'Vehicle weight data'!$A$4:$C$9,2,0))</f>
        <v>100</v>
      </c>
      <c r="V50">
        <f ca="1">IF(S50=-1,-1,VLOOKUP(R50,'Vehicle weight data'!$A$4:$C$9,3,0))</f>
        <v>200</v>
      </c>
      <c r="W50">
        <f t="shared" ca="1" si="6"/>
        <v>150</v>
      </c>
    </row>
    <row r="51" spans="1:23" x14ac:dyDescent="0.25">
      <c r="A51" t="s">
        <v>243</v>
      </c>
      <c r="B51" t="s">
        <v>237</v>
      </c>
      <c r="C51" t="s">
        <v>238</v>
      </c>
      <c r="D51" t="s">
        <v>256</v>
      </c>
      <c r="E51" t="s">
        <v>229</v>
      </c>
      <c r="F51">
        <v>1994</v>
      </c>
      <c r="G51">
        <v>4.6802200519603203E-3</v>
      </c>
      <c r="H51" t="s">
        <v>240</v>
      </c>
      <c r="I51" t="s">
        <v>241</v>
      </c>
      <c r="J51" t="s">
        <v>2</v>
      </c>
      <c r="K51" s="183">
        <f ca="1">VLOOKUP(F51,
    OFFSET(INDIRECT(ADDRESS(MATCH(J51,'Vehicle numbers'!$A$5:$A$162,0),1,1,1,$L$6)),4,1,COUNTIF('Vehicle numbers'!$A$5:$A$162,J51),4),
    MATCH(K$8,'Vehicle numbers'!$B$4:$D$4,0))*1000</f>
        <v>21199203</v>
      </c>
      <c r="L51" s="183">
        <f ca="1">VLOOKUP(F51,
    OFFSET(INDIRECT(ADDRESS(MATCH(J51,'Vehicle numbers'!$A$5:$A$162,0),1,1,1,$L$6)),4,1,COUNTIF('Vehicle numbers'!$A$5:$A$162,J51),4),
    MATCH(L$8,'Vehicle numbers'!$B$4:$D$4,0))*1000</f>
        <v>21850707.475926153</v>
      </c>
      <c r="M51" s="184">
        <f>VLOOKUP(F51,'Annual distance covered (GB)'!$A$8:$H$33,MATCH(J51,'Annual distance covered (GB)'!$A$7:$H$7,0))</f>
        <v>345</v>
      </c>
      <c r="N51" s="2">
        <f t="shared" ca="1" si="2"/>
        <v>1664298.9432683084</v>
      </c>
      <c r="O51" s="180">
        <f t="shared" ca="1" si="3"/>
        <v>7.6166821834118492E-2</v>
      </c>
      <c r="P51" s="180"/>
      <c r="Q51" s="185">
        <f>Q50</f>
        <v>2000</v>
      </c>
      <c r="R51" s="186" t="s">
        <v>41</v>
      </c>
      <c r="S51" s="180">
        <f t="shared" ca="1" si="7"/>
        <v>2.9022965489894554</v>
      </c>
      <c r="T51" s="180">
        <f t="shared" ca="1" si="7"/>
        <v>4.1642533653985483</v>
      </c>
      <c r="U51">
        <f ca="1">IF(S51=-1,-1,VLOOKUP(R51,'Vehicle weight data'!$A$4:$C$9,2,0))</f>
        <v>3500</v>
      </c>
      <c r="V51">
        <f ca="1">IF(S51=-1,-1,VLOOKUP(R51,'Vehicle weight data'!$A$4:$C$9,3,0))</f>
        <v>24000</v>
      </c>
      <c r="W51">
        <f t="shared" ca="1" si="6"/>
        <v>13750</v>
      </c>
    </row>
    <row r="52" spans="1:23" x14ac:dyDescent="0.25">
      <c r="A52" t="s">
        <v>244</v>
      </c>
      <c r="B52" t="s">
        <v>237</v>
      </c>
      <c r="C52" t="s">
        <v>238</v>
      </c>
      <c r="D52" t="s">
        <v>256</v>
      </c>
      <c r="E52" t="s">
        <v>229</v>
      </c>
      <c r="F52">
        <v>1994</v>
      </c>
      <c r="G52">
        <v>1.1700550129900801E-3</v>
      </c>
      <c r="H52" t="s">
        <v>240</v>
      </c>
      <c r="I52" t="s">
        <v>241</v>
      </c>
      <c r="J52" t="s">
        <v>2</v>
      </c>
      <c r="K52" s="183">
        <f ca="1">VLOOKUP(F52,
    OFFSET(INDIRECT(ADDRESS(MATCH(J52,'Vehicle numbers'!$A$5:$A$162,0),1,1,1,$L$6)),4,1,COUNTIF('Vehicle numbers'!$A$5:$A$162,J52),4),
    MATCH(K$8,'Vehicle numbers'!$B$4:$D$4,0))*1000</f>
        <v>21199203</v>
      </c>
      <c r="L52" s="183">
        <f ca="1">VLOOKUP(F52,
    OFFSET(INDIRECT(ADDRESS(MATCH(J52,'Vehicle numbers'!$A$5:$A$162,0),1,1,1,$L$6)),4,1,COUNTIF('Vehicle numbers'!$A$5:$A$162,J52),4),
    MATCH(L$8,'Vehicle numbers'!$B$4:$D$4,0))*1000</f>
        <v>21850707.475926153</v>
      </c>
      <c r="M52" s="184">
        <f>VLOOKUP(F52,'Annual distance covered (GB)'!$A$8:$H$33,MATCH(J52,'Annual distance covered (GB)'!$A$7:$H$7,0))</f>
        <v>345</v>
      </c>
      <c r="N52" s="2">
        <f t="shared" ca="1" si="2"/>
        <v>416074.7358170771</v>
      </c>
      <c r="O52" s="180">
        <f t="shared" ca="1" si="3"/>
        <v>1.9041705458529623E-2</v>
      </c>
      <c r="P52" s="180"/>
      <c r="Q52" s="185">
        <f>Q51+1</f>
        <v>2001</v>
      </c>
      <c r="R52" s="186" t="s">
        <v>2</v>
      </c>
      <c r="S52" s="180">
        <f t="shared" ca="1" si="7"/>
        <v>0.60843914024939616</v>
      </c>
      <c r="T52" s="180">
        <f t="shared" ca="1" si="7"/>
        <v>0.44599601913921444</v>
      </c>
      <c r="U52">
        <f ca="1">IF(S52=-1,-1,VLOOKUP(R52,'Vehicle weight data'!$A$4:$C$9,2,0))</f>
        <v>1000</v>
      </c>
      <c r="V52">
        <f ca="1">IF(S52=-1,-1,VLOOKUP(R52,'Vehicle weight data'!$A$4:$C$9,3,0))</f>
        <v>2000</v>
      </c>
      <c r="W52">
        <f t="shared" ca="1" si="6"/>
        <v>1500</v>
      </c>
    </row>
    <row r="53" spans="1:23" x14ac:dyDescent="0.25">
      <c r="A53" t="s">
        <v>246</v>
      </c>
      <c r="B53" t="s">
        <v>237</v>
      </c>
      <c r="C53" t="s">
        <v>238</v>
      </c>
      <c r="D53" t="s">
        <v>256</v>
      </c>
      <c r="E53" t="s">
        <v>229</v>
      </c>
      <c r="F53">
        <v>1994</v>
      </c>
      <c r="G53">
        <v>9.3604401039206397E-4</v>
      </c>
      <c r="H53" t="s">
        <v>240</v>
      </c>
      <c r="I53" t="s">
        <v>241</v>
      </c>
      <c r="J53" t="s">
        <v>2</v>
      </c>
      <c r="K53" s="183">
        <f ca="1">VLOOKUP(F53,
    OFFSET(INDIRECT(ADDRESS(MATCH(J53,'Vehicle numbers'!$A$5:$A$162,0),1,1,1,$L$6)),4,1,COUNTIF('Vehicle numbers'!$A$5:$A$162,J53),4),
    MATCH(K$8,'Vehicle numbers'!$B$4:$D$4,0))*1000</f>
        <v>21199203</v>
      </c>
      <c r="L53" s="183">
        <f ca="1">VLOOKUP(F53,
    OFFSET(INDIRECT(ADDRESS(MATCH(J53,'Vehicle numbers'!$A$5:$A$162,0),1,1,1,$L$6)),4,1,COUNTIF('Vehicle numbers'!$A$5:$A$162,J53),4),
    MATCH(L$8,'Vehicle numbers'!$B$4:$D$4,0))*1000</f>
        <v>21850707.475926153</v>
      </c>
      <c r="M53" s="184">
        <f>VLOOKUP(F53,'Annual distance covered (GB)'!$A$8:$H$33,MATCH(J53,'Annual distance covered (GB)'!$A$7:$H$7,0))</f>
        <v>345</v>
      </c>
      <c r="N53" s="2">
        <f t="shared" ca="1" si="2"/>
        <v>332859.78865366167</v>
      </c>
      <c r="O53" s="180">
        <f t="shared" ca="1" si="3"/>
        <v>1.5233364366823699E-2</v>
      </c>
      <c r="P53" s="180"/>
      <c r="Q53" s="185">
        <f>Q52</f>
        <v>2001</v>
      </c>
      <c r="R53" s="186" t="s">
        <v>188</v>
      </c>
      <c r="S53" s="180">
        <f t="shared" ca="1" si="7"/>
        <v>1.3722160989729906</v>
      </c>
      <c r="T53" s="180">
        <f t="shared" ca="1" si="7"/>
        <v>0.99276904175706293</v>
      </c>
      <c r="U53">
        <f ca="1">IF(S53=-1,-1,VLOOKUP(R53,'Vehicle weight data'!$A$4:$C$9,2,0))</f>
        <v>1500</v>
      </c>
      <c r="V53">
        <f ca="1">IF(S53=-1,-1,VLOOKUP(R53,'Vehicle weight data'!$A$4:$C$9,3,0))</f>
        <v>3500</v>
      </c>
      <c r="W53">
        <f t="shared" ca="1" si="6"/>
        <v>2500</v>
      </c>
    </row>
    <row r="54" spans="1:23" x14ac:dyDescent="0.25">
      <c r="A54" t="s">
        <v>236</v>
      </c>
      <c r="B54" t="s">
        <v>237</v>
      </c>
      <c r="C54" t="s">
        <v>238</v>
      </c>
      <c r="D54" t="s">
        <v>256</v>
      </c>
      <c r="E54" t="s">
        <v>228</v>
      </c>
      <c r="F54">
        <v>1994</v>
      </c>
      <c r="G54">
        <v>8.7556832274752194E-3</v>
      </c>
      <c r="H54" t="s">
        <v>240</v>
      </c>
      <c r="I54" t="s">
        <v>241</v>
      </c>
      <c r="J54" t="s">
        <v>2</v>
      </c>
      <c r="K54" s="183">
        <f ca="1">VLOOKUP(F54,
    OFFSET(INDIRECT(ADDRESS(MATCH(J54,'Vehicle numbers'!$A$5:$A$162,0),1,1,1,$L$6)),4,1,COUNTIF('Vehicle numbers'!$A$5:$A$162,J54),4),
    MATCH(K$8,'Vehicle numbers'!$B$4:$D$4,0))*1000</f>
        <v>21199203</v>
      </c>
      <c r="L54" s="183">
        <f ca="1">VLOOKUP(F54,
    OFFSET(INDIRECT(ADDRESS(MATCH(J54,'Vehicle numbers'!$A$5:$A$162,0),1,1,1,$L$6)),4,1,COUNTIF('Vehicle numbers'!$A$5:$A$162,J54),4),
    MATCH(L$8,'Vehicle numbers'!$B$4:$D$4,0))*1000</f>
        <v>21850707.475926153</v>
      </c>
      <c r="M54" s="184">
        <f>VLOOKUP(F54,'Annual distance covered (GB)'!$A$8:$H$33,MATCH(J54,'Annual distance covered (GB)'!$A$7:$H$7,0))</f>
        <v>345</v>
      </c>
      <c r="N54" s="2">
        <f t="shared" ca="1" si="2"/>
        <v>3113544.7011675262</v>
      </c>
      <c r="O54" s="180">
        <f t="shared" ca="1" si="3"/>
        <v>0.14249171129117214</v>
      </c>
      <c r="P54" s="180"/>
      <c r="Q54" s="185">
        <f>Q53</f>
        <v>2001</v>
      </c>
      <c r="R54" s="187" t="s">
        <v>245</v>
      </c>
      <c r="S54" s="180">
        <f t="shared" si="7"/>
        <v>-1</v>
      </c>
      <c r="T54" s="180">
        <f t="shared" si="7"/>
        <v>-1</v>
      </c>
      <c r="U54">
        <f>IF(S54=-1,-1,VLOOKUP(R54,'Vehicle weight data'!$A$4:$C$9,2,0))</f>
        <v>-1</v>
      </c>
      <c r="V54">
        <f>IF(S54=-1,-1,VLOOKUP(R54,'Vehicle weight data'!$A$4:$C$9,3,0))</f>
        <v>-1</v>
      </c>
      <c r="W54">
        <f t="shared" si="6"/>
        <v>-1</v>
      </c>
    </row>
    <row r="55" spans="1:23" x14ac:dyDescent="0.25">
      <c r="A55" t="s">
        <v>243</v>
      </c>
      <c r="B55" t="s">
        <v>237</v>
      </c>
      <c r="C55" t="s">
        <v>238</v>
      </c>
      <c r="D55" t="s">
        <v>256</v>
      </c>
      <c r="E55" t="s">
        <v>228</v>
      </c>
      <c r="F55">
        <v>1994</v>
      </c>
      <c r="G55">
        <v>6.1289782592326503E-3</v>
      </c>
      <c r="H55" t="s">
        <v>240</v>
      </c>
      <c r="I55" t="s">
        <v>241</v>
      </c>
      <c r="J55" t="s">
        <v>2</v>
      </c>
      <c r="K55" s="183">
        <f ca="1">VLOOKUP(F55,
    OFFSET(INDIRECT(ADDRESS(MATCH(J55,'Vehicle numbers'!$A$5:$A$162,0),1,1,1,$L$6)),4,1,COUNTIF('Vehicle numbers'!$A$5:$A$162,J55),4),
    MATCH(K$8,'Vehicle numbers'!$B$4:$D$4,0))*1000</f>
        <v>21199203</v>
      </c>
      <c r="L55" s="183">
        <f ca="1">VLOOKUP(F55,
    OFFSET(INDIRECT(ADDRESS(MATCH(J55,'Vehicle numbers'!$A$5:$A$162,0),1,1,1,$L$6)),4,1,COUNTIF('Vehicle numbers'!$A$5:$A$162,J55),4),
    MATCH(L$8,'Vehicle numbers'!$B$4:$D$4,0))*1000</f>
        <v>21850707.475926153</v>
      </c>
      <c r="M55" s="184">
        <f>VLOOKUP(F55,'Annual distance covered (GB)'!$A$8:$H$33,MATCH(J55,'Annual distance covered (GB)'!$A$7:$H$7,0))</f>
        <v>345</v>
      </c>
      <c r="N55" s="2">
        <f t="shared" ca="1" si="2"/>
        <v>2179481.2908172668</v>
      </c>
      <c r="O55" s="180">
        <f t="shared" ca="1" si="3"/>
        <v>9.9744197903820428E-2</v>
      </c>
      <c r="P55" s="180"/>
      <c r="Q55" s="185">
        <f>Q54</f>
        <v>2001</v>
      </c>
      <c r="R55" s="188" t="s">
        <v>247</v>
      </c>
      <c r="S55" s="180">
        <f t="shared" si="7"/>
        <v>-1</v>
      </c>
      <c r="T55" s="180">
        <f t="shared" si="7"/>
        <v>-1</v>
      </c>
      <c r="U55">
        <f>IF(S55=-1,-1,VLOOKUP(R55,'Vehicle weight data'!$A$4:$C$9,2,0))</f>
        <v>-1</v>
      </c>
      <c r="V55">
        <f>IF(S55=-1,-1,VLOOKUP(R55,'Vehicle weight data'!$A$4:$C$9,3,0))</f>
        <v>-1</v>
      </c>
      <c r="W55">
        <f t="shared" si="6"/>
        <v>-1</v>
      </c>
    </row>
    <row r="56" spans="1:23" x14ac:dyDescent="0.25">
      <c r="A56" t="s">
        <v>244</v>
      </c>
      <c r="B56" t="s">
        <v>237</v>
      </c>
      <c r="C56" t="s">
        <v>238</v>
      </c>
      <c r="D56" t="s">
        <v>256</v>
      </c>
      <c r="E56" t="s">
        <v>228</v>
      </c>
      <c r="F56">
        <v>1994</v>
      </c>
      <c r="G56">
        <v>8.6323637453980897E-4</v>
      </c>
      <c r="H56" t="s">
        <v>240</v>
      </c>
      <c r="I56" t="s">
        <v>241</v>
      </c>
      <c r="J56" t="s">
        <v>2</v>
      </c>
      <c r="K56" s="183">
        <f ca="1">VLOOKUP(F56,
    OFFSET(INDIRECT(ADDRESS(MATCH(J56,'Vehicle numbers'!$A$5:$A$162,0),1,1,1,$L$6)),4,1,COUNTIF('Vehicle numbers'!$A$5:$A$162,J56),4),
    MATCH(K$8,'Vehicle numbers'!$B$4:$D$4,0))*1000</f>
        <v>21199203</v>
      </c>
      <c r="L56" s="183">
        <f ca="1">VLOOKUP(F56,
    OFFSET(INDIRECT(ADDRESS(MATCH(J56,'Vehicle numbers'!$A$5:$A$162,0),1,1,1,$L$6)),4,1,COUNTIF('Vehicle numbers'!$A$5:$A$162,J56),4),
    MATCH(L$8,'Vehicle numbers'!$B$4:$D$4,0))*1000</f>
        <v>21850707.475926153</v>
      </c>
      <c r="M56" s="184">
        <f>VLOOKUP(F56,'Annual distance covered (GB)'!$A$8:$H$33,MATCH(J56,'Annual distance covered (GB)'!$A$7:$H$7,0))</f>
        <v>345</v>
      </c>
      <c r="N56" s="2">
        <f t="shared" ca="1" si="2"/>
        <v>306969.19588975556</v>
      </c>
      <c r="O56" s="180">
        <f t="shared" ca="1" si="3"/>
        <v>1.4048478578002862E-2</v>
      </c>
      <c r="P56" s="180"/>
      <c r="Q56" s="185">
        <f>Q55</f>
        <v>2001</v>
      </c>
      <c r="R56" s="186" t="s">
        <v>3</v>
      </c>
      <c r="S56" s="180">
        <f t="shared" ca="1" si="7"/>
        <v>0.1488804440598285</v>
      </c>
      <c r="T56" s="180">
        <f t="shared" ca="1" si="7"/>
        <v>0.15742397772571812</v>
      </c>
      <c r="U56">
        <f ca="1">IF(S56=-1,-1,VLOOKUP(R56,'Vehicle weight data'!$A$4:$C$9,2,0))</f>
        <v>100</v>
      </c>
      <c r="V56">
        <f ca="1">IF(S56=-1,-1,VLOOKUP(R56,'Vehicle weight data'!$A$4:$C$9,3,0))</f>
        <v>200</v>
      </c>
      <c r="W56">
        <f t="shared" ca="1" si="6"/>
        <v>150</v>
      </c>
    </row>
    <row r="57" spans="1:23" x14ac:dyDescent="0.25">
      <c r="A57" t="s">
        <v>246</v>
      </c>
      <c r="B57" t="s">
        <v>237</v>
      </c>
      <c r="C57" t="s">
        <v>238</v>
      </c>
      <c r="D57" t="s">
        <v>256</v>
      </c>
      <c r="E57" t="s">
        <v>228</v>
      </c>
      <c r="F57">
        <v>1994</v>
      </c>
      <c r="G57">
        <v>6.9058909963184696E-4</v>
      </c>
      <c r="H57" t="s">
        <v>240</v>
      </c>
      <c r="I57" t="s">
        <v>241</v>
      </c>
      <c r="J57" t="s">
        <v>2</v>
      </c>
      <c r="K57" s="183">
        <f ca="1">VLOOKUP(F57,
    OFFSET(INDIRECT(ADDRESS(MATCH(J57,'Vehicle numbers'!$A$5:$A$162,0),1,1,1,$L$6)),4,1,COUNTIF('Vehicle numbers'!$A$5:$A$162,J57),4),
    MATCH(K$8,'Vehicle numbers'!$B$4:$D$4,0))*1000</f>
        <v>21199203</v>
      </c>
      <c r="L57" s="183">
        <f ca="1">VLOOKUP(F57,
    OFFSET(INDIRECT(ADDRESS(MATCH(J57,'Vehicle numbers'!$A$5:$A$162,0),1,1,1,$L$6)),4,1,COUNTIF('Vehicle numbers'!$A$5:$A$162,J57),4),
    MATCH(L$8,'Vehicle numbers'!$B$4:$D$4,0))*1000</f>
        <v>21850707.475926153</v>
      </c>
      <c r="M57" s="184">
        <f>VLOOKUP(F57,'Annual distance covered (GB)'!$A$8:$H$33,MATCH(J57,'Annual distance covered (GB)'!$A$7:$H$7,0))</f>
        <v>345</v>
      </c>
      <c r="N57" s="2">
        <f t="shared" ca="1" si="2"/>
        <v>245575.35671180443</v>
      </c>
      <c r="O57" s="180">
        <f t="shared" ca="1" si="3"/>
        <v>1.1238782862402289E-2</v>
      </c>
      <c r="P57" s="180"/>
      <c r="Q57" s="185">
        <f>Q56</f>
        <v>2001</v>
      </c>
      <c r="R57" s="186" t="s">
        <v>41</v>
      </c>
      <c r="S57" s="180">
        <f t="shared" ca="1" si="7"/>
        <v>2.919289969456889</v>
      </c>
      <c r="T57" s="180">
        <f t="shared" ca="1" si="7"/>
        <v>4.1872320036359785</v>
      </c>
      <c r="U57">
        <f ca="1">IF(S57=-1,-1,VLOOKUP(R57,'Vehicle weight data'!$A$4:$C$9,2,0))</f>
        <v>3500</v>
      </c>
      <c r="V57">
        <f ca="1">IF(S57=-1,-1,VLOOKUP(R57,'Vehicle weight data'!$A$4:$C$9,3,0))</f>
        <v>24000</v>
      </c>
      <c r="W57">
        <f t="shared" ca="1" si="6"/>
        <v>13750</v>
      </c>
    </row>
    <row r="58" spans="1:23" x14ac:dyDescent="0.25">
      <c r="A58" t="s">
        <v>236</v>
      </c>
      <c r="B58" t="s">
        <v>237</v>
      </c>
      <c r="C58" t="s">
        <v>238</v>
      </c>
      <c r="D58" t="s">
        <v>257</v>
      </c>
      <c r="E58" t="s">
        <v>229</v>
      </c>
      <c r="F58">
        <v>1994</v>
      </c>
      <c r="G58">
        <v>2.1210000000000001E-3</v>
      </c>
      <c r="H58" t="s">
        <v>240</v>
      </c>
      <c r="I58" t="s">
        <v>241</v>
      </c>
      <c r="J58" t="s">
        <v>188</v>
      </c>
      <c r="K58" s="183">
        <f ca="1">VLOOKUP(F58,
    OFFSET(INDIRECT(ADDRESS(MATCH(J58,'Vehicle numbers'!$A$5:$A$162,0),1,1,1,$L$6)),4,1,COUNTIF('Vehicle numbers'!$A$5:$A$162,J58),4),
    MATCH(K$8,'Vehicle numbers'!$B$4:$D$4,0))*1000</f>
        <v>2137653</v>
      </c>
      <c r="L58" s="183">
        <f ca="1">VLOOKUP(F58,
    OFFSET(INDIRECT(ADDRESS(MATCH(J58,'Vehicle numbers'!$A$5:$A$162,0),1,1,1,$L$6)),4,1,COUNTIF('Vehicle numbers'!$A$5:$A$162,J58),4),
    MATCH(L$8,'Vehicle numbers'!$B$4:$D$4,0))*1000</f>
        <v>2198994.2011767244</v>
      </c>
      <c r="M58" s="184">
        <f>VLOOKUP(F58,'Annual distance covered (GB)'!$A$8:$H$33,MATCH(J58,'Annual distance covered (GB)'!$A$7:$H$7,0))</f>
        <v>43.3</v>
      </c>
      <c r="N58" s="2">
        <f t="shared" ca="1" si="2"/>
        <v>94474.68234560499</v>
      </c>
      <c r="O58" s="180">
        <f t="shared" ca="1" si="3"/>
        <v>4.2962679162614321E-2</v>
      </c>
      <c r="P58" s="180"/>
      <c r="Q58" s="185">
        <f>Q57+1</f>
        <v>2002</v>
      </c>
      <c r="R58" s="186" t="s">
        <v>2</v>
      </c>
      <c r="S58" s="180">
        <f t="shared" ca="1" si="7"/>
        <v>0.6076680080508674</v>
      </c>
      <c r="T58" s="180">
        <f t="shared" ca="1" si="7"/>
        <v>0.44546260091146694</v>
      </c>
      <c r="U58">
        <f ca="1">IF(S58=-1,-1,VLOOKUP(R58,'Vehicle weight data'!$A$4:$C$9,2,0))</f>
        <v>1000</v>
      </c>
      <c r="V58">
        <f ca="1">IF(S58=-1,-1,VLOOKUP(R58,'Vehicle weight data'!$A$4:$C$9,3,0))</f>
        <v>2000</v>
      </c>
      <c r="W58">
        <f t="shared" ca="1" si="6"/>
        <v>1500</v>
      </c>
    </row>
    <row r="59" spans="1:23" x14ac:dyDescent="0.25">
      <c r="A59" t="s">
        <v>243</v>
      </c>
      <c r="B59" t="s">
        <v>237</v>
      </c>
      <c r="C59" t="s">
        <v>238</v>
      </c>
      <c r="D59" t="s">
        <v>257</v>
      </c>
      <c r="E59" t="s">
        <v>229</v>
      </c>
      <c r="F59">
        <v>1994</v>
      </c>
      <c r="G59">
        <v>8.4840000000000002E-4</v>
      </c>
      <c r="H59" t="s">
        <v>240</v>
      </c>
      <c r="I59" t="s">
        <v>241</v>
      </c>
      <c r="J59" t="s">
        <v>188</v>
      </c>
      <c r="K59" s="183">
        <f ca="1">VLOOKUP(F59,
    OFFSET(INDIRECT(ADDRESS(MATCH(J59,'Vehicle numbers'!$A$5:$A$162,0),1,1,1,$L$6)),4,1,COUNTIF('Vehicle numbers'!$A$5:$A$162,J59),4),
    MATCH(K$8,'Vehicle numbers'!$B$4:$D$4,0))*1000</f>
        <v>2137653</v>
      </c>
      <c r="L59" s="183">
        <f ca="1">VLOOKUP(F59,
    OFFSET(INDIRECT(ADDRESS(MATCH(J59,'Vehicle numbers'!$A$5:$A$162,0),1,1,1,$L$6)),4,1,COUNTIF('Vehicle numbers'!$A$5:$A$162,J59),4),
    MATCH(L$8,'Vehicle numbers'!$B$4:$D$4,0))*1000</f>
        <v>2198994.2011767244</v>
      </c>
      <c r="M59" s="184">
        <f>VLOOKUP(F59,'Annual distance covered (GB)'!$A$8:$H$33,MATCH(J59,'Annual distance covered (GB)'!$A$7:$H$7,0))</f>
        <v>43.3</v>
      </c>
      <c r="N59" s="2">
        <f t="shared" ca="1" si="2"/>
        <v>37789.872938241999</v>
      </c>
      <c r="O59" s="180">
        <f t="shared" ca="1" si="3"/>
        <v>1.718507166504573E-2</v>
      </c>
      <c r="P59" s="180"/>
      <c r="Q59" s="185">
        <f>Q58</f>
        <v>2002</v>
      </c>
      <c r="R59" s="186" t="s">
        <v>188</v>
      </c>
      <c r="S59" s="180">
        <f t="shared" ca="1" si="7"/>
        <v>1.3609033483349569</v>
      </c>
      <c r="T59" s="180">
        <f t="shared" ca="1" si="7"/>
        <v>0.98458450827216737</v>
      </c>
      <c r="U59">
        <f ca="1">IF(S59=-1,-1,VLOOKUP(R59,'Vehicle weight data'!$A$4:$C$9,2,0))</f>
        <v>1500</v>
      </c>
      <c r="V59">
        <f ca="1">IF(S59=-1,-1,VLOOKUP(R59,'Vehicle weight data'!$A$4:$C$9,3,0))</f>
        <v>3500</v>
      </c>
      <c r="W59">
        <f t="shared" ca="1" si="6"/>
        <v>2500</v>
      </c>
    </row>
    <row r="60" spans="1:23" x14ac:dyDescent="0.25">
      <c r="A60" t="s">
        <v>244</v>
      </c>
      <c r="B60" t="s">
        <v>237</v>
      </c>
      <c r="C60" t="s">
        <v>238</v>
      </c>
      <c r="D60" t="s">
        <v>257</v>
      </c>
      <c r="E60" t="s">
        <v>229</v>
      </c>
      <c r="F60">
        <v>1994</v>
      </c>
      <c r="G60">
        <v>2.1210000000000001E-4</v>
      </c>
      <c r="H60" t="s">
        <v>240</v>
      </c>
      <c r="I60" t="s">
        <v>241</v>
      </c>
      <c r="J60" t="s">
        <v>188</v>
      </c>
      <c r="K60" s="183">
        <f ca="1">VLOOKUP(F60,
    OFFSET(INDIRECT(ADDRESS(MATCH(J60,'Vehicle numbers'!$A$5:$A$162,0),1,1,1,$L$6)),4,1,COUNTIF('Vehicle numbers'!$A$5:$A$162,J60),4),
    MATCH(K$8,'Vehicle numbers'!$B$4:$D$4,0))*1000</f>
        <v>2137653</v>
      </c>
      <c r="L60" s="183">
        <f ca="1">VLOOKUP(F60,
    OFFSET(INDIRECT(ADDRESS(MATCH(J60,'Vehicle numbers'!$A$5:$A$162,0),1,1,1,$L$6)),4,1,COUNTIF('Vehicle numbers'!$A$5:$A$162,J60),4),
    MATCH(L$8,'Vehicle numbers'!$B$4:$D$4,0))*1000</f>
        <v>2198994.2011767244</v>
      </c>
      <c r="M60" s="184">
        <f>VLOOKUP(F60,'Annual distance covered (GB)'!$A$8:$H$33,MATCH(J60,'Annual distance covered (GB)'!$A$7:$H$7,0))</f>
        <v>43.3</v>
      </c>
      <c r="N60" s="2">
        <f t="shared" ca="1" si="2"/>
        <v>9447.4682345604997</v>
      </c>
      <c r="O60" s="180">
        <f t="shared" ca="1" si="3"/>
        <v>4.2962679162614325E-3</v>
      </c>
      <c r="P60" s="180"/>
      <c r="Q60" s="185">
        <f>Q59</f>
        <v>2002</v>
      </c>
      <c r="R60" s="187" t="s">
        <v>245</v>
      </c>
      <c r="S60" s="180">
        <f t="shared" si="7"/>
        <v>-1</v>
      </c>
      <c r="T60" s="180">
        <f t="shared" si="7"/>
        <v>-1</v>
      </c>
      <c r="U60">
        <f>IF(S60=-1,-1,VLOOKUP(R60,'Vehicle weight data'!$A$4:$C$9,2,0))</f>
        <v>-1</v>
      </c>
      <c r="V60">
        <f>IF(S60=-1,-1,VLOOKUP(R60,'Vehicle weight data'!$A$4:$C$9,3,0))</f>
        <v>-1</v>
      </c>
      <c r="W60">
        <f t="shared" si="6"/>
        <v>-1</v>
      </c>
    </row>
    <row r="61" spans="1:23" x14ac:dyDescent="0.25">
      <c r="A61" t="s">
        <v>246</v>
      </c>
      <c r="B61" t="s">
        <v>237</v>
      </c>
      <c r="C61" t="s">
        <v>238</v>
      </c>
      <c r="D61" t="s">
        <v>257</v>
      </c>
      <c r="E61" t="s">
        <v>229</v>
      </c>
      <c r="F61">
        <v>1994</v>
      </c>
      <c r="G61">
        <v>1.6967999999999999E-4</v>
      </c>
      <c r="H61" t="s">
        <v>240</v>
      </c>
      <c r="I61" t="s">
        <v>241</v>
      </c>
      <c r="J61" t="s">
        <v>188</v>
      </c>
      <c r="K61" s="183">
        <f ca="1">VLOOKUP(F61,
    OFFSET(INDIRECT(ADDRESS(MATCH(J61,'Vehicle numbers'!$A$5:$A$162,0),1,1,1,$L$6)),4,1,COUNTIF('Vehicle numbers'!$A$5:$A$162,J61),4),
    MATCH(K$8,'Vehicle numbers'!$B$4:$D$4,0))*1000</f>
        <v>2137653</v>
      </c>
      <c r="L61" s="183">
        <f ca="1">VLOOKUP(F61,
    OFFSET(INDIRECT(ADDRESS(MATCH(J61,'Vehicle numbers'!$A$5:$A$162,0),1,1,1,$L$6)),4,1,COUNTIF('Vehicle numbers'!$A$5:$A$162,J61),4),
    MATCH(L$8,'Vehicle numbers'!$B$4:$D$4,0))*1000</f>
        <v>2198994.2011767244</v>
      </c>
      <c r="M61" s="184">
        <f>VLOOKUP(F61,'Annual distance covered (GB)'!$A$8:$H$33,MATCH(J61,'Annual distance covered (GB)'!$A$7:$H$7,0))</f>
        <v>43.3</v>
      </c>
      <c r="N61" s="2">
        <f t="shared" ca="1" si="2"/>
        <v>7557.9745876483985</v>
      </c>
      <c r="O61" s="180">
        <f t="shared" ca="1" si="3"/>
        <v>3.4370143330091458E-3</v>
      </c>
      <c r="P61" s="180"/>
      <c r="Q61" s="185">
        <f>Q60</f>
        <v>2002</v>
      </c>
      <c r="R61" s="188" t="s">
        <v>247</v>
      </c>
      <c r="S61" s="180">
        <f t="shared" si="7"/>
        <v>-1</v>
      </c>
      <c r="T61" s="180">
        <f t="shared" si="7"/>
        <v>-1</v>
      </c>
      <c r="U61">
        <f>IF(S61=-1,-1,VLOOKUP(R61,'Vehicle weight data'!$A$4:$C$9,2,0))</f>
        <v>-1</v>
      </c>
      <c r="V61">
        <f>IF(S61=-1,-1,VLOOKUP(R61,'Vehicle weight data'!$A$4:$C$9,3,0))</f>
        <v>-1</v>
      </c>
      <c r="W61">
        <f t="shared" si="6"/>
        <v>-1</v>
      </c>
    </row>
    <row r="62" spans="1:23" x14ac:dyDescent="0.25">
      <c r="A62" t="s">
        <v>236</v>
      </c>
      <c r="B62" t="s">
        <v>237</v>
      </c>
      <c r="C62" t="s">
        <v>238</v>
      </c>
      <c r="D62" t="s">
        <v>257</v>
      </c>
      <c r="E62" t="s">
        <v>228</v>
      </c>
      <c r="F62">
        <v>1994</v>
      </c>
      <c r="G62">
        <v>9.1459999999999996E-3</v>
      </c>
      <c r="H62" t="s">
        <v>240</v>
      </c>
      <c r="I62" t="s">
        <v>241</v>
      </c>
      <c r="J62" t="s">
        <v>188</v>
      </c>
      <c r="K62" s="183">
        <f ca="1">VLOOKUP(F62,
    OFFSET(INDIRECT(ADDRESS(MATCH(J62,'Vehicle numbers'!$A$5:$A$162,0),1,1,1,$L$6)),4,1,COUNTIF('Vehicle numbers'!$A$5:$A$162,J62),4),
    MATCH(K$8,'Vehicle numbers'!$B$4:$D$4,0))*1000</f>
        <v>2137653</v>
      </c>
      <c r="L62" s="183">
        <f ca="1">VLOOKUP(F62,
    OFFSET(INDIRECT(ADDRESS(MATCH(J62,'Vehicle numbers'!$A$5:$A$162,0),1,1,1,$L$6)),4,1,COUNTIF('Vehicle numbers'!$A$5:$A$162,J62),4),
    MATCH(L$8,'Vehicle numbers'!$B$4:$D$4,0))*1000</f>
        <v>2198994.2011767244</v>
      </c>
      <c r="M62" s="184">
        <f>VLOOKUP(F62,'Annual distance covered (GB)'!$A$8:$H$33,MATCH(J62,'Annual distance covered (GB)'!$A$7:$H$7,0))</f>
        <v>43.3</v>
      </c>
      <c r="N62" s="2">
        <f t="shared" ca="1" si="2"/>
        <v>407385.87681890768</v>
      </c>
      <c r="O62" s="180">
        <f t="shared" ca="1" si="3"/>
        <v>0.18526009600248497</v>
      </c>
      <c r="P62" s="180"/>
      <c r="Q62" s="185">
        <f>Q61</f>
        <v>2002</v>
      </c>
      <c r="R62" s="186" t="s">
        <v>3</v>
      </c>
      <c r="S62" s="180">
        <f t="shared" ca="1" si="7"/>
        <v>0.14637783148383859</v>
      </c>
      <c r="T62" s="180">
        <f t="shared" ca="1" si="7"/>
        <v>0.15477775223313162</v>
      </c>
      <c r="U62">
        <f ca="1">IF(S62=-1,-1,VLOOKUP(R62,'Vehicle weight data'!$A$4:$C$9,2,0))</f>
        <v>100</v>
      </c>
      <c r="V62">
        <f ca="1">IF(S62=-1,-1,VLOOKUP(R62,'Vehicle weight data'!$A$4:$C$9,3,0))</f>
        <v>200</v>
      </c>
      <c r="W62">
        <f t="shared" ca="1" si="6"/>
        <v>150</v>
      </c>
    </row>
    <row r="63" spans="1:23" x14ac:dyDescent="0.25">
      <c r="A63" t="s">
        <v>243</v>
      </c>
      <c r="B63" t="s">
        <v>237</v>
      </c>
      <c r="C63" t="s">
        <v>238</v>
      </c>
      <c r="D63" t="s">
        <v>257</v>
      </c>
      <c r="E63" t="s">
        <v>228</v>
      </c>
      <c r="F63">
        <v>1994</v>
      </c>
      <c r="G63">
        <v>6.4022000000000003E-3</v>
      </c>
      <c r="H63" t="s">
        <v>240</v>
      </c>
      <c r="I63" t="s">
        <v>241</v>
      </c>
      <c r="J63" t="s">
        <v>188</v>
      </c>
      <c r="K63" s="183">
        <f ca="1">VLOOKUP(F63,
    OFFSET(INDIRECT(ADDRESS(MATCH(J63,'Vehicle numbers'!$A$5:$A$162,0),1,1,1,$L$6)),4,1,COUNTIF('Vehicle numbers'!$A$5:$A$162,J63),4),
    MATCH(K$8,'Vehicle numbers'!$B$4:$D$4,0))*1000</f>
        <v>2137653</v>
      </c>
      <c r="L63" s="183">
        <f ca="1">VLOOKUP(F63,
    OFFSET(INDIRECT(ADDRESS(MATCH(J63,'Vehicle numbers'!$A$5:$A$162,0),1,1,1,$L$6)),4,1,COUNTIF('Vehicle numbers'!$A$5:$A$162,J63),4),
    MATCH(L$8,'Vehicle numbers'!$B$4:$D$4,0))*1000</f>
        <v>2198994.2011767244</v>
      </c>
      <c r="M63" s="184">
        <f>VLOOKUP(F63,'Annual distance covered (GB)'!$A$8:$H$33,MATCH(J63,'Annual distance covered (GB)'!$A$7:$H$7,0))</f>
        <v>43.3</v>
      </c>
      <c r="N63" s="2">
        <f t="shared" ca="1" si="2"/>
        <v>285170.11377323541</v>
      </c>
      <c r="O63" s="180">
        <f t="shared" ca="1" si="3"/>
        <v>0.1296820672017395</v>
      </c>
      <c r="P63" s="180"/>
      <c r="Q63" s="185">
        <f>Q62</f>
        <v>2002</v>
      </c>
      <c r="R63" s="186" t="s">
        <v>41</v>
      </c>
      <c r="S63" s="180">
        <f t="shared" ca="1" si="7"/>
        <v>2.9479233664349191</v>
      </c>
      <c r="T63" s="180">
        <f t="shared" ca="1" si="7"/>
        <v>4.2353761633351441</v>
      </c>
      <c r="U63">
        <f ca="1">IF(S63=-1,-1,VLOOKUP(R63,'Vehicle weight data'!$A$4:$C$9,2,0))</f>
        <v>3500</v>
      </c>
      <c r="V63">
        <f ca="1">IF(S63=-1,-1,VLOOKUP(R63,'Vehicle weight data'!$A$4:$C$9,3,0))</f>
        <v>24000</v>
      </c>
      <c r="W63">
        <f t="shared" ca="1" si="6"/>
        <v>13750</v>
      </c>
    </row>
    <row r="64" spans="1:23" x14ac:dyDescent="0.25">
      <c r="A64" t="s">
        <v>244</v>
      </c>
      <c r="B64" t="s">
        <v>237</v>
      </c>
      <c r="C64" t="s">
        <v>238</v>
      </c>
      <c r="D64" t="s">
        <v>257</v>
      </c>
      <c r="E64" t="s">
        <v>228</v>
      </c>
      <c r="F64">
        <v>1994</v>
      </c>
      <c r="G64">
        <v>9.0171830985915399E-4</v>
      </c>
      <c r="H64" t="s">
        <v>240</v>
      </c>
      <c r="I64" t="s">
        <v>241</v>
      </c>
      <c r="J64" t="s">
        <v>188</v>
      </c>
      <c r="K64" s="183">
        <f ca="1">VLOOKUP(F64,
    OFFSET(INDIRECT(ADDRESS(MATCH(J64,'Vehicle numbers'!$A$5:$A$162,0),1,1,1,$L$6)),4,1,COUNTIF('Vehicle numbers'!$A$5:$A$162,J64),4),
    MATCH(K$8,'Vehicle numbers'!$B$4:$D$4,0))*1000</f>
        <v>2137653</v>
      </c>
      <c r="L64" s="183">
        <f ca="1">VLOOKUP(F64,
    OFFSET(INDIRECT(ADDRESS(MATCH(J64,'Vehicle numbers'!$A$5:$A$162,0),1,1,1,$L$6)),4,1,COUNTIF('Vehicle numbers'!$A$5:$A$162,J64),4),
    MATCH(L$8,'Vehicle numbers'!$B$4:$D$4,0))*1000</f>
        <v>2198994.2011767244</v>
      </c>
      <c r="M64" s="184">
        <f>VLOOKUP(F64,'Annual distance covered (GB)'!$A$8:$H$33,MATCH(J64,'Annual distance covered (GB)'!$A$7:$H$7,0))</f>
        <v>43.3</v>
      </c>
      <c r="N64" s="2">
        <f t="shared" ca="1" si="2"/>
        <v>40164.804756793666</v>
      </c>
      <c r="O64" s="180">
        <f t="shared" ca="1" si="3"/>
        <v>1.8265079887568918E-2</v>
      </c>
      <c r="P64" s="180"/>
      <c r="Q64" s="185">
        <f>Q63+1</f>
        <v>2003</v>
      </c>
      <c r="R64" s="186" t="s">
        <v>2</v>
      </c>
      <c r="S64" s="180">
        <f t="shared" ca="1" si="7"/>
        <v>0.59614515447612559</v>
      </c>
      <c r="T64" s="180">
        <f t="shared" ca="1" si="7"/>
        <v>0.43701961262926681</v>
      </c>
      <c r="U64">
        <f ca="1">IF(S64=-1,-1,VLOOKUP(R64,'Vehicle weight data'!$A$4:$C$9,2,0))</f>
        <v>1000</v>
      </c>
      <c r="V64">
        <f ca="1">IF(S64=-1,-1,VLOOKUP(R64,'Vehicle weight data'!$A$4:$C$9,3,0))</f>
        <v>2000</v>
      </c>
      <c r="W64">
        <f t="shared" ca="1" si="6"/>
        <v>1500</v>
      </c>
    </row>
    <row r="65" spans="1:23" x14ac:dyDescent="0.25">
      <c r="A65" t="s">
        <v>246</v>
      </c>
      <c r="B65" t="s">
        <v>237</v>
      </c>
      <c r="C65" t="s">
        <v>238</v>
      </c>
      <c r="D65" t="s">
        <v>257</v>
      </c>
      <c r="E65" t="s">
        <v>228</v>
      </c>
      <c r="F65">
        <v>1994</v>
      </c>
      <c r="G65">
        <v>7.21374647887323E-4</v>
      </c>
      <c r="H65" t="s">
        <v>240</v>
      </c>
      <c r="I65" t="s">
        <v>241</v>
      </c>
      <c r="J65" t="s">
        <v>188</v>
      </c>
      <c r="K65" s="183">
        <f ca="1">VLOOKUP(F65,
    OFFSET(INDIRECT(ADDRESS(MATCH(J65,'Vehicle numbers'!$A$5:$A$162,0),1,1,1,$L$6)),4,1,COUNTIF('Vehicle numbers'!$A$5:$A$162,J65),4),
    MATCH(K$8,'Vehicle numbers'!$B$4:$D$4,0))*1000</f>
        <v>2137653</v>
      </c>
      <c r="L65" s="183">
        <f ca="1">VLOOKUP(F65,
    OFFSET(INDIRECT(ADDRESS(MATCH(J65,'Vehicle numbers'!$A$5:$A$162,0),1,1,1,$L$6)),4,1,COUNTIF('Vehicle numbers'!$A$5:$A$162,J65),4),
    MATCH(L$8,'Vehicle numbers'!$B$4:$D$4,0))*1000</f>
        <v>2198994.2011767244</v>
      </c>
      <c r="M65" s="184">
        <f>VLOOKUP(F65,'Annual distance covered (GB)'!$A$8:$H$33,MATCH(J65,'Annual distance covered (GB)'!$A$7:$H$7,0))</f>
        <v>43.3</v>
      </c>
      <c r="N65" s="2">
        <f t="shared" ca="1" si="2"/>
        <v>32131.843805434932</v>
      </c>
      <c r="O65" s="180">
        <f t="shared" ca="1" si="3"/>
        <v>1.4612063910055133E-2</v>
      </c>
      <c r="P65" s="180"/>
      <c r="Q65" s="185">
        <f>Q64</f>
        <v>2003</v>
      </c>
      <c r="R65" s="186" t="s">
        <v>188</v>
      </c>
      <c r="S65" s="180">
        <f t="shared" ca="1" si="7"/>
        <v>1.3685126149106905</v>
      </c>
      <c r="T65" s="180">
        <f t="shared" ca="1" si="7"/>
        <v>0.99008965013176109</v>
      </c>
      <c r="U65">
        <f ca="1">IF(S65=-1,-1,VLOOKUP(R65,'Vehicle weight data'!$A$4:$C$9,2,0))</f>
        <v>1500</v>
      </c>
      <c r="V65">
        <f ca="1">IF(S65=-1,-1,VLOOKUP(R65,'Vehicle weight data'!$A$4:$C$9,3,0))</f>
        <v>3500</v>
      </c>
      <c r="W65">
        <f t="shared" ca="1" si="6"/>
        <v>2500</v>
      </c>
    </row>
    <row r="66" spans="1:23" x14ac:dyDescent="0.25">
      <c r="A66" t="s">
        <v>236</v>
      </c>
      <c r="B66" t="s">
        <v>237</v>
      </c>
      <c r="C66" t="s">
        <v>238</v>
      </c>
      <c r="D66" t="s">
        <v>258</v>
      </c>
      <c r="E66" t="s">
        <v>229</v>
      </c>
      <c r="F66">
        <v>1994</v>
      </c>
      <c r="G66">
        <v>8.6220000000000099E-3</v>
      </c>
      <c r="H66" t="s">
        <v>240</v>
      </c>
      <c r="I66" t="s">
        <v>241</v>
      </c>
      <c r="J66" t="s">
        <v>188</v>
      </c>
      <c r="K66" s="183">
        <f ca="1">VLOOKUP(F66,
    OFFSET(INDIRECT(ADDRESS(MATCH(J66,'Vehicle numbers'!$A$5:$A$162,0),1,1,1,$L$6)),4,1,COUNTIF('Vehicle numbers'!$A$5:$A$162,J66),4),
    MATCH(K$8,'Vehicle numbers'!$B$4:$D$4,0))*1000</f>
        <v>2137653</v>
      </c>
      <c r="L66" s="183">
        <f ca="1">VLOOKUP(F66,
    OFFSET(INDIRECT(ADDRESS(MATCH(J66,'Vehicle numbers'!$A$5:$A$162,0),1,1,1,$L$6)),4,1,COUNTIF('Vehicle numbers'!$A$5:$A$162,J66),4),
    MATCH(L$8,'Vehicle numbers'!$B$4:$D$4,0))*1000</f>
        <v>2198994.2011767244</v>
      </c>
      <c r="M66" s="184">
        <f>VLOOKUP(F66,'Annual distance covered (GB)'!$A$8:$H$33,MATCH(J66,'Annual distance covered (GB)'!$A$7:$H$7,0))</f>
        <v>43.3</v>
      </c>
      <c r="N66" s="2">
        <f t="shared" ca="1" si="2"/>
        <v>384045.59697492083</v>
      </c>
      <c r="O66" s="180">
        <f t="shared" ca="1" si="3"/>
        <v>0.17464602533713394</v>
      </c>
      <c r="P66" s="180"/>
      <c r="Q66" s="185">
        <f>Q65</f>
        <v>2003</v>
      </c>
      <c r="R66" s="187" t="s">
        <v>245</v>
      </c>
      <c r="S66" s="180">
        <f t="shared" si="7"/>
        <v>-1</v>
      </c>
      <c r="T66" s="180">
        <f t="shared" si="7"/>
        <v>-1</v>
      </c>
      <c r="U66">
        <f>IF(S66=-1,-1,VLOOKUP(R66,'Vehicle weight data'!$A$4:$C$9,2,0))</f>
        <v>-1</v>
      </c>
      <c r="V66">
        <f>IF(S66=-1,-1,VLOOKUP(R66,'Vehicle weight data'!$A$4:$C$9,3,0))</f>
        <v>-1</v>
      </c>
      <c r="W66">
        <f t="shared" si="6"/>
        <v>-1</v>
      </c>
    </row>
    <row r="67" spans="1:23" x14ac:dyDescent="0.25">
      <c r="A67" t="s">
        <v>243</v>
      </c>
      <c r="B67" t="s">
        <v>237</v>
      </c>
      <c r="C67" t="s">
        <v>238</v>
      </c>
      <c r="D67" t="s">
        <v>258</v>
      </c>
      <c r="E67" t="s">
        <v>229</v>
      </c>
      <c r="F67">
        <v>1994</v>
      </c>
      <c r="G67">
        <v>3.4488000000000001E-3</v>
      </c>
      <c r="H67" t="s">
        <v>240</v>
      </c>
      <c r="I67" t="s">
        <v>241</v>
      </c>
      <c r="J67" t="s">
        <v>188</v>
      </c>
      <c r="K67" s="183">
        <f ca="1">VLOOKUP(F67,
    OFFSET(INDIRECT(ADDRESS(MATCH(J67,'Vehicle numbers'!$A$5:$A$162,0),1,1,1,$L$6)),4,1,COUNTIF('Vehicle numbers'!$A$5:$A$162,J67),4),
    MATCH(K$8,'Vehicle numbers'!$B$4:$D$4,0))*1000</f>
        <v>2137653</v>
      </c>
      <c r="L67" s="183">
        <f ca="1">VLOOKUP(F67,
    OFFSET(INDIRECT(ADDRESS(MATCH(J67,'Vehicle numbers'!$A$5:$A$162,0),1,1,1,$L$6)),4,1,COUNTIF('Vehicle numbers'!$A$5:$A$162,J67),4),
    MATCH(L$8,'Vehicle numbers'!$B$4:$D$4,0))*1000</f>
        <v>2198994.2011767244</v>
      </c>
      <c r="M67" s="184">
        <f>VLOOKUP(F67,'Annual distance covered (GB)'!$A$8:$H$33,MATCH(J67,'Annual distance covered (GB)'!$A$7:$H$7,0))</f>
        <v>43.3</v>
      </c>
      <c r="N67" s="2">
        <f t="shared" ca="1" si="2"/>
        <v>153618.23878996816</v>
      </c>
      <c r="O67" s="180">
        <f t="shared" ca="1" si="3"/>
        <v>6.9858410134853499E-2</v>
      </c>
      <c r="P67" s="180"/>
      <c r="Q67" s="185">
        <f>Q66</f>
        <v>2003</v>
      </c>
      <c r="R67" s="188" t="s">
        <v>247</v>
      </c>
      <c r="S67" s="180">
        <f t="shared" si="7"/>
        <v>-1</v>
      </c>
      <c r="T67" s="180">
        <f t="shared" si="7"/>
        <v>-1</v>
      </c>
      <c r="U67">
        <f>IF(S67=-1,-1,VLOOKUP(R67,'Vehicle weight data'!$A$4:$C$9,2,0))</f>
        <v>-1</v>
      </c>
      <c r="V67">
        <f>IF(S67=-1,-1,VLOOKUP(R67,'Vehicle weight data'!$A$4:$C$9,3,0))</f>
        <v>-1</v>
      </c>
      <c r="W67">
        <f t="shared" si="6"/>
        <v>-1</v>
      </c>
    </row>
    <row r="68" spans="1:23" x14ac:dyDescent="0.25">
      <c r="A68" t="s">
        <v>244</v>
      </c>
      <c r="B68" t="s">
        <v>237</v>
      </c>
      <c r="C68" t="s">
        <v>238</v>
      </c>
      <c r="D68" t="s">
        <v>258</v>
      </c>
      <c r="E68" t="s">
        <v>229</v>
      </c>
      <c r="F68">
        <v>1994</v>
      </c>
      <c r="G68">
        <v>8.6220000000000003E-4</v>
      </c>
      <c r="H68" t="s">
        <v>240</v>
      </c>
      <c r="I68" t="s">
        <v>241</v>
      </c>
      <c r="J68" t="s">
        <v>188</v>
      </c>
      <c r="K68" s="183">
        <f ca="1">VLOOKUP(F68,
    OFFSET(INDIRECT(ADDRESS(MATCH(J68,'Vehicle numbers'!$A$5:$A$162,0),1,1,1,$L$6)),4,1,COUNTIF('Vehicle numbers'!$A$5:$A$162,J68),4),
    MATCH(K$8,'Vehicle numbers'!$B$4:$D$4,0))*1000</f>
        <v>2137653</v>
      </c>
      <c r="L68" s="183">
        <f ca="1">VLOOKUP(F68,
    OFFSET(INDIRECT(ADDRESS(MATCH(J68,'Vehicle numbers'!$A$5:$A$162,0),1,1,1,$L$6)),4,1,COUNTIF('Vehicle numbers'!$A$5:$A$162,J68),4),
    MATCH(L$8,'Vehicle numbers'!$B$4:$D$4,0))*1000</f>
        <v>2198994.2011767244</v>
      </c>
      <c r="M68" s="184">
        <f>VLOOKUP(F68,'Annual distance covered (GB)'!$A$8:$H$33,MATCH(J68,'Annual distance covered (GB)'!$A$7:$H$7,0))</f>
        <v>43.3</v>
      </c>
      <c r="N68" s="2">
        <f t="shared" ca="1" si="2"/>
        <v>38404.559697492041</v>
      </c>
      <c r="O68" s="180">
        <f t="shared" ca="1" si="3"/>
        <v>1.7464602533713375E-2</v>
      </c>
      <c r="P68" s="180"/>
      <c r="Q68" s="185">
        <f>Q67</f>
        <v>2003</v>
      </c>
      <c r="R68" s="186" t="s">
        <v>3</v>
      </c>
      <c r="S68" s="180">
        <f t="shared" ca="1" si="7"/>
        <v>0.15460084851967332</v>
      </c>
      <c r="T68" s="180">
        <f t="shared" ca="1" si="7"/>
        <v>0.16347264872448841</v>
      </c>
      <c r="U68">
        <f ca="1">IF(S68=-1,-1,VLOOKUP(R68,'Vehicle weight data'!$A$4:$C$9,2,0))</f>
        <v>100</v>
      </c>
      <c r="V68">
        <f ca="1">IF(S68=-1,-1,VLOOKUP(R68,'Vehicle weight data'!$A$4:$C$9,3,0))</f>
        <v>200</v>
      </c>
      <c r="W68">
        <f t="shared" ca="1" si="6"/>
        <v>150</v>
      </c>
    </row>
    <row r="69" spans="1:23" x14ac:dyDescent="0.25">
      <c r="A69" t="s">
        <v>246</v>
      </c>
      <c r="B69" t="s">
        <v>237</v>
      </c>
      <c r="C69" t="s">
        <v>238</v>
      </c>
      <c r="D69" t="s">
        <v>258</v>
      </c>
      <c r="E69" t="s">
        <v>229</v>
      </c>
      <c r="F69">
        <v>1994</v>
      </c>
      <c r="G69">
        <v>6.8975999999999998E-4</v>
      </c>
      <c r="H69" t="s">
        <v>240</v>
      </c>
      <c r="I69" t="s">
        <v>241</v>
      </c>
      <c r="J69" t="s">
        <v>188</v>
      </c>
      <c r="K69" s="183">
        <f ca="1">VLOOKUP(F69,
    OFFSET(INDIRECT(ADDRESS(MATCH(J69,'Vehicle numbers'!$A$5:$A$162,0),1,1,1,$L$6)),4,1,COUNTIF('Vehicle numbers'!$A$5:$A$162,J69),4),
    MATCH(K$8,'Vehicle numbers'!$B$4:$D$4,0))*1000</f>
        <v>2137653</v>
      </c>
      <c r="L69" s="183">
        <f ca="1">VLOOKUP(F69,
    OFFSET(INDIRECT(ADDRESS(MATCH(J69,'Vehicle numbers'!$A$5:$A$162,0),1,1,1,$L$6)),4,1,COUNTIF('Vehicle numbers'!$A$5:$A$162,J69),4),
    MATCH(L$8,'Vehicle numbers'!$B$4:$D$4,0))*1000</f>
        <v>2198994.2011767244</v>
      </c>
      <c r="M69" s="184">
        <f>VLOOKUP(F69,'Annual distance covered (GB)'!$A$8:$H$33,MATCH(J69,'Annual distance covered (GB)'!$A$7:$H$7,0))</f>
        <v>43.3</v>
      </c>
      <c r="N69" s="2">
        <f t="shared" ca="1" si="2"/>
        <v>30723.647757993629</v>
      </c>
      <c r="O69" s="180">
        <f t="shared" ca="1" si="3"/>
        <v>1.3971682026970699E-2</v>
      </c>
      <c r="P69" s="180"/>
      <c r="Q69" s="185">
        <f>Q68</f>
        <v>2003</v>
      </c>
      <c r="R69" s="186" t="s">
        <v>41</v>
      </c>
      <c r="S69" s="180">
        <f t="shared" ca="1" si="7"/>
        <v>2.9753611302471574</v>
      </c>
      <c r="T69" s="180">
        <f t="shared" ca="1" si="7"/>
        <v>4.2748907842991359</v>
      </c>
      <c r="U69">
        <f ca="1">IF(S69=-1,-1,VLOOKUP(R69,'Vehicle weight data'!$A$4:$C$9,2,0))</f>
        <v>3500</v>
      </c>
      <c r="V69">
        <f ca="1">IF(S69=-1,-1,VLOOKUP(R69,'Vehicle weight data'!$A$4:$C$9,3,0))</f>
        <v>24000</v>
      </c>
      <c r="W69">
        <f t="shared" ca="1" si="6"/>
        <v>13750</v>
      </c>
    </row>
    <row r="70" spans="1:23" x14ac:dyDescent="0.25">
      <c r="A70" t="s">
        <v>236</v>
      </c>
      <c r="B70" t="s">
        <v>237</v>
      </c>
      <c r="C70" t="s">
        <v>238</v>
      </c>
      <c r="D70" t="s">
        <v>258</v>
      </c>
      <c r="E70" t="s">
        <v>228</v>
      </c>
      <c r="F70">
        <v>1994</v>
      </c>
      <c r="G70">
        <v>1.0741000000000001E-2</v>
      </c>
      <c r="H70" t="s">
        <v>240</v>
      </c>
      <c r="I70" t="s">
        <v>241</v>
      </c>
      <c r="J70" t="s">
        <v>188</v>
      </c>
      <c r="K70" s="183">
        <f ca="1">VLOOKUP(F70,
    OFFSET(INDIRECT(ADDRESS(MATCH(J70,'Vehicle numbers'!$A$5:$A$162,0),1,1,1,$L$6)),4,1,COUNTIF('Vehicle numbers'!$A$5:$A$162,J70),4),
    MATCH(K$8,'Vehicle numbers'!$B$4:$D$4,0))*1000</f>
        <v>2137653</v>
      </c>
      <c r="L70" s="183">
        <f ca="1">VLOOKUP(F70,
    OFFSET(INDIRECT(ADDRESS(MATCH(J70,'Vehicle numbers'!$A$5:$A$162,0),1,1,1,$L$6)),4,1,COUNTIF('Vehicle numbers'!$A$5:$A$162,J70),4),
    MATCH(L$8,'Vehicle numbers'!$B$4:$D$4,0))*1000</f>
        <v>2198994.2011767244</v>
      </c>
      <c r="M70" s="184">
        <f>VLOOKUP(F70,'Annual distance covered (GB)'!$A$8:$H$33,MATCH(J70,'Annual distance covered (GB)'!$A$7:$H$7,0))</f>
        <v>43.3</v>
      </c>
      <c r="N70" s="2">
        <f t="shared" ca="1" si="2"/>
        <v>478431.19428295293</v>
      </c>
      <c r="O70" s="180">
        <f t="shared" ca="1" si="3"/>
        <v>0.21756819277965131</v>
      </c>
      <c r="P70" s="180"/>
      <c r="Q70" s="185">
        <f>Q69+1</f>
        <v>2004</v>
      </c>
      <c r="R70" s="186" t="s">
        <v>2</v>
      </c>
      <c r="S70" s="180">
        <f t="shared" ref="S70:T89" ca="1" si="8">IF(SUMIFS($O$10:$O$3241,$F$10:$F$3241,$Q70,$J$10:$J$3241,$R70,$E$10:$E$3241,S$8)=0,-1,SUMIFS($O$10:$O$3241,$F$10:$F$3241,$Q70,$J$10:$J$3241,$R70,$E$10:$E$3241,S$8))</f>
        <v>0.58500602691059234</v>
      </c>
      <c r="T70" s="180">
        <f t="shared" ca="1" si="8"/>
        <v>0.42885440378432671</v>
      </c>
      <c r="U70">
        <f ca="1">IF(S70=-1,-1,VLOOKUP(R70,'Vehicle weight data'!$A$4:$C$9,2,0))</f>
        <v>1000</v>
      </c>
      <c r="V70">
        <f ca="1">IF(S70=-1,-1,VLOOKUP(R70,'Vehicle weight data'!$A$4:$C$9,3,0))</f>
        <v>2000</v>
      </c>
      <c r="W70">
        <f t="shared" ca="1" si="6"/>
        <v>1500</v>
      </c>
    </row>
    <row r="71" spans="1:23" x14ac:dyDescent="0.25">
      <c r="A71" t="s">
        <v>243</v>
      </c>
      <c r="B71" t="s">
        <v>237</v>
      </c>
      <c r="C71" t="s">
        <v>238</v>
      </c>
      <c r="D71" t="s">
        <v>258</v>
      </c>
      <c r="E71" t="s">
        <v>228</v>
      </c>
      <c r="F71">
        <v>1994</v>
      </c>
      <c r="G71">
        <v>7.5186999999999997E-3</v>
      </c>
      <c r="H71" t="s">
        <v>240</v>
      </c>
      <c r="I71" t="s">
        <v>241</v>
      </c>
      <c r="J71" t="s">
        <v>188</v>
      </c>
      <c r="K71" s="183">
        <f ca="1">VLOOKUP(F71,
    OFFSET(INDIRECT(ADDRESS(MATCH(J71,'Vehicle numbers'!$A$5:$A$162,0),1,1,1,$L$6)),4,1,COUNTIF('Vehicle numbers'!$A$5:$A$162,J71),4),
    MATCH(K$8,'Vehicle numbers'!$B$4:$D$4,0))*1000</f>
        <v>2137653</v>
      </c>
      <c r="L71" s="183">
        <f ca="1">VLOOKUP(F71,
    OFFSET(INDIRECT(ADDRESS(MATCH(J71,'Vehicle numbers'!$A$5:$A$162,0),1,1,1,$L$6)),4,1,COUNTIF('Vehicle numbers'!$A$5:$A$162,J71),4),
    MATCH(L$8,'Vehicle numbers'!$B$4:$D$4,0))*1000</f>
        <v>2198994.2011767244</v>
      </c>
      <c r="M71" s="184">
        <f>VLOOKUP(F71,'Annual distance covered (GB)'!$A$8:$H$33,MATCH(J71,'Annual distance covered (GB)'!$A$7:$H$7,0))</f>
        <v>43.3</v>
      </c>
      <c r="N71" s="2">
        <f t="shared" ca="1" si="2"/>
        <v>334901.83599806699</v>
      </c>
      <c r="O71" s="180">
        <f t="shared" ca="1" si="3"/>
        <v>0.15229773494575591</v>
      </c>
      <c r="P71" s="180"/>
      <c r="Q71" s="185">
        <f>Q70</f>
        <v>2004</v>
      </c>
      <c r="R71" s="186" t="s">
        <v>188</v>
      </c>
      <c r="S71" s="180">
        <f t="shared" ca="1" si="8"/>
        <v>1.3490613293143026</v>
      </c>
      <c r="T71" s="180">
        <f t="shared" ca="1" si="8"/>
        <v>0.97601706041581038</v>
      </c>
      <c r="U71">
        <f ca="1">IF(S71=-1,-1,VLOOKUP(R71,'Vehicle weight data'!$A$4:$C$9,2,0))</f>
        <v>1500</v>
      </c>
      <c r="V71">
        <f ca="1">IF(S71=-1,-1,VLOOKUP(R71,'Vehicle weight data'!$A$4:$C$9,3,0))</f>
        <v>3500</v>
      </c>
      <c r="W71">
        <f t="shared" ca="1" si="6"/>
        <v>2500</v>
      </c>
    </row>
    <row r="72" spans="1:23" x14ac:dyDescent="0.25">
      <c r="A72" t="s">
        <v>244</v>
      </c>
      <c r="B72" t="s">
        <v>237</v>
      </c>
      <c r="C72" t="s">
        <v>238</v>
      </c>
      <c r="D72" t="s">
        <v>258</v>
      </c>
      <c r="E72" t="s">
        <v>228</v>
      </c>
      <c r="F72">
        <v>1994</v>
      </c>
      <c r="G72">
        <v>1.05897183098591E-3</v>
      </c>
      <c r="H72" t="s">
        <v>240</v>
      </c>
      <c r="I72" t="s">
        <v>241</v>
      </c>
      <c r="J72" t="s">
        <v>188</v>
      </c>
      <c r="K72" s="183">
        <f ca="1">VLOOKUP(F72,
    OFFSET(INDIRECT(ADDRESS(MATCH(J72,'Vehicle numbers'!$A$5:$A$162,0),1,1,1,$L$6)),4,1,COUNTIF('Vehicle numbers'!$A$5:$A$162,J72),4),
    MATCH(K$8,'Vehicle numbers'!$B$4:$D$4,0))*1000</f>
        <v>2137653</v>
      </c>
      <c r="L72" s="183">
        <f ca="1">VLOOKUP(F72,
    OFFSET(INDIRECT(ADDRESS(MATCH(J72,'Vehicle numbers'!$A$5:$A$162,0),1,1,1,$L$6)),4,1,COUNTIF('Vehicle numbers'!$A$5:$A$162,J72),4),
    MATCH(L$8,'Vehicle numbers'!$B$4:$D$4,0))*1000</f>
        <v>2198994.2011767244</v>
      </c>
      <c r="M72" s="184">
        <f>VLOOKUP(F72,'Annual distance covered (GB)'!$A$8:$H$33,MATCH(J72,'Annual distance covered (GB)'!$A$7:$H$7,0))</f>
        <v>43.3</v>
      </c>
      <c r="N72" s="2">
        <f t="shared" ca="1" si="2"/>
        <v>47169.272675783846</v>
      </c>
      <c r="O72" s="180">
        <f t="shared" ca="1" si="3"/>
        <v>2.1450385203627482E-2</v>
      </c>
      <c r="P72" s="180"/>
      <c r="Q72" s="185">
        <f>Q71</f>
        <v>2004</v>
      </c>
      <c r="R72" s="187" t="s">
        <v>245</v>
      </c>
      <c r="S72" s="180">
        <f t="shared" si="8"/>
        <v>-1</v>
      </c>
      <c r="T72" s="180">
        <f t="shared" si="8"/>
        <v>-1</v>
      </c>
      <c r="U72">
        <f>IF(S72=-1,-1,VLOOKUP(R72,'Vehicle weight data'!$A$4:$C$9,2,0))</f>
        <v>-1</v>
      </c>
      <c r="V72">
        <f>IF(S72=-1,-1,VLOOKUP(R72,'Vehicle weight data'!$A$4:$C$9,3,0))</f>
        <v>-1</v>
      </c>
      <c r="W72">
        <f t="shared" si="6"/>
        <v>-1</v>
      </c>
    </row>
    <row r="73" spans="1:23" x14ac:dyDescent="0.25">
      <c r="A73" t="s">
        <v>246</v>
      </c>
      <c r="B73" t="s">
        <v>237</v>
      </c>
      <c r="C73" t="s">
        <v>238</v>
      </c>
      <c r="D73" t="s">
        <v>258</v>
      </c>
      <c r="E73" t="s">
        <v>228</v>
      </c>
      <c r="F73">
        <v>1994</v>
      </c>
      <c r="G73">
        <v>8.47177464788731E-4</v>
      </c>
      <c r="H73" t="s">
        <v>240</v>
      </c>
      <c r="I73" t="s">
        <v>241</v>
      </c>
      <c r="J73" t="s">
        <v>188</v>
      </c>
      <c r="K73" s="183">
        <f ca="1">VLOOKUP(F73,
    OFFSET(INDIRECT(ADDRESS(MATCH(J73,'Vehicle numbers'!$A$5:$A$162,0),1,1,1,$L$6)),4,1,COUNTIF('Vehicle numbers'!$A$5:$A$162,J73),4),
    MATCH(K$8,'Vehicle numbers'!$B$4:$D$4,0))*1000</f>
        <v>2137653</v>
      </c>
      <c r="L73" s="183">
        <f ca="1">VLOOKUP(F73,
    OFFSET(INDIRECT(ADDRESS(MATCH(J73,'Vehicle numbers'!$A$5:$A$162,0),1,1,1,$L$6)),4,1,COUNTIF('Vehicle numbers'!$A$5:$A$162,J73),4),
    MATCH(L$8,'Vehicle numbers'!$B$4:$D$4,0))*1000</f>
        <v>2198994.2011767244</v>
      </c>
      <c r="M73" s="184">
        <f>VLOOKUP(F73,'Annual distance covered (GB)'!$A$8:$H$33,MATCH(J73,'Annual distance covered (GB)'!$A$7:$H$7,0))</f>
        <v>43.3</v>
      </c>
      <c r="N73" s="2">
        <f t="shared" ca="1" si="2"/>
        <v>37735.418140627211</v>
      </c>
      <c r="O73" s="180">
        <f t="shared" ca="1" si="3"/>
        <v>1.7160308162902049E-2</v>
      </c>
      <c r="P73" s="180"/>
      <c r="Q73" s="185">
        <f>Q72</f>
        <v>2004</v>
      </c>
      <c r="R73" s="188" t="s">
        <v>247</v>
      </c>
      <c r="S73" s="180">
        <f t="shared" si="8"/>
        <v>-1</v>
      </c>
      <c r="T73" s="180">
        <f t="shared" si="8"/>
        <v>-1</v>
      </c>
      <c r="U73">
        <f>IF(S73=-1,-1,VLOOKUP(R73,'Vehicle weight data'!$A$4:$C$9,2,0))</f>
        <v>-1</v>
      </c>
      <c r="V73">
        <f>IF(S73=-1,-1,VLOOKUP(R73,'Vehicle weight data'!$A$4:$C$9,3,0))</f>
        <v>-1</v>
      </c>
      <c r="W73">
        <f t="shared" si="6"/>
        <v>-1</v>
      </c>
    </row>
    <row r="74" spans="1:23" x14ac:dyDescent="0.25">
      <c r="A74" t="s">
        <v>236</v>
      </c>
      <c r="B74" t="s">
        <v>237</v>
      </c>
      <c r="C74" t="s">
        <v>238</v>
      </c>
      <c r="D74" t="s">
        <v>259</v>
      </c>
      <c r="E74" t="s">
        <v>229</v>
      </c>
      <c r="F74">
        <v>1994</v>
      </c>
      <c r="G74">
        <v>1.8218999999999999E-2</v>
      </c>
      <c r="H74" t="s">
        <v>240</v>
      </c>
      <c r="I74" t="s">
        <v>241</v>
      </c>
      <c r="J74" t="s">
        <v>188</v>
      </c>
      <c r="K74" s="183">
        <f ca="1">VLOOKUP(F74,
    OFFSET(INDIRECT(ADDRESS(MATCH(J74,'Vehicle numbers'!$A$5:$A$162,0),1,1,1,$L$6)),4,1,COUNTIF('Vehicle numbers'!$A$5:$A$162,J74),4),
    MATCH(K$8,'Vehicle numbers'!$B$4:$D$4,0))*1000</f>
        <v>2137653</v>
      </c>
      <c r="L74" s="183">
        <f ca="1">VLOOKUP(F74,
    OFFSET(INDIRECT(ADDRESS(MATCH(J74,'Vehicle numbers'!$A$5:$A$162,0),1,1,1,$L$6)),4,1,COUNTIF('Vehicle numbers'!$A$5:$A$162,J74),4),
    MATCH(L$8,'Vehicle numbers'!$B$4:$D$4,0))*1000</f>
        <v>2198994.2011767244</v>
      </c>
      <c r="M74" s="184">
        <f>VLOOKUP(F74,'Annual distance covered (GB)'!$A$8:$H$33,MATCH(J74,'Annual distance covered (GB)'!$A$7:$H$7,0))</f>
        <v>43.3</v>
      </c>
      <c r="N74" s="2">
        <f t="shared" ca="1" si="2"/>
        <v>811520.14976642013</v>
      </c>
      <c r="O74" s="180">
        <f t="shared" ca="1" si="3"/>
        <v>0.36904151422143816</v>
      </c>
      <c r="P74" s="180"/>
      <c r="Q74" s="185">
        <f>Q73</f>
        <v>2004</v>
      </c>
      <c r="R74" s="186" t="s">
        <v>3</v>
      </c>
      <c r="S74" s="180">
        <f t="shared" ca="1" si="8"/>
        <v>0.13412050189393948</v>
      </c>
      <c r="T74" s="180">
        <f t="shared" ca="1" si="8"/>
        <v>0.14181703336557064</v>
      </c>
      <c r="U74">
        <f ca="1">IF(S74=-1,-1,VLOOKUP(R74,'Vehicle weight data'!$A$4:$C$9,2,0))</f>
        <v>100</v>
      </c>
      <c r="V74">
        <f ca="1">IF(S74=-1,-1,VLOOKUP(R74,'Vehicle weight data'!$A$4:$C$9,3,0))</f>
        <v>200</v>
      </c>
      <c r="W74">
        <f t="shared" ref="W74:W105" ca="1" si="9">IF(V74=-1,-1,AVERAGE(U74:V74))</f>
        <v>150</v>
      </c>
    </row>
    <row r="75" spans="1:23" x14ac:dyDescent="0.25">
      <c r="A75" t="s">
        <v>243</v>
      </c>
      <c r="B75" t="s">
        <v>237</v>
      </c>
      <c r="C75" t="s">
        <v>238</v>
      </c>
      <c r="D75" t="s">
        <v>259</v>
      </c>
      <c r="E75" t="s">
        <v>229</v>
      </c>
      <c r="F75">
        <v>1994</v>
      </c>
      <c r="G75">
        <v>7.2876E-3</v>
      </c>
      <c r="H75" t="s">
        <v>240</v>
      </c>
      <c r="I75" t="s">
        <v>241</v>
      </c>
      <c r="J75" t="s">
        <v>188</v>
      </c>
      <c r="K75" s="183">
        <f ca="1">VLOOKUP(F75,
    OFFSET(INDIRECT(ADDRESS(MATCH(J75,'Vehicle numbers'!$A$5:$A$162,0),1,1,1,$L$6)),4,1,COUNTIF('Vehicle numbers'!$A$5:$A$162,J75),4),
    MATCH(K$8,'Vehicle numbers'!$B$4:$D$4,0))*1000</f>
        <v>2137653</v>
      </c>
      <c r="L75" s="183">
        <f ca="1">VLOOKUP(F75,
    OFFSET(INDIRECT(ADDRESS(MATCH(J75,'Vehicle numbers'!$A$5:$A$162,0),1,1,1,$L$6)),4,1,COUNTIF('Vehicle numbers'!$A$5:$A$162,J75),4),
    MATCH(L$8,'Vehicle numbers'!$B$4:$D$4,0))*1000</f>
        <v>2198994.2011767244</v>
      </c>
      <c r="M75" s="184">
        <f>VLOOKUP(F75,'Annual distance covered (GB)'!$A$8:$H$33,MATCH(J75,'Annual distance covered (GB)'!$A$7:$H$7,0))</f>
        <v>43.3</v>
      </c>
      <c r="N75" s="2">
        <f t="shared" ref="N75:N138" ca="1" si="10">M75*G75*1000000*(L75/K75)</f>
        <v>324608.05990656803</v>
      </c>
      <c r="O75" s="180">
        <f t="shared" ref="O75:O138" ca="1" si="11">N75/L75</f>
        <v>0.14761660568857524</v>
      </c>
      <c r="P75" s="180"/>
      <c r="Q75" s="185">
        <f>Q74</f>
        <v>2004</v>
      </c>
      <c r="R75" s="186" t="s">
        <v>41</v>
      </c>
      <c r="S75" s="180">
        <f t="shared" ca="1" si="8"/>
        <v>2.8151596275162776</v>
      </c>
      <c r="T75" s="180">
        <f t="shared" ca="1" si="8"/>
        <v>4.0448521155697144</v>
      </c>
      <c r="U75">
        <f ca="1">IF(S75=-1,-1,VLOOKUP(R75,'Vehicle weight data'!$A$4:$C$9,2,0))</f>
        <v>3500</v>
      </c>
      <c r="V75">
        <f ca="1">IF(S75=-1,-1,VLOOKUP(R75,'Vehicle weight data'!$A$4:$C$9,3,0))</f>
        <v>24000</v>
      </c>
      <c r="W75">
        <f t="shared" ca="1" si="9"/>
        <v>13750</v>
      </c>
    </row>
    <row r="76" spans="1:23" x14ac:dyDescent="0.25">
      <c r="A76" t="s">
        <v>244</v>
      </c>
      <c r="B76" t="s">
        <v>237</v>
      </c>
      <c r="C76" t="s">
        <v>238</v>
      </c>
      <c r="D76" t="s">
        <v>259</v>
      </c>
      <c r="E76" t="s">
        <v>229</v>
      </c>
      <c r="F76">
        <v>1994</v>
      </c>
      <c r="G76">
        <v>1.8219E-3</v>
      </c>
      <c r="H76" t="s">
        <v>240</v>
      </c>
      <c r="I76" t="s">
        <v>241</v>
      </c>
      <c r="J76" t="s">
        <v>188</v>
      </c>
      <c r="K76" s="183">
        <f ca="1">VLOOKUP(F76,
    OFFSET(INDIRECT(ADDRESS(MATCH(J76,'Vehicle numbers'!$A$5:$A$162,0),1,1,1,$L$6)),4,1,COUNTIF('Vehicle numbers'!$A$5:$A$162,J76),4),
    MATCH(K$8,'Vehicle numbers'!$B$4:$D$4,0))*1000</f>
        <v>2137653</v>
      </c>
      <c r="L76" s="183">
        <f ca="1">VLOOKUP(F76,
    OFFSET(INDIRECT(ADDRESS(MATCH(J76,'Vehicle numbers'!$A$5:$A$162,0),1,1,1,$L$6)),4,1,COUNTIF('Vehicle numbers'!$A$5:$A$162,J76),4),
    MATCH(L$8,'Vehicle numbers'!$B$4:$D$4,0))*1000</f>
        <v>2198994.2011767244</v>
      </c>
      <c r="M76" s="184">
        <f>VLOOKUP(F76,'Annual distance covered (GB)'!$A$8:$H$33,MATCH(J76,'Annual distance covered (GB)'!$A$7:$H$7,0))</f>
        <v>43.3</v>
      </c>
      <c r="N76" s="2">
        <f t="shared" ca="1" si="10"/>
        <v>81152.014976642007</v>
      </c>
      <c r="O76" s="180">
        <f t="shared" ca="1" si="11"/>
        <v>3.6904151422143809E-2</v>
      </c>
      <c r="P76" s="180"/>
      <c r="Q76" s="185">
        <f>Q75+1</f>
        <v>2005</v>
      </c>
      <c r="R76" s="186" t="s">
        <v>2</v>
      </c>
      <c r="S76" s="180">
        <f t="shared" ca="1" si="8"/>
        <v>0.57236559926496444</v>
      </c>
      <c r="T76" s="180">
        <f t="shared" ca="1" si="8"/>
        <v>0.41959178238705153</v>
      </c>
      <c r="U76">
        <f ca="1">IF(S76=-1,-1,VLOOKUP(R76,'Vehicle weight data'!$A$4:$C$9,2,0))</f>
        <v>1000</v>
      </c>
      <c r="V76">
        <f ca="1">IF(S76=-1,-1,VLOOKUP(R76,'Vehicle weight data'!$A$4:$C$9,3,0))</f>
        <v>2000</v>
      </c>
      <c r="W76">
        <f t="shared" ca="1" si="9"/>
        <v>1500</v>
      </c>
    </row>
    <row r="77" spans="1:23" x14ac:dyDescent="0.25">
      <c r="A77" t="s">
        <v>246</v>
      </c>
      <c r="B77" t="s">
        <v>237</v>
      </c>
      <c r="C77" t="s">
        <v>238</v>
      </c>
      <c r="D77" t="s">
        <v>259</v>
      </c>
      <c r="E77" t="s">
        <v>229</v>
      </c>
      <c r="F77">
        <v>1994</v>
      </c>
      <c r="G77">
        <v>1.4575199999999999E-3</v>
      </c>
      <c r="H77" t="s">
        <v>240</v>
      </c>
      <c r="I77" t="s">
        <v>241</v>
      </c>
      <c r="J77" t="s">
        <v>188</v>
      </c>
      <c r="K77" s="183">
        <f ca="1">VLOOKUP(F77,
    OFFSET(INDIRECT(ADDRESS(MATCH(J77,'Vehicle numbers'!$A$5:$A$162,0),1,1,1,$L$6)),4,1,COUNTIF('Vehicle numbers'!$A$5:$A$162,J77),4),
    MATCH(K$8,'Vehicle numbers'!$B$4:$D$4,0))*1000</f>
        <v>2137653</v>
      </c>
      <c r="L77" s="183">
        <f ca="1">VLOOKUP(F77,
    OFFSET(INDIRECT(ADDRESS(MATCH(J77,'Vehicle numbers'!$A$5:$A$162,0),1,1,1,$L$6)),4,1,COUNTIF('Vehicle numbers'!$A$5:$A$162,J77),4),
    MATCH(L$8,'Vehicle numbers'!$B$4:$D$4,0))*1000</f>
        <v>2198994.2011767244</v>
      </c>
      <c r="M77" s="184">
        <f>VLOOKUP(F77,'Annual distance covered (GB)'!$A$8:$H$33,MATCH(J77,'Annual distance covered (GB)'!$A$7:$H$7,0))</f>
        <v>43.3</v>
      </c>
      <c r="N77" s="2">
        <f t="shared" ca="1" si="10"/>
        <v>64921.61198131361</v>
      </c>
      <c r="O77" s="180">
        <f t="shared" ca="1" si="11"/>
        <v>2.9523321137715049E-2</v>
      </c>
      <c r="P77" s="180"/>
      <c r="Q77" s="185">
        <f>Q76</f>
        <v>2005</v>
      </c>
      <c r="R77" s="186" t="s">
        <v>188</v>
      </c>
      <c r="S77" s="180">
        <f t="shared" ca="1" si="8"/>
        <v>1.3280139935699793</v>
      </c>
      <c r="T77" s="180">
        <f t="shared" ca="1" si="8"/>
        <v>0.96078976250400916</v>
      </c>
      <c r="U77">
        <f ca="1">IF(S77=-1,-1,VLOOKUP(R77,'Vehicle weight data'!$A$4:$C$9,2,0))</f>
        <v>1500</v>
      </c>
      <c r="V77">
        <f ca="1">IF(S77=-1,-1,VLOOKUP(R77,'Vehicle weight data'!$A$4:$C$9,3,0))</f>
        <v>3500</v>
      </c>
      <c r="W77">
        <f t="shared" ca="1" si="9"/>
        <v>2500</v>
      </c>
    </row>
    <row r="78" spans="1:23" x14ac:dyDescent="0.25">
      <c r="A78" t="s">
        <v>236</v>
      </c>
      <c r="B78" t="s">
        <v>237</v>
      </c>
      <c r="C78" t="s">
        <v>238</v>
      </c>
      <c r="D78" t="s">
        <v>259</v>
      </c>
      <c r="E78" t="s">
        <v>228</v>
      </c>
      <c r="F78">
        <v>1994</v>
      </c>
      <c r="G78">
        <v>1.3802E-2</v>
      </c>
      <c r="H78" t="s">
        <v>240</v>
      </c>
      <c r="I78" t="s">
        <v>241</v>
      </c>
      <c r="J78" t="s">
        <v>188</v>
      </c>
      <c r="K78" s="183">
        <f ca="1">VLOOKUP(F78,
    OFFSET(INDIRECT(ADDRESS(MATCH(J78,'Vehicle numbers'!$A$5:$A$162,0),1,1,1,$L$6)),4,1,COUNTIF('Vehicle numbers'!$A$5:$A$162,J78),4),
    MATCH(K$8,'Vehicle numbers'!$B$4:$D$4,0))*1000</f>
        <v>2137653</v>
      </c>
      <c r="L78" s="183">
        <f ca="1">VLOOKUP(F78,
    OFFSET(INDIRECT(ADDRESS(MATCH(J78,'Vehicle numbers'!$A$5:$A$162,0),1,1,1,$L$6)),4,1,COUNTIF('Vehicle numbers'!$A$5:$A$162,J78),4),
    MATCH(L$8,'Vehicle numbers'!$B$4:$D$4,0))*1000</f>
        <v>2198994.2011767244</v>
      </c>
      <c r="M78" s="184">
        <f>VLOOKUP(F78,'Annual distance covered (GB)'!$A$8:$H$33,MATCH(J78,'Annual distance covered (GB)'!$A$7:$H$7,0))</f>
        <v>43.3</v>
      </c>
      <c r="N78" s="2">
        <f t="shared" ca="1" si="10"/>
        <v>614775.84428761899</v>
      </c>
      <c r="O78" s="180">
        <f t="shared" ca="1" si="11"/>
        <v>0.27957138038774298</v>
      </c>
      <c r="P78" s="180"/>
      <c r="Q78" s="185">
        <f>Q77</f>
        <v>2005</v>
      </c>
      <c r="R78" s="187" t="s">
        <v>245</v>
      </c>
      <c r="S78" s="180">
        <f t="shared" si="8"/>
        <v>-1</v>
      </c>
      <c r="T78" s="180">
        <f t="shared" si="8"/>
        <v>-1</v>
      </c>
      <c r="U78">
        <f>IF(S78=-1,-1,VLOOKUP(R78,'Vehicle weight data'!$A$4:$C$9,2,0))</f>
        <v>-1</v>
      </c>
      <c r="V78">
        <f>IF(S78=-1,-1,VLOOKUP(R78,'Vehicle weight data'!$A$4:$C$9,3,0))</f>
        <v>-1</v>
      </c>
      <c r="W78">
        <f t="shared" si="9"/>
        <v>-1</v>
      </c>
    </row>
    <row r="79" spans="1:23" x14ac:dyDescent="0.25">
      <c r="A79" t="s">
        <v>243</v>
      </c>
      <c r="B79" t="s">
        <v>237</v>
      </c>
      <c r="C79" t="s">
        <v>238</v>
      </c>
      <c r="D79" t="s">
        <v>259</v>
      </c>
      <c r="E79" t="s">
        <v>228</v>
      </c>
      <c r="F79">
        <v>1994</v>
      </c>
      <c r="G79">
        <v>9.6614000000000005E-3</v>
      </c>
      <c r="H79" t="s">
        <v>240</v>
      </c>
      <c r="I79" t="s">
        <v>241</v>
      </c>
      <c r="J79" t="s">
        <v>188</v>
      </c>
      <c r="K79" s="183">
        <f ca="1">VLOOKUP(F79,
    OFFSET(INDIRECT(ADDRESS(MATCH(J79,'Vehicle numbers'!$A$5:$A$162,0),1,1,1,$L$6)),4,1,COUNTIF('Vehicle numbers'!$A$5:$A$162,J79),4),
    MATCH(K$8,'Vehicle numbers'!$B$4:$D$4,0))*1000</f>
        <v>2137653</v>
      </c>
      <c r="L79" s="183">
        <f ca="1">VLOOKUP(F79,
    OFFSET(INDIRECT(ADDRESS(MATCH(J79,'Vehicle numbers'!$A$5:$A$162,0),1,1,1,$L$6)),4,1,COUNTIF('Vehicle numbers'!$A$5:$A$162,J79),4),
    MATCH(L$8,'Vehicle numbers'!$B$4:$D$4,0))*1000</f>
        <v>2198994.2011767244</v>
      </c>
      <c r="M79" s="184">
        <f>VLOOKUP(F79,'Annual distance covered (GB)'!$A$8:$H$33,MATCH(J79,'Annual distance covered (GB)'!$A$7:$H$7,0))</f>
        <v>43.3</v>
      </c>
      <c r="N79" s="2">
        <f t="shared" ca="1" si="10"/>
        <v>430343.09100133332</v>
      </c>
      <c r="O79" s="180">
        <f t="shared" ca="1" si="11"/>
        <v>0.19569996627142008</v>
      </c>
      <c r="P79" s="180"/>
      <c r="Q79" s="185">
        <f>Q78</f>
        <v>2005</v>
      </c>
      <c r="R79" s="188" t="s">
        <v>247</v>
      </c>
      <c r="S79" s="180">
        <f t="shared" si="8"/>
        <v>-1</v>
      </c>
      <c r="T79" s="180">
        <f t="shared" si="8"/>
        <v>-1</v>
      </c>
      <c r="U79">
        <f>IF(S79=-1,-1,VLOOKUP(R79,'Vehicle weight data'!$A$4:$C$9,2,0))</f>
        <v>-1</v>
      </c>
      <c r="V79">
        <f>IF(S79=-1,-1,VLOOKUP(R79,'Vehicle weight data'!$A$4:$C$9,3,0))</f>
        <v>-1</v>
      </c>
      <c r="W79">
        <f t="shared" si="9"/>
        <v>-1</v>
      </c>
    </row>
    <row r="80" spans="1:23" x14ac:dyDescent="0.25">
      <c r="A80" t="s">
        <v>244</v>
      </c>
      <c r="B80" t="s">
        <v>237</v>
      </c>
      <c r="C80" t="s">
        <v>238</v>
      </c>
      <c r="D80" t="s">
        <v>259</v>
      </c>
      <c r="E80" t="s">
        <v>228</v>
      </c>
      <c r="F80">
        <v>1994</v>
      </c>
      <c r="G80">
        <v>1.3607605633802801E-3</v>
      </c>
      <c r="H80" t="s">
        <v>240</v>
      </c>
      <c r="I80" t="s">
        <v>241</v>
      </c>
      <c r="J80" t="s">
        <v>188</v>
      </c>
      <c r="K80" s="183">
        <f ca="1">VLOOKUP(F80,
    OFFSET(INDIRECT(ADDRESS(MATCH(J80,'Vehicle numbers'!$A$5:$A$162,0),1,1,1,$L$6)),4,1,COUNTIF('Vehicle numbers'!$A$5:$A$162,J80),4),
    MATCH(K$8,'Vehicle numbers'!$B$4:$D$4,0))*1000</f>
        <v>2137653</v>
      </c>
      <c r="L80" s="183">
        <f ca="1">VLOOKUP(F80,
    OFFSET(INDIRECT(ADDRESS(MATCH(J80,'Vehicle numbers'!$A$5:$A$162,0),1,1,1,$L$6)),4,1,COUNTIF('Vehicle numbers'!$A$5:$A$162,J80),4),
    MATCH(L$8,'Vehicle numbers'!$B$4:$D$4,0))*1000</f>
        <v>2198994.2011767244</v>
      </c>
      <c r="M80" s="184">
        <f>VLOOKUP(F80,'Annual distance covered (GB)'!$A$8:$H$33,MATCH(J80,'Annual distance covered (GB)'!$A$7:$H$7,0))</f>
        <v>43.3</v>
      </c>
      <c r="N80" s="2">
        <f t="shared" ca="1" si="10"/>
        <v>60611.702957934198</v>
      </c>
      <c r="O80" s="180">
        <f t="shared" ca="1" si="11"/>
        <v>2.7563375531185895E-2</v>
      </c>
      <c r="P80" s="180"/>
      <c r="Q80" s="185">
        <f>Q79</f>
        <v>2005</v>
      </c>
      <c r="R80" s="186" t="s">
        <v>3</v>
      </c>
      <c r="S80" s="180">
        <f t="shared" ca="1" si="8"/>
        <v>0.13762157148316193</v>
      </c>
      <c r="T80" s="180">
        <f t="shared" ca="1" si="8"/>
        <v>0.1455190125241527</v>
      </c>
      <c r="U80">
        <f ca="1">IF(S80=-1,-1,VLOOKUP(R80,'Vehicle weight data'!$A$4:$C$9,2,0))</f>
        <v>100</v>
      </c>
      <c r="V80">
        <f ca="1">IF(S80=-1,-1,VLOOKUP(R80,'Vehicle weight data'!$A$4:$C$9,3,0))</f>
        <v>200</v>
      </c>
      <c r="W80">
        <f t="shared" ca="1" si="9"/>
        <v>150</v>
      </c>
    </row>
    <row r="81" spans="1:23" x14ac:dyDescent="0.25">
      <c r="A81" t="s">
        <v>246</v>
      </c>
      <c r="B81" t="s">
        <v>237</v>
      </c>
      <c r="C81" t="s">
        <v>238</v>
      </c>
      <c r="D81" t="s">
        <v>259</v>
      </c>
      <c r="E81" t="s">
        <v>228</v>
      </c>
      <c r="F81">
        <v>1994</v>
      </c>
      <c r="G81">
        <v>1.0886084507042201E-3</v>
      </c>
      <c r="H81" t="s">
        <v>240</v>
      </c>
      <c r="I81" t="s">
        <v>241</v>
      </c>
      <c r="J81" t="s">
        <v>188</v>
      </c>
      <c r="K81" s="183">
        <f ca="1">VLOOKUP(F81,
    OFFSET(INDIRECT(ADDRESS(MATCH(J81,'Vehicle numbers'!$A$5:$A$162,0),1,1,1,$L$6)),4,1,COUNTIF('Vehicle numbers'!$A$5:$A$162,J81),4),
    MATCH(K$8,'Vehicle numbers'!$B$4:$D$4,0))*1000</f>
        <v>2137653</v>
      </c>
      <c r="L81" s="183">
        <f ca="1">VLOOKUP(F81,
    OFFSET(INDIRECT(ADDRESS(MATCH(J81,'Vehicle numbers'!$A$5:$A$162,0),1,1,1,$L$6)),4,1,COUNTIF('Vehicle numbers'!$A$5:$A$162,J81),4),
    MATCH(L$8,'Vehicle numbers'!$B$4:$D$4,0))*1000</f>
        <v>2198994.2011767244</v>
      </c>
      <c r="M81" s="184">
        <f>VLOOKUP(F81,'Annual distance covered (GB)'!$A$8:$H$33,MATCH(J81,'Annual distance covered (GB)'!$A$7:$H$7,0))</f>
        <v>43.3</v>
      </c>
      <c r="N81" s="2">
        <f t="shared" ca="1" si="10"/>
        <v>48489.362366347181</v>
      </c>
      <c r="O81" s="180">
        <f t="shared" ca="1" si="11"/>
        <v>2.2050700424948635E-2</v>
      </c>
      <c r="P81" s="180"/>
      <c r="Q81" s="185">
        <f>Q80</f>
        <v>2005</v>
      </c>
      <c r="R81" s="186" t="s">
        <v>41</v>
      </c>
      <c r="S81" s="180">
        <f t="shared" ca="1" si="8"/>
        <v>2.8029041331100042</v>
      </c>
      <c r="T81" s="180">
        <f t="shared" ca="1" si="8"/>
        <v>4.0272162275761163</v>
      </c>
      <c r="U81">
        <f ca="1">IF(S81=-1,-1,VLOOKUP(R81,'Vehicle weight data'!$A$4:$C$9,2,0))</f>
        <v>3500</v>
      </c>
      <c r="V81">
        <f ca="1">IF(S81=-1,-1,VLOOKUP(R81,'Vehicle weight data'!$A$4:$C$9,3,0))</f>
        <v>24000</v>
      </c>
      <c r="W81">
        <f t="shared" ca="1" si="9"/>
        <v>13750</v>
      </c>
    </row>
    <row r="82" spans="1:23" x14ac:dyDescent="0.25">
      <c r="A82" t="s">
        <v>236</v>
      </c>
      <c r="B82" t="s">
        <v>237</v>
      </c>
      <c r="C82" t="s">
        <v>238</v>
      </c>
      <c r="D82" t="s">
        <v>260</v>
      </c>
      <c r="E82" t="s">
        <v>229</v>
      </c>
      <c r="F82">
        <v>1994</v>
      </c>
      <c r="G82">
        <v>5.8400000000000101E-3</v>
      </c>
      <c r="H82" t="s">
        <v>240</v>
      </c>
      <c r="I82" t="s">
        <v>241</v>
      </c>
      <c r="J82" t="s">
        <v>3</v>
      </c>
      <c r="K82" s="183">
        <f ca="1">VLOOKUP(F82,
    OFFSET(INDIRECT(ADDRESS(MATCH(J82,'Vehicle numbers'!$A$5:$A$162,0),1,1,1,$L$6)),4,1,COUNTIF('Vehicle numbers'!$A$5:$A$162,J82),4),
    MATCH(K$8,'Vehicle numbers'!$B$4:$D$4,0))*1000</f>
        <v>720922</v>
      </c>
      <c r="L82" s="183">
        <f ca="1">VLOOKUP(F82,
    OFFSET(INDIRECT(ADDRESS(MATCH(J82,'Vehicle numbers'!$A$5:$A$162,0),1,1,1,$L$6)),4,1,COUNTIF('Vehicle numbers'!$A$5:$A$162,J82),4),
    MATCH(L$8,'Vehicle numbers'!$B$4:$D$4,0))*1000</f>
        <v>734169.79208516877</v>
      </c>
      <c r="M82" s="184">
        <f>VLOOKUP(F82,'Annual distance covered (GB)'!$A$8:$H$33,MATCH(J82,'Annual distance covered (GB)'!$A$7:$H$7,0))</f>
        <v>3.8</v>
      </c>
      <c r="N82" s="2">
        <f t="shared" ca="1" si="10"/>
        <v>22599.804175700134</v>
      </c>
      <c r="O82" s="180">
        <f t="shared" ca="1" si="11"/>
        <v>3.0782803132655179E-2</v>
      </c>
      <c r="P82" s="180"/>
      <c r="Q82" s="185">
        <f>Q81+1</f>
        <v>2006</v>
      </c>
      <c r="R82" s="186" t="s">
        <v>2</v>
      </c>
      <c r="S82" s="180">
        <f t="shared" ca="1" si="8"/>
        <v>0.57735420881642174</v>
      </c>
      <c r="T82" s="180">
        <f t="shared" ca="1" si="8"/>
        <v>0.42324908847909865</v>
      </c>
      <c r="U82">
        <f ca="1">IF(S82=-1,-1,VLOOKUP(R82,'Vehicle weight data'!$A$4:$C$9,2,0))</f>
        <v>1000</v>
      </c>
      <c r="V82">
        <f ca="1">IF(S82=-1,-1,VLOOKUP(R82,'Vehicle weight data'!$A$4:$C$9,3,0))</f>
        <v>2000</v>
      </c>
      <c r="W82">
        <f t="shared" ca="1" si="9"/>
        <v>1500</v>
      </c>
    </row>
    <row r="83" spans="1:23" x14ac:dyDescent="0.25">
      <c r="A83" t="s">
        <v>243</v>
      </c>
      <c r="B83" t="s">
        <v>237</v>
      </c>
      <c r="C83" t="s">
        <v>238</v>
      </c>
      <c r="D83" t="s">
        <v>260</v>
      </c>
      <c r="E83" t="s">
        <v>229</v>
      </c>
      <c r="F83">
        <v>1994</v>
      </c>
      <c r="G83">
        <v>2.336E-3</v>
      </c>
      <c r="H83" t="s">
        <v>240</v>
      </c>
      <c r="I83" t="s">
        <v>241</v>
      </c>
      <c r="J83" t="s">
        <v>3</v>
      </c>
      <c r="K83" s="183">
        <f ca="1">VLOOKUP(F83,
    OFFSET(INDIRECT(ADDRESS(MATCH(J83,'Vehicle numbers'!$A$5:$A$162,0),1,1,1,$L$6)),4,1,COUNTIF('Vehicle numbers'!$A$5:$A$162,J83),4),
    MATCH(K$8,'Vehicle numbers'!$B$4:$D$4,0))*1000</f>
        <v>720922</v>
      </c>
      <c r="L83" s="183">
        <f ca="1">VLOOKUP(F83,
    OFFSET(INDIRECT(ADDRESS(MATCH(J83,'Vehicle numbers'!$A$5:$A$162,0),1,1,1,$L$6)),4,1,COUNTIF('Vehicle numbers'!$A$5:$A$162,J83),4),
    MATCH(L$8,'Vehicle numbers'!$B$4:$D$4,0))*1000</f>
        <v>734169.79208516877</v>
      </c>
      <c r="M83" s="184">
        <f>VLOOKUP(F83,'Annual distance covered (GB)'!$A$8:$H$33,MATCH(J83,'Annual distance covered (GB)'!$A$7:$H$7,0))</f>
        <v>3.8</v>
      </c>
      <c r="N83" s="2">
        <f t="shared" ca="1" si="10"/>
        <v>9039.9216702800368</v>
      </c>
      <c r="O83" s="180">
        <f t="shared" ca="1" si="11"/>
        <v>1.2313121253062049E-2</v>
      </c>
      <c r="P83" s="180"/>
      <c r="Q83" s="185">
        <f>Q82</f>
        <v>2006</v>
      </c>
      <c r="R83" s="186" t="s">
        <v>188</v>
      </c>
      <c r="S83" s="180">
        <f t="shared" ca="1" si="8"/>
        <v>1.3453087649188471</v>
      </c>
      <c r="T83" s="180">
        <f t="shared" ca="1" si="8"/>
        <v>0.9733021602176597</v>
      </c>
      <c r="U83">
        <f ca="1">IF(S83=-1,-1,VLOOKUP(R83,'Vehicle weight data'!$A$4:$C$9,2,0))</f>
        <v>1500</v>
      </c>
      <c r="V83">
        <f ca="1">IF(S83=-1,-1,VLOOKUP(R83,'Vehicle weight data'!$A$4:$C$9,3,0))</f>
        <v>3500</v>
      </c>
      <c r="W83">
        <f t="shared" ca="1" si="9"/>
        <v>2500</v>
      </c>
    </row>
    <row r="84" spans="1:23" x14ac:dyDescent="0.25">
      <c r="A84" t="s">
        <v>244</v>
      </c>
      <c r="B84" t="s">
        <v>237</v>
      </c>
      <c r="C84" t="s">
        <v>238</v>
      </c>
      <c r="D84" t="s">
        <v>260</v>
      </c>
      <c r="E84" t="s">
        <v>229</v>
      </c>
      <c r="F84">
        <v>1994</v>
      </c>
      <c r="G84">
        <v>5.8399999999999999E-4</v>
      </c>
      <c r="H84" t="s">
        <v>240</v>
      </c>
      <c r="I84" t="s">
        <v>241</v>
      </c>
      <c r="J84" t="s">
        <v>3</v>
      </c>
      <c r="K84" s="183">
        <f ca="1">VLOOKUP(F84,
    OFFSET(INDIRECT(ADDRESS(MATCH(J84,'Vehicle numbers'!$A$5:$A$162,0),1,1,1,$L$6)),4,1,COUNTIF('Vehicle numbers'!$A$5:$A$162,J84),4),
    MATCH(K$8,'Vehicle numbers'!$B$4:$D$4,0))*1000</f>
        <v>720922</v>
      </c>
      <c r="L84" s="183">
        <f ca="1">VLOOKUP(F84,
    OFFSET(INDIRECT(ADDRESS(MATCH(J84,'Vehicle numbers'!$A$5:$A$162,0),1,1,1,$L$6)),4,1,COUNTIF('Vehicle numbers'!$A$5:$A$162,J84),4),
    MATCH(L$8,'Vehicle numbers'!$B$4:$D$4,0))*1000</f>
        <v>734169.79208516877</v>
      </c>
      <c r="M84" s="184">
        <f>VLOOKUP(F84,'Annual distance covered (GB)'!$A$8:$H$33,MATCH(J84,'Annual distance covered (GB)'!$A$7:$H$7,0))</f>
        <v>3.8</v>
      </c>
      <c r="N84" s="2">
        <f t="shared" ca="1" si="10"/>
        <v>2259.9804175700092</v>
      </c>
      <c r="O84" s="180">
        <f t="shared" ca="1" si="11"/>
        <v>3.0782803132655121E-3</v>
      </c>
      <c r="P84" s="180"/>
      <c r="Q84" s="185">
        <f>Q83</f>
        <v>2006</v>
      </c>
      <c r="R84" s="187" t="s">
        <v>245</v>
      </c>
      <c r="S84" s="180">
        <f t="shared" si="8"/>
        <v>-1</v>
      </c>
      <c r="T84" s="180">
        <f t="shared" si="8"/>
        <v>-1</v>
      </c>
      <c r="U84">
        <f>IF(S84=-1,-1,VLOOKUP(R84,'Vehicle weight data'!$A$4:$C$9,2,0))</f>
        <v>-1</v>
      </c>
      <c r="V84">
        <f>IF(S84=-1,-1,VLOOKUP(R84,'Vehicle weight data'!$A$4:$C$9,3,0))</f>
        <v>-1</v>
      </c>
      <c r="W84">
        <f t="shared" si="9"/>
        <v>-1</v>
      </c>
    </row>
    <row r="85" spans="1:23" x14ac:dyDescent="0.25">
      <c r="A85" t="s">
        <v>246</v>
      </c>
      <c r="B85" t="s">
        <v>237</v>
      </c>
      <c r="C85" t="s">
        <v>238</v>
      </c>
      <c r="D85" t="s">
        <v>260</v>
      </c>
      <c r="E85" t="s">
        <v>229</v>
      </c>
      <c r="F85">
        <v>1994</v>
      </c>
      <c r="G85">
        <v>4.6720000000000003E-4</v>
      </c>
      <c r="H85" t="s">
        <v>240</v>
      </c>
      <c r="I85" t="s">
        <v>241</v>
      </c>
      <c r="J85" t="s">
        <v>3</v>
      </c>
      <c r="K85" s="183">
        <f ca="1">VLOOKUP(F85,
    OFFSET(INDIRECT(ADDRESS(MATCH(J85,'Vehicle numbers'!$A$5:$A$162,0),1,1,1,$L$6)),4,1,COUNTIF('Vehicle numbers'!$A$5:$A$162,J85),4),
    MATCH(K$8,'Vehicle numbers'!$B$4:$D$4,0))*1000</f>
        <v>720922</v>
      </c>
      <c r="L85" s="183">
        <f ca="1">VLOOKUP(F85,
    OFFSET(INDIRECT(ADDRESS(MATCH(J85,'Vehicle numbers'!$A$5:$A$162,0),1,1,1,$L$6)),4,1,COUNTIF('Vehicle numbers'!$A$5:$A$162,J85),4),
    MATCH(L$8,'Vehicle numbers'!$B$4:$D$4,0))*1000</f>
        <v>734169.79208516877</v>
      </c>
      <c r="M85" s="184">
        <f>VLOOKUP(F85,'Annual distance covered (GB)'!$A$8:$H$33,MATCH(J85,'Annual distance covered (GB)'!$A$7:$H$7,0))</f>
        <v>3.8</v>
      </c>
      <c r="N85" s="2">
        <f t="shared" ca="1" si="10"/>
        <v>1807.9843340560076</v>
      </c>
      <c r="O85" s="180">
        <f t="shared" ca="1" si="11"/>
        <v>2.4626242506124098E-3</v>
      </c>
      <c r="P85" s="180"/>
      <c r="Q85" s="185">
        <f>Q84</f>
        <v>2006</v>
      </c>
      <c r="R85" s="188" t="s">
        <v>247</v>
      </c>
      <c r="S85" s="180">
        <f t="shared" si="8"/>
        <v>-1</v>
      </c>
      <c r="T85" s="180">
        <f t="shared" si="8"/>
        <v>-1</v>
      </c>
      <c r="U85">
        <f>IF(S85=-1,-1,VLOOKUP(R85,'Vehicle weight data'!$A$4:$C$9,2,0))</f>
        <v>-1</v>
      </c>
      <c r="V85">
        <f>IF(S85=-1,-1,VLOOKUP(R85,'Vehicle weight data'!$A$4:$C$9,3,0))</f>
        <v>-1</v>
      </c>
      <c r="W85">
        <f t="shared" si="9"/>
        <v>-1</v>
      </c>
    </row>
    <row r="86" spans="1:23" x14ac:dyDescent="0.25">
      <c r="A86" t="s">
        <v>236</v>
      </c>
      <c r="B86" t="s">
        <v>237</v>
      </c>
      <c r="C86" t="s">
        <v>238</v>
      </c>
      <c r="D86" t="s">
        <v>260</v>
      </c>
      <c r="E86" t="s">
        <v>228</v>
      </c>
      <c r="F86">
        <v>1994</v>
      </c>
      <c r="G86">
        <v>3.7570000000000099E-3</v>
      </c>
      <c r="H86" t="s">
        <v>240</v>
      </c>
      <c r="I86" t="s">
        <v>241</v>
      </c>
      <c r="J86" t="s">
        <v>3</v>
      </c>
      <c r="K86" s="183">
        <f ca="1">VLOOKUP(F86,
    OFFSET(INDIRECT(ADDRESS(MATCH(J86,'Vehicle numbers'!$A$5:$A$162,0),1,1,1,$L$6)),4,1,COUNTIF('Vehicle numbers'!$A$5:$A$162,J86),4),
    MATCH(K$8,'Vehicle numbers'!$B$4:$D$4,0))*1000</f>
        <v>720922</v>
      </c>
      <c r="L86" s="183">
        <f ca="1">VLOOKUP(F86,
    OFFSET(INDIRECT(ADDRESS(MATCH(J86,'Vehicle numbers'!$A$5:$A$162,0),1,1,1,$L$6)),4,1,COUNTIF('Vehicle numbers'!$A$5:$A$162,J86),4),
    MATCH(L$8,'Vehicle numbers'!$B$4:$D$4,0))*1000</f>
        <v>734169.79208516877</v>
      </c>
      <c r="M86" s="184">
        <f>VLOOKUP(F86,'Annual distance covered (GB)'!$A$8:$H$33,MATCH(J86,'Annual distance covered (GB)'!$A$7:$H$7,0))</f>
        <v>3.8</v>
      </c>
      <c r="N86" s="2">
        <f t="shared" ca="1" si="10"/>
        <v>14538.949364401622</v>
      </c>
      <c r="O86" s="180">
        <f t="shared" ca="1" si="11"/>
        <v>1.9803251946812601E-2</v>
      </c>
      <c r="P86" s="180"/>
      <c r="Q86" s="185">
        <f>Q85</f>
        <v>2006</v>
      </c>
      <c r="R86" s="186" t="s">
        <v>3</v>
      </c>
      <c r="S86" s="180">
        <f t="shared" ca="1" si="8"/>
        <v>0.1320814562687001</v>
      </c>
      <c r="T86" s="180">
        <f t="shared" ca="1" si="8"/>
        <v>0.13966097670469438</v>
      </c>
      <c r="U86">
        <f ca="1">IF(S86=-1,-1,VLOOKUP(R86,'Vehicle weight data'!$A$4:$C$9,2,0))</f>
        <v>100</v>
      </c>
      <c r="V86">
        <f ca="1">IF(S86=-1,-1,VLOOKUP(R86,'Vehicle weight data'!$A$4:$C$9,3,0))</f>
        <v>200</v>
      </c>
      <c r="W86">
        <f t="shared" ca="1" si="9"/>
        <v>150</v>
      </c>
    </row>
    <row r="87" spans="1:23" x14ac:dyDescent="0.25">
      <c r="A87" t="s">
        <v>243</v>
      </c>
      <c r="B87" t="s">
        <v>237</v>
      </c>
      <c r="C87" t="s">
        <v>238</v>
      </c>
      <c r="D87" t="s">
        <v>260</v>
      </c>
      <c r="E87" t="s">
        <v>228</v>
      </c>
      <c r="F87">
        <v>1994</v>
      </c>
      <c r="G87">
        <v>2.6299000000000101E-3</v>
      </c>
      <c r="H87" t="s">
        <v>240</v>
      </c>
      <c r="I87" t="s">
        <v>241</v>
      </c>
      <c r="J87" t="s">
        <v>3</v>
      </c>
      <c r="K87" s="183">
        <f ca="1">VLOOKUP(F87,
    OFFSET(INDIRECT(ADDRESS(MATCH(J87,'Vehicle numbers'!$A$5:$A$162,0),1,1,1,$L$6)),4,1,COUNTIF('Vehicle numbers'!$A$5:$A$162,J87),4),
    MATCH(K$8,'Vehicle numbers'!$B$4:$D$4,0))*1000</f>
        <v>720922</v>
      </c>
      <c r="L87" s="183">
        <f ca="1">VLOOKUP(F87,
    OFFSET(INDIRECT(ADDRESS(MATCH(J87,'Vehicle numbers'!$A$5:$A$162,0),1,1,1,$L$6)),4,1,COUNTIF('Vehicle numbers'!$A$5:$A$162,J87),4),
    MATCH(L$8,'Vehicle numbers'!$B$4:$D$4,0))*1000</f>
        <v>734169.79208516877</v>
      </c>
      <c r="M87" s="184">
        <f>VLOOKUP(F87,'Annual distance covered (GB)'!$A$8:$H$33,MATCH(J87,'Annual distance covered (GB)'!$A$7:$H$7,0))</f>
        <v>3.8</v>
      </c>
      <c r="N87" s="2">
        <f t="shared" ca="1" si="10"/>
        <v>10177.264555081149</v>
      </c>
      <c r="O87" s="180">
        <f t="shared" ca="1" si="11"/>
        <v>1.3862276362768839E-2</v>
      </c>
      <c r="P87" s="180"/>
      <c r="Q87" s="185">
        <f>Q86</f>
        <v>2006</v>
      </c>
      <c r="R87" s="186" t="s">
        <v>41</v>
      </c>
      <c r="S87" s="180">
        <f t="shared" ca="1" si="8"/>
        <v>2.9359342776675033</v>
      </c>
      <c r="T87" s="180">
        <f t="shared" ca="1" si="8"/>
        <v>4.2185519816522028</v>
      </c>
      <c r="U87">
        <f ca="1">IF(S87=-1,-1,VLOOKUP(R87,'Vehicle weight data'!$A$4:$C$9,2,0))</f>
        <v>3500</v>
      </c>
      <c r="V87">
        <f ca="1">IF(S87=-1,-1,VLOOKUP(R87,'Vehicle weight data'!$A$4:$C$9,3,0))</f>
        <v>24000</v>
      </c>
      <c r="W87">
        <f t="shared" ca="1" si="9"/>
        <v>13750</v>
      </c>
    </row>
    <row r="88" spans="1:23" x14ac:dyDescent="0.25">
      <c r="A88" t="s">
        <v>244</v>
      </c>
      <c r="B88" t="s">
        <v>237</v>
      </c>
      <c r="C88" t="s">
        <v>238</v>
      </c>
      <c r="D88" t="s">
        <v>260</v>
      </c>
      <c r="E88" t="s">
        <v>228</v>
      </c>
      <c r="F88">
        <v>1994</v>
      </c>
      <c r="G88">
        <v>3.7040845070422602E-4</v>
      </c>
      <c r="H88" t="s">
        <v>240</v>
      </c>
      <c r="I88" t="s">
        <v>241</v>
      </c>
      <c r="J88" t="s">
        <v>3</v>
      </c>
      <c r="K88" s="183">
        <f ca="1">VLOOKUP(F88,
    OFFSET(INDIRECT(ADDRESS(MATCH(J88,'Vehicle numbers'!$A$5:$A$162,0),1,1,1,$L$6)),4,1,COUNTIF('Vehicle numbers'!$A$5:$A$162,J88),4),
    MATCH(K$8,'Vehicle numbers'!$B$4:$D$4,0))*1000</f>
        <v>720922</v>
      </c>
      <c r="L88" s="183">
        <f ca="1">VLOOKUP(F88,
    OFFSET(INDIRECT(ADDRESS(MATCH(J88,'Vehicle numbers'!$A$5:$A$162,0),1,1,1,$L$6)),4,1,COUNTIF('Vehicle numbers'!$A$5:$A$162,J88),4),
    MATCH(L$8,'Vehicle numbers'!$B$4:$D$4,0))*1000</f>
        <v>734169.79208516877</v>
      </c>
      <c r="M88" s="184">
        <f>VLOOKUP(F88,'Annual distance covered (GB)'!$A$8:$H$33,MATCH(J88,'Annual distance covered (GB)'!$A$7:$H$7,0))</f>
        <v>3.8</v>
      </c>
      <c r="N88" s="2">
        <f t="shared" ca="1" si="10"/>
        <v>1433.4175429691729</v>
      </c>
      <c r="O88" s="180">
        <f t="shared" ca="1" si="11"/>
        <v>1.9524332905308185E-3</v>
      </c>
      <c r="P88" s="180"/>
      <c r="Q88" s="185">
        <f>Q87+1</f>
        <v>2007</v>
      </c>
      <c r="R88" s="186" t="s">
        <v>2</v>
      </c>
      <c r="S88" s="180">
        <f t="shared" ca="1" si="8"/>
        <v>0.57000649767511802</v>
      </c>
      <c r="T88" s="180">
        <f t="shared" ca="1" si="8"/>
        <v>0.41786267083128198</v>
      </c>
      <c r="U88">
        <f ca="1">IF(S88=-1,-1,VLOOKUP(R88,'Vehicle weight data'!$A$4:$C$9,2,0))</f>
        <v>1000</v>
      </c>
      <c r="V88">
        <f ca="1">IF(S88=-1,-1,VLOOKUP(R88,'Vehicle weight data'!$A$4:$C$9,3,0))</f>
        <v>2000</v>
      </c>
      <c r="W88">
        <f t="shared" ca="1" si="9"/>
        <v>1500</v>
      </c>
    </row>
    <row r="89" spans="1:23" x14ac:dyDescent="0.25">
      <c r="A89" t="s">
        <v>246</v>
      </c>
      <c r="B89" t="s">
        <v>237</v>
      </c>
      <c r="C89" t="s">
        <v>238</v>
      </c>
      <c r="D89" t="s">
        <v>260</v>
      </c>
      <c r="E89" t="s">
        <v>228</v>
      </c>
      <c r="F89">
        <v>1994</v>
      </c>
      <c r="G89">
        <v>2.9632676056338101E-4</v>
      </c>
      <c r="H89" t="s">
        <v>240</v>
      </c>
      <c r="I89" t="s">
        <v>241</v>
      </c>
      <c r="J89" t="s">
        <v>3</v>
      </c>
      <c r="K89" s="183">
        <f ca="1">VLOOKUP(F89,
    OFFSET(INDIRECT(ADDRESS(MATCH(J89,'Vehicle numbers'!$A$5:$A$162,0),1,1,1,$L$6)),4,1,COUNTIF('Vehicle numbers'!$A$5:$A$162,J89),4),
    MATCH(K$8,'Vehicle numbers'!$B$4:$D$4,0))*1000</f>
        <v>720922</v>
      </c>
      <c r="L89" s="183">
        <f ca="1">VLOOKUP(F89,
    OFFSET(INDIRECT(ADDRESS(MATCH(J89,'Vehicle numbers'!$A$5:$A$162,0),1,1,1,$L$6)),4,1,COUNTIF('Vehicle numbers'!$A$5:$A$162,J89),4),
    MATCH(L$8,'Vehicle numbers'!$B$4:$D$4,0))*1000</f>
        <v>734169.79208516877</v>
      </c>
      <c r="M89" s="184">
        <f>VLOOKUP(F89,'Annual distance covered (GB)'!$A$8:$H$33,MATCH(J89,'Annual distance covered (GB)'!$A$7:$H$7,0))</f>
        <v>3.8</v>
      </c>
      <c r="N89" s="2">
        <f t="shared" ca="1" si="10"/>
        <v>1146.734034375339</v>
      </c>
      <c r="O89" s="180">
        <f t="shared" ca="1" si="11"/>
        <v>1.5619466324246557E-3</v>
      </c>
      <c r="P89" s="180"/>
      <c r="Q89" s="185">
        <f>Q88</f>
        <v>2007</v>
      </c>
      <c r="R89" s="186" t="s">
        <v>188</v>
      </c>
      <c r="S89" s="180">
        <f t="shared" ca="1" si="8"/>
        <v>1.3538265193668939</v>
      </c>
      <c r="T89" s="180">
        <f t="shared" ca="1" si="8"/>
        <v>0.97946457365067352</v>
      </c>
      <c r="U89">
        <f ca="1">IF(S89=-1,-1,VLOOKUP(R89,'Vehicle weight data'!$A$4:$C$9,2,0))</f>
        <v>1500</v>
      </c>
      <c r="V89">
        <f ca="1">IF(S89=-1,-1,VLOOKUP(R89,'Vehicle weight data'!$A$4:$C$9,3,0))</f>
        <v>3500</v>
      </c>
      <c r="W89">
        <f t="shared" ca="1" si="9"/>
        <v>2500</v>
      </c>
    </row>
    <row r="90" spans="1:23" x14ac:dyDescent="0.25">
      <c r="A90" t="s">
        <v>236</v>
      </c>
      <c r="B90" t="s">
        <v>237</v>
      </c>
      <c r="C90" t="s">
        <v>238</v>
      </c>
      <c r="D90" t="s">
        <v>261</v>
      </c>
      <c r="E90" t="s">
        <v>229</v>
      </c>
      <c r="F90">
        <v>1994</v>
      </c>
      <c r="G90">
        <v>5.8399999999999902E-3</v>
      </c>
      <c r="H90" t="s">
        <v>240</v>
      </c>
      <c r="I90" t="s">
        <v>241</v>
      </c>
      <c r="J90" t="s">
        <v>3</v>
      </c>
      <c r="K90" s="183">
        <f ca="1">VLOOKUP(F90,
    OFFSET(INDIRECT(ADDRESS(MATCH(J90,'Vehicle numbers'!$A$5:$A$162,0),1,1,1,$L$6)),4,1,COUNTIF('Vehicle numbers'!$A$5:$A$162,J90),4),
    MATCH(K$8,'Vehicle numbers'!$B$4:$D$4,0))*1000</f>
        <v>720922</v>
      </c>
      <c r="L90" s="183">
        <f ca="1">VLOOKUP(F90,
    OFFSET(INDIRECT(ADDRESS(MATCH(J90,'Vehicle numbers'!$A$5:$A$162,0),1,1,1,$L$6)),4,1,COUNTIF('Vehicle numbers'!$A$5:$A$162,J90),4),
    MATCH(L$8,'Vehicle numbers'!$B$4:$D$4,0))*1000</f>
        <v>734169.79208516877</v>
      </c>
      <c r="M90" s="184">
        <f>VLOOKUP(F90,'Annual distance covered (GB)'!$A$8:$H$33,MATCH(J90,'Annual distance covered (GB)'!$A$7:$H$7,0))</f>
        <v>3.8</v>
      </c>
      <c r="N90" s="2">
        <f t="shared" ca="1" si="10"/>
        <v>22599.804175700054</v>
      </c>
      <c r="O90" s="180">
        <f t="shared" ca="1" si="11"/>
        <v>3.0782803132655068E-2</v>
      </c>
      <c r="P90" s="180"/>
      <c r="Q90" s="185">
        <f>Q89</f>
        <v>2007</v>
      </c>
      <c r="R90" s="187" t="s">
        <v>245</v>
      </c>
      <c r="S90" s="180">
        <f t="shared" ref="S90:T109" si="12">IF(SUMIFS($O$10:$O$3241,$F$10:$F$3241,$Q90,$J$10:$J$3241,$R90,$E$10:$E$3241,S$8)=0,-1,SUMIFS($O$10:$O$3241,$F$10:$F$3241,$Q90,$J$10:$J$3241,$R90,$E$10:$E$3241,S$8))</f>
        <v>-1</v>
      </c>
      <c r="T90" s="180">
        <f t="shared" si="12"/>
        <v>-1</v>
      </c>
      <c r="U90">
        <f>IF(S90=-1,-1,VLOOKUP(R90,'Vehicle weight data'!$A$4:$C$9,2,0))</f>
        <v>-1</v>
      </c>
      <c r="V90">
        <f>IF(S90=-1,-1,VLOOKUP(R90,'Vehicle weight data'!$A$4:$C$9,3,0))</f>
        <v>-1</v>
      </c>
      <c r="W90">
        <f t="shared" si="9"/>
        <v>-1</v>
      </c>
    </row>
    <row r="91" spans="1:23" x14ac:dyDescent="0.25">
      <c r="A91" t="s">
        <v>243</v>
      </c>
      <c r="B91" t="s">
        <v>237</v>
      </c>
      <c r="C91" t="s">
        <v>238</v>
      </c>
      <c r="D91" t="s">
        <v>261</v>
      </c>
      <c r="E91" t="s">
        <v>229</v>
      </c>
      <c r="F91">
        <v>1994</v>
      </c>
      <c r="G91">
        <v>2.336E-3</v>
      </c>
      <c r="H91" t="s">
        <v>240</v>
      </c>
      <c r="I91" t="s">
        <v>241</v>
      </c>
      <c r="J91" t="s">
        <v>3</v>
      </c>
      <c r="K91" s="183">
        <f ca="1">VLOOKUP(F91,
    OFFSET(INDIRECT(ADDRESS(MATCH(J91,'Vehicle numbers'!$A$5:$A$162,0),1,1,1,$L$6)),4,1,COUNTIF('Vehicle numbers'!$A$5:$A$162,J91),4),
    MATCH(K$8,'Vehicle numbers'!$B$4:$D$4,0))*1000</f>
        <v>720922</v>
      </c>
      <c r="L91" s="183">
        <f ca="1">VLOOKUP(F91,
    OFFSET(INDIRECT(ADDRESS(MATCH(J91,'Vehicle numbers'!$A$5:$A$162,0),1,1,1,$L$6)),4,1,COUNTIF('Vehicle numbers'!$A$5:$A$162,J91),4),
    MATCH(L$8,'Vehicle numbers'!$B$4:$D$4,0))*1000</f>
        <v>734169.79208516877</v>
      </c>
      <c r="M91" s="184">
        <f>VLOOKUP(F91,'Annual distance covered (GB)'!$A$8:$H$33,MATCH(J91,'Annual distance covered (GB)'!$A$7:$H$7,0))</f>
        <v>3.8</v>
      </c>
      <c r="N91" s="2">
        <f t="shared" ca="1" si="10"/>
        <v>9039.9216702800368</v>
      </c>
      <c r="O91" s="180">
        <f t="shared" ca="1" si="11"/>
        <v>1.2313121253062049E-2</v>
      </c>
      <c r="P91" s="180"/>
      <c r="Q91" s="185">
        <f>Q90</f>
        <v>2007</v>
      </c>
      <c r="R91" s="188" t="s">
        <v>247</v>
      </c>
      <c r="S91" s="180">
        <f t="shared" si="12"/>
        <v>-1</v>
      </c>
      <c r="T91" s="180">
        <f t="shared" si="12"/>
        <v>-1</v>
      </c>
      <c r="U91">
        <f>IF(S91=-1,-1,VLOOKUP(R91,'Vehicle weight data'!$A$4:$C$9,2,0))</f>
        <v>-1</v>
      </c>
      <c r="V91">
        <f>IF(S91=-1,-1,VLOOKUP(R91,'Vehicle weight data'!$A$4:$C$9,3,0))</f>
        <v>-1</v>
      </c>
      <c r="W91">
        <f t="shared" si="9"/>
        <v>-1</v>
      </c>
    </row>
    <row r="92" spans="1:23" x14ac:dyDescent="0.25">
      <c r="A92" t="s">
        <v>244</v>
      </c>
      <c r="B92" t="s">
        <v>237</v>
      </c>
      <c r="C92" t="s">
        <v>238</v>
      </c>
      <c r="D92" t="s">
        <v>261</v>
      </c>
      <c r="E92" t="s">
        <v>229</v>
      </c>
      <c r="F92">
        <v>1994</v>
      </c>
      <c r="G92">
        <v>5.8399999999999999E-4</v>
      </c>
      <c r="H92" t="s">
        <v>240</v>
      </c>
      <c r="I92" t="s">
        <v>241</v>
      </c>
      <c r="J92" t="s">
        <v>3</v>
      </c>
      <c r="K92" s="183">
        <f ca="1">VLOOKUP(F92,
    OFFSET(INDIRECT(ADDRESS(MATCH(J92,'Vehicle numbers'!$A$5:$A$162,0),1,1,1,$L$6)),4,1,COUNTIF('Vehicle numbers'!$A$5:$A$162,J92),4),
    MATCH(K$8,'Vehicle numbers'!$B$4:$D$4,0))*1000</f>
        <v>720922</v>
      </c>
      <c r="L92" s="183">
        <f ca="1">VLOOKUP(F92,
    OFFSET(INDIRECT(ADDRESS(MATCH(J92,'Vehicle numbers'!$A$5:$A$162,0),1,1,1,$L$6)),4,1,COUNTIF('Vehicle numbers'!$A$5:$A$162,J92),4),
    MATCH(L$8,'Vehicle numbers'!$B$4:$D$4,0))*1000</f>
        <v>734169.79208516877</v>
      </c>
      <c r="M92" s="184">
        <f>VLOOKUP(F92,'Annual distance covered (GB)'!$A$8:$H$33,MATCH(J92,'Annual distance covered (GB)'!$A$7:$H$7,0))</f>
        <v>3.8</v>
      </c>
      <c r="N92" s="2">
        <f t="shared" ca="1" si="10"/>
        <v>2259.9804175700092</v>
      </c>
      <c r="O92" s="180">
        <f t="shared" ca="1" si="11"/>
        <v>3.0782803132655121E-3</v>
      </c>
      <c r="P92" s="180"/>
      <c r="Q92" s="185">
        <f>Q91</f>
        <v>2007</v>
      </c>
      <c r="R92" s="186" t="s">
        <v>3</v>
      </c>
      <c r="S92" s="180">
        <f t="shared" ca="1" si="12"/>
        <v>0.1380175852204682</v>
      </c>
      <c r="T92" s="180">
        <f t="shared" ca="1" si="12"/>
        <v>0.14593775158793287</v>
      </c>
      <c r="U92">
        <f ca="1">IF(S92=-1,-1,VLOOKUP(R92,'Vehicle weight data'!$A$4:$C$9,2,0))</f>
        <v>100</v>
      </c>
      <c r="V92">
        <f ca="1">IF(S92=-1,-1,VLOOKUP(R92,'Vehicle weight data'!$A$4:$C$9,3,0))</f>
        <v>200</v>
      </c>
      <c r="W92">
        <f t="shared" ca="1" si="9"/>
        <v>150</v>
      </c>
    </row>
    <row r="93" spans="1:23" x14ac:dyDescent="0.25">
      <c r="A93" t="s">
        <v>246</v>
      </c>
      <c r="B93" t="s">
        <v>237</v>
      </c>
      <c r="C93" t="s">
        <v>238</v>
      </c>
      <c r="D93" t="s">
        <v>261</v>
      </c>
      <c r="E93" t="s">
        <v>229</v>
      </c>
      <c r="F93">
        <v>1994</v>
      </c>
      <c r="G93">
        <v>4.6720000000000003E-4</v>
      </c>
      <c r="H93" t="s">
        <v>240</v>
      </c>
      <c r="I93" t="s">
        <v>241</v>
      </c>
      <c r="J93" t="s">
        <v>3</v>
      </c>
      <c r="K93" s="183">
        <f ca="1">VLOOKUP(F93,
    OFFSET(INDIRECT(ADDRESS(MATCH(J93,'Vehicle numbers'!$A$5:$A$162,0),1,1,1,$L$6)),4,1,COUNTIF('Vehicle numbers'!$A$5:$A$162,J93),4),
    MATCH(K$8,'Vehicle numbers'!$B$4:$D$4,0))*1000</f>
        <v>720922</v>
      </c>
      <c r="L93" s="183">
        <f ca="1">VLOOKUP(F93,
    OFFSET(INDIRECT(ADDRESS(MATCH(J93,'Vehicle numbers'!$A$5:$A$162,0),1,1,1,$L$6)),4,1,COUNTIF('Vehicle numbers'!$A$5:$A$162,J93),4),
    MATCH(L$8,'Vehicle numbers'!$B$4:$D$4,0))*1000</f>
        <v>734169.79208516877</v>
      </c>
      <c r="M93" s="184">
        <f>VLOOKUP(F93,'Annual distance covered (GB)'!$A$8:$H$33,MATCH(J93,'Annual distance covered (GB)'!$A$7:$H$7,0))</f>
        <v>3.8</v>
      </c>
      <c r="N93" s="2">
        <f t="shared" ca="1" si="10"/>
        <v>1807.9843340560076</v>
      </c>
      <c r="O93" s="180">
        <f t="shared" ca="1" si="11"/>
        <v>2.4626242506124098E-3</v>
      </c>
      <c r="P93" s="180"/>
      <c r="Q93" s="185">
        <f>Q92</f>
        <v>2007</v>
      </c>
      <c r="R93" s="186" t="s">
        <v>41</v>
      </c>
      <c r="S93" s="180">
        <f t="shared" ca="1" si="12"/>
        <v>2.993037815588365</v>
      </c>
      <c r="T93" s="180">
        <f t="shared" ca="1" si="12"/>
        <v>4.3004551430234672</v>
      </c>
      <c r="U93">
        <f ca="1">IF(S93=-1,-1,VLOOKUP(R93,'Vehicle weight data'!$A$4:$C$9,2,0))</f>
        <v>3500</v>
      </c>
      <c r="V93">
        <f ca="1">IF(S93=-1,-1,VLOOKUP(R93,'Vehicle weight data'!$A$4:$C$9,3,0))</f>
        <v>24000</v>
      </c>
      <c r="W93">
        <f t="shared" ca="1" si="9"/>
        <v>13750</v>
      </c>
    </row>
    <row r="94" spans="1:23" x14ac:dyDescent="0.25">
      <c r="A94" t="s">
        <v>236</v>
      </c>
      <c r="B94" t="s">
        <v>237</v>
      </c>
      <c r="C94" t="s">
        <v>238</v>
      </c>
      <c r="D94" t="s">
        <v>261</v>
      </c>
      <c r="E94" t="s">
        <v>228</v>
      </c>
      <c r="F94">
        <v>1994</v>
      </c>
      <c r="G94">
        <v>3.7569999999999999E-3</v>
      </c>
      <c r="H94" t="s">
        <v>240</v>
      </c>
      <c r="I94" t="s">
        <v>241</v>
      </c>
      <c r="J94" t="s">
        <v>3</v>
      </c>
      <c r="K94" s="183">
        <f ca="1">VLOOKUP(F94,
    OFFSET(INDIRECT(ADDRESS(MATCH(J94,'Vehicle numbers'!$A$5:$A$162,0),1,1,1,$L$6)),4,1,COUNTIF('Vehicle numbers'!$A$5:$A$162,J94),4),
    MATCH(K$8,'Vehicle numbers'!$B$4:$D$4,0))*1000</f>
        <v>720922</v>
      </c>
      <c r="L94" s="183">
        <f ca="1">VLOOKUP(F94,
    OFFSET(INDIRECT(ADDRESS(MATCH(J94,'Vehicle numbers'!$A$5:$A$162,0),1,1,1,$L$6)),4,1,COUNTIF('Vehicle numbers'!$A$5:$A$162,J94),4),
    MATCH(L$8,'Vehicle numbers'!$B$4:$D$4,0))*1000</f>
        <v>734169.79208516877</v>
      </c>
      <c r="M94" s="184">
        <f>VLOOKUP(F94,'Annual distance covered (GB)'!$A$8:$H$33,MATCH(J94,'Annual distance covered (GB)'!$A$7:$H$7,0))</f>
        <v>3.8</v>
      </c>
      <c r="N94" s="2">
        <f t="shared" ca="1" si="10"/>
        <v>14538.949364401584</v>
      </c>
      <c r="O94" s="180">
        <f t="shared" ca="1" si="11"/>
        <v>1.9803251946812549E-2</v>
      </c>
      <c r="P94" s="180"/>
      <c r="Q94" s="185">
        <f>Q93+1</f>
        <v>2008</v>
      </c>
      <c r="R94" s="186" t="s">
        <v>2</v>
      </c>
      <c r="S94" s="180">
        <f t="shared" ca="1" si="12"/>
        <v>0.5626445334342689</v>
      </c>
      <c r="T94" s="180">
        <f t="shared" ca="1" si="12"/>
        <v>0.41247146077822572</v>
      </c>
      <c r="U94">
        <f ca="1">IF(S94=-1,-1,VLOOKUP(R94,'Vehicle weight data'!$A$4:$C$9,2,0))</f>
        <v>1000</v>
      </c>
      <c r="V94">
        <f ca="1">IF(S94=-1,-1,VLOOKUP(R94,'Vehicle weight data'!$A$4:$C$9,3,0))</f>
        <v>2000</v>
      </c>
      <c r="W94">
        <f t="shared" ca="1" si="9"/>
        <v>1500</v>
      </c>
    </row>
    <row r="95" spans="1:23" x14ac:dyDescent="0.25">
      <c r="A95" t="s">
        <v>243</v>
      </c>
      <c r="B95" t="s">
        <v>237</v>
      </c>
      <c r="C95" t="s">
        <v>238</v>
      </c>
      <c r="D95" t="s">
        <v>261</v>
      </c>
      <c r="E95" t="s">
        <v>228</v>
      </c>
      <c r="F95">
        <v>1994</v>
      </c>
      <c r="G95">
        <v>2.6299000000000001E-3</v>
      </c>
      <c r="H95" t="s">
        <v>240</v>
      </c>
      <c r="I95" t="s">
        <v>241</v>
      </c>
      <c r="J95" t="s">
        <v>3</v>
      </c>
      <c r="K95" s="183">
        <f ca="1">VLOOKUP(F95,
    OFFSET(INDIRECT(ADDRESS(MATCH(J95,'Vehicle numbers'!$A$5:$A$162,0),1,1,1,$L$6)),4,1,COUNTIF('Vehicle numbers'!$A$5:$A$162,J95),4),
    MATCH(K$8,'Vehicle numbers'!$B$4:$D$4,0))*1000</f>
        <v>720922</v>
      </c>
      <c r="L95" s="183">
        <f ca="1">VLOOKUP(F95,
    OFFSET(INDIRECT(ADDRESS(MATCH(J95,'Vehicle numbers'!$A$5:$A$162,0),1,1,1,$L$6)),4,1,COUNTIF('Vehicle numbers'!$A$5:$A$162,J95),4),
    MATCH(L$8,'Vehicle numbers'!$B$4:$D$4,0))*1000</f>
        <v>734169.79208516877</v>
      </c>
      <c r="M95" s="184">
        <f>VLOOKUP(F95,'Annual distance covered (GB)'!$A$8:$H$33,MATCH(J95,'Annual distance covered (GB)'!$A$7:$H$7,0))</f>
        <v>3.8</v>
      </c>
      <c r="N95" s="2">
        <f t="shared" ca="1" si="10"/>
        <v>10177.26455508111</v>
      </c>
      <c r="O95" s="180">
        <f t="shared" ca="1" si="11"/>
        <v>1.3862276362768787E-2</v>
      </c>
      <c r="P95" s="180"/>
      <c r="Q95" s="185">
        <f>Q94</f>
        <v>2008</v>
      </c>
      <c r="R95" s="186" t="s">
        <v>188</v>
      </c>
      <c r="S95" s="180">
        <f t="shared" ca="1" si="12"/>
        <v>1.3258805183183753</v>
      </c>
      <c r="T95" s="180">
        <f t="shared" ca="1" si="12"/>
        <v>0.95924623872321968</v>
      </c>
      <c r="U95">
        <f ca="1">IF(S95=-1,-1,VLOOKUP(R95,'Vehicle weight data'!$A$4:$C$9,2,0))</f>
        <v>1500</v>
      </c>
      <c r="V95">
        <f ca="1">IF(S95=-1,-1,VLOOKUP(R95,'Vehicle weight data'!$A$4:$C$9,3,0))</f>
        <v>3500</v>
      </c>
      <c r="W95">
        <f t="shared" ca="1" si="9"/>
        <v>2500</v>
      </c>
    </row>
    <row r="96" spans="1:23" x14ac:dyDescent="0.25">
      <c r="A96" t="s">
        <v>244</v>
      </c>
      <c r="B96" t="s">
        <v>237</v>
      </c>
      <c r="C96" t="s">
        <v>238</v>
      </c>
      <c r="D96" t="s">
        <v>261</v>
      </c>
      <c r="E96" t="s">
        <v>228</v>
      </c>
      <c r="F96">
        <v>1994</v>
      </c>
      <c r="G96">
        <v>3.7040845070422499E-4</v>
      </c>
      <c r="H96" t="s">
        <v>240</v>
      </c>
      <c r="I96" t="s">
        <v>241</v>
      </c>
      <c r="J96" t="s">
        <v>3</v>
      </c>
      <c r="K96" s="183">
        <f ca="1">VLOOKUP(F96,
    OFFSET(INDIRECT(ADDRESS(MATCH(J96,'Vehicle numbers'!$A$5:$A$162,0),1,1,1,$L$6)),4,1,COUNTIF('Vehicle numbers'!$A$5:$A$162,J96),4),
    MATCH(K$8,'Vehicle numbers'!$B$4:$D$4,0))*1000</f>
        <v>720922</v>
      </c>
      <c r="L96" s="183">
        <f ca="1">VLOOKUP(F96,
    OFFSET(INDIRECT(ADDRESS(MATCH(J96,'Vehicle numbers'!$A$5:$A$162,0),1,1,1,$L$6)),4,1,COUNTIF('Vehicle numbers'!$A$5:$A$162,J96),4),
    MATCH(L$8,'Vehicle numbers'!$B$4:$D$4,0))*1000</f>
        <v>734169.79208516877</v>
      </c>
      <c r="M96" s="184">
        <f>VLOOKUP(F96,'Annual distance covered (GB)'!$A$8:$H$33,MATCH(J96,'Annual distance covered (GB)'!$A$7:$H$7,0))</f>
        <v>3.8</v>
      </c>
      <c r="N96" s="2">
        <f t="shared" ca="1" si="10"/>
        <v>1433.4175429691691</v>
      </c>
      <c r="O96" s="180">
        <f t="shared" ca="1" si="11"/>
        <v>1.9524332905308133E-3</v>
      </c>
      <c r="P96" s="180"/>
      <c r="Q96" s="185">
        <f>Q95</f>
        <v>2008</v>
      </c>
      <c r="R96" s="187" t="s">
        <v>245</v>
      </c>
      <c r="S96" s="180">
        <f t="shared" si="12"/>
        <v>-1</v>
      </c>
      <c r="T96" s="180">
        <f t="shared" si="12"/>
        <v>-1</v>
      </c>
      <c r="U96">
        <f>IF(S96=-1,-1,VLOOKUP(R96,'Vehicle weight data'!$A$4:$C$9,2,0))</f>
        <v>-1</v>
      </c>
      <c r="V96">
        <f>IF(S96=-1,-1,VLOOKUP(R96,'Vehicle weight data'!$A$4:$C$9,3,0))</f>
        <v>-1</v>
      </c>
      <c r="W96">
        <f t="shared" si="9"/>
        <v>-1</v>
      </c>
    </row>
    <row r="97" spans="1:23" x14ac:dyDescent="0.25">
      <c r="A97" t="s">
        <v>246</v>
      </c>
      <c r="B97" t="s">
        <v>237</v>
      </c>
      <c r="C97" t="s">
        <v>238</v>
      </c>
      <c r="D97" t="s">
        <v>261</v>
      </c>
      <c r="E97" t="s">
        <v>228</v>
      </c>
      <c r="F97">
        <v>1994</v>
      </c>
      <c r="G97">
        <v>2.9632676056337998E-4</v>
      </c>
      <c r="H97" t="s">
        <v>240</v>
      </c>
      <c r="I97" t="s">
        <v>241</v>
      </c>
      <c r="J97" t="s">
        <v>3</v>
      </c>
      <c r="K97" s="183">
        <f ca="1">VLOOKUP(F97,
    OFFSET(INDIRECT(ADDRESS(MATCH(J97,'Vehicle numbers'!$A$5:$A$162,0),1,1,1,$L$6)),4,1,COUNTIF('Vehicle numbers'!$A$5:$A$162,J97),4),
    MATCH(K$8,'Vehicle numbers'!$B$4:$D$4,0))*1000</f>
        <v>720922</v>
      </c>
      <c r="L97" s="183">
        <f ca="1">VLOOKUP(F97,
    OFFSET(INDIRECT(ADDRESS(MATCH(J97,'Vehicle numbers'!$A$5:$A$162,0),1,1,1,$L$6)),4,1,COUNTIF('Vehicle numbers'!$A$5:$A$162,J97),4),
    MATCH(L$8,'Vehicle numbers'!$B$4:$D$4,0))*1000</f>
        <v>734169.79208516877</v>
      </c>
      <c r="M97" s="184">
        <f>VLOOKUP(F97,'Annual distance covered (GB)'!$A$8:$H$33,MATCH(J97,'Annual distance covered (GB)'!$A$7:$H$7,0))</f>
        <v>3.8</v>
      </c>
      <c r="N97" s="2">
        <f t="shared" ca="1" si="10"/>
        <v>1146.7340343753351</v>
      </c>
      <c r="O97" s="180">
        <f t="shared" ca="1" si="11"/>
        <v>1.5619466324246504E-3</v>
      </c>
      <c r="P97" s="180"/>
      <c r="Q97" s="185">
        <f>Q96</f>
        <v>2008</v>
      </c>
      <c r="R97" s="188" t="s">
        <v>247</v>
      </c>
      <c r="S97" s="180">
        <f t="shared" si="12"/>
        <v>-1</v>
      </c>
      <c r="T97" s="180">
        <f t="shared" si="12"/>
        <v>-1</v>
      </c>
      <c r="U97">
        <f>IF(S97=-1,-1,VLOOKUP(R97,'Vehicle weight data'!$A$4:$C$9,2,0))</f>
        <v>-1</v>
      </c>
      <c r="V97">
        <f>IF(S97=-1,-1,VLOOKUP(R97,'Vehicle weight data'!$A$4:$C$9,3,0))</f>
        <v>-1</v>
      </c>
      <c r="W97">
        <f t="shared" si="9"/>
        <v>-1</v>
      </c>
    </row>
    <row r="98" spans="1:23" x14ac:dyDescent="0.25">
      <c r="A98" t="s">
        <v>236</v>
      </c>
      <c r="B98" t="s">
        <v>237</v>
      </c>
      <c r="C98" t="s">
        <v>238</v>
      </c>
      <c r="D98" t="s">
        <v>262</v>
      </c>
      <c r="E98" t="s">
        <v>229</v>
      </c>
      <c r="F98">
        <v>1994</v>
      </c>
      <c r="G98">
        <v>6.8000000000000005E-4</v>
      </c>
      <c r="H98" t="s">
        <v>240</v>
      </c>
      <c r="I98" t="s">
        <v>241</v>
      </c>
      <c r="J98" t="s">
        <v>3</v>
      </c>
      <c r="K98" s="183">
        <f ca="1">VLOOKUP(F98,
    OFFSET(INDIRECT(ADDRESS(MATCH(J98,'Vehicle numbers'!$A$5:$A$162,0),1,1,1,$L$6)),4,1,COUNTIF('Vehicle numbers'!$A$5:$A$162,J98),4),
    MATCH(K$8,'Vehicle numbers'!$B$4:$D$4,0))*1000</f>
        <v>720922</v>
      </c>
      <c r="L98" s="183">
        <f ca="1">VLOOKUP(F98,
    OFFSET(INDIRECT(ADDRESS(MATCH(J98,'Vehicle numbers'!$A$5:$A$162,0),1,1,1,$L$6)),4,1,COUNTIF('Vehicle numbers'!$A$5:$A$162,J98),4),
    MATCH(L$8,'Vehicle numbers'!$B$4:$D$4,0))*1000</f>
        <v>734169.79208516877</v>
      </c>
      <c r="M98" s="184">
        <f>VLOOKUP(F98,'Annual distance covered (GB)'!$A$8:$H$33,MATCH(J98,'Annual distance covered (GB)'!$A$7:$H$7,0))</f>
        <v>3.8</v>
      </c>
      <c r="N98" s="2">
        <f t="shared" ca="1" si="10"/>
        <v>2631.4840478554906</v>
      </c>
      <c r="O98" s="180">
        <f t="shared" ca="1" si="11"/>
        <v>3.5842989948981995E-3</v>
      </c>
      <c r="P98" s="180"/>
      <c r="Q98" s="185">
        <f>Q97</f>
        <v>2008</v>
      </c>
      <c r="R98" s="186" t="s">
        <v>3</v>
      </c>
      <c r="S98" s="180">
        <f t="shared" ca="1" si="12"/>
        <v>0.12288673495647151</v>
      </c>
      <c r="T98" s="180">
        <f t="shared" ca="1" si="12"/>
        <v>0.12993861449526423</v>
      </c>
      <c r="U98">
        <f ca="1">IF(S98=-1,-1,VLOOKUP(R98,'Vehicle weight data'!$A$4:$C$9,2,0))</f>
        <v>100</v>
      </c>
      <c r="V98">
        <f ca="1">IF(S98=-1,-1,VLOOKUP(R98,'Vehicle weight data'!$A$4:$C$9,3,0))</f>
        <v>200</v>
      </c>
      <c r="W98">
        <f t="shared" ca="1" si="9"/>
        <v>150</v>
      </c>
    </row>
    <row r="99" spans="1:23" x14ac:dyDescent="0.25">
      <c r="A99" t="s">
        <v>243</v>
      </c>
      <c r="B99" t="s">
        <v>237</v>
      </c>
      <c r="C99" t="s">
        <v>238</v>
      </c>
      <c r="D99" t="s">
        <v>262</v>
      </c>
      <c r="E99" t="s">
        <v>229</v>
      </c>
      <c r="F99">
        <v>1994</v>
      </c>
      <c r="G99">
        <v>2.72E-4</v>
      </c>
      <c r="H99" t="s">
        <v>240</v>
      </c>
      <c r="I99" t="s">
        <v>241</v>
      </c>
      <c r="J99" t="s">
        <v>3</v>
      </c>
      <c r="K99" s="183">
        <f ca="1">VLOOKUP(F99,
    OFFSET(INDIRECT(ADDRESS(MATCH(J99,'Vehicle numbers'!$A$5:$A$162,0),1,1,1,$L$6)),4,1,COUNTIF('Vehicle numbers'!$A$5:$A$162,J99),4),
    MATCH(K$8,'Vehicle numbers'!$B$4:$D$4,0))*1000</f>
        <v>720922</v>
      </c>
      <c r="L99" s="183">
        <f ca="1">VLOOKUP(F99,
    OFFSET(INDIRECT(ADDRESS(MATCH(J99,'Vehicle numbers'!$A$5:$A$162,0),1,1,1,$L$6)),4,1,COUNTIF('Vehicle numbers'!$A$5:$A$162,J99),4),
    MATCH(L$8,'Vehicle numbers'!$B$4:$D$4,0))*1000</f>
        <v>734169.79208516877</v>
      </c>
      <c r="M99" s="184">
        <f>VLOOKUP(F99,'Annual distance covered (GB)'!$A$8:$H$33,MATCH(J99,'Annual distance covered (GB)'!$A$7:$H$7,0))</f>
        <v>3.8</v>
      </c>
      <c r="N99" s="2">
        <f t="shared" ca="1" si="10"/>
        <v>1052.5936191421961</v>
      </c>
      <c r="O99" s="180">
        <f t="shared" ca="1" si="11"/>
        <v>1.4337195979592797E-3</v>
      </c>
      <c r="P99" s="180"/>
      <c r="Q99" s="185">
        <f>Q98</f>
        <v>2008</v>
      </c>
      <c r="R99" s="186" t="s">
        <v>41</v>
      </c>
      <c r="S99" s="180">
        <f t="shared" ca="1" si="12"/>
        <v>2.7945280828699492</v>
      </c>
      <c r="T99" s="180">
        <f t="shared" ca="1" si="12"/>
        <v>4.015377819827421</v>
      </c>
      <c r="U99">
        <f ca="1">IF(S99=-1,-1,VLOOKUP(R99,'Vehicle weight data'!$A$4:$C$9,2,0))</f>
        <v>3500</v>
      </c>
      <c r="V99">
        <f ca="1">IF(S99=-1,-1,VLOOKUP(R99,'Vehicle weight data'!$A$4:$C$9,3,0))</f>
        <v>24000</v>
      </c>
      <c r="W99">
        <f t="shared" ca="1" si="9"/>
        <v>13750</v>
      </c>
    </row>
    <row r="100" spans="1:23" x14ac:dyDescent="0.25">
      <c r="A100" t="s">
        <v>244</v>
      </c>
      <c r="B100" t="s">
        <v>237</v>
      </c>
      <c r="C100" t="s">
        <v>238</v>
      </c>
      <c r="D100" t="s">
        <v>262</v>
      </c>
      <c r="E100" t="s">
        <v>229</v>
      </c>
      <c r="F100">
        <v>1994</v>
      </c>
      <c r="G100" s="189">
        <v>6.7999999999999999E-5</v>
      </c>
      <c r="H100" t="s">
        <v>240</v>
      </c>
      <c r="I100" t="s">
        <v>241</v>
      </c>
      <c r="J100" t="s">
        <v>3</v>
      </c>
      <c r="K100" s="183">
        <f ca="1">VLOOKUP(F100,
    OFFSET(INDIRECT(ADDRESS(MATCH(J100,'Vehicle numbers'!$A$5:$A$162,0),1,1,1,$L$6)),4,1,COUNTIF('Vehicle numbers'!$A$5:$A$162,J100),4),
    MATCH(K$8,'Vehicle numbers'!$B$4:$D$4,0))*1000</f>
        <v>720922</v>
      </c>
      <c r="L100" s="183">
        <f ca="1">VLOOKUP(F100,
    OFFSET(INDIRECT(ADDRESS(MATCH(J100,'Vehicle numbers'!$A$5:$A$162,0),1,1,1,$L$6)),4,1,COUNTIF('Vehicle numbers'!$A$5:$A$162,J100),4),
    MATCH(L$8,'Vehicle numbers'!$B$4:$D$4,0))*1000</f>
        <v>734169.79208516877</v>
      </c>
      <c r="M100" s="184">
        <f>VLOOKUP(F100,'Annual distance covered (GB)'!$A$8:$H$33,MATCH(J100,'Annual distance covered (GB)'!$A$7:$H$7,0))</f>
        <v>3.8</v>
      </c>
      <c r="N100" s="2">
        <f t="shared" ca="1" si="10"/>
        <v>263.14840478554902</v>
      </c>
      <c r="O100" s="180">
        <f t="shared" ca="1" si="11"/>
        <v>3.5842989948981993E-4</v>
      </c>
      <c r="P100" s="180"/>
      <c r="Q100" s="185">
        <f>Q99+1</f>
        <v>2009</v>
      </c>
      <c r="R100" s="186" t="s">
        <v>2</v>
      </c>
      <c r="S100" s="180">
        <f t="shared" ca="1" si="12"/>
        <v>0.55950515080525876</v>
      </c>
      <c r="T100" s="180">
        <f t="shared" ca="1" si="12"/>
        <v>0.41016615018728275</v>
      </c>
      <c r="U100">
        <f ca="1">IF(S100=-1,-1,VLOOKUP(R100,'Vehicle weight data'!$A$4:$C$9,2,0))</f>
        <v>1000</v>
      </c>
      <c r="V100">
        <f ca="1">IF(S100=-1,-1,VLOOKUP(R100,'Vehicle weight data'!$A$4:$C$9,3,0))</f>
        <v>2000</v>
      </c>
      <c r="W100">
        <f t="shared" ca="1" si="9"/>
        <v>1500</v>
      </c>
    </row>
    <row r="101" spans="1:23" x14ac:dyDescent="0.25">
      <c r="A101" t="s">
        <v>246</v>
      </c>
      <c r="B101" t="s">
        <v>237</v>
      </c>
      <c r="C101" t="s">
        <v>238</v>
      </c>
      <c r="D101" t="s">
        <v>262</v>
      </c>
      <c r="E101" t="s">
        <v>229</v>
      </c>
      <c r="F101">
        <v>1994</v>
      </c>
      <c r="G101" s="189">
        <v>5.4400000000000001E-5</v>
      </c>
      <c r="H101" t="s">
        <v>240</v>
      </c>
      <c r="I101" t="s">
        <v>241</v>
      </c>
      <c r="J101" t="s">
        <v>3</v>
      </c>
      <c r="K101" s="183">
        <f ca="1">VLOOKUP(F101,
    OFFSET(INDIRECT(ADDRESS(MATCH(J101,'Vehicle numbers'!$A$5:$A$162,0),1,1,1,$L$6)),4,1,COUNTIF('Vehicle numbers'!$A$5:$A$162,J101),4),
    MATCH(K$8,'Vehicle numbers'!$B$4:$D$4,0))*1000</f>
        <v>720922</v>
      </c>
      <c r="L101" s="183">
        <f ca="1">VLOOKUP(F101,
    OFFSET(INDIRECT(ADDRESS(MATCH(J101,'Vehicle numbers'!$A$5:$A$162,0),1,1,1,$L$6)),4,1,COUNTIF('Vehicle numbers'!$A$5:$A$162,J101),4),
    MATCH(L$8,'Vehicle numbers'!$B$4:$D$4,0))*1000</f>
        <v>734169.79208516877</v>
      </c>
      <c r="M101" s="184">
        <f>VLOOKUP(F101,'Annual distance covered (GB)'!$A$8:$H$33,MATCH(J101,'Annual distance covered (GB)'!$A$7:$H$7,0))</f>
        <v>3.8</v>
      </c>
      <c r="N101" s="2">
        <f t="shared" ca="1" si="10"/>
        <v>210.51872382843925</v>
      </c>
      <c r="O101" s="180">
        <f t="shared" ca="1" si="11"/>
        <v>2.8674391959185595E-4</v>
      </c>
      <c r="P101" s="180"/>
      <c r="Q101" s="185">
        <f>Q100</f>
        <v>2009</v>
      </c>
      <c r="R101" s="186" t="s">
        <v>188</v>
      </c>
      <c r="S101" s="180">
        <f t="shared" ca="1" si="12"/>
        <v>1.3009288881678196</v>
      </c>
      <c r="T101" s="180">
        <f t="shared" ca="1" si="12"/>
        <v>0.94119426719090626</v>
      </c>
      <c r="U101">
        <f ca="1">IF(S101=-1,-1,VLOOKUP(R101,'Vehicle weight data'!$A$4:$C$9,2,0))</f>
        <v>1500</v>
      </c>
      <c r="V101">
        <f ca="1">IF(S101=-1,-1,VLOOKUP(R101,'Vehicle weight data'!$A$4:$C$9,3,0))</f>
        <v>3500</v>
      </c>
      <c r="W101">
        <f t="shared" ca="1" si="9"/>
        <v>2500</v>
      </c>
    </row>
    <row r="102" spans="1:23" x14ac:dyDescent="0.25">
      <c r="A102" t="s">
        <v>236</v>
      </c>
      <c r="B102" t="s">
        <v>237</v>
      </c>
      <c r="C102" t="s">
        <v>238</v>
      </c>
      <c r="D102" t="s">
        <v>262</v>
      </c>
      <c r="E102" t="s">
        <v>228</v>
      </c>
      <c r="F102">
        <v>1994</v>
      </c>
      <c r="G102">
        <v>2.49E-3</v>
      </c>
      <c r="H102" t="s">
        <v>240</v>
      </c>
      <c r="I102" t="s">
        <v>241</v>
      </c>
      <c r="J102" t="s">
        <v>3</v>
      </c>
      <c r="K102" s="183">
        <f ca="1">VLOOKUP(F102,
    OFFSET(INDIRECT(ADDRESS(MATCH(J102,'Vehicle numbers'!$A$5:$A$162,0),1,1,1,$L$6)),4,1,COUNTIF('Vehicle numbers'!$A$5:$A$162,J102),4),
    MATCH(K$8,'Vehicle numbers'!$B$4:$D$4,0))*1000</f>
        <v>720922</v>
      </c>
      <c r="L102" s="183">
        <f ca="1">VLOOKUP(F102,
    OFFSET(INDIRECT(ADDRESS(MATCH(J102,'Vehicle numbers'!$A$5:$A$162,0),1,1,1,$L$6)),4,1,COUNTIF('Vehicle numbers'!$A$5:$A$162,J102),4),
    MATCH(L$8,'Vehicle numbers'!$B$4:$D$4,0))*1000</f>
        <v>734169.79208516877</v>
      </c>
      <c r="M102" s="184">
        <f>VLOOKUP(F102,'Annual distance covered (GB)'!$A$8:$H$33,MATCH(J102,'Annual distance covered (GB)'!$A$7:$H$7,0))</f>
        <v>3.8</v>
      </c>
      <c r="N102" s="2">
        <f t="shared" ca="1" si="10"/>
        <v>9635.875410529663</v>
      </c>
      <c r="O102" s="180">
        <f t="shared" ca="1" si="11"/>
        <v>1.3124859554847818E-2</v>
      </c>
      <c r="P102" s="180"/>
      <c r="Q102" s="185">
        <f>Q101</f>
        <v>2009</v>
      </c>
      <c r="R102" s="187" t="s">
        <v>245</v>
      </c>
      <c r="S102" s="180">
        <f t="shared" si="12"/>
        <v>-1</v>
      </c>
      <c r="T102" s="180">
        <f t="shared" si="12"/>
        <v>-1</v>
      </c>
      <c r="U102">
        <f>IF(S102=-1,-1,VLOOKUP(R102,'Vehicle weight data'!$A$4:$C$9,2,0))</f>
        <v>-1</v>
      </c>
      <c r="V102">
        <f>IF(S102=-1,-1,VLOOKUP(R102,'Vehicle weight data'!$A$4:$C$9,3,0))</f>
        <v>-1</v>
      </c>
      <c r="W102">
        <f t="shared" si="9"/>
        <v>-1</v>
      </c>
    </row>
    <row r="103" spans="1:23" x14ac:dyDescent="0.25">
      <c r="A103" t="s">
        <v>243</v>
      </c>
      <c r="B103" t="s">
        <v>237</v>
      </c>
      <c r="C103" t="s">
        <v>238</v>
      </c>
      <c r="D103" t="s">
        <v>262</v>
      </c>
      <c r="E103" t="s">
        <v>228</v>
      </c>
      <c r="F103">
        <v>1994</v>
      </c>
      <c r="G103">
        <v>1.743E-3</v>
      </c>
      <c r="H103" t="s">
        <v>240</v>
      </c>
      <c r="I103" t="s">
        <v>241</v>
      </c>
      <c r="J103" t="s">
        <v>3</v>
      </c>
      <c r="K103" s="183">
        <f ca="1">VLOOKUP(F103,
    OFFSET(INDIRECT(ADDRESS(MATCH(J103,'Vehicle numbers'!$A$5:$A$162,0),1,1,1,$L$6)),4,1,COUNTIF('Vehicle numbers'!$A$5:$A$162,J103),4),
    MATCH(K$8,'Vehicle numbers'!$B$4:$D$4,0))*1000</f>
        <v>720922</v>
      </c>
      <c r="L103" s="183">
        <f ca="1">VLOOKUP(F103,
    OFFSET(INDIRECT(ADDRESS(MATCH(J103,'Vehicle numbers'!$A$5:$A$162,0),1,1,1,$L$6)),4,1,COUNTIF('Vehicle numbers'!$A$5:$A$162,J103),4),
    MATCH(L$8,'Vehicle numbers'!$B$4:$D$4,0))*1000</f>
        <v>734169.79208516877</v>
      </c>
      <c r="M103" s="184">
        <f>VLOOKUP(F103,'Annual distance covered (GB)'!$A$8:$H$33,MATCH(J103,'Annual distance covered (GB)'!$A$7:$H$7,0))</f>
        <v>3.8</v>
      </c>
      <c r="N103" s="2">
        <f t="shared" ca="1" si="10"/>
        <v>6745.1127873707646</v>
      </c>
      <c r="O103" s="180">
        <f t="shared" ca="1" si="11"/>
        <v>9.1874016883934737E-3</v>
      </c>
      <c r="P103" s="180"/>
      <c r="Q103" s="185">
        <f>Q102</f>
        <v>2009</v>
      </c>
      <c r="R103" s="188" t="s">
        <v>247</v>
      </c>
      <c r="S103" s="180">
        <f t="shared" si="12"/>
        <v>-1</v>
      </c>
      <c r="T103" s="180">
        <f t="shared" si="12"/>
        <v>-1</v>
      </c>
      <c r="U103">
        <f>IF(S103=-1,-1,VLOOKUP(R103,'Vehicle weight data'!$A$4:$C$9,2,0))</f>
        <v>-1</v>
      </c>
      <c r="V103">
        <f>IF(S103=-1,-1,VLOOKUP(R103,'Vehicle weight data'!$A$4:$C$9,3,0))</f>
        <v>-1</v>
      </c>
      <c r="W103">
        <f t="shared" si="9"/>
        <v>-1</v>
      </c>
    </row>
    <row r="104" spans="1:23" x14ac:dyDescent="0.25">
      <c r="A104" t="s">
        <v>244</v>
      </c>
      <c r="B104" t="s">
        <v>237</v>
      </c>
      <c r="C104" t="s">
        <v>238</v>
      </c>
      <c r="D104" t="s">
        <v>262</v>
      </c>
      <c r="E104" t="s">
        <v>228</v>
      </c>
      <c r="F104">
        <v>1994</v>
      </c>
      <c r="G104">
        <v>2.4549295774647798E-4</v>
      </c>
      <c r="H104" t="s">
        <v>240</v>
      </c>
      <c r="I104" t="s">
        <v>241</v>
      </c>
      <c r="J104" t="s">
        <v>3</v>
      </c>
      <c r="K104" s="183">
        <f ca="1">VLOOKUP(F104,
    OFFSET(INDIRECT(ADDRESS(MATCH(J104,'Vehicle numbers'!$A$5:$A$162,0),1,1,1,$L$6)),4,1,COUNTIF('Vehicle numbers'!$A$5:$A$162,J104),4),
    MATCH(K$8,'Vehicle numbers'!$B$4:$D$4,0))*1000</f>
        <v>720922</v>
      </c>
      <c r="L104" s="183">
        <f ca="1">VLOOKUP(F104,
    OFFSET(INDIRECT(ADDRESS(MATCH(J104,'Vehicle numbers'!$A$5:$A$162,0),1,1,1,$L$6)),4,1,COUNTIF('Vehicle numbers'!$A$5:$A$162,J104),4),
    MATCH(L$8,'Vehicle numbers'!$B$4:$D$4,0))*1000</f>
        <v>734169.79208516877</v>
      </c>
      <c r="M104" s="184">
        <f>VLOOKUP(F104,'Annual distance covered (GB)'!$A$8:$H$33,MATCH(J104,'Annual distance covered (GB)'!$A$7:$H$7,0))</f>
        <v>3.8</v>
      </c>
      <c r="N104" s="2">
        <f t="shared" ca="1" si="10"/>
        <v>950.01588554517457</v>
      </c>
      <c r="O104" s="180">
        <f t="shared" ca="1" si="11"/>
        <v>1.2940002378018928E-3</v>
      </c>
      <c r="P104" s="180"/>
      <c r="Q104" s="185">
        <f>Q103</f>
        <v>2009</v>
      </c>
      <c r="R104" s="186" t="s">
        <v>3</v>
      </c>
      <c r="S104" s="180">
        <f t="shared" ca="1" si="12"/>
        <v>0.12523903668822164</v>
      </c>
      <c r="T104" s="180">
        <f t="shared" ca="1" si="12"/>
        <v>0.13242590352614877</v>
      </c>
      <c r="U104">
        <f ca="1">IF(S104=-1,-1,VLOOKUP(R104,'Vehicle weight data'!$A$4:$C$9,2,0))</f>
        <v>100</v>
      </c>
      <c r="V104">
        <f ca="1">IF(S104=-1,-1,VLOOKUP(R104,'Vehicle weight data'!$A$4:$C$9,3,0))</f>
        <v>200</v>
      </c>
      <c r="W104">
        <f t="shared" ca="1" si="9"/>
        <v>150</v>
      </c>
    </row>
    <row r="105" spans="1:23" x14ac:dyDescent="0.25">
      <c r="A105" t="s">
        <v>246</v>
      </c>
      <c r="B105" t="s">
        <v>237</v>
      </c>
      <c r="C105" t="s">
        <v>238</v>
      </c>
      <c r="D105" t="s">
        <v>262</v>
      </c>
      <c r="E105" t="s">
        <v>228</v>
      </c>
      <c r="F105">
        <v>1994</v>
      </c>
      <c r="G105">
        <v>1.96394366197183E-4</v>
      </c>
      <c r="H105" t="s">
        <v>240</v>
      </c>
      <c r="I105" t="s">
        <v>241</v>
      </c>
      <c r="J105" t="s">
        <v>3</v>
      </c>
      <c r="K105" s="183">
        <f ca="1">VLOOKUP(F105,
    OFFSET(INDIRECT(ADDRESS(MATCH(J105,'Vehicle numbers'!$A$5:$A$162,0),1,1,1,$L$6)),4,1,COUNTIF('Vehicle numbers'!$A$5:$A$162,J105),4),
    MATCH(K$8,'Vehicle numbers'!$B$4:$D$4,0))*1000</f>
        <v>720922</v>
      </c>
      <c r="L105" s="183">
        <f ca="1">VLOOKUP(F105,
    OFFSET(INDIRECT(ADDRESS(MATCH(J105,'Vehicle numbers'!$A$5:$A$162,0),1,1,1,$L$6)),4,1,COUNTIF('Vehicle numbers'!$A$5:$A$162,J105),4),
    MATCH(L$8,'Vehicle numbers'!$B$4:$D$4,0))*1000</f>
        <v>734169.79208516877</v>
      </c>
      <c r="M105" s="184">
        <f>VLOOKUP(F105,'Annual distance covered (GB)'!$A$8:$H$33,MATCH(J105,'Annual distance covered (GB)'!$A$7:$H$7,0))</f>
        <v>3.8</v>
      </c>
      <c r="N105" s="2">
        <f t="shared" ca="1" si="10"/>
        <v>760.01270843614202</v>
      </c>
      <c r="O105" s="180">
        <f t="shared" ca="1" si="11"/>
        <v>1.0352001902415174E-3</v>
      </c>
      <c r="P105" s="180"/>
      <c r="Q105" s="185">
        <f>Q104</f>
        <v>2009</v>
      </c>
      <c r="R105" s="186" t="s">
        <v>41</v>
      </c>
      <c r="S105" s="180">
        <f t="shared" ca="1" si="12"/>
        <v>2.8222635045591122</v>
      </c>
      <c r="T105" s="180">
        <f t="shared" ca="1" si="12"/>
        <v>4.0552708832197464</v>
      </c>
      <c r="U105">
        <f ca="1">IF(S105=-1,-1,VLOOKUP(R105,'Vehicle weight data'!$A$4:$C$9,2,0))</f>
        <v>3500</v>
      </c>
      <c r="V105">
        <f ca="1">IF(S105=-1,-1,VLOOKUP(R105,'Vehicle weight data'!$A$4:$C$9,3,0))</f>
        <v>24000</v>
      </c>
      <c r="W105">
        <f t="shared" ca="1" si="9"/>
        <v>13750</v>
      </c>
    </row>
    <row r="106" spans="1:23" x14ac:dyDescent="0.25">
      <c r="A106" t="s">
        <v>236</v>
      </c>
      <c r="B106" t="s">
        <v>237</v>
      </c>
      <c r="C106" t="s">
        <v>238</v>
      </c>
      <c r="D106" t="s">
        <v>263</v>
      </c>
      <c r="E106" t="s">
        <v>229</v>
      </c>
      <c r="F106">
        <v>1994</v>
      </c>
      <c r="G106">
        <v>2.764E-3</v>
      </c>
      <c r="H106" t="s">
        <v>240</v>
      </c>
      <c r="I106" t="s">
        <v>241</v>
      </c>
      <c r="J106" t="s">
        <v>3</v>
      </c>
      <c r="K106" s="183">
        <f ca="1">VLOOKUP(F106,
    OFFSET(INDIRECT(ADDRESS(MATCH(J106,'Vehicle numbers'!$A$5:$A$162,0),1,1,1,$L$6)),4,1,COUNTIF('Vehicle numbers'!$A$5:$A$162,J106),4),
    MATCH(K$8,'Vehicle numbers'!$B$4:$D$4,0))*1000</f>
        <v>720922</v>
      </c>
      <c r="L106" s="183">
        <f ca="1">VLOOKUP(F106,
    OFFSET(INDIRECT(ADDRESS(MATCH(J106,'Vehicle numbers'!$A$5:$A$162,0),1,1,1,$L$6)),4,1,COUNTIF('Vehicle numbers'!$A$5:$A$162,J106),4),
    MATCH(L$8,'Vehicle numbers'!$B$4:$D$4,0))*1000</f>
        <v>734169.79208516877</v>
      </c>
      <c r="M106" s="184">
        <f>VLOOKUP(F106,'Annual distance covered (GB)'!$A$8:$H$33,MATCH(J106,'Annual distance covered (GB)'!$A$7:$H$7,0))</f>
        <v>3.8</v>
      </c>
      <c r="N106" s="2">
        <f t="shared" ca="1" si="10"/>
        <v>10696.208688636139</v>
      </c>
      <c r="O106" s="180">
        <f t="shared" ca="1" si="11"/>
        <v>1.4569121208674445E-2</v>
      </c>
      <c r="P106" s="180"/>
      <c r="Q106" s="185">
        <f>Q105+1</f>
        <v>2010</v>
      </c>
      <c r="R106" s="186" t="s">
        <v>2</v>
      </c>
      <c r="S106" s="180">
        <f t="shared" ca="1" si="12"/>
        <v>0.54931025170356396</v>
      </c>
      <c r="T106" s="180">
        <f t="shared" ca="1" si="12"/>
        <v>0.40269700980434148</v>
      </c>
      <c r="U106">
        <f ca="1">IF(S106=-1,-1,VLOOKUP(R106,'Vehicle weight data'!$A$4:$C$9,2,0))</f>
        <v>1000</v>
      </c>
      <c r="V106">
        <f ca="1">IF(S106=-1,-1,VLOOKUP(R106,'Vehicle weight data'!$A$4:$C$9,3,0))</f>
        <v>2000</v>
      </c>
      <c r="W106">
        <f t="shared" ref="W106:W137" ca="1" si="13">IF(V106=-1,-1,AVERAGE(U106:V106))</f>
        <v>1500</v>
      </c>
    </row>
    <row r="107" spans="1:23" x14ac:dyDescent="0.25">
      <c r="A107" t="s">
        <v>243</v>
      </c>
      <c r="B107" t="s">
        <v>237</v>
      </c>
      <c r="C107" t="s">
        <v>238</v>
      </c>
      <c r="D107" t="s">
        <v>263</v>
      </c>
      <c r="E107" t="s">
        <v>229</v>
      </c>
      <c r="F107">
        <v>1994</v>
      </c>
      <c r="G107">
        <v>1.1056E-3</v>
      </c>
      <c r="H107" t="s">
        <v>240</v>
      </c>
      <c r="I107" t="s">
        <v>241</v>
      </c>
      <c r="J107" t="s">
        <v>3</v>
      </c>
      <c r="K107" s="183">
        <f ca="1">VLOOKUP(F107,
    OFFSET(INDIRECT(ADDRESS(MATCH(J107,'Vehicle numbers'!$A$5:$A$162,0),1,1,1,$L$6)),4,1,COUNTIF('Vehicle numbers'!$A$5:$A$162,J107),4),
    MATCH(K$8,'Vehicle numbers'!$B$4:$D$4,0))*1000</f>
        <v>720922</v>
      </c>
      <c r="L107" s="183">
        <f ca="1">VLOOKUP(F107,
    OFFSET(INDIRECT(ADDRESS(MATCH(J107,'Vehicle numbers'!$A$5:$A$162,0),1,1,1,$L$6)),4,1,COUNTIF('Vehicle numbers'!$A$5:$A$162,J107),4),
    MATCH(L$8,'Vehicle numbers'!$B$4:$D$4,0))*1000</f>
        <v>734169.79208516877</v>
      </c>
      <c r="M107" s="184">
        <f>VLOOKUP(F107,'Annual distance covered (GB)'!$A$8:$H$33,MATCH(J107,'Annual distance covered (GB)'!$A$7:$H$7,0))</f>
        <v>3.8</v>
      </c>
      <c r="N107" s="2">
        <f t="shared" ca="1" si="10"/>
        <v>4278.4834754544563</v>
      </c>
      <c r="O107" s="180">
        <f t="shared" ca="1" si="11"/>
        <v>5.8276484834697785E-3</v>
      </c>
      <c r="P107" s="180"/>
      <c r="Q107" s="185">
        <f>Q106</f>
        <v>2010</v>
      </c>
      <c r="R107" s="186" t="s">
        <v>188</v>
      </c>
      <c r="S107" s="180">
        <f t="shared" ca="1" si="12"/>
        <v>1.3151633262732179</v>
      </c>
      <c r="T107" s="180">
        <f t="shared" ca="1" si="12"/>
        <v>0.95149257916117302</v>
      </c>
      <c r="U107">
        <f ca="1">IF(S107=-1,-1,VLOOKUP(R107,'Vehicle weight data'!$A$4:$C$9,2,0))</f>
        <v>1500</v>
      </c>
      <c r="V107">
        <f ca="1">IF(S107=-1,-1,VLOOKUP(R107,'Vehicle weight data'!$A$4:$C$9,3,0))</f>
        <v>3500</v>
      </c>
      <c r="W107">
        <f t="shared" ca="1" si="13"/>
        <v>2500</v>
      </c>
    </row>
    <row r="108" spans="1:23" x14ac:dyDescent="0.25">
      <c r="A108" t="s">
        <v>244</v>
      </c>
      <c r="B108" t="s">
        <v>237</v>
      </c>
      <c r="C108" t="s">
        <v>238</v>
      </c>
      <c r="D108" t="s">
        <v>263</v>
      </c>
      <c r="E108" t="s">
        <v>229</v>
      </c>
      <c r="F108">
        <v>1994</v>
      </c>
      <c r="G108">
        <v>2.764E-4</v>
      </c>
      <c r="H108" t="s">
        <v>240</v>
      </c>
      <c r="I108" t="s">
        <v>241</v>
      </c>
      <c r="J108" t="s">
        <v>3</v>
      </c>
      <c r="K108" s="183">
        <f ca="1">VLOOKUP(F108,
    OFFSET(INDIRECT(ADDRESS(MATCH(J108,'Vehicle numbers'!$A$5:$A$162,0),1,1,1,$L$6)),4,1,COUNTIF('Vehicle numbers'!$A$5:$A$162,J108),4),
    MATCH(K$8,'Vehicle numbers'!$B$4:$D$4,0))*1000</f>
        <v>720922</v>
      </c>
      <c r="L108" s="183">
        <f ca="1">VLOOKUP(F108,
    OFFSET(INDIRECT(ADDRESS(MATCH(J108,'Vehicle numbers'!$A$5:$A$162,0),1,1,1,$L$6)),4,1,COUNTIF('Vehicle numbers'!$A$5:$A$162,J108),4),
    MATCH(L$8,'Vehicle numbers'!$B$4:$D$4,0))*1000</f>
        <v>734169.79208516877</v>
      </c>
      <c r="M108" s="184">
        <f>VLOOKUP(F108,'Annual distance covered (GB)'!$A$8:$H$33,MATCH(J108,'Annual distance covered (GB)'!$A$7:$H$7,0))</f>
        <v>3.8</v>
      </c>
      <c r="N108" s="2">
        <f t="shared" ca="1" si="10"/>
        <v>1069.6208688636141</v>
      </c>
      <c r="O108" s="180">
        <f t="shared" ca="1" si="11"/>
        <v>1.4569121208674446E-3</v>
      </c>
      <c r="P108" s="180"/>
      <c r="Q108" s="185">
        <f>Q107</f>
        <v>2010</v>
      </c>
      <c r="R108" s="187" t="s">
        <v>245</v>
      </c>
      <c r="S108" s="180">
        <f t="shared" ca="1" si="12"/>
        <v>4.2654572035191309</v>
      </c>
      <c r="T108" s="180">
        <f t="shared" ca="1" si="12"/>
        <v>5.9640375227661053</v>
      </c>
      <c r="U108">
        <f ca="1">IF(S108=-1,-1,VLOOKUP(R108,'Vehicle weight data'!$A$4:$C$9,2,0))</f>
        <v>3500</v>
      </c>
      <c r="V108">
        <f ca="1">IF(S108=-1,-1,VLOOKUP(R108,'Vehicle weight data'!$A$4:$C$9,3,0))</f>
        <v>30000</v>
      </c>
      <c r="W108">
        <f t="shared" ca="1" si="13"/>
        <v>16750</v>
      </c>
    </row>
    <row r="109" spans="1:23" x14ac:dyDescent="0.25">
      <c r="A109" t="s">
        <v>246</v>
      </c>
      <c r="B109" t="s">
        <v>237</v>
      </c>
      <c r="C109" t="s">
        <v>238</v>
      </c>
      <c r="D109" t="s">
        <v>263</v>
      </c>
      <c r="E109" t="s">
        <v>229</v>
      </c>
      <c r="F109">
        <v>1994</v>
      </c>
      <c r="G109">
        <v>2.2112E-4</v>
      </c>
      <c r="H109" t="s">
        <v>240</v>
      </c>
      <c r="I109" t="s">
        <v>241</v>
      </c>
      <c r="J109" t="s">
        <v>3</v>
      </c>
      <c r="K109" s="183">
        <f ca="1">VLOOKUP(F109,
    OFFSET(INDIRECT(ADDRESS(MATCH(J109,'Vehicle numbers'!$A$5:$A$162,0),1,1,1,$L$6)),4,1,COUNTIF('Vehicle numbers'!$A$5:$A$162,J109),4),
    MATCH(K$8,'Vehicle numbers'!$B$4:$D$4,0))*1000</f>
        <v>720922</v>
      </c>
      <c r="L109" s="183">
        <f ca="1">VLOOKUP(F109,
    OFFSET(INDIRECT(ADDRESS(MATCH(J109,'Vehicle numbers'!$A$5:$A$162,0),1,1,1,$L$6)),4,1,COUNTIF('Vehicle numbers'!$A$5:$A$162,J109),4),
    MATCH(L$8,'Vehicle numbers'!$B$4:$D$4,0))*1000</f>
        <v>734169.79208516877</v>
      </c>
      <c r="M109" s="184">
        <f>VLOOKUP(F109,'Annual distance covered (GB)'!$A$8:$H$33,MATCH(J109,'Annual distance covered (GB)'!$A$7:$H$7,0))</f>
        <v>3.8</v>
      </c>
      <c r="N109" s="2">
        <f t="shared" ca="1" si="10"/>
        <v>855.69669509089124</v>
      </c>
      <c r="O109" s="180">
        <f t="shared" ca="1" si="11"/>
        <v>1.1655296966939556E-3</v>
      </c>
      <c r="P109" s="180"/>
      <c r="Q109" s="185">
        <f>Q108</f>
        <v>2010</v>
      </c>
      <c r="R109" s="188" t="s">
        <v>247</v>
      </c>
      <c r="S109" s="180">
        <f t="shared" ca="1" si="12"/>
        <v>32.474602210775736</v>
      </c>
      <c r="T109" s="180">
        <f t="shared" ca="1" si="12"/>
        <v>20.256857736812627</v>
      </c>
      <c r="U109">
        <f ca="1">IF(S109=-1,-1,VLOOKUP(R109,'Vehicle weight data'!$A$4:$C$9,2,0))</f>
        <v>30000</v>
      </c>
      <c r="V109">
        <f ca="1">IF(S109=-1,-1,VLOOKUP(R109,'Vehicle weight data'!$A$4:$C$9,3,0))</f>
        <v>44000</v>
      </c>
      <c r="W109">
        <f t="shared" ca="1" si="13"/>
        <v>37000</v>
      </c>
    </row>
    <row r="110" spans="1:23" x14ac:dyDescent="0.25">
      <c r="A110" t="s">
        <v>236</v>
      </c>
      <c r="B110" t="s">
        <v>237</v>
      </c>
      <c r="C110" t="s">
        <v>238</v>
      </c>
      <c r="D110" t="s">
        <v>263</v>
      </c>
      <c r="E110" t="s">
        <v>228</v>
      </c>
      <c r="F110">
        <v>1994</v>
      </c>
      <c r="G110">
        <v>2.9239999999999999E-3</v>
      </c>
      <c r="H110" t="s">
        <v>240</v>
      </c>
      <c r="I110" t="s">
        <v>241</v>
      </c>
      <c r="J110" t="s">
        <v>3</v>
      </c>
      <c r="K110" s="183">
        <f ca="1">VLOOKUP(F110,
    OFFSET(INDIRECT(ADDRESS(MATCH(J110,'Vehicle numbers'!$A$5:$A$162,0),1,1,1,$L$6)),4,1,COUNTIF('Vehicle numbers'!$A$5:$A$162,J110),4),
    MATCH(K$8,'Vehicle numbers'!$B$4:$D$4,0))*1000</f>
        <v>720922</v>
      </c>
      <c r="L110" s="183">
        <f ca="1">VLOOKUP(F110,
    OFFSET(INDIRECT(ADDRESS(MATCH(J110,'Vehicle numbers'!$A$5:$A$162,0),1,1,1,$L$6)),4,1,COUNTIF('Vehicle numbers'!$A$5:$A$162,J110),4),
    MATCH(L$8,'Vehicle numbers'!$B$4:$D$4,0))*1000</f>
        <v>734169.79208516877</v>
      </c>
      <c r="M110" s="184">
        <f>VLOOKUP(F110,'Annual distance covered (GB)'!$A$8:$H$33,MATCH(J110,'Annual distance covered (GB)'!$A$7:$H$7,0))</f>
        <v>3.8</v>
      </c>
      <c r="N110" s="2">
        <f t="shared" ca="1" si="10"/>
        <v>11315.381405778609</v>
      </c>
      <c r="O110" s="180">
        <f t="shared" ca="1" si="11"/>
        <v>1.5412485678062257E-2</v>
      </c>
      <c r="P110" s="180"/>
      <c r="Q110" s="185">
        <f>Q109</f>
        <v>2010</v>
      </c>
      <c r="R110" s="186" t="s">
        <v>3</v>
      </c>
      <c r="S110" s="180">
        <f t="shared" ref="S110:T129" ca="1" si="14">IF(SUMIFS($O$10:$O$3241,$F$10:$F$3241,$Q110,$J$10:$J$3241,$R110,$E$10:$E$3241,S$8)=0,-1,SUMIFS($O$10:$O$3241,$F$10:$F$3241,$Q110,$J$10:$J$3241,$R110,$E$10:$E$3241,S$8))</f>
        <v>0.11927539495888173</v>
      </c>
      <c r="T110" s="180">
        <f t="shared" ca="1" si="14"/>
        <v>0.12612003703916724</v>
      </c>
      <c r="U110">
        <f ca="1">IF(S110=-1,-1,VLOOKUP(R110,'Vehicle weight data'!$A$4:$C$9,2,0))</f>
        <v>100</v>
      </c>
      <c r="V110">
        <f ca="1">IF(S110=-1,-1,VLOOKUP(R110,'Vehicle weight data'!$A$4:$C$9,3,0))</f>
        <v>200</v>
      </c>
      <c r="W110">
        <f t="shared" ca="1" si="13"/>
        <v>150</v>
      </c>
    </row>
    <row r="111" spans="1:23" x14ac:dyDescent="0.25">
      <c r="A111" t="s">
        <v>243</v>
      </c>
      <c r="B111" t="s">
        <v>237</v>
      </c>
      <c r="C111" t="s">
        <v>238</v>
      </c>
      <c r="D111" t="s">
        <v>263</v>
      </c>
      <c r="E111" t="s">
        <v>228</v>
      </c>
      <c r="F111">
        <v>1994</v>
      </c>
      <c r="G111">
        <v>2.0468000000000001E-3</v>
      </c>
      <c r="H111" t="s">
        <v>240</v>
      </c>
      <c r="I111" t="s">
        <v>241</v>
      </c>
      <c r="J111" t="s">
        <v>3</v>
      </c>
      <c r="K111" s="183">
        <f ca="1">VLOOKUP(F111,
    OFFSET(INDIRECT(ADDRESS(MATCH(J111,'Vehicle numbers'!$A$5:$A$162,0),1,1,1,$L$6)),4,1,COUNTIF('Vehicle numbers'!$A$5:$A$162,J111),4),
    MATCH(K$8,'Vehicle numbers'!$B$4:$D$4,0))*1000</f>
        <v>720922</v>
      </c>
      <c r="L111" s="183">
        <f ca="1">VLOOKUP(F111,
    OFFSET(INDIRECT(ADDRESS(MATCH(J111,'Vehicle numbers'!$A$5:$A$162,0),1,1,1,$L$6)),4,1,COUNTIF('Vehicle numbers'!$A$5:$A$162,J111),4),
    MATCH(L$8,'Vehicle numbers'!$B$4:$D$4,0))*1000</f>
        <v>734169.79208516877</v>
      </c>
      <c r="M111" s="184">
        <f>VLOOKUP(F111,'Annual distance covered (GB)'!$A$8:$H$33,MATCH(J111,'Annual distance covered (GB)'!$A$7:$H$7,0))</f>
        <v>3.8</v>
      </c>
      <c r="N111" s="2">
        <f t="shared" ca="1" si="10"/>
        <v>7920.7669840450262</v>
      </c>
      <c r="O111" s="180">
        <f t="shared" ca="1" si="11"/>
        <v>1.078873997464358E-2</v>
      </c>
      <c r="P111" s="180"/>
      <c r="Q111" s="185">
        <f>Q110</f>
        <v>2010</v>
      </c>
      <c r="R111" s="186" t="s">
        <v>41</v>
      </c>
      <c r="S111" s="180">
        <f t="shared" ca="1" si="14"/>
        <v>2.9212312128135554</v>
      </c>
      <c r="T111" s="180">
        <f t="shared" ca="1" si="14"/>
        <v>4.1973819500826499</v>
      </c>
      <c r="U111">
        <f ca="1">IF(S111=-1,-1,VLOOKUP(R111,'Vehicle weight data'!$A$4:$C$9,2,0))</f>
        <v>3500</v>
      </c>
      <c r="V111">
        <f ca="1">IF(S111=-1,-1,VLOOKUP(R111,'Vehicle weight data'!$A$4:$C$9,3,0))</f>
        <v>24000</v>
      </c>
      <c r="W111">
        <f t="shared" ca="1" si="13"/>
        <v>13750</v>
      </c>
    </row>
    <row r="112" spans="1:23" x14ac:dyDescent="0.25">
      <c r="A112" t="s">
        <v>244</v>
      </c>
      <c r="B112" t="s">
        <v>237</v>
      </c>
      <c r="C112" t="s">
        <v>238</v>
      </c>
      <c r="D112" t="s">
        <v>263</v>
      </c>
      <c r="E112" t="s">
        <v>228</v>
      </c>
      <c r="F112">
        <v>1994</v>
      </c>
      <c r="G112">
        <v>2.8828169014084501E-4</v>
      </c>
      <c r="H112" t="s">
        <v>240</v>
      </c>
      <c r="I112" t="s">
        <v>241</v>
      </c>
      <c r="J112" t="s">
        <v>3</v>
      </c>
      <c r="K112" s="183">
        <f ca="1">VLOOKUP(F112,
    OFFSET(INDIRECT(ADDRESS(MATCH(J112,'Vehicle numbers'!$A$5:$A$162,0),1,1,1,$L$6)),4,1,COUNTIF('Vehicle numbers'!$A$5:$A$162,J112),4),
    MATCH(K$8,'Vehicle numbers'!$B$4:$D$4,0))*1000</f>
        <v>720922</v>
      </c>
      <c r="L112" s="183">
        <f ca="1">VLOOKUP(F112,
    OFFSET(INDIRECT(ADDRESS(MATCH(J112,'Vehicle numbers'!$A$5:$A$162,0),1,1,1,$L$6)),4,1,COUNTIF('Vehicle numbers'!$A$5:$A$162,J112),4),
    MATCH(L$8,'Vehicle numbers'!$B$4:$D$4,0))*1000</f>
        <v>734169.79208516877</v>
      </c>
      <c r="M112" s="184">
        <f>VLOOKUP(F112,'Annual distance covered (GB)'!$A$8:$H$33,MATCH(J112,'Annual distance covered (GB)'!$A$7:$H$7,0))</f>
        <v>3.8</v>
      </c>
      <c r="N112" s="2">
        <f t="shared" ca="1" si="10"/>
        <v>1115.6009836683131</v>
      </c>
      <c r="O112" s="180">
        <f t="shared" ca="1" si="11"/>
        <v>1.5195408414990952E-3</v>
      </c>
      <c r="P112" s="180"/>
      <c r="Q112" s="185">
        <f>Q111+1</f>
        <v>2011</v>
      </c>
      <c r="R112" s="186" t="s">
        <v>2</v>
      </c>
      <c r="S112" s="180">
        <f t="shared" ca="1" si="14"/>
        <v>0.55403215521312077</v>
      </c>
      <c r="T112" s="180">
        <f t="shared" ca="1" si="14"/>
        <v>0.4061519451433564</v>
      </c>
      <c r="U112">
        <f ca="1">IF(S112=-1,-1,VLOOKUP(R112,'Vehicle weight data'!$A$4:$C$9,2,0))</f>
        <v>1000</v>
      </c>
      <c r="V112">
        <f ca="1">IF(S112=-1,-1,VLOOKUP(R112,'Vehicle weight data'!$A$4:$C$9,3,0))</f>
        <v>2000</v>
      </c>
      <c r="W112">
        <f t="shared" ca="1" si="13"/>
        <v>1500</v>
      </c>
    </row>
    <row r="113" spans="1:23" x14ac:dyDescent="0.25">
      <c r="A113" t="s">
        <v>246</v>
      </c>
      <c r="B113" t="s">
        <v>237</v>
      </c>
      <c r="C113" t="s">
        <v>238</v>
      </c>
      <c r="D113" t="s">
        <v>263</v>
      </c>
      <c r="E113" t="s">
        <v>228</v>
      </c>
      <c r="F113">
        <v>1994</v>
      </c>
      <c r="G113">
        <v>2.3062535211267599E-4</v>
      </c>
      <c r="H113" t="s">
        <v>240</v>
      </c>
      <c r="I113" t="s">
        <v>241</v>
      </c>
      <c r="J113" t="s">
        <v>3</v>
      </c>
      <c r="K113" s="183">
        <f ca="1">VLOOKUP(F113,
    OFFSET(INDIRECT(ADDRESS(MATCH(J113,'Vehicle numbers'!$A$5:$A$162,0),1,1,1,$L$6)),4,1,COUNTIF('Vehicle numbers'!$A$5:$A$162,J113),4),
    MATCH(K$8,'Vehicle numbers'!$B$4:$D$4,0))*1000</f>
        <v>720922</v>
      </c>
      <c r="L113" s="183">
        <f ca="1">VLOOKUP(F113,
    OFFSET(INDIRECT(ADDRESS(MATCH(J113,'Vehicle numbers'!$A$5:$A$162,0),1,1,1,$L$6)),4,1,COUNTIF('Vehicle numbers'!$A$5:$A$162,J113),4),
    MATCH(L$8,'Vehicle numbers'!$B$4:$D$4,0))*1000</f>
        <v>734169.79208516877</v>
      </c>
      <c r="M113" s="184">
        <f>VLOOKUP(F113,'Annual distance covered (GB)'!$A$8:$H$33,MATCH(J113,'Annual distance covered (GB)'!$A$7:$H$7,0))</f>
        <v>3.8</v>
      </c>
      <c r="N113" s="2">
        <f t="shared" ca="1" si="10"/>
        <v>892.4807869346505</v>
      </c>
      <c r="O113" s="180">
        <f t="shared" ca="1" si="11"/>
        <v>1.2156326731992762E-3</v>
      </c>
      <c r="P113" s="180"/>
      <c r="Q113" s="185">
        <f>Q112</f>
        <v>2011</v>
      </c>
      <c r="R113" s="186" t="s">
        <v>188</v>
      </c>
      <c r="S113" s="180">
        <f t="shared" ca="1" si="14"/>
        <v>1.3162895101181269</v>
      </c>
      <c r="T113" s="180">
        <f t="shared" ca="1" si="14"/>
        <v>0.95230734912152304</v>
      </c>
      <c r="U113">
        <f ca="1">IF(S113=-1,-1,VLOOKUP(R113,'Vehicle weight data'!$A$4:$C$9,2,0))</f>
        <v>1500</v>
      </c>
      <c r="V113">
        <f ca="1">IF(S113=-1,-1,VLOOKUP(R113,'Vehicle weight data'!$A$4:$C$9,3,0))</f>
        <v>3500</v>
      </c>
      <c r="W113">
        <f t="shared" ca="1" si="13"/>
        <v>2500</v>
      </c>
    </row>
    <row r="114" spans="1:23" x14ac:dyDescent="0.25">
      <c r="A114" t="s">
        <v>236</v>
      </c>
      <c r="B114" t="s">
        <v>237</v>
      </c>
      <c r="C114" t="s">
        <v>238</v>
      </c>
      <c r="D114" t="s">
        <v>264</v>
      </c>
      <c r="E114" t="s">
        <v>229</v>
      </c>
      <c r="F114">
        <v>1994</v>
      </c>
      <c r="G114">
        <v>5.8399999999999902E-3</v>
      </c>
      <c r="H114" t="s">
        <v>240</v>
      </c>
      <c r="I114" t="s">
        <v>241</v>
      </c>
      <c r="J114" t="s">
        <v>3</v>
      </c>
      <c r="K114" s="183">
        <f ca="1">VLOOKUP(F114,
    OFFSET(INDIRECT(ADDRESS(MATCH(J114,'Vehicle numbers'!$A$5:$A$162,0),1,1,1,$L$6)),4,1,COUNTIF('Vehicle numbers'!$A$5:$A$162,J114),4),
    MATCH(K$8,'Vehicle numbers'!$B$4:$D$4,0))*1000</f>
        <v>720922</v>
      </c>
      <c r="L114" s="183">
        <f ca="1">VLOOKUP(F114,
    OFFSET(INDIRECT(ADDRESS(MATCH(J114,'Vehicle numbers'!$A$5:$A$162,0),1,1,1,$L$6)),4,1,COUNTIF('Vehicle numbers'!$A$5:$A$162,J114),4),
    MATCH(L$8,'Vehicle numbers'!$B$4:$D$4,0))*1000</f>
        <v>734169.79208516877</v>
      </c>
      <c r="M114" s="184">
        <f>VLOOKUP(F114,'Annual distance covered (GB)'!$A$8:$H$33,MATCH(J114,'Annual distance covered (GB)'!$A$7:$H$7,0))</f>
        <v>3.8</v>
      </c>
      <c r="N114" s="2">
        <f t="shared" ca="1" si="10"/>
        <v>22599.804175700054</v>
      </c>
      <c r="O114" s="180">
        <f t="shared" ca="1" si="11"/>
        <v>3.0782803132655068E-2</v>
      </c>
      <c r="P114" s="180"/>
      <c r="Q114" s="185">
        <f>Q113</f>
        <v>2011</v>
      </c>
      <c r="R114" s="187" t="s">
        <v>245</v>
      </c>
      <c r="S114" s="180">
        <f t="shared" ca="1" si="14"/>
        <v>4.3638852840538629</v>
      </c>
      <c r="T114" s="180">
        <f t="shared" ca="1" si="14"/>
        <v>6.1016614016597135</v>
      </c>
      <c r="U114">
        <f ca="1">IF(S114=-1,-1,VLOOKUP(R114,'Vehicle weight data'!$A$4:$C$9,2,0))</f>
        <v>3500</v>
      </c>
      <c r="V114">
        <f ca="1">IF(S114=-1,-1,VLOOKUP(R114,'Vehicle weight data'!$A$4:$C$9,3,0))</f>
        <v>30000</v>
      </c>
      <c r="W114">
        <f t="shared" ca="1" si="13"/>
        <v>16750</v>
      </c>
    </row>
    <row r="115" spans="1:23" x14ac:dyDescent="0.25">
      <c r="A115" t="s">
        <v>243</v>
      </c>
      <c r="B115" t="s">
        <v>237</v>
      </c>
      <c r="C115" t="s">
        <v>238</v>
      </c>
      <c r="D115" t="s">
        <v>264</v>
      </c>
      <c r="E115" t="s">
        <v>229</v>
      </c>
      <c r="F115">
        <v>1994</v>
      </c>
      <c r="G115">
        <v>2.336E-3</v>
      </c>
      <c r="H115" t="s">
        <v>240</v>
      </c>
      <c r="I115" t="s">
        <v>241</v>
      </c>
      <c r="J115" t="s">
        <v>3</v>
      </c>
      <c r="K115" s="183">
        <f ca="1">VLOOKUP(F115,
    OFFSET(INDIRECT(ADDRESS(MATCH(J115,'Vehicle numbers'!$A$5:$A$162,0),1,1,1,$L$6)),4,1,COUNTIF('Vehicle numbers'!$A$5:$A$162,J115),4),
    MATCH(K$8,'Vehicle numbers'!$B$4:$D$4,0))*1000</f>
        <v>720922</v>
      </c>
      <c r="L115" s="183">
        <f ca="1">VLOOKUP(F115,
    OFFSET(INDIRECT(ADDRESS(MATCH(J115,'Vehicle numbers'!$A$5:$A$162,0),1,1,1,$L$6)),4,1,COUNTIF('Vehicle numbers'!$A$5:$A$162,J115),4),
    MATCH(L$8,'Vehicle numbers'!$B$4:$D$4,0))*1000</f>
        <v>734169.79208516877</v>
      </c>
      <c r="M115" s="184">
        <f>VLOOKUP(F115,'Annual distance covered (GB)'!$A$8:$H$33,MATCH(J115,'Annual distance covered (GB)'!$A$7:$H$7,0))</f>
        <v>3.8</v>
      </c>
      <c r="N115" s="2">
        <f t="shared" ca="1" si="10"/>
        <v>9039.9216702800368</v>
      </c>
      <c r="O115" s="180">
        <f t="shared" ca="1" si="11"/>
        <v>1.2313121253062049E-2</v>
      </c>
      <c r="P115" s="180"/>
      <c r="Q115" s="185">
        <f>Q114</f>
        <v>2011</v>
      </c>
      <c r="R115" s="188" t="s">
        <v>247</v>
      </c>
      <c r="S115" s="180">
        <f t="shared" ca="1" si="14"/>
        <v>32.292215732179784</v>
      </c>
      <c r="T115" s="180">
        <f t="shared" ca="1" si="14"/>
        <v>20.143089539559384</v>
      </c>
      <c r="U115">
        <f ca="1">IF(S115=-1,-1,VLOOKUP(R115,'Vehicle weight data'!$A$4:$C$9,2,0))</f>
        <v>30000</v>
      </c>
      <c r="V115">
        <f ca="1">IF(S115=-1,-1,VLOOKUP(R115,'Vehicle weight data'!$A$4:$C$9,3,0))</f>
        <v>44000</v>
      </c>
      <c r="W115">
        <f t="shared" ca="1" si="13"/>
        <v>37000</v>
      </c>
    </row>
    <row r="116" spans="1:23" x14ac:dyDescent="0.25">
      <c r="A116" t="s">
        <v>244</v>
      </c>
      <c r="B116" t="s">
        <v>237</v>
      </c>
      <c r="C116" t="s">
        <v>238</v>
      </c>
      <c r="D116" t="s">
        <v>264</v>
      </c>
      <c r="E116" t="s">
        <v>229</v>
      </c>
      <c r="F116">
        <v>1994</v>
      </c>
      <c r="G116">
        <v>5.8399999999999999E-4</v>
      </c>
      <c r="H116" t="s">
        <v>240</v>
      </c>
      <c r="I116" t="s">
        <v>241</v>
      </c>
      <c r="J116" t="s">
        <v>3</v>
      </c>
      <c r="K116" s="183">
        <f ca="1">VLOOKUP(F116,
    OFFSET(INDIRECT(ADDRESS(MATCH(J116,'Vehicle numbers'!$A$5:$A$162,0),1,1,1,$L$6)),4,1,COUNTIF('Vehicle numbers'!$A$5:$A$162,J116),4),
    MATCH(K$8,'Vehicle numbers'!$B$4:$D$4,0))*1000</f>
        <v>720922</v>
      </c>
      <c r="L116" s="183">
        <f ca="1">VLOOKUP(F116,
    OFFSET(INDIRECT(ADDRESS(MATCH(J116,'Vehicle numbers'!$A$5:$A$162,0),1,1,1,$L$6)),4,1,COUNTIF('Vehicle numbers'!$A$5:$A$162,J116),4),
    MATCH(L$8,'Vehicle numbers'!$B$4:$D$4,0))*1000</f>
        <v>734169.79208516877</v>
      </c>
      <c r="M116" s="184">
        <f>VLOOKUP(F116,'Annual distance covered (GB)'!$A$8:$H$33,MATCH(J116,'Annual distance covered (GB)'!$A$7:$H$7,0))</f>
        <v>3.8</v>
      </c>
      <c r="N116" s="2">
        <f t="shared" ca="1" si="10"/>
        <v>2259.9804175700092</v>
      </c>
      <c r="O116" s="180">
        <f t="shared" ca="1" si="11"/>
        <v>3.0782803132655121E-3</v>
      </c>
      <c r="P116" s="180"/>
      <c r="Q116" s="185">
        <f>Q115</f>
        <v>2011</v>
      </c>
      <c r="R116" s="186" t="s">
        <v>3</v>
      </c>
      <c r="S116" s="180">
        <f t="shared" ca="1" si="14"/>
        <v>0.11889473730963117</v>
      </c>
      <c r="T116" s="180">
        <f t="shared" ca="1" si="14"/>
        <v>0.12571753527558679</v>
      </c>
      <c r="U116">
        <f ca="1">IF(S116=-1,-1,VLOOKUP(R116,'Vehicle weight data'!$A$4:$C$9,2,0))</f>
        <v>100</v>
      </c>
      <c r="V116">
        <f ca="1">IF(S116=-1,-1,VLOOKUP(R116,'Vehicle weight data'!$A$4:$C$9,3,0))</f>
        <v>200</v>
      </c>
      <c r="W116">
        <f t="shared" ca="1" si="13"/>
        <v>150</v>
      </c>
    </row>
    <row r="117" spans="1:23" x14ac:dyDescent="0.25">
      <c r="A117" t="s">
        <v>246</v>
      </c>
      <c r="B117" t="s">
        <v>237</v>
      </c>
      <c r="C117" t="s">
        <v>238</v>
      </c>
      <c r="D117" t="s">
        <v>264</v>
      </c>
      <c r="E117" t="s">
        <v>229</v>
      </c>
      <c r="F117">
        <v>1994</v>
      </c>
      <c r="G117">
        <v>4.6720000000000003E-4</v>
      </c>
      <c r="H117" t="s">
        <v>240</v>
      </c>
      <c r="I117" t="s">
        <v>241</v>
      </c>
      <c r="J117" t="s">
        <v>3</v>
      </c>
      <c r="K117" s="183">
        <f ca="1">VLOOKUP(F117,
    OFFSET(INDIRECT(ADDRESS(MATCH(J117,'Vehicle numbers'!$A$5:$A$162,0),1,1,1,$L$6)),4,1,COUNTIF('Vehicle numbers'!$A$5:$A$162,J117),4),
    MATCH(K$8,'Vehicle numbers'!$B$4:$D$4,0))*1000</f>
        <v>720922</v>
      </c>
      <c r="L117" s="183">
        <f ca="1">VLOOKUP(F117,
    OFFSET(INDIRECT(ADDRESS(MATCH(J117,'Vehicle numbers'!$A$5:$A$162,0),1,1,1,$L$6)),4,1,COUNTIF('Vehicle numbers'!$A$5:$A$162,J117),4),
    MATCH(L$8,'Vehicle numbers'!$B$4:$D$4,0))*1000</f>
        <v>734169.79208516877</v>
      </c>
      <c r="M117" s="184">
        <f>VLOOKUP(F117,'Annual distance covered (GB)'!$A$8:$H$33,MATCH(J117,'Annual distance covered (GB)'!$A$7:$H$7,0))</f>
        <v>3.8</v>
      </c>
      <c r="N117" s="2">
        <f t="shared" ca="1" si="10"/>
        <v>1807.9843340560076</v>
      </c>
      <c r="O117" s="180">
        <f t="shared" ca="1" si="11"/>
        <v>2.4626242506124098E-3</v>
      </c>
      <c r="P117" s="180"/>
      <c r="Q117" s="185">
        <f>Q116</f>
        <v>2011</v>
      </c>
      <c r="R117" s="186" t="s">
        <v>41</v>
      </c>
      <c r="S117" s="180">
        <f t="shared" ca="1" si="14"/>
        <v>2.7423111318266176</v>
      </c>
      <c r="T117" s="180">
        <f t="shared" ca="1" si="14"/>
        <v>3.9404699099141975</v>
      </c>
      <c r="U117">
        <f ca="1">IF(S117=-1,-1,VLOOKUP(R117,'Vehicle weight data'!$A$4:$C$9,2,0))</f>
        <v>3500</v>
      </c>
      <c r="V117">
        <f ca="1">IF(S117=-1,-1,VLOOKUP(R117,'Vehicle weight data'!$A$4:$C$9,3,0))</f>
        <v>24000</v>
      </c>
      <c r="W117">
        <f t="shared" ca="1" si="13"/>
        <v>13750</v>
      </c>
    </row>
    <row r="118" spans="1:23" x14ac:dyDescent="0.25">
      <c r="A118" t="s">
        <v>236</v>
      </c>
      <c r="B118" t="s">
        <v>237</v>
      </c>
      <c r="C118" t="s">
        <v>238</v>
      </c>
      <c r="D118" t="s">
        <v>264</v>
      </c>
      <c r="E118" t="s">
        <v>228</v>
      </c>
      <c r="F118">
        <v>1994</v>
      </c>
      <c r="G118">
        <v>3.7569999999999999E-3</v>
      </c>
      <c r="H118" t="s">
        <v>240</v>
      </c>
      <c r="I118" t="s">
        <v>241</v>
      </c>
      <c r="J118" t="s">
        <v>3</v>
      </c>
      <c r="K118" s="183">
        <f ca="1">VLOOKUP(F118,
    OFFSET(INDIRECT(ADDRESS(MATCH(J118,'Vehicle numbers'!$A$5:$A$162,0),1,1,1,$L$6)),4,1,COUNTIF('Vehicle numbers'!$A$5:$A$162,J118),4),
    MATCH(K$8,'Vehicle numbers'!$B$4:$D$4,0))*1000</f>
        <v>720922</v>
      </c>
      <c r="L118" s="183">
        <f ca="1">VLOOKUP(F118,
    OFFSET(INDIRECT(ADDRESS(MATCH(J118,'Vehicle numbers'!$A$5:$A$162,0),1,1,1,$L$6)),4,1,COUNTIF('Vehicle numbers'!$A$5:$A$162,J118),4),
    MATCH(L$8,'Vehicle numbers'!$B$4:$D$4,0))*1000</f>
        <v>734169.79208516877</v>
      </c>
      <c r="M118" s="184">
        <f>VLOOKUP(F118,'Annual distance covered (GB)'!$A$8:$H$33,MATCH(J118,'Annual distance covered (GB)'!$A$7:$H$7,0))</f>
        <v>3.8</v>
      </c>
      <c r="N118" s="2">
        <f t="shared" ca="1" si="10"/>
        <v>14538.949364401584</v>
      </c>
      <c r="O118" s="180">
        <f t="shared" ca="1" si="11"/>
        <v>1.9803251946812549E-2</v>
      </c>
      <c r="P118" s="180"/>
      <c r="Q118" s="185">
        <f>Q117+1</f>
        <v>2012</v>
      </c>
      <c r="R118" s="186" t="s">
        <v>2</v>
      </c>
      <c r="S118" s="180">
        <f t="shared" ca="1" si="14"/>
        <v>0.55174609519752615</v>
      </c>
      <c r="T118" s="180">
        <f t="shared" ca="1" si="14"/>
        <v>0.40446986279571234</v>
      </c>
      <c r="U118">
        <f ca="1">IF(S118=-1,-1,VLOOKUP(R118,'Vehicle weight data'!$A$4:$C$9,2,0))</f>
        <v>1000</v>
      </c>
      <c r="V118">
        <f ca="1">IF(S118=-1,-1,VLOOKUP(R118,'Vehicle weight data'!$A$4:$C$9,3,0))</f>
        <v>2000</v>
      </c>
      <c r="W118">
        <f t="shared" ca="1" si="13"/>
        <v>1500</v>
      </c>
    </row>
    <row r="119" spans="1:23" x14ac:dyDescent="0.25">
      <c r="A119" t="s">
        <v>243</v>
      </c>
      <c r="B119" t="s">
        <v>237</v>
      </c>
      <c r="C119" t="s">
        <v>238</v>
      </c>
      <c r="D119" t="s">
        <v>264</v>
      </c>
      <c r="E119" t="s">
        <v>228</v>
      </c>
      <c r="F119">
        <v>1994</v>
      </c>
      <c r="G119">
        <v>2.6299000000000001E-3</v>
      </c>
      <c r="H119" t="s">
        <v>240</v>
      </c>
      <c r="I119" t="s">
        <v>241</v>
      </c>
      <c r="J119" t="s">
        <v>3</v>
      </c>
      <c r="K119" s="183">
        <f ca="1">VLOOKUP(F119,
    OFFSET(INDIRECT(ADDRESS(MATCH(J119,'Vehicle numbers'!$A$5:$A$162,0),1,1,1,$L$6)),4,1,COUNTIF('Vehicle numbers'!$A$5:$A$162,J119),4),
    MATCH(K$8,'Vehicle numbers'!$B$4:$D$4,0))*1000</f>
        <v>720922</v>
      </c>
      <c r="L119" s="183">
        <f ca="1">VLOOKUP(F119,
    OFFSET(INDIRECT(ADDRESS(MATCH(J119,'Vehicle numbers'!$A$5:$A$162,0),1,1,1,$L$6)),4,1,COUNTIF('Vehicle numbers'!$A$5:$A$162,J119),4),
    MATCH(L$8,'Vehicle numbers'!$B$4:$D$4,0))*1000</f>
        <v>734169.79208516877</v>
      </c>
      <c r="M119" s="184">
        <f>VLOOKUP(F119,'Annual distance covered (GB)'!$A$8:$H$33,MATCH(J119,'Annual distance covered (GB)'!$A$7:$H$7,0))</f>
        <v>3.8</v>
      </c>
      <c r="N119" s="2">
        <f t="shared" ca="1" si="10"/>
        <v>10177.26455508111</v>
      </c>
      <c r="O119" s="180">
        <f t="shared" ca="1" si="11"/>
        <v>1.3862276362768787E-2</v>
      </c>
      <c r="P119" s="180"/>
      <c r="Q119" s="185">
        <f>Q118</f>
        <v>2012</v>
      </c>
      <c r="R119" s="186" t="s">
        <v>188</v>
      </c>
      <c r="S119" s="180">
        <f t="shared" ca="1" si="14"/>
        <v>1.309104840120046</v>
      </c>
      <c r="T119" s="180">
        <f t="shared" ca="1" si="14"/>
        <v>0.94710939381792758</v>
      </c>
      <c r="U119">
        <f ca="1">IF(S119=-1,-1,VLOOKUP(R119,'Vehicle weight data'!$A$4:$C$9,2,0))</f>
        <v>1500</v>
      </c>
      <c r="V119">
        <f ca="1">IF(S119=-1,-1,VLOOKUP(R119,'Vehicle weight data'!$A$4:$C$9,3,0))</f>
        <v>3500</v>
      </c>
      <c r="W119">
        <f t="shared" ca="1" si="13"/>
        <v>2500</v>
      </c>
    </row>
    <row r="120" spans="1:23" x14ac:dyDescent="0.25">
      <c r="A120" t="s">
        <v>244</v>
      </c>
      <c r="B120" t="s">
        <v>237</v>
      </c>
      <c r="C120" t="s">
        <v>238</v>
      </c>
      <c r="D120" t="s">
        <v>264</v>
      </c>
      <c r="E120" t="s">
        <v>228</v>
      </c>
      <c r="F120">
        <v>1994</v>
      </c>
      <c r="G120">
        <v>3.7040845070422499E-4</v>
      </c>
      <c r="H120" t="s">
        <v>240</v>
      </c>
      <c r="I120" t="s">
        <v>241</v>
      </c>
      <c r="J120" t="s">
        <v>3</v>
      </c>
      <c r="K120" s="183">
        <f ca="1">VLOOKUP(F120,
    OFFSET(INDIRECT(ADDRESS(MATCH(J120,'Vehicle numbers'!$A$5:$A$162,0),1,1,1,$L$6)),4,1,COUNTIF('Vehicle numbers'!$A$5:$A$162,J120),4),
    MATCH(K$8,'Vehicle numbers'!$B$4:$D$4,0))*1000</f>
        <v>720922</v>
      </c>
      <c r="L120" s="183">
        <f ca="1">VLOOKUP(F120,
    OFFSET(INDIRECT(ADDRESS(MATCH(J120,'Vehicle numbers'!$A$5:$A$162,0),1,1,1,$L$6)),4,1,COUNTIF('Vehicle numbers'!$A$5:$A$162,J120),4),
    MATCH(L$8,'Vehicle numbers'!$B$4:$D$4,0))*1000</f>
        <v>734169.79208516877</v>
      </c>
      <c r="M120" s="184">
        <f>VLOOKUP(F120,'Annual distance covered (GB)'!$A$8:$H$33,MATCH(J120,'Annual distance covered (GB)'!$A$7:$H$7,0))</f>
        <v>3.8</v>
      </c>
      <c r="N120" s="2">
        <f t="shared" ca="1" si="10"/>
        <v>1433.4175429691691</v>
      </c>
      <c r="O120" s="180">
        <f t="shared" ca="1" si="11"/>
        <v>1.9524332905308133E-3</v>
      </c>
      <c r="P120" s="180"/>
      <c r="Q120" s="185">
        <f>Q119</f>
        <v>2012</v>
      </c>
      <c r="R120" s="187" t="s">
        <v>245</v>
      </c>
      <c r="S120" s="180">
        <f t="shared" ca="1" si="14"/>
        <v>4.4488620556079992</v>
      </c>
      <c r="T120" s="180">
        <f t="shared" ca="1" si="14"/>
        <v>6.2204774229983606</v>
      </c>
      <c r="U120">
        <f ca="1">IF(S120=-1,-1,VLOOKUP(R120,'Vehicle weight data'!$A$4:$C$9,2,0))</f>
        <v>3500</v>
      </c>
      <c r="V120">
        <f ca="1">IF(S120=-1,-1,VLOOKUP(R120,'Vehicle weight data'!$A$4:$C$9,3,0))</f>
        <v>30000</v>
      </c>
      <c r="W120">
        <f t="shared" ca="1" si="13"/>
        <v>16750</v>
      </c>
    </row>
    <row r="121" spans="1:23" x14ac:dyDescent="0.25">
      <c r="A121" t="s">
        <v>246</v>
      </c>
      <c r="B121" t="s">
        <v>237</v>
      </c>
      <c r="C121" t="s">
        <v>238</v>
      </c>
      <c r="D121" t="s">
        <v>264</v>
      </c>
      <c r="E121" t="s">
        <v>228</v>
      </c>
      <c r="F121">
        <v>1994</v>
      </c>
      <c r="G121">
        <v>2.9632676056337998E-4</v>
      </c>
      <c r="H121" t="s">
        <v>240</v>
      </c>
      <c r="I121" t="s">
        <v>241</v>
      </c>
      <c r="J121" t="s">
        <v>3</v>
      </c>
      <c r="K121" s="183">
        <f ca="1">VLOOKUP(F121,
    OFFSET(INDIRECT(ADDRESS(MATCH(J121,'Vehicle numbers'!$A$5:$A$162,0),1,1,1,$L$6)),4,1,COUNTIF('Vehicle numbers'!$A$5:$A$162,J121),4),
    MATCH(K$8,'Vehicle numbers'!$B$4:$D$4,0))*1000</f>
        <v>720922</v>
      </c>
      <c r="L121" s="183">
        <f ca="1">VLOOKUP(F121,
    OFFSET(INDIRECT(ADDRESS(MATCH(J121,'Vehicle numbers'!$A$5:$A$162,0),1,1,1,$L$6)),4,1,COUNTIF('Vehicle numbers'!$A$5:$A$162,J121),4),
    MATCH(L$8,'Vehicle numbers'!$B$4:$D$4,0))*1000</f>
        <v>734169.79208516877</v>
      </c>
      <c r="M121" s="184">
        <f>VLOOKUP(F121,'Annual distance covered (GB)'!$A$8:$H$33,MATCH(J121,'Annual distance covered (GB)'!$A$7:$H$7,0))</f>
        <v>3.8</v>
      </c>
      <c r="N121" s="2">
        <f t="shared" ca="1" si="10"/>
        <v>1146.7340343753351</v>
      </c>
      <c r="O121" s="180">
        <f t="shared" ca="1" si="11"/>
        <v>1.5619466324246504E-3</v>
      </c>
      <c r="P121" s="180"/>
      <c r="Q121" s="185">
        <f>Q120</f>
        <v>2012</v>
      </c>
      <c r="R121" s="188" t="s">
        <v>247</v>
      </c>
      <c r="S121" s="180">
        <f t="shared" ca="1" si="14"/>
        <v>32.2483826244612</v>
      </c>
      <c r="T121" s="180">
        <f t="shared" ca="1" si="14"/>
        <v>20.115747525592447</v>
      </c>
      <c r="U121">
        <f ca="1">IF(S121=-1,-1,VLOOKUP(R121,'Vehicle weight data'!$A$4:$C$9,2,0))</f>
        <v>30000</v>
      </c>
      <c r="V121">
        <f ca="1">IF(S121=-1,-1,VLOOKUP(R121,'Vehicle weight data'!$A$4:$C$9,3,0))</f>
        <v>44000</v>
      </c>
      <c r="W121">
        <f t="shared" ca="1" si="13"/>
        <v>37000</v>
      </c>
    </row>
    <row r="122" spans="1:23" x14ac:dyDescent="0.25">
      <c r="A122" t="s">
        <v>236</v>
      </c>
      <c r="B122" t="s">
        <v>237</v>
      </c>
      <c r="C122" t="s">
        <v>238</v>
      </c>
      <c r="D122" t="s">
        <v>239</v>
      </c>
      <c r="E122" t="s">
        <v>229</v>
      </c>
      <c r="F122">
        <v>1995</v>
      </c>
      <c r="G122">
        <v>8.4410000000000006E-3</v>
      </c>
      <c r="H122" t="s">
        <v>240</v>
      </c>
      <c r="I122" t="s">
        <v>241</v>
      </c>
      <c r="J122" t="s">
        <v>242</v>
      </c>
      <c r="K122" s="183">
        <f ca="1">VLOOKUP(F122,
    OFFSET(INDIRECT(ADDRESS(MATCH(J122,'Vehicle numbers'!$A$5:$A$162,0),1,1,1,$L$6)),4,1,COUNTIF('Vehicle numbers'!$A$5:$A$162,J122),4),
    MATCH(K$8,'Vehicle numbers'!$B$4:$D$4,0))*1000</f>
        <v>153465</v>
      </c>
      <c r="L122" s="183">
        <f ca="1">VLOOKUP(F122,
    OFFSET(INDIRECT(ADDRESS(MATCH(J122,'Vehicle numbers'!$A$5:$A$162,0),1,1,1,$L$6)),4,1,COUNTIF('Vehicle numbers'!$A$5:$A$162,J122),4),
    MATCH(L$8,'Vehicle numbers'!$B$4:$D$4,0))*1000</f>
        <v>158827.01129384254</v>
      </c>
      <c r="M122" s="184">
        <f>VLOOKUP(F122,'Annual distance covered (GB)'!$A$8:$H$33,MATCH(J122,'Annual distance covered (GB)'!$A$7:$H$7,0))</f>
        <v>4.9000000000000004</v>
      </c>
      <c r="N122" s="2">
        <f t="shared" ca="1" si="10"/>
        <v>42806.034805483294</v>
      </c>
      <c r="O122" s="180">
        <f t="shared" ca="1" si="11"/>
        <v>0.26951356986935138</v>
      </c>
      <c r="P122" s="180"/>
      <c r="Q122" s="185">
        <f>Q121</f>
        <v>2012</v>
      </c>
      <c r="R122" s="186" t="s">
        <v>3</v>
      </c>
      <c r="S122" s="180">
        <f t="shared" ca="1" si="14"/>
        <v>0.12020244944478888</v>
      </c>
      <c r="T122" s="180">
        <f t="shared" ca="1" si="14"/>
        <v>0.12710029072971449</v>
      </c>
      <c r="U122">
        <f ca="1">IF(S122=-1,-1,VLOOKUP(R122,'Vehicle weight data'!$A$4:$C$9,2,0))</f>
        <v>100</v>
      </c>
      <c r="V122">
        <f ca="1">IF(S122=-1,-1,VLOOKUP(R122,'Vehicle weight data'!$A$4:$C$9,3,0))</f>
        <v>200</v>
      </c>
      <c r="W122">
        <f t="shared" ca="1" si="13"/>
        <v>150</v>
      </c>
    </row>
    <row r="123" spans="1:23" x14ac:dyDescent="0.25">
      <c r="A123" t="s">
        <v>243</v>
      </c>
      <c r="B123" t="s">
        <v>237</v>
      </c>
      <c r="C123" t="s">
        <v>238</v>
      </c>
      <c r="D123" t="s">
        <v>239</v>
      </c>
      <c r="E123" t="s">
        <v>229</v>
      </c>
      <c r="F123">
        <v>1995</v>
      </c>
      <c r="G123">
        <v>3.3763999999999999E-3</v>
      </c>
      <c r="H123" t="s">
        <v>240</v>
      </c>
      <c r="I123" t="s">
        <v>241</v>
      </c>
      <c r="J123" t="s">
        <v>242</v>
      </c>
      <c r="K123" s="183">
        <f ca="1">VLOOKUP(F123,
    OFFSET(INDIRECT(ADDRESS(MATCH(J123,'Vehicle numbers'!$A$5:$A$162,0),1,1,1,$L$6)),4,1,COUNTIF('Vehicle numbers'!$A$5:$A$162,J123),4),
    MATCH(K$8,'Vehicle numbers'!$B$4:$D$4,0))*1000</f>
        <v>153465</v>
      </c>
      <c r="L123" s="183">
        <f ca="1">VLOOKUP(F123,
    OFFSET(INDIRECT(ADDRESS(MATCH(J123,'Vehicle numbers'!$A$5:$A$162,0),1,1,1,$L$6)),4,1,COUNTIF('Vehicle numbers'!$A$5:$A$162,J123),4),
    MATCH(L$8,'Vehicle numbers'!$B$4:$D$4,0))*1000</f>
        <v>158827.01129384254</v>
      </c>
      <c r="M123" s="184">
        <f>VLOOKUP(F123,'Annual distance covered (GB)'!$A$8:$H$33,MATCH(J123,'Annual distance covered (GB)'!$A$7:$H$7,0))</f>
        <v>4.9000000000000004</v>
      </c>
      <c r="N123" s="2">
        <f t="shared" ca="1" si="10"/>
        <v>17122.413922193315</v>
      </c>
      <c r="O123" s="180">
        <f t="shared" ca="1" si="11"/>
        <v>0.10780542794774053</v>
      </c>
      <c r="P123" s="180"/>
      <c r="Q123" s="185">
        <f>Q122</f>
        <v>2012</v>
      </c>
      <c r="R123" s="186" t="s">
        <v>41</v>
      </c>
      <c r="S123" s="180">
        <f t="shared" ca="1" si="14"/>
        <v>2.6534102105131741</v>
      </c>
      <c r="T123" s="180">
        <f t="shared" ca="1" si="14"/>
        <v>3.8128330036019893</v>
      </c>
      <c r="U123">
        <f ca="1">IF(S123=-1,-1,VLOOKUP(R123,'Vehicle weight data'!$A$4:$C$9,2,0))</f>
        <v>3500</v>
      </c>
      <c r="V123">
        <f ca="1">IF(S123=-1,-1,VLOOKUP(R123,'Vehicle weight data'!$A$4:$C$9,3,0))</f>
        <v>24000</v>
      </c>
      <c r="W123">
        <f t="shared" ca="1" si="13"/>
        <v>13750</v>
      </c>
    </row>
    <row r="124" spans="1:23" x14ac:dyDescent="0.25">
      <c r="A124" t="s">
        <v>244</v>
      </c>
      <c r="B124" t="s">
        <v>237</v>
      </c>
      <c r="C124" t="s">
        <v>238</v>
      </c>
      <c r="D124" t="s">
        <v>239</v>
      </c>
      <c r="E124" t="s">
        <v>229</v>
      </c>
      <c r="F124">
        <v>1995</v>
      </c>
      <c r="G124">
        <v>8.4409999999999997E-4</v>
      </c>
      <c r="H124" t="s">
        <v>240</v>
      </c>
      <c r="I124" t="s">
        <v>241</v>
      </c>
      <c r="J124" t="s">
        <v>242</v>
      </c>
      <c r="K124" s="183">
        <f ca="1">VLOOKUP(F124,
    OFFSET(INDIRECT(ADDRESS(MATCH(J124,'Vehicle numbers'!$A$5:$A$162,0),1,1,1,$L$6)),4,1,COUNTIF('Vehicle numbers'!$A$5:$A$162,J124),4),
    MATCH(K$8,'Vehicle numbers'!$B$4:$D$4,0))*1000</f>
        <v>153465</v>
      </c>
      <c r="L124" s="183">
        <f ca="1">VLOOKUP(F124,
    OFFSET(INDIRECT(ADDRESS(MATCH(J124,'Vehicle numbers'!$A$5:$A$162,0),1,1,1,$L$6)),4,1,COUNTIF('Vehicle numbers'!$A$5:$A$162,J124),4),
    MATCH(L$8,'Vehicle numbers'!$B$4:$D$4,0))*1000</f>
        <v>158827.01129384254</v>
      </c>
      <c r="M124" s="184">
        <f>VLOOKUP(F124,'Annual distance covered (GB)'!$A$8:$H$33,MATCH(J124,'Annual distance covered (GB)'!$A$7:$H$7,0))</f>
        <v>4.9000000000000004</v>
      </c>
      <c r="N124" s="2">
        <f t="shared" ca="1" si="10"/>
        <v>4280.6034805483287</v>
      </c>
      <c r="O124" s="180">
        <f t="shared" ca="1" si="11"/>
        <v>2.6951356986935134E-2</v>
      </c>
      <c r="P124" s="180"/>
      <c r="Q124" s="185">
        <f>Q123+1</f>
        <v>2013</v>
      </c>
      <c r="R124" s="186" t="s">
        <v>2</v>
      </c>
      <c r="S124" s="180">
        <f t="shared" ca="1" si="14"/>
        <v>0.54629261832832765</v>
      </c>
      <c r="T124" s="180">
        <f t="shared" ca="1" si="14"/>
        <v>0.40046938821013606</v>
      </c>
      <c r="U124">
        <f ca="1">IF(S124=-1,-1,VLOOKUP(R124,'Vehicle weight data'!$A$4:$C$9,2,0))</f>
        <v>1000</v>
      </c>
      <c r="V124">
        <f ca="1">IF(S124=-1,-1,VLOOKUP(R124,'Vehicle weight data'!$A$4:$C$9,3,0))</f>
        <v>2000</v>
      </c>
      <c r="W124">
        <f t="shared" ca="1" si="13"/>
        <v>1500</v>
      </c>
    </row>
    <row r="125" spans="1:23" x14ac:dyDescent="0.25">
      <c r="A125" t="s">
        <v>246</v>
      </c>
      <c r="B125" t="s">
        <v>237</v>
      </c>
      <c r="C125" t="s">
        <v>238</v>
      </c>
      <c r="D125" t="s">
        <v>239</v>
      </c>
      <c r="E125" t="s">
        <v>229</v>
      </c>
      <c r="F125">
        <v>1995</v>
      </c>
      <c r="G125">
        <v>6.7528E-4</v>
      </c>
      <c r="H125" t="s">
        <v>240</v>
      </c>
      <c r="I125" t="s">
        <v>241</v>
      </c>
      <c r="J125" t="s">
        <v>242</v>
      </c>
      <c r="K125" s="183">
        <f ca="1">VLOOKUP(F125,
    OFFSET(INDIRECT(ADDRESS(MATCH(J125,'Vehicle numbers'!$A$5:$A$162,0),1,1,1,$L$6)),4,1,COUNTIF('Vehicle numbers'!$A$5:$A$162,J125),4),
    MATCH(K$8,'Vehicle numbers'!$B$4:$D$4,0))*1000</f>
        <v>153465</v>
      </c>
      <c r="L125" s="183">
        <f ca="1">VLOOKUP(F125,
    OFFSET(INDIRECT(ADDRESS(MATCH(J125,'Vehicle numbers'!$A$5:$A$162,0),1,1,1,$L$6)),4,1,COUNTIF('Vehicle numbers'!$A$5:$A$162,J125),4),
    MATCH(L$8,'Vehicle numbers'!$B$4:$D$4,0))*1000</f>
        <v>158827.01129384254</v>
      </c>
      <c r="M125" s="184">
        <f>VLOOKUP(F125,'Annual distance covered (GB)'!$A$8:$H$33,MATCH(J125,'Annual distance covered (GB)'!$A$7:$H$7,0))</f>
        <v>4.9000000000000004</v>
      </c>
      <c r="N125" s="2">
        <f t="shared" ca="1" si="10"/>
        <v>3424.4827844386627</v>
      </c>
      <c r="O125" s="180">
        <f t="shared" ca="1" si="11"/>
        <v>2.1561085589548105E-2</v>
      </c>
      <c r="P125" s="180"/>
      <c r="Q125" s="185">
        <f>Q124</f>
        <v>2013</v>
      </c>
      <c r="R125" s="186" t="s">
        <v>188</v>
      </c>
      <c r="S125" s="180">
        <f t="shared" ca="1" si="14"/>
        <v>1.329534786837687</v>
      </c>
      <c r="T125" s="180">
        <f t="shared" ca="1" si="14"/>
        <v>0.96189002395424472</v>
      </c>
      <c r="U125">
        <f ca="1">IF(S125=-1,-1,VLOOKUP(R125,'Vehicle weight data'!$A$4:$C$9,2,0))</f>
        <v>1500</v>
      </c>
      <c r="V125">
        <f ca="1">IF(S125=-1,-1,VLOOKUP(R125,'Vehicle weight data'!$A$4:$C$9,3,0))</f>
        <v>3500</v>
      </c>
      <c r="W125">
        <f t="shared" ca="1" si="13"/>
        <v>2500</v>
      </c>
    </row>
    <row r="126" spans="1:23" x14ac:dyDescent="0.25">
      <c r="A126" t="s">
        <v>236</v>
      </c>
      <c r="B126" t="s">
        <v>237</v>
      </c>
      <c r="C126" t="s">
        <v>238</v>
      </c>
      <c r="D126" t="s">
        <v>239</v>
      </c>
      <c r="E126" t="s">
        <v>228</v>
      </c>
      <c r="F126">
        <v>1995</v>
      </c>
      <c r="G126">
        <v>1.39232E-2</v>
      </c>
      <c r="H126" t="s">
        <v>240</v>
      </c>
      <c r="I126" t="s">
        <v>241</v>
      </c>
      <c r="J126" t="s">
        <v>242</v>
      </c>
      <c r="K126" s="183">
        <f ca="1">VLOOKUP(F126,
    OFFSET(INDIRECT(ADDRESS(MATCH(J126,'Vehicle numbers'!$A$5:$A$162,0),1,1,1,$L$6)),4,1,COUNTIF('Vehicle numbers'!$A$5:$A$162,J126),4),
    MATCH(K$8,'Vehicle numbers'!$B$4:$D$4,0))*1000</f>
        <v>153465</v>
      </c>
      <c r="L126" s="183">
        <f ca="1">VLOOKUP(F126,
    OFFSET(INDIRECT(ADDRESS(MATCH(J126,'Vehicle numbers'!$A$5:$A$162,0),1,1,1,$L$6)),4,1,COUNTIF('Vehicle numbers'!$A$5:$A$162,J126),4),
    MATCH(L$8,'Vehicle numbers'!$B$4:$D$4,0))*1000</f>
        <v>158827.01129384254</v>
      </c>
      <c r="M126" s="184">
        <f>VLOOKUP(F126,'Annual distance covered (GB)'!$A$8:$H$33,MATCH(J126,'Annual distance covered (GB)'!$A$7:$H$7,0))</f>
        <v>4.9000000000000004</v>
      </c>
      <c r="N126" s="2">
        <f t="shared" ca="1" si="10"/>
        <v>70607.390570276621</v>
      </c>
      <c r="O126" s="180">
        <f t="shared" ca="1" si="11"/>
        <v>0.44455530577004537</v>
      </c>
      <c r="P126" s="180"/>
      <c r="Q126" s="185">
        <f>Q125</f>
        <v>2013</v>
      </c>
      <c r="R126" s="187" t="s">
        <v>245</v>
      </c>
      <c r="S126" s="180">
        <f t="shared" ca="1" si="14"/>
        <v>4.4150395777015987</v>
      </c>
      <c r="T126" s="180">
        <f t="shared" ca="1" si="14"/>
        <v>6.1731862376172764</v>
      </c>
      <c r="U126">
        <f ca="1">IF(S126=-1,-1,VLOOKUP(R126,'Vehicle weight data'!$A$4:$C$9,2,0))</f>
        <v>3500</v>
      </c>
      <c r="V126">
        <f ca="1">IF(S126=-1,-1,VLOOKUP(R126,'Vehicle weight data'!$A$4:$C$9,3,0))</f>
        <v>30000</v>
      </c>
      <c r="W126">
        <f t="shared" ca="1" si="13"/>
        <v>16750</v>
      </c>
    </row>
    <row r="127" spans="1:23" x14ac:dyDescent="0.25">
      <c r="A127" t="s">
        <v>243</v>
      </c>
      <c r="B127" t="s">
        <v>237</v>
      </c>
      <c r="C127" t="s">
        <v>238</v>
      </c>
      <c r="D127" t="s">
        <v>239</v>
      </c>
      <c r="E127" t="s">
        <v>228</v>
      </c>
      <c r="F127">
        <v>1995</v>
      </c>
      <c r="G127">
        <v>9.7462399999999998E-3</v>
      </c>
      <c r="H127" t="s">
        <v>240</v>
      </c>
      <c r="I127" t="s">
        <v>241</v>
      </c>
      <c r="J127" t="s">
        <v>242</v>
      </c>
      <c r="K127" s="183">
        <f ca="1">VLOOKUP(F127,
    OFFSET(INDIRECT(ADDRESS(MATCH(J127,'Vehicle numbers'!$A$5:$A$162,0),1,1,1,$L$6)),4,1,COUNTIF('Vehicle numbers'!$A$5:$A$162,J127),4),
    MATCH(K$8,'Vehicle numbers'!$B$4:$D$4,0))*1000</f>
        <v>153465</v>
      </c>
      <c r="L127" s="183">
        <f ca="1">VLOOKUP(F127,
    OFFSET(INDIRECT(ADDRESS(MATCH(J127,'Vehicle numbers'!$A$5:$A$162,0),1,1,1,$L$6)),4,1,COUNTIF('Vehicle numbers'!$A$5:$A$162,J127),4),
    MATCH(L$8,'Vehicle numbers'!$B$4:$D$4,0))*1000</f>
        <v>158827.01129384254</v>
      </c>
      <c r="M127" s="184">
        <f>VLOOKUP(F127,'Annual distance covered (GB)'!$A$8:$H$33,MATCH(J127,'Annual distance covered (GB)'!$A$7:$H$7,0))</f>
        <v>4.9000000000000004</v>
      </c>
      <c r="N127" s="2">
        <f t="shared" ca="1" si="10"/>
        <v>49425.173399193627</v>
      </c>
      <c r="O127" s="180">
        <f t="shared" ca="1" si="11"/>
        <v>0.3111887140390317</v>
      </c>
      <c r="P127" s="180"/>
      <c r="Q127" s="185">
        <f>Q126</f>
        <v>2013</v>
      </c>
      <c r="R127" s="188" t="s">
        <v>247</v>
      </c>
      <c r="S127" s="180">
        <f t="shared" ca="1" si="14"/>
        <v>30.81601843950558</v>
      </c>
      <c r="T127" s="180">
        <f t="shared" ca="1" si="14"/>
        <v>19.222273994072982</v>
      </c>
      <c r="U127">
        <f ca="1">IF(S127=-1,-1,VLOOKUP(R127,'Vehicle weight data'!$A$4:$C$9,2,0))</f>
        <v>30000</v>
      </c>
      <c r="V127">
        <f ca="1">IF(S127=-1,-1,VLOOKUP(R127,'Vehicle weight data'!$A$4:$C$9,3,0))</f>
        <v>44000</v>
      </c>
      <c r="W127">
        <f t="shared" ca="1" si="13"/>
        <v>37000</v>
      </c>
    </row>
    <row r="128" spans="1:23" x14ac:dyDescent="0.25">
      <c r="A128" t="s">
        <v>244</v>
      </c>
      <c r="B128" t="s">
        <v>237</v>
      </c>
      <c r="C128" t="s">
        <v>238</v>
      </c>
      <c r="D128" t="s">
        <v>239</v>
      </c>
      <c r="E128" t="s">
        <v>228</v>
      </c>
      <c r="F128">
        <v>1995</v>
      </c>
      <c r="G128">
        <v>1.3727098591549301E-3</v>
      </c>
      <c r="H128" t="s">
        <v>240</v>
      </c>
      <c r="I128" t="s">
        <v>241</v>
      </c>
      <c r="J128" t="s">
        <v>242</v>
      </c>
      <c r="K128" s="183">
        <f ca="1">VLOOKUP(F128,
    OFFSET(INDIRECT(ADDRESS(MATCH(J128,'Vehicle numbers'!$A$5:$A$162,0),1,1,1,$L$6)),4,1,COUNTIF('Vehicle numbers'!$A$5:$A$162,J128),4),
    MATCH(K$8,'Vehicle numbers'!$B$4:$D$4,0))*1000</f>
        <v>153465</v>
      </c>
      <c r="L128" s="183">
        <f ca="1">VLOOKUP(F128,
    OFFSET(INDIRECT(ADDRESS(MATCH(J128,'Vehicle numbers'!$A$5:$A$162,0),1,1,1,$L$6)),4,1,COUNTIF('Vehicle numbers'!$A$5:$A$162,J128),4),
    MATCH(L$8,'Vehicle numbers'!$B$4:$D$4,0))*1000</f>
        <v>158827.01129384254</v>
      </c>
      <c r="M128" s="184">
        <f>VLOOKUP(F128,'Annual distance covered (GB)'!$A$8:$H$33,MATCH(J128,'Annual distance covered (GB)'!$A$7:$H$7,0))</f>
        <v>4.9000000000000004</v>
      </c>
      <c r="N128" s="2">
        <f t="shared" ca="1" si="10"/>
        <v>6961.2920280554436</v>
      </c>
      <c r="O128" s="180">
        <f t="shared" ca="1" si="11"/>
        <v>4.382939634352561E-2</v>
      </c>
      <c r="P128" s="180"/>
      <c r="Q128" s="185">
        <f>Q127</f>
        <v>2013</v>
      </c>
      <c r="R128" s="186" t="s">
        <v>3</v>
      </c>
      <c r="S128" s="180">
        <f t="shared" ca="1" si="14"/>
        <v>0.11560182516141145</v>
      </c>
      <c r="T128" s="180">
        <f t="shared" ca="1" si="14"/>
        <v>0.12223565871384182</v>
      </c>
      <c r="U128">
        <f ca="1">IF(S128=-1,-1,VLOOKUP(R128,'Vehicle weight data'!$A$4:$C$9,2,0))</f>
        <v>100</v>
      </c>
      <c r="V128">
        <f ca="1">IF(S128=-1,-1,VLOOKUP(R128,'Vehicle weight data'!$A$4:$C$9,3,0))</f>
        <v>200</v>
      </c>
      <c r="W128">
        <f t="shared" ca="1" si="13"/>
        <v>150</v>
      </c>
    </row>
    <row r="129" spans="1:23" x14ac:dyDescent="0.25">
      <c r="A129" t="s">
        <v>246</v>
      </c>
      <c r="B129" t="s">
        <v>237</v>
      </c>
      <c r="C129" t="s">
        <v>238</v>
      </c>
      <c r="D129" t="s">
        <v>239</v>
      </c>
      <c r="E129" t="s">
        <v>228</v>
      </c>
      <c r="F129">
        <v>1995</v>
      </c>
      <c r="G129">
        <v>1.09816788732394E-3</v>
      </c>
      <c r="H129" t="s">
        <v>240</v>
      </c>
      <c r="I129" t="s">
        <v>241</v>
      </c>
      <c r="J129" t="s">
        <v>242</v>
      </c>
      <c r="K129" s="183">
        <f ca="1">VLOOKUP(F129,
    OFFSET(INDIRECT(ADDRESS(MATCH(J129,'Vehicle numbers'!$A$5:$A$162,0),1,1,1,$L$6)),4,1,COUNTIF('Vehicle numbers'!$A$5:$A$162,J129),4),
    MATCH(K$8,'Vehicle numbers'!$B$4:$D$4,0))*1000</f>
        <v>153465</v>
      </c>
      <c r="L129" s="183">
        <f ca="1">VLOOKUP(F129,
    OFFSET(INDIRECT(ADDRESS(MATCH(J129,'Vehicle numbers'!$A$5:$A$162,0),1,1,1,$L$6)),4,1,COUNTIF('Vehicle numbers'!$A$5:$A$162,J129),4),
    MATCH(L$8,'Vehicle numbers'!$B$4:$D$4,0))*1000</f>
        <v>158827.01129384254</v>
      </c>
      <c r="M129" s="184">
        <f>VLOOKUP(F129,'Annual distance covered (GB)'!$A$8:$H$33,MATCH(J129,'Annual distance covered (GB)'!$A$7:$H$7,0))</f>
        <v>4.9000000000000004</v>
      </c>
      <c r="N129" s="2">
        <f t="shared" ca="1" si="10"/>
        <v>5569.0336224443345</v>
      </c>
      <c r="O129" s="180">
        <f t="shared" ca="1" si="11"/>
        <v>3.5063517074820361E-2</v>
      </c>
      <c r="P129" s="180"/>
      <c r="Q129" s="185">
        <f>Q128</f>
        <v>2013</v>
      </c>
      <c r="R129" s="186" t="s">
        <v>41</v>
      </c>
      <c r="S129" s="180">
        <f t="shared" ca="1" si="14"/>
        <v>2.8023668022266688</v>
      </c>
      <c r="T129" s="180">
        <f t="shared" ca="1" si="14"/>
        <v>4.0267495272435436</v>
      </c>
      <c r="U129">
        <f ca="1">IF(S129=-1,-1,VLOOKUP(R129,'Vehicle weight data'!$A$4:$C$9,2,0))</f>
        <v>3500</v>
      </c>
      <c r="V129">
        <f ca="1">IF(S129=-1,-1,VLOOKUP(R129,'Vehicle weight data'!$A$4:$C$9,3,0))</f>
        <v>24000</v>
      </c>
      <c r="W129">
        <f t="shared" ca="1" si="13"/>
        <v>13750</v>
      </c>
    </row>
    <row r="130" spans="1:23" x14ac:dyDescent="0.25">
      <c r="A130" t="s">
        <v>236</v>
      </c>
      <c r="B130" t="s">
        <v>237</v>
      </c>
      <c r="C130" t="s">
        <v>238</v>
      </c>
      <c r="D130" t="s">
        <v>248</v>
      </c>
      <c r="E130" t="s">
        <v>229</v>
      </c>
      <c r="F130">
        <v>1995</v>
      </c>
      <c r="G130">
        <v>2.7143000000000101E-2</v>
      </c>
      <c r="H130" t="s">
        <v>240</v>
      </c>
      <c r="I130" t="s">
        <v>241</v>
      </c>
      <c r="J130" t="s">
        <v>242</v>
      </c>
      <c r="K130" s="183">
        <f ca="1">VLOOKUP(F130,
    OFFSET(INDIRECT(ADDRESS(MATCH(J130,'Vehicle numbers'!$A$5:$A$162,0),1,1,1,$L$6)),4,1,COUNTIF('Vehicle numbers'!$A$5:$A$162,J130),4),
    MATCH(K$8,'Vehicle numbers'!$B$4:$D$4,0))*1000</f>
        <v>153465</v>
      </c>
      <c r="L130" s="183">
        <f ca="1">VLOOKUP(F130,
    OFFSET(INDIRECT(ADDRESS(MATCH(J130,'Vehicle numbers'!$A$5:$A$162,0),1,1,1,$L$6)),4,1,COUNTIF('Vehicle numbers'!$A$5:$A$162,J130),4),
    MATCH(L$8,'Vehicle numbers'!$B$4:$D$4,0))*1000</f>
        <v>158827.01129384254</v>
      </c>
      <c r="M130" s="184">
        <f>VLOOKUP(F130,'Annual distance covered (GB)'!$A$8:$H$33,MATCH(J130,'Annual distance covered (GB)'!$A$7:$H$7,0))</f>
        <v>4.9000000000000004</v>
      </c>
      <c r="N130" s="2">
        <f t="shared" ca="1" si="10"/>
        <v>137647.69609350045</v>
      </c>
      <c r="O130" s="180">
        <f t="shared" ca="1" si="11"/>
        <v>0.86665167953605393</v>
      </c>
      <c r="P130" s="180"/>
      <c r="Q130" s="185">
        <f>Q129+1</f>
        <v>2014</v>
      </c>
      <c r="R130" s="186" t="s">
        <v>2</v>
      </c>
      <c r="S130" s="180">
        <f t="shared" ref="S130:T149" ca="1" si="15">IF(SUMIFS($O$10:$O$3241,$F$10:$F$3241,$Q130,$J$10:$J$3241,$R130,$E$10:$E$3241,S$8)=0,-1,SUMIFS($O$10:$O$3241,$F$10:$F$3241,$Q130,$J$10:$J$3241,$R130,$E$10:$E$3241,S$8))</f>
        <v>0.55265087637944532</v>
      </c>
      <c r="T130" s="180">
        <f t="shared" ca="1" si="15"/>
        <v>0.40513186271576174</v>
      </c>
      <c r="U130">
        <f ca="1">IF(S130=-1,-1,VLOOKUP(R130,'Vehicle weight data'!$A$4:$C$9,2,0))</f>
        <v>1000</v>
      </c>
      <c r="V130">
        <f ca="1">IF(S130=-1,-1,VLOOKUP(R130,'Vehicle weight data'!$A$4:$C$9,3,0))</f>
        <v>2000</v>
      </c>
      <c r="W130">
        <f t="shared" ca="1" si="13"/>
        <v>1500</v>
      </c>
    </row>
    <row r="131" spans="1:23" x14ac:dyDescent="0.25">
      <c r="A131" t="s">
        <v>243</v>
      </c>
      <c r="B131" t="s">
        <v>237</v>
      </c>
      <c r="C131" t="s">
        <v>238</v>
      </c>
      <c r="D131" t="s">
        <v>248</v>
      </c>
      <c r="E131" t="s">
        <v>229</v>
      </c>
      <c r="F131">
        <v>1995</v>
      </c>
      <c r="G131">
        <v>1.0857199999999999E-2</v>
      </c>
      <c r="H131" t="s">
        <v>240</v>
      </c>
      <c r="I131" t="s">
        <v>241</v>
      </c>
      <c r="J131" t="s">
        <v>242</v>
      </c>
      <c r="K131" s="183">
        <f ca="1">VLOOKUP(F131,
    OFFSET(INDIRECT(ADDRESS(MATCH(J131,'Vehicle numbers'!$A$5:$A$162,0),1,1,1,$L$6)),4,1,COUNTIF('Vehicle numbers'!$A$5:$A$162,J131),4),
    MATCH(K$8,'Vehicle numbers'!$B$4:$D$4,0))*1000</f>
        <v>153465</v>
      </c>
      <c r="L131" s="183">
        <f ca="1">VLOOKUP(F131,
    OFFSET(INDIRECT(ADDRESS(MATCH(J131,'Vehicle numbers'!$A$5:$A$162,0),1,1,1,$L$6)),4,1,COUNTIF('Vehicle numbers'!$A$5:$A$162,J131),4),
    MATCH(L$8,'Vehicle numbers'!$B$4:$D$4,0))*1000</f>
        <v>158827.01129384254</v>
      </c>
      <c r="M131" s="184">
        <f>VLOOKUP(F131,'Annual distance covered (GB)'!$A$8:$H$33,MATCH(J131,'Annual distance covered (GB)'!$A$7:$H$7,0))</f>
        <v>4.9000000000000004</v>
      </c>
      <c r="N131" s="2">
        <f t="shared" ca="1" si="10"/>
        <v>55059.078437399978</v>
      </c>
      <c r="O131" s="180">
        <f t="shared" ca="1" si="11"/>
        <v>0.34666067181442028</v>
      </c>
      <c r="P131" s="180"/>
      <c r="Q131" s="185">
        <f>Q130</f>
        <v>2014</v>
      </c>
      <c r="R131" s="186" t="s">
        <v>188</v>
      </c>
      <c r="S131" s="180">
        <f t="shared" ca="1" si="15"/>
        <v>1.3665689155211962</v>
      </c>
      <c r="T131" s="180">
        <f t="shared" ca="1" si="15"/>
        <v>0.98868342513424423</v>
      </c>
      <c r="U131">
        <f ca="1">IF(S131=-1,-1,VLOOKUP(R131,'Vehicle weight data'!$A$4:$C$9,2,0))</f>
        <v>1500</v>
      </c>
      <c r="V131">
        <f ca="1">IF(S131=-1,-1,VLOOKUP(R131,'Vehicle weight data'!$A$4:$C$9,3,0))</f>
        <v>3500</v>
      </c>
      <c r="W131">
        <f t="shared" ca="1" si="13"/>
        <v>2500</v>
      </c>
    </row>
    <row r="132" spans="1:23" x14ac:dyDescent="0.25">
      <c r="A132" t="s">
        <v>244</v>
      </c>
      <c r="B132" t="s">
        <v>237</v>
      </c>
      <c r="C132" t="s">
        <v>238</v>
      </c>
      <c r="D132" t="s">
        <v>248</v>
      </c>
      <c r="E132" t="s">
        <v>229</v>
      </c>
      <c r="F132">
        <v>1995</v>
      </c>
      <c r="G132">
        <v>2.7142999999999998E-3</v>
      </c>
      <c r="H132" t="s">
        <v>240</v>
      </c>
      <c r="I132" t="s">
        <v>241</v>
      </c>
      <c r="J132" t="s">
        <v>242</v>
      </c>
      <c r="K132" s="183">
        <f ca="1">VLOOKUP(F132,
    OFFSET(INDIRECT(ADDRESS(MATCH(J132,'Vehicle numbers'!$A$5:$A$162,0),1,1,1,$L$6)),4,1,COUNTIF('Vehicle numbers'!$A$5:$A$162,J132),4),
    MATCH(K$8,'Vehicle numbers'!$B$4:$D$4,0))*1000</f>
        <v>153465</v>
      </c>
      <c r="L132" s="183">
        <f ca="1">VLOOKUP(F132,
    OFFSET(INDIRECT(ADDRESS(MATCH(J132,'Vehicle numbers'!$A$5:$A$162,0),1,1,1,$L$6)),4,1,COUNTIF('Vehicle numbers'!$A$5:$A$162,J132),4),
    MATCH(L$8,'Vehicle numbers'!$B$4:$D$4,0))*1000</f>
        <v>158827.01129384254</v>
      </c>
      <c r="M132" s="184">
        <f>VLOOKUP(F132,'Annual distance covered (GB)'!$A$8:$H$33,MATCH(J132,'Annual distance covered (GB)'!$A$7:$H$7,0))</f>
        <v>4.9000000000000004</v>
      </c>
      <c r="N132" s="2">
        <f t="shared" ca="1" si="10"/>
        <v>13764.769609349994</v>
      </c>
      <c r="O132" s="180">
        <f t="shared" ca="1" si="11"/>
        <v>8.6665167953605071E-2</v>
      </c>
      <c r="P132" s="180"/>
      <c r="Q132" s="185">
        <f>Q131</f>
        <v>2014</v>
      </c>
      <c r="R132" s="187" t="s">
        <v>245</v>
      </c>
      <c r="S132" s="180">
        <f t="shared" ca="1" si="15"/>
        <v>4.4173384495118606</v>
      </c>
      <c r="T132" s="180">
        <f t="shared" ca="1" si="15"/>
        <v>6.1764005607442609</v>
      </c>
      <c r="U132">
        <f ca="1">IF(S132=-1,-1,VLOOKUP(R132,'Vehicle weight data'!$A$4:$C$9,2,0))</f>
        <v>3500</v>
      </c>
      <c r="V132">
        <f ca="1">IF(S132=-1,-1,VLOOKUP(R132,'Vehicle weight data'!$A$4:$C$9,3,0))</f>
        <v>30000</v>
      </c>
      <c r="W132">
        <f t="shared" ca="1" si="13"/>
        <v>16750</v>
      </c>
    </row>
    <row r="133" spans="1:23" x14ac:dyDescent="0.25">
      <c r="A133" t="s">
        <v>246</v>
      </c>
      <c r="B133" t="s">
        <v>237</v>
      </c>
      <c r="C133" t="s">
        <v>238</v>
      </c>
      <c r="D133" t="s">
        <v>248</v>
      </c>
      <c r="E133" t="s">
        <v>229</v>
      </c>
      <c r="F133">
        <v>1995</v>
      </c>
      <c r="G133">
        <v>2.1714400000000002E-3</v>
      </c>
      <c r="H133" t="s">
        <v>240</v>
      </c>
      <c r="I133" t="s">
        <v>241</v>
      </c>
      <c r="J133" t="s">
        <v>242</v>
      </c>
      <c r="K133" s="183">
        <f ca="1">VLOOKUP(F133,
    OFFSET(INDIRECT(ADDRESS(MATCH(J133,'Vehicle numbers'!$A$5:$A$162,0),1,1,1,$L$6)),4,1,COUNTIF('Vehicle numbers'!$A$5:$A$162,J133),4),
    MATCH(K$8,'Vehicle numbers'!$B$4:$D$4,0))*1000</f>
        <v>153465</v>
      </c>
      <c r="L133" s="183">
        <f ca="1">VLOOKUP(F133,
    OFFSET(INDIRECT(ADDRESS(MATCH(J133,'Vehicle numbers'!$A$5:$A$162,0),1,1,1,$L$6)),4,1,COUNTIF('Vehicle numbers'!$A$5:$A$162,J133),4),
    MATCH(L$8,'Vehicle numbers'!$B$4:$D$4,0))*1000</f>
        <v>158827.01129384254</v>
      </c>
      <c r="M133" s="184">
        <f>VLOOKUP(F133,'Annual distance covered (GB)'!$A$8:$H$33,MATCH(J133,'Annual distance covered (GB)'!$A$7:$H$7,0))</f>
        <v>4.9000000000000004</v>
      </c>
      <c r="N133" s="2">
        <f t="shared" ca="1" si="10"/>
        <v>11011.815687479997</v>
      </c>
      <c r="O133" s="180">
        <f t="shared" ca="1" si="11"/>
        <v>6.9332134362884074E-2</v>
      </c>
      <c r="P133" s="180"/>
      <c r="Q133" s="185">
        <f>Q132</f>
        <v>2014</v>
      </c>
      <c r="R133" s="188" t="s">
        <v>247</v>
      </c>
      <c r="S133" s="180">
        <f t="shared" ca="1" si="15"/>
        <v>26.090986256988923</v>
      </c>
      <c r="T133" s="180">
        <f t="shared" ca="1" si="15"/>
        <v>16.274915190357092</v>
      </c>
      <c r="U133">
        <f ca="1">IF(S133=-1,-1,VLOOKUP(R133,'Vehicle weight data'!$A$4:$C$9,2,0))</f>
        <v>30000</v>
      </c>
      <c r="V133">
        <f ca="1">IF(S133=-1,-1,VLOOKUP(R133,'Vehicle weight data'!$A$4:$C$9,3,0))</f>
        <v>44000</v>
      </c>
      <c r="W133">
        <f t="shared" ca="1" si="13"/>
        <v>37000</v>
      </c>
    </row>
    <row r="134" spans="1:23" x14ac:dyDescent="0.25">
      <c r="A134" t="s">
        <v>236</v>
      </c>
      <c r="B134" t="s">
        <v>237</v>
      </c>
      <c r="C134" t="s">
        <v>238</v>
      </c>
      <c r="D134" t="s">
        <v>248</v>
      </c>
      <c r="E134" t="s">
        <v>228</v>
      </c>
      <c r="F134">
        <v>1995</v>
      </c>
      <c r="G134">
        <v>1.6955207511182801E-2</v>
      </c>
      <c r="H134" t="s">
        <v>240</v>
      </c>
      <c r="I134" t="s">
        <v>241</v>
      </c>
      <c r="J134" t="s">
        <v>242</v>
      </c>
      <c r="K134" s="183">
        <f ca="1">VLOOKUP(F134,
    OFFSET(INDIRECT(ADDRESS(MATCH(J134,'Vehicle numbers'!$A$5:$A$162,0),1,1,1,$L$6)),4,1,COUNTIF('Vehicle numbers'!$A$5:$A$162,J134),4),
    MATCH(K$8,'Vehicle numbers'!$B$4:$D$4,0))*1000</f>
        <v>153465</v>
      </c>
      <c r="L134" s="183">
        <f ca="1">VLOOKUP(F134,
    OFFSET(INDIRECT(ADDRESS(MATCH(J134,'Vehicle numbers'!$A$5:$A$162,0),1,1,1,$L$6)),4,1,COUNTIF('Vehicle numbers'!$A$5:$A$162,J134),4),
    MATCH(L$8,'Vehicle numbers'!$B$4:$D$4,0))*1000</f>
        <v>158827.01129384254</v>
      </c>
      <c r="M134" s="184">
        <f>VLOOKUP(F134,'Annual distance covered (GB)'!$A$8:$H$33,MATCH(J134,'Annual distance covered (GB)'!$A$7:$H$7,0))</f>
        <v>4.9000000000000004</v>
      </c>
      <c r="N134" s="2">
        <f t="shared" ca="1" si="10"/>
        <v>85983.319850477754</v>
      </c>
      <c r="O134" s="180">
        <f t="shared" ca="1" si="11"/>
        <v>0.54136459000290449</v>
      </c>
      <c r="P134" s="180"/>
      <c r="Q134" s="185">
        <f>Q133</f>
        <v>2014</v>
      </c>
      <c r="R134" s="186" t="s">
        <v>3</v>
      </c>
      <c r="S134" s="180">
        <f t="shared" ca="1" si="15"/>
        <v>0.12106045381888035</v>
      </c>
      <c r="T134" s="180">
        <f t="shared" ca="1" si="15"/>
        <v>0.12800753185415176</v>
      </c>
      <c r="U134">
        <f ca="1">IF(S134=-1,-1,VLOOKUP(R134,'Vehicle weight data'!$A$4:$C$9,2,0))</f>
        <v>100</v>
      </c>
      <c r="V134">
        <f ca="1">IF(S134=-1,-1,VLOOKUP(R134,'Vehicle weight data'!$A$4:$C$9,3,0))</f>
        <v>200</v>
      </c>
      <c r="W134">
        <f t="shared" ca="1" si="13"/>
        <v>150</v>
      </c>
    </row>
    <row r="135" spans="1:23" x14ac:dyDescent="0.25">
      <c r="A135" t="s">
        <v>243</v>
      </c>
      <c r="B135" t="s">
        <v>237</v>
      </c>
      <c r="C135" t="s">
        <v>238</v>
      </c>
      <c r="D135" t="s">
        <v>248</v>
      </c>
      <c r="E135" t="s">
        <v>228</v>
      </c>
      <c r="F135">
        <v>1995</v>
      </c>
      <c r="G135">
        <v>1.1868645257828001E-2</v>
      </c>
      <c r="H135" t="s">
        <v>240</v>
      </c>
      <c r="I135" t="s">
        <v>241</v>
      </c>
      <c r="J135" t="s">
        <v>242</v>
      </c>
      <c r="K135" s="183">
        <f ca="1">VLOOKUP(F135,
    OFFSET(INDIRECT(ADDRESS(MATCH(J135,'Vehicle numbers'!$A$5:$A$162,0),1,1,1,$L$6)),4,1,COUNTIF('Vehicle numbers'!$A$5:$A$162,J135),4),
    MATCH(K$8,'Vehicle numbers'!$B$4:$D$4,0))*1000</f>
        <v>153465</v>
      </c>
      <c r="L135" s="183">
        <f ca="1">VLOOKUP(F135,
    OFFSET(INDIRECT(ADDRESS(MATCH(J135,'Vehicle numbers'!$A$5:$A$162,0),1,1,1,$L$6)),4,1,COUNTIF('Vehicle numbers'!$A$5:$A$162,J135),4),
    MATCH(L$8,'Vehicle numbers'!$B$4:$D$4,0))*1000</f>
        <v>158827.01129384254</v>
      </c>
      <c r="M135" s="184">
        <f>VLOOKUP(F135,'Annual distance covered (GB)'!$A$8:$H$33,MATCH(J135,'Annual distance covered (GB)'!$A$7:$H$7,0))</f>
        <v>4.9000000000000004</v>
      </c>
      <c r="N135" s="2">
        <f t="shared" ca="1" si="10"/>
        <v>60188.323895334623</v>
      </c>
      <c r="O135" s="180">
        <f t="shared" ca="1" si="11"/>
        <v>0.37895521300203439</v>
      </c>
      <c r="P135" s="180"/>
      <c r="Q135" s="185">
        <f>Q134</f>
        <v>2014</v>
      </c>
      <c r="R135" s="186" t="s">
        <v>41</v>
      </c>
      <c r="S135" s="180">
        <f t="shared" ca="1" si="15"/>
        <v>2.8266579096734765</v>
      </c>
      <c r="T135" s="180">
        <f t="shared" ca="1" si="15"/>
        <v>4.0615712507129667</v>
      </c>
      <c r="U135">
        <f ca="1">IF(S135=-1,-1,VLOOKUP(R135,'Vehicle weight data'!$A$4:$C$9,2,0))</f>
        <v>3500</v>
      </c>
      <c r="V135">
        <f ca="1">IF(S135=-1,-1,VLOOKUP(R135,'Vehicle weight data'!$A$4:$C$9,3,0))</f>
        <v>24000</v>
      </c>
      <c r="W135">
        <f t="shared" ca="1" si="13"/>
        <v>13750</v>
      </c>
    </row>
    <row r="136" spans="1:23" x14ac:dyDescent="0.25">
      <c r="A136" t="s">
        <v>244</v>
      </c>
      <c r="B136" t="s">
        <v>237</v>
      </c>
      <c r="C136" t="s">
        <v>238</v>
      </c>
      <c r="D136" t="s">
        <v>248</v>
      </c>
      <c r="E136" t="s">
        <v>228</v>
      </c>
      <c r="F136">
        <v>1995</v>
      </c>
      <c r="G136">
        <v>1.6716401771588701E-3</v>
      </c>
      <c r="H136" t="s">
        <v>240</v>
      </c>
      <c r="I136" t="s">
        <v>241</v>
      </c>
      <c r="J136" t="s">
        <v>242</v>
      </c>
      <c r="K136" s="183">
        <f ca="1">VLOOKUP(F136,
    OFFSET(INDIRECT(ADDRESS(MATCH(J136,'Vehicle numbers'!$A$5:$A$162,0),1,1,1,$L$6)),4,1,COUNTIF('Vehicle numbers'!$A$5:$A$162,J136),4),
    MATCH(K$8,'Vehicle numbers'!$B$4:$D$4,0))*1000</f>
        <v>153465</v>
      </c>
      <c r="L136" s="183">
        <f ca="1">VLOOKUP(F136,
    OFFSET(INDIRECT(ADDRESS(MATCH(J136,'Vehicle numbers'!$A$5:$A$162,0),1,1,1,$L$6)),4,1,COUNTIF('Vehicle numbers'!$A$5:$A$162,J136),4),
    MATCH(L$8,'Vehicle numbers'!$B$4:$D$4,0))*1000</f>
        <v>158827.01129384254</v>
      </c>
      <c r="M136" s="184">
        <f>VLOOKUP(F136,'Annual distance covered (GB)'!$A$8:$H$33,MATCH(J136,'Annual distance covered (GB)'!$A$7:$H$7,0))</f>
        <v>4.9000000000000004</v>
      </c>
      <c r="N136" s="2">
        <f t="shared" ca="1" si="10"/>
        <v>8477.2287176527479</v>
      </c>
      <c r="O136" s="180">
        <f t="shared" ca="1" si="11"/>
        <v>5.3373973662258267E-2</v>
      </c>
      <c r="P136" s="180"/>
      <c r="Q136" s="185">
        <f>Q135+1</f>
        <v>2015</v>
      </c>
      <c r="R136" s="186" t="s">
        <v>2</v>
      </c>
      <c r="S136" s="180">
        <f t="shared" ca="1" si="15"/>
        <v>0.55079028020411591</v>
      </c>
      <c r="T136" s="180">
        <f t="shared" ca="1" si="15"/>
        <v>0.40376720995432069</v>
      </c>
      <c r="U136">
        <f ca="1">IF(S136=-1,-1,VLOOKUP(R136,'Vehicle weight data'!$A$4:$C$9,2,0))</f>
        <v>1000</v>
      </c>
      <c r="V136">
        <f ca="1">IF(S136=-1,-1,VLOOKUP(R136,'Vehicle weight data'!$A$4:$C$9,3,0))</f>
        <v>2000</v>
      </c>
      <c r="W136">
        <f t="shared" ca="1" si="13"/>
        <v>1500</v>
      </c>
    </row>
    <row r="137" spans="1:23" x14ac:dyDescent="0.25">
      <c r="A137" t="s">
        <v>246</v>
      </c>
      <c r="B137" t="s">
        <v>237</v>
      </c>
      <c r="C137" t="s">
        <v>238</v>
      </c>
      <c r="D137" t="s">
        <v>248</v>
      </c>
      <c r="E137" t="s">
        <v>228</v>
      </c>
      <c r="F137">
        <v>1995</v>
      </c>
      <c r="G137">
        <v>1.3373121417270999E-3</v>
      </c>
      <c r="H137" t="s">
        <v>240</v>
      </c>
      <c r="I137" t="s">
        <v>241</v>
      </c>
      <c r="J137" t="s">
        <v>242</v>
      </c>
      <c r="K137" s="183">
        <f ca="1">VLOOKUP(F137,
    OFFSET(INDIRECT(ADDRESS(MATCH(J137,'Vehicle numbers'!$A$5:$A$162,0),1,1,1,$L$6)),4,1,COUNTIF('Vehicle numbers'!$A$5:$A$162,J137),4),
    MATCH(K$8,'Vehicle numbers'!$B$4:$D$4,0))*1000</f>
        <v>153465</v>
      </c>
      <c r="L137" s="183">
        <f ca="1">VLOOKUP(F137,
    OFFSET(INDIRECT(ADDRESS(MATCH(J137,'Vehicle numbers'!$A$5:$A$162,0),1,1,1,$L$6)),4,1,COUNTIF('Vehicle numbers'!$A$5:$A$162,J137),4),
    MATCH(L$8,'Vehicle numbers'!$B$4:$D$4,0))*1000</f>
        <v>158827.01129384254</v>
      </c>
      <c r="M137" s="184">
        <f>VLOOKUP(F137,'Annual distance covered (GB)'!$A$8:$H$33,MATCH(J137,'Annual distance covered (GB)'!$A$7:$H$7,0))</f>
        <v>4.9000000000000004</v>
      </c>
      <c r="N137" s="2">
        <f t="shared" ca="1" si="10"/>
        <v>6781.7829741222176</v>
      </c>
      <c r="O137" s="180">
        <f t="shared" ca="1" si="11"/>
        <v>4.2699178929806736E-2</v>
      </c>
      <c r="P137" s="180"/>
      <c r="Q137" s="185">
        <f>Q136</f>
        <v>2015</v>
      </c>
      <c r="R137" s="186" t="s">
        <v>188</v>
      </c>
      <c r="S137" s="180">
        <f t="shared" ca="1" si="15"/>
        <v>1.3699356438090937</v>
      </c>
      <c r="T137" s="180">
        <f t="shared" ca="1" si="15"/>
        <v>0.99111918114871866</v>
      </c>
      <c r="U137">
        <f ca="1">IF(S137=-1,-1,VLOOKUP(R137,'Vehicle weight data'!$A$4:$C$9,2,0))</f>
        <v>1500</v>
      </c>
      <c r="V137">
        <f ca="1">IF(S137=-1,-1,VLOOKUP(R137,'Vehicle weight data'!$A$4:$C$9,3,0))</f>
        <v>3500</v>
      </c>
      <c r="W137">
        <f t="shared" ca="1" si="13"/>
        <v>2500</v>
      </c>
    </row>
    <row r="138" spans="1:23" x14ac:dyDescent="0.25">
      <c r="A138" t="s">
        <v>236</v>
      </c>
      <c r="B138" t="s">
        <v>237</v>
      </c>
      <c r="C138" t="s">
        <v>238</v>
      </c>
      <c r="D138" t="s">
        <v>249</v>
      </c>
      <c r="E138" t="s">
        <v>229</v>
      </c>
      <c r="F138">
        <v>1995</v>
      </c>
      <c r="G138">
        <v>5.3594999999999997E-2</v>
      </c>
      <c r="H138" t="s">
        <v>240</v>
      </c>
      <c r="I138" t="s">
        <v>241</v>
      </c>
      <c r="J138" t="s">
        <v>242</v>
      </c>
      <c r="K138" s="183">
        <f ca="1">VLOOKUP(F138,
    OFFSET(INDIRECT(ADDRESS(MATCH(J138,'Vehicle numbers'!$A$5:$A$162,0),1,1,1,$L$6)),4,1,COUNTIF('Vehicle numbers'!$A$5:$A$162,J138),4),
    MATCH(K$8,'Vehicle numbers'!$B$4:$D$4,0))*1000</f>
        <v>153465</v>
      </c>
      <c r="L138" s="183">
        <f ca="1">VLOOKUP(F138,
    OFFSET(INDIRECT(ADDRESS(MATCH(J138,'Vehicle numbers'!$A$5:$A$162,0),1,1,1,$L$6)),4,1,COUNTIF('Vehicle numbers'!$A$5:$A$162,J138),4),
    MATCH(L$8,'Vehicle numbers'!$B$4:$D$4,0))*1000</f>
        <v>158827.01129384254</v>
      </c>
      <c r="M138" s="184">
        <f>VLOOKUP(F138,'Annual distance covered (GB)'!$A$8:$H$33,MATCH(J138,'Annual distance covered (GB)'!$A$7:$H$7,0))</f>
        <v>4.9000000000000004</v>
      </c>
      <c r="N138" s="2">
        <f t="shared" ca="1" si="10"/>
        <v>271791.19007225172</v>
      </c>
      <c r="O138" s="180">
        <f t="shared" ca="1" si="11"/>
        <v>1.7112403479620761</v>
      </c>
      <c r="P138" s="180"/>
      <c r="Q138" s="185">
        <f>Q137</f>
        <v>2015</v>
      </c>
      <c r="R138" s="187" t="s">
        <v>245</v>
      </c>
      <c r="S138" s="180">
        <f t="shared" ca="1" si="15"/>
        <v>4.531732159075653</v>
      </c>
      <c r="T138" s="180">
        <f t="shared" ca="1" si="15"/>
        <v>6.3363478638479025</v>
      </c>
      <c r="U138">
        <f ca="1">IF(S138=-1,-1,VLOOKUP(R138,'Vehicle weight data'!$A$4:$C$9,2,0))</f>
        <v>3500</v>
      </c>
      <c r="V138">
        <f ca="1">IF(S138=-1,-1,VLOOKUP(R138,'Vehicle weight data'!$A$4:$C$9,3,0))</f>
        <v>30000</v>
      </c>
      <c r="W138">
        <f t="shared" ref="W138:W159" ca="1" si="16">IF(V138=-1,-1,AVERAGE(U138:V138))</f>
        <v>16750</v>
      </c>
    </row>
    <row r="139" spans="1:23" x14ac:dyDescent="0.25">
      <c r="A139" t="s">
        <v>243</v>
      </c>
      <c r="B139" t="s">
        <v>237</v>
      </c>
      <c r="C139" t="s">
        <v>238</v>
      </c>
      <c r="D139" t="s">
        <v>249</v>
      </c>
      <c r="E139" t="s">
        <v>229</v>
      </c>
      <c r="F139">
        <v>1995</v>
      </c>
      <c r="G139">
        <v>2.1437999999999999E-2</v>
      </c>
      <c r="H139" t="s">
        <v>240</v>
      </c>
      <c r="I139" t="s">
        <v>241</v>
      </c>
      <c r="J139" t="s">
        <v>242</v>
      </c>
      <c r="K139" s="183">
        <f ca="1">VLOOKUP(F139,
    OFFSET(INDIRECT(ADDRESS(MATCH(J139,'Vehicle numbers'!$A$5:$A$162,0),1,1,1,$L$6)),4,1,COUNTIF('Vehicle numbers'!$A$5:$A$162,J139),4),
    MATCH(K$8,'Vehicle numbers'!$B$4:$D$4,0))*1000</f>
        <v>153465</v>
      </c>
      <c r="L139" s="183">
        <f ca="1">VLOOKUP(F139,
    OFFSET(INDIRECT(ADDRESS(MATCH(J139,'Vehicle numbers'!$A$5:$A$162,0),1,1,1,$L$6)),4,1,COUNTIF('Vehicle numbers'!$A$5:$A$162,J139),4),
    MATCH(L$8,'Vehicle numbers'!$B$4:$D$4,0))*1000</f>
        <v>158827.01129384254</v>
      </c>
      <c r="M139" s="184">
        <f>VLOOKUP(F139,'Annual distance covered (GB)'!$A$8:$H$33,MATCH(J139,'Annual distance covered (GB)'!$A$7:$H$7,0))</f>
        <v>4.9000000000000004</v>
      </c>
      <c r="N139" s="2">
        <f t="shared" ref="N139:N202" ca="1" si="17">M139*G139*1000000*(L139/K139)</f>
        <v>108716.4760289007</v>
      </c>
      <c r="O139" s="180">
        <f t="shared" ref="O139:O202" ca="1" si="18">N139/L139</f>
        <v>0.68449613918483054</v>
      </c>
      <c r="P139" s="180"/>
      <c r="Q139" s="185">
        <f>Q138</f>
        <v>2015</v>
      </c>
      <c r="R139" s="188" t="s">
        <v>247</v>
      </c>
      <c r="S139" s="180">
        <f t="shared" ca="1" si="15"/>
        <v>26.018070657643129</v>
      </c>
      <c r="T139" s="180">
        <f t="shared" ca="1" si="15"/>
        <v>16.229432233763649</v>
      </c>
      <c r="U139">
        <f ca="1">IF(S139=-1,-1,VLOOKUP(R139,'Vehicle weight data'!$A$4:$C$9,2,0))</f>
        <v>30000</v>
      </c>
      <c r="V139">
        <f ca="1">IF(S139=-1,-1,VLOOKUP(R139,'Vehicle weight data'!$A$4:$C$9,3,0))</f>
        <v>44000</v>
      </c>
      <c r="W139">
        <f t="shared" ca="1" si="16"/>
        <v>37000</v>
      </c>
    </row>
    <row r="140" spans="1:23" x14ac:dyDescent="0.25">
      <c r="A140" t="s">
        <v>244</v>
      </c>
      <c r="B140" t="s">
        <v>237</v>
      </c>
      <c r="C140" t="s">
        <v>238</v>
      </c>
      <c r="D140" t="s">
        <v>249</v>
      </c>
      <c r="E140" t="s">
        <v>229</v>
      </c>
      <c r="F140">
        <v>1995</v>
      </c>
      <c r="G140">
        <v>5.3594999999999997E-3</v>
      </c>
      <c r="H140" t="s">
        <v>240</v>
      </c>
      <c r="I140" t="s">
        <v>241</v>
      </c>
      <c r="J140" t="s">
        <v>242</v>
      </c>
      <c r="K140" s="183">
        <f ca="1">VLOOKUP(F140,
    OFFSET(INDIRECT(ADDRESS(MATCH(J140,'Vehicle numbers'!$A$5:$A$162,0),1,1,1,$L$6)),4,1,COUNTIF('Vehicle numbers'!$A$5:$A$162,J140),4),
    MATCH(K$8,'Vehicle numbers'!$B$4:$D$4,0))*1000</f>
        <v>153465</v>
      </c>
      <c r="L140" s="183">
        <f ca="1">VLOOKUP(F140,
    OFFSET(INDIRECT(ADDRESS(MATCH(J140,'Vehicle numbers'!$A$5:$A$162,0),1,1,1,$L$6)),4,1,COUNTIF('Vehicle numbers'!$A$5:$A$162,J140),4),
    MATCH(L$8,'Vehicle numbers'!$B$4:$D$4,0))*1000</f>
        <v>158827.01129384254</v>
      </c>
      <c r="M140" s="184">
        <f>VLOOKUP(F140,'Annual distance covered (GB)'!$A$8:$H$33,MATCH(J140,'Annual distance covered (GB)'!$A$7:$H$7,0))</f>
        <v>4.9000000000000004</v>
      </c>
      <c r="N140" s="2">
        <f t="shared" ca="1" si="17"/>
        <v>27179.119007225174</v>
      </c>
      <c r="O140" s="180">
        <f t="shared" ca="1" si="18"/>
        <v>0.17112403479620764</v>
      </c>
      <c r="P140" s="180"/>
      <c r="Q140" s="185">
        <f>Q139</f>
        <v>2015</v>
      </c>
      <c r="R140" s="186" t="s">
        <v>3</v>
      </c>
      <c r="S140" s="180">
        <f t="shared" ca="1" si="15"/>
        <v>0.11962330361502764</v>
      </c>
      <c r="T140" s="180">
        <f t="shared" ca="1" si="15"/>
        <v>0.12648791050221042</v>
      </c>
      <c r="U140">
        <f ca="1">IF(S140=-1,-1,VLOOKUP(R140,'Vehicle weight data'!$A$4:$C$9,2,0))</f>
        <v>100</v>
      </c>
      <c r="V140">
        <f ca="1">IF(S140=-1,-1,VLOOKUP(R140,'Vehicle weight data'!$A$4:$C$9,3,0))</f>
        <v>200</v>
      </c>
      <c r="W140">
        <f t="shared" ca="1" si="16"/>
        <v>150</v>
      </c>
    </row>
    <row r="141" spans="1:23" x14ac:dyDescent="0.25">
      <c r="A141" t="s">
        <v>246</v>
      </c>
      <c r="B141" t="s">
        <v>237</v>
      </c>
      <c r="C141" t="s">
        <v>238</v>
      </c>
      <c r="D141" t="s">
        <v>249</v>
      </c>
      <c r="E141" t="s">
        <v>229</v>
      </c>
      <c r="F141">
        <v>1995</v>
      </c>
      <c r="G141">
        <v>4.2875999999999999E-3</v>
      </c>
      <c r="H141" t="s">
        <v>240</v>
      </c>
      <c r="I141" t="s">
        <v>241</v>
      </c>
      <c r="J141" t="s">
        <v>242</v>
      </c>
      <c r="K141" s="183">
        <f ca="1">VLOOKUP(F141,
    OFFSET(INDIRECT(ADDRESS(MATCH(J141,'Vehicle numbers'!$A$5:$A$162,0),1,1,1,$L$6)),4,1,COUNTIF('Vehicle numbers'!$A$5:$A$162,J141),4),
    MATCH(K$8,'Vehicle numbers'!$B$4:$D$4,0))*1000</f>
        <v>153465</v>
      </c>
      <c r="L141" s="183">
        <f ca="1">VLOOKUP(F141,
    OFFSET(INDIRECT(ADDRESS(MATCH(J141,'Vehicle numbers'!$A$5:$A$162,0),1,1,1,$L$6)),4,1,COUNTIF('Vehicle numbers'!$A$5:$A$162,J141),4),
    MATCH(L$8,'Vehicle numbers'!$B$4:$D$4,0))*1000</f>
        <v>158827.01129384254</v>
      </c>
      <c r="M141" s="184">
        <f>VLOOKUP(F141,'Annual distance covered (GB)'!$A$8:$H$33,MATCH(J141,'Annual distance covered (GB)'!$A$7:$H$7,0))</f>
        <v>4.9000000000000004</v>
      </c>
      <c r="N141" s="2">
        <f t="shared" ca="1" si="17"/>
        <v>21743.295205780138</v>
      </c>
      <c r="O141" s="180">
        <f t="shared" ca="1" si="18"/>
        <v>0.13689922783696609</v>
      </c>
      <c r="P141" s="180"/>
      <c r="Q141" s="185">
        <f>Q140</f>
        <v>2015</v>
      </c>
      <c r="R141" s="186" t="s">
        <v>41</v>
      </c>
      <c r="S141" s="180">
        <f t="shared" ca="1" si="15"/>
        <v>2.7122394380192669</v>
      </c>
      <c r="T141" s="180">
        <f t="shared" ca="1" si="15"/>
        <v>3.8972235949255079</v>
      </c>
      <c r="U141">
        <f ca="1">IF(S141=-1,-1,VLOOKUP(R141,'Vehicle weight data'!$A$4:$C$9,2,0))</f>
        <v>3500</v>
      </c>
      <c r="V141">
        <f ca="1">IF(S141=-1,-1,VLOOKUP(R141,'Vehicle weight data'!$A$4:$C$9,3,0))</f>
        <v>24000</v>
      </c>
      <c r="W141">
        <f t="shared" ca="1" si="16"/>
        <v>13750</v>
      </c>
    </row>
    <row r="142" spans="1:23" x14ac:dyDescent="0.25">
      <c r="A142" t="s">
        <v>236</v>
      </c>
      <c r="B142" t="s">
        <v>237</v>
      </c>
      <c r="C142" t="s">
        <v>238</v>
      </c>
      <c r="D142" t="s">
        <v>249</v>
      </c>
      <c r="E142" t="s">
        <v>228</v>
      </c>
      <c r="F142">
        <v>1995</v>
      </c>
      <c r="G142">
        <v>2.1562200648721799E-2</v>
      </c>
      <c r="H142" t="s">
        <v>240</v>
      </c>
      <c r="I142" t="s">
        <v>241</v>
      </c>
      <c r="J142" t="s">
        <v>242</v>
      </c>
      <c r="K142" s="183">
        <f ca="1">VLOOKUP(F142,
    OFFSET(INDIRECT(ADDRESS(MATCH(J142,'Vehicle numbers'!$A$5:$A$162,0),1,1,1,$L$6)),4,1,COUNTIF('Vehicle numbers'!$A$5:$A$162,J142),4),
    MATCH(K$8,'Vehicle numbers'!$B$4:$D$4,0))*1000</f>
        <v>153465</v>
      </c>
      <c r="L142" s="183">
        <f ca="1">VLOOKUP(F142,
    OFFSET(INDIRECT(ADDRESS(MATCH(J142,'Vehicle numbers'!$A$5:$A$162,0),1,1,1,$L$6)),4,1,COUNTIF('Vehicle numbers'!$A$5:$A$162,J142),4),
    MATCH(L$8,'Vehicle numbers'!$B$4:$D$4,0))*1000</f>
        <v>158827.01129384254</v>
      </c>
      <c r="M142" s="184">
        <f>VLOOKUP(F142,'Annual distance covered (GB)'!$A$8:$H$33,MATCH(J142,'Annual distance covered (GB)'!$A$7:$H$7,0))</f>
        <v>4.9000000000000004</v>
      </c>
      <c r="N142" s="2">
        <f t="shared" ca="1" si="17"/>
        <v>109346.32288259681</v>
      </c>
      <c r="O142" s="180">
        <f t="shared" ca="1" si="18"/>
        <v>0.68846175465895698</v>
      </c>
      <c r="P142" s="180"/>
      <c r="Q142" s="185">
        <f>Q141+1</f>
        <v>2016</v>
      </c>
      <c r="R142" s="186" t="s">
        <v>2</v>
      </c>
      <c r="S142" s="180">
        <f t="shared" ca="1" si="15"/>
        <v>0.5521757110142953</v>
      </c>
      <c r="T142" s="180">
        <f t="shared" ca="1" si="15"/>
        <v>0.40478598804584892</v>
      </c>
      <c r="U142">
        <f ca="1">IF(S142=-1,-1,VLOOKUP(R142,'Vehicle weight data'!$A$4:$C$9,2,0))</f>
        <v>1000</v>
      </c>
      <c r="V142">
        <f ca="1">IF(S142=-1,-1,VLOOKUP(R142,'Vehicle weight data'!$A$4:$C$9,3,0))</f>
        <v>2000</v>
      </c>
      <c r="W142">
        <f t="shared" ca="1" si="16"/>
        <v>1500</v>
      </c>
    </row>
    <row r="143" spans="1:23" x14ac:dyDescent="0.25">
      <c r="A143" t="s">
        <v>243</v>
      </c>
      <c r="B143" t="s">
        <v>237</v>
      </c>
      <c r="C143" t="s">
        <v>238</v>
      </c>
      <c r="D143" t="s">
        <v>249</v>
      </c>
      <c r="E143" t="s">
        <v>228</v>
      </c>
      <c r="F143">
        <v>1995</v>
      </c>
      <c r="G143">
        <v>1.5093540454105299E-2</v>
      </c>
      <c r="H143" t="s">
        <v>240</v>
      </c>
      <c r="I143" t="s">
        <v>241</v>
      </c>
      <c r="J143" t="s">
        <v>242</v>
      </c>
      <c r="K143" s="183">
        <f ca="1">VLOOKUP(F143,
    OFFSET(INDIRECT(ADDRESS(MATCH(J143,'Vehicle numbers'!$A$5:$A$162,0),1,1,1,$L$6)),4,1,COUNTIF('Vehicle numbers'!$A$5:$A$162,J143),4),
    MATCH(K$8,'Vehicle numbers'!$B$4:$D$4,0))*1000</f>
        <v>153465</v>
      </c>
      <c r="L143" s="183">
        <f ca="1">VLOOKUP(F143,
    OFFSET(INDIRECT(ADDRESS(MATCH(J143,'Vehicle numbers'!$A$5:$A$162,0),1,1,1,$L$6)),4,1,COUNTIF('Vehicle numbers'!$A$5:$A$162,J143),4),
    MATCH(L$8,'Vehicle numbers'!$B$4:$D$4,0))*1000</f>
        <v>158827.01129384254</v>
      </c>
      <c r="M143" s="184">
        <f>VLOOKUP(F143,'Annual distance covered (GB)'!$A$8:$H$33,MATCH(J143,'Annual distance covered (GB)'!$A$7:$H$7,0))</f>
        <v>4.9000000000000004</v>
      </c>
      <c r="N143" s="2">
        <f t="shared" ca="1" si="17"/>
        <v>76542.426017817968</v>
      </c>
      <c r="O143" s="180">
        <f t="shared" ca="1" si="18"/>
        <v>0.48192322826127115</v>
      </c>
      <c r="P143" s="180"/>
      <c r="Q143" s="185">
        <f>Q142</f>
        <v>2016</v>
      </c>
      <c r="R143" s="186" t="s">
        <v>188</v>
      </c>
      <c r="S143" s="180">
        <f t="shared" ca="1" si="15"/>
        <v>1.3897646384379272</v>
      </c>
      <c r="T143" s="180">
        <f t="shared" ca="1" si="15"/>
        <v>1.0054650352830681</v>
      </c>
      <c r="U143">
        <f ca="1">IF(S143=-1,-1,VLOOKUP(R143,'Vehicle weight data'!$A$4:$C$9,2,0))</f>
        <v>1500</v>
      </c>
      <c r="V143">
        <f ca="1">IF(S143=-1,-1,VLOOKUP(R143,'Vehicle weight data'!$A$4:$C$9,3,0))</f>
        <v>3500</v>
      </c>
      <c r="W143">
        <f t="shared" ca="1" si="16"/>
        <v>2500</v>
      </c>
    </row>
    <row r="144" spans="1:23" x14ac:dyDescent="0.25">
      <c r="A144" t="s">
        <v>244</v>
      </c>
      <c r="B144" t="s">
        <v>237</v>
      </c>
      <c r="C144" t="s">
        <v>238</v>
      </c>
      <c r="D144" t="s">
        <v>249</v>
      </c>
      <c r="E144" t="s">
        <v>228</v>
      </c>
      <c r="F144">
        <v>1995</v>
      </c>
      <c r="G144">
        <v>2.1258507681838402E-3</v>
      </c>
      <c r="H144" t="s">
        <v>240</v>
      </c>
      <c r="I144" t="s">
        <v>241</v>
      </c>
      <c r="J144" t="s">
        <v>242</v>
      </c>
      <c r="K144" s="183">
        <f ca="1">VLOOKUP(F144,
    OFFSET(INDIRECT(ADDRESS(MATCH(J144,'Vehicle numbers'!$A$5:$A$162,0),1,1,1,$L$6)),4,1,COUNTIF('Vehicle numbers'!$A$5:$A$162,J144),4),
    MATCH(K$8,'Vehicle numbers'!$B$4:$D$4,0))*1000</f>
        <v>153465</v>
      </c>
      <c r="L144" s="183">
        <f ca="1">VLOOKUP(F144,
    OFFSET(INDIRECT(ADDRESS(MATCH(J144,'Vehicle numbers'!$A$5:$A$162,0),1,1,1,$L$6)),4,1,COUNTIF('Vehicle numbers'!$A$5:$A$162,J144),4),
    MATCH(L$8,'Vehicle numbers'!$B$4:$D$4,0))*1000</f>
        <v>158827.01129384254</v>
      </c>
      <c r="M144" s="184">
        <f>VLOOKUP(F144,'Annual distance covered (GB)'!$A$8:$H$33,MATCH(J144,'Annual distance covered (GB)'!$A$7:$H$7,0))</f>
        <v>4.9000000000000004</v>
      </c>
      <c r="N144" s="2">
        <f t="shared" ca="1" si="17"/>
        <v>10780.623382791238</v>
      </c>
      <c r="O144" s="180">
        <f t="shared" ca="1" si="18"/>
        <v>6.7876511022714081E-2</v>
      </c>
      <c r="P144" s="180"/>
      <c r="Q144" s="185">
        <f>Q143</f>
        <v>2016</v>
      </c>
      <c r="R144" s="187" t="s">
        <v>245</v>
      </c>
      <c r="S144" s="180">
        <f t="shared" ca="1" si="15"/>
        <v>4.4715532958456601</v>
      </c>
      <c r="T144" s="180">
        <f t="shared" ca="1" si="15"/>
        <v>6.2522047154686362</v>
      </c>
      <c r="U144">
        <f ca="1">IF(S144=-1,-1,VLOOKUP(R144,'Vehicle weight data'!$A$4:$C$9,2,0))</f>
        <v>3500</v>
      </c>
      <c r="V144">
        <f ca="1">IF(S144=-1,-1,VLOOKUP(R144,'Vehicle weight data'!$A$4:$C$9,3,0))</f>
        <v>30000</v>
      </c>
      <c r="W144">
        <f t="shared" ca="1" si="16"/>
        <v>16750</v>
      </c>
    </row>
    <row r="145" spans="1:23" x14ac:dyDescent="0.25">
      <c r="A145" t="s">
        <v>246</v>
      </c>
      <c r="B145" t="s">
        <v>237</v>
      </c>
      <c r="C145" t="s">
        <v>238</v>
      </c>
      <c r="D145" t="s">
        <v>249</v>
      </c>
      <c r="E145" t="s">
        <v>228</v>
      </c>
      <c r="F145">
        <v>1995</v>
      </c>
      <c r="G145">
        <v>1.7006806145470699E-3</v>
      </c>
      <c r="H145" t="s">
        <v>240</v>
      </c>
      <c r="I145" t="s">
        <v>241</v>
      </c>
      <c r="J145" t="s">
        <v>242</v>
      </c>
      <c r="K145" s="183">
        <f ca="1">VLOOKUP(F145,
    OFFSET(INDIRECT(ADDRESS(MATCH(J145,'Vehicle numbers'!$A$5:$A$162,0),1,1,1,$L$6)),4,1,COUNTIF('Vehicle numbers'!$A$5:$A$162,J145),4),
    MATCH(K$8,'Vehicle numbers'!$B$4:$D$4,0))*1000</f>
        <v>153465</v>
      </c>
      <c r="L145" s="183">
        <f ca="1">VLOOKUP(F145,
    OFFSET(INDIRECT(ADDRESS(MATCH(J145,'Vehicle numbers'!$A$5:$A$162,0),1,1,1,$L$6)),4,1,COUNTIF('Vehicle numbers'!$A$5:$A$162,J145),4),
    MATCH(L$8,'Vehicle numbers'!$B$4:$D$4,0))*1000</f>
        <v>158827.01129384254</v>
      </c>
      <c r="M145" s="184">
        <f>VLOOKUP(F145,'Annual distance covered (GB)'!$A$8:$H$33,MATCH(J145,'Annual distance covered (GB)'!$A$7:$H$7,0))</f>
        <v>4.9000000000000004</v>
      </c>
      <c r="N145" s="2">
        <f t="shared" ca="1" si="17"/>
        <v>8624.4987062329801</v>
      </c>
      <c r="O145" s="180">
        <f t="shared" ca="1" si="18"/>
        <v>5.4301208818171201E-2</v>
      </c>
      <c r="P145" s="180"/>
      <c r="Q145" s="185">
        <f>Q144</f>
        <v>2016</v>
      </c>
      <c r="R145" s="188" t="s">
        <v>247</v>
      </c>
      <c r="S145" s="180">
        <f t="shared" ca="1" si="15"/>
        <v>25.490555873256483</v>
      </c>
      <c r="T145" s="180">
        <f t="shared" ca="1" si="15"/>
        <v>15.90038149214009</v>
      </c>
      <c r="U145">
        <f ca="1">IF(S145=-1,-1,VLOOKUP(R145,'Vehicle weight data'!$A$4:$C$9,2,0))</f>
        <v>30000</v>
      </c>
      <c r="V145">
        <f ca="1">IF(S145=-1,-1,VLOOKUP(R145,'Vehicle weight data'!$A$4:$C$9,3,0))</f>
        <v>44000</v>
      </c>
      <c r="W145">
        <f t="shared" ca="1" si="16"/>
        <v>37000</v>
      </c>
    </row>
    <row r="146" spans="1:23" x14ac:dyDescent="0.25">
      <c r="A146" t="s">
        <v>236</v>
      </c>
      <c r="B146" t="s">
        <v>237</v>
      </c>
      <c r="C146" t="s">
        <v>238</v>
      </c>
      <c r="D146" t="s">
        <v>250</v>
      </c>
      <c r="E146" t="s">
        <v>229</v>
      </c>
      <c r="F146">
        <v>1995</v>
      </c>
      <c r="G146">
        <v>1.3600000000000001E-3</v>
      </c>
      <c r="H146" t="s">
        <v>240</v>
      </c>
      <c r="I146" t="s">
        <v>241</v>
      </c>
      <c r="J146" t="s">
        <v>2</v>
      </c>
      <c r="K146" s="183">
        <f ca="1">VLOOKUP(F146,
    OFFSET(INDIRECT(ADDRESS(MATCH(J146,'Vehicle numbers'!$A$5:$A$162,0),1,1,1,$L$6)),4,1,COUNTIF('Vehicle numbers'!$A$5:$A$162,J146),4),
    MATCH(K$8,'Vehicle numbers'!$B$4:$D$4,0))*1000</f>
        <v>21394103</v>
      </c>
      <c r="L146" s="183">
        <f ca="1">VLOOKUP(F146,
    OFFSET(INDIRECT(ADDRESS(MATCH(J146,'Vehicle numbers'!$A$5:$A$162,0),1,1,1,$L$6)),4,1,COUNTIF('Vehicle numbers'!$A$5:$A$162,J146),4),
    MATCH(L$8,'Vehicle numbers'!$B$4:$D$4,0))*1000</f>
        <v>22051597.239897843</v>
      </c>
      <c r="M146" s="184">
        <f>VLOOKUP(F146,'Annual distance covered (GB)'!$A$8:$H$33,MATCH(J146,'Annual distance covered (GB)'!$A$7:$H$7,0))</f>
        <v>351.1</v>
      </c>
      <c r="N146" s="2">
        <f t="shared" ca="1" si="17"/>
        <v>492170.64513816085</v>
      </c>
      <c r="O146" s="180">
        <f t="shared" ca="1" si="18"/>
        <v>2.2319047449664054E-2</v>
      </c>
      <c r="P146" s="180"/>
      <c r="Q146" s="185">
        <f>Q145</f>
        <v>2016</v>
      </c>
      <c r="R146" s="186" t="s">
        <v>3</v>
      </c>
      <c r="S146" s="180">
        <f t="shared" ca="1" si="15"/>
        <v>0.12047554872547626</v>
      </c>
      <c r="T146" s="180">
        <f t="shared" ca="1" si="15"/>
        <v>0.12738906186652399</v>
      </c>
      <c r="U146">
        <f ca="1">IF(S146=-1,-1,VLOOKUP(R146,'Vehicle weight data'!$A$4:$C$9,2,0))</f>
        <v>100</v>
      </c>
      <c r="V146">
        <f ca="1">IF(S146=-1,-1,VLOOKUP(R146,'Vehicle weight data'!$A$4:$C$9,3,0))</f>
        <v>200</v>
      </c>
      <c r="W146">
        <f t="shared" ca="1" si="16"/>
        <v>150</v>
      </c>
    </row>
    <row r="147" spans="1:23" x14ac:dyDescent="0.25">
      <c r="A147" t="s">
        <v>243</v>
      </c>
      <c r="B147" t="s">
        <v>237</v>
      </c>
      <c r="C147" t="s">
        <v>238</v>
      </c>
      <c r="D147" t="s">
        <v>250</v>
      </c>
      <c r="E147" t="s">
        <v>229</v>
      </c>
      <c r="F147">
        <v>1995</v>
      </c>
      <c r="G147">
        <v>5.44E-4</v>
      </c>
      <c r="H147" t="s">
        <v>240</v>
      </c>
      <c r="I147" t="s">
        <v>241</v>
      </c>
      <c r="J147" t="s">
        <v>2</v>
      </c>
      <c r="K147" s="183">
        <f ca="1">VLOOKUP(F147,
    OFFSET(INDIRECT(ADDRESS(MATCH(J147,'Vehicle numbers'!$A$5:$A$162,0),1,1,1,$L$6)),4,1,COUNTIF('Vehicle numbers'!$A$5:$A$162,J147),4),
    MATCH(K$8,'Vehicle numbers'!$B$4:$D$4,0))*1000</f>
        <v>21394103</v>
      </c>
      <c r="L147" s="183">
        <f ca="1">VLOOKUP(F147,
    OFFSET(INDIRECT(ADDRESS(MATCH(J147,'Vehicle numbers'!$A$5:$A$162,0),1,1,1,$L$6)),4,1,COUNTIF('Vehicle numbers'!$A$5:$A$162,J147),4),
    MATCH(L$8,'Vehicle numbers'!$B$4:$D$4,0))*1000</f>
        <v>22051597.239897843</v>
      </c>
      <c r="M147" s="184">
        <f>VLOOKUP(F147,'Annual distance covered (GB)'!$A$8:$H$33,MATCH(J147,'Annual distance covered (GB)'!$A$7:$H$7,0))</f>
        <v>351.1</v>
      </c>
      <c r="N147" s="2">
        <f t="shared" ca="1" si="17"/>
        <v>196868.25805526433</v>
      </c>
      <c r="O147" s="180">
        <f t="shared" ca="1" si="18"/>
        <v>8.9276189798656209E-3</v>
      </c>
      <c r="P147" s="180"/>
      <c r="Q147" s="185">
        <f>Q146</f>
        <v>2016</v>
      </c>
      <c r="R147" s="186" t="s">
        <v>41</v>
      </c>
      <c r="S147" s="180">
        <f t="shared" ca="1" si="15"/>
        <v>2.5500616014611341</v>
      </c>
      <c r="T147" s="180">
        <f t="shared" ca="1" si="15"/>
        <v>3.6643457832817314</v>
      </c>
      <c r="U147">
        <f ca="1">IF(S147=-1,-1,VLOOKUP(R147,'Vehicle weight data'!$A$4:$C$9,2,0))</f>
        <v>3500</v>
      </c>
      <c r="V147">
        <f ca="1">IF(S147=-1,-1,VLOOKUP(R147,'Vehicle weight data'!$A$4:$C$9,3,0))</f>
        <v>24000</v>
      </c>
      <c r="W147">
        <f t="shared" ca="1" si="16"/>
        <v>13750</v>
      </c>
    </row>
    <row r="148" spans="1:23" x14ac:dyDescent="0.25">
      <c r="A148" t="s">
        <v>244</v>
      </c>
      <c r="B148" t="s">
        <v>237</v>
      </c>
      <c r="C148" t="s">
        <v>238</v>
      </c>
      <c r="D148" t="s">
        <v>250</v>
      </c>
      <c r="E148" t="s">
        <v>229</v>
      </c>
      <c r="F148">
        <v>1995</v>
      </c>
      <c r="G148">
        <v>1.36E-4</v>
      </c>
      <c r="H148" t="s">
        <v>240</v>
      </c>
      <c r="I148" t="s">
        <v>241</v>
      </c>
      <c r="J148" t="s">
        <v>2</v>
      </c>
      <c r="K148" s="183">
        <f ca="1">VLOOKUP(F148,
    OFFSET(INDIRECT(ADDRESS(MATCH(J148,'Vehicle numbers'!$A$5:$A$162,0),1,1,1,$L$6)),4,1,COUNTIF('Vehicle numbers'!$A$5:$A$162,J148),4),
    MATCH(K$8,'Vehicle numbers'!$B$4:$D$4,0))*1000</f>
        <v>21394103</v>
      </c>
      <c r="L148" s="183">
        <f ca="1">VLOOKUP(F148,
    OFFSET(INDIRECT(ADDRESS(MATCH(J148,'Vehicle numbers'!$A$5:$A$162,0),1,1,1,$L$6)),4,1,COUNTIF('Vehicle numbers'!$A$5:$A$162,J148),4),
    MATCH(L$8,'Vehicle numbers'!$B$4:$D$4,0))*1000</f>
        <v>22051597.239897843</v>
      </c>
      <c r="M148" s="184">
        <f>VLOOKUP(F148,'Annual distance covered (GB)'!$A$8:$H$33,MATCH(J148,'Annual distance covered (GB)'!$A$7:$H$7,0))</f>
        <v>351.1</v>
      </c>
      <c r="N148" s="2">
        <f t="shared" ca="1" si="17"/>
        <v>49217.064513816083</v>
      </c>
      <c r="O148" s="180">
        <f t="shared" ca="1" si="18"/>
        <v>2.2319047449664052E-3</v>
      </c>
      <c r="P148" s="180"/>
      <c r="Q148" s="185">
        <f>Q147+1</f>
        <v>2017</v>
      </c>
      <c r="R148" s="186" t="s">
        <v>2</v>
      </c>
      <c r="S148" s="180">
        <f t="shared" ca="1" si="15"/>
        <v>0.55652772653575611</v>
      </c>
      <c r="T148" s="180">
        <f t="shared" ca="1" si="15"/>
        <v>0.40797631605571777</v>
      </c>
      <c r="U148">
        <f ca="1">IF(S148=-1,-1,VLOOKUP(R148,'Vehicle weight data'!$A$4:$C$9,2,0))</f>
        <v>1000</v>
      </c>
      <c r="V148">
        <f ca="1">IF(S148=-1,-1,VLOOKUP(R148,'Vehicle weight data'!$A$4:$C$9,3,0))</f>
        <v>2000</v>
      </c>
      <c r="W148">
        <f t="shared" ca="1" si="16"/>
        <v>1500</v>
      </c>
    </row>
    <row r="149" spans="1:23" x14ac:dyDescent="0.25">
      <c r="A149" t="s">
        <v>246</v>
      </c>
      <c r="B149" t="s">
        <v>237</v>
      </c>
      <c r="C149" t="s">
        <v>238</v>
      </c>
      <c r="D149" t="s">
        <v>250</v>
      </c>
      <c r="E149" t="s">
        <v>229</v>
      </c>
      <c r="F149">
        <v>1995</v>
      </c>
      <c r="G149">
        <v>1.088E-4</v>
      </c>
      <c r="H149" t="s">
        <v>240</v>
      </c>
      <c r="I149" t="s">
        <v>241</v>
      </c>
      <c r="J149" t="s">
        <v>2</v>
      </c>
      <c r="K149" s="183">
        <f ca="1">VLOOKUP(F149,
    OFFSET(INDIRECT(ADDRESS(MATCH(J149,'Vehicle numbers'!$A$5:$A$162,0),1,1,1,$L$6)),4,1,COUNTIF('Vehicle numbers'!$A$5:$A$162,J149),4),
    MATCH(K$8,'Vehicle numbers'!$B$4:$D$4,0))*1000</f>
        <v>21394103</v>
      </c>
      <c r="L149" s="183">
        <f ca="1">VLOOKUP(F149,
    OFFSET(INDIRECT(ADDRESS(MATCH(J149,'Vehicle numbers'!$A$5:$A$162,0),1,1,1,$L$6)),4,1,COUNTIF('Vehicle numbers'!$A$5:$A$162,J149),4),
    MATCH(L$8,'Vehicle numbers'!$B$4:$D$4,0))*1000</f>
        <v>22051597.239897843</v>
      </c>
      <c r="M149" s="184">
        <f>VLOOKUP(F149,'Annual distance covered (GB)'!$A$8:$H$33,MATCH(J149,'Annual distance covered (GB)'!$A$7:$H$7,0))</f>
        <v>351.1</v>
      </c>
      <c r="N149" s="2">
        <f t="shared" ca="1" si="17"/>
        <v>39373.651611052861</v>
      </c>
      <c r="O149" s="180">
        <f t="shared" ca="1" si="18"/>
        <v>1.785523795973124E-3</v>
      </c>
      <c r="P149" s="180"/>
      <c r="Q149" s="185">
        <f>Q148</f>
        <v>2017</v>
      </c>
      <c r="R149" s="186" t="s">
        <v>188</v>
      </c>
      <c r="S149" s="180">
        <f t="shared" ca="1" si="15"/>
        <v>1.3954039132455121</v>
      </c>
      <c r="T149" s="180">
        <f t="shared" ca="1" si="15"/>
        <v>1.0095449301707038</v>
      </c>
      <c r="U149">
        <f ca="1">IF(S149=-1,-1,VLOOKUP(R149,'Vehicle weight data'!$A$4:$C$9,2,0))</f>
        <v>1500</v>
      </c>
      <c r="V149">
        <f ca="1">IF(S149=-1,-1,VLOOKUP(R149,'Vehicle weight data'!$A$4:$C$9,3,0))</f>
        <v>3500</v>
      </c>
      <c r="W149">
        <f t="shared" ca="1" si="16"/>
        <v>2500</v>
      </c>
    </row>
    <row r="150" spans="1:23" x14ac:dyDescent="0.25">
      <c r="A150" t="s">
        <v>236</v>
      </c>
      <c r="B150" t="s">
        <v>237</v>
      </c>
      <c r="C150" t="s">
        <v>238</v>
      </c>
      <c r="D150" t="s">
        <v>250</v>
      </c>
      <c r="E150" t="s">
        <v>228</v>
      </c>
      <c r="F150">
        <v>1995</v>
      </c>
      <c r="G150">
        <v>5.7910000000000001E-3</v>
      </c>
      <c r="H150" t="s">
        <v>240</v>
      </c>
      <c r="I150" t="s">
        <v>241</v>
      </c>
      <c r="J150" t="s">
        <v>2</v>
      </c>
      <c r="K150" s="183">
        <f ca="1">VLOOKUP(F150,
    OFFSET(INDIRECT(ADDRESS(MATCH(J150,'Vehicle numbers'!$A$5:$A$162,0),1,1,1,$L$6)),4,1,COUNTIF('Vehicle numbers'!$A$5:$A$162,J150),4),
    MATCH(K$8,'Vehicle numbers'!$B$4:$D$4,0))*1000</f>
        <v>21394103</v>
      </c>
      <c r="L150" s="183">
        <f ca="1">VLOOKUP(F150,
    OFFSET(INDIRECT(ADDRESS(MATCH(J150,'Vehicle numbers'!$A$5:$A$162,0),1,1,1,$L$6)),4,1,COUNTIF('Vehicle numbers'!$A$5:$A$162,J150),4),
    MATCH(L$8,'Vehicle numbers'!$B$4:$D$4,0))*1000</f>
        <v>22051597.239897843</v>
      </c>
      <c r="M150" s="184">
        <f>VLOOKUP(F150,'Annual distance covered (GB)'!$A$8:$H$33,MATCH(J150,'Annual distance covered (GB)'!$A$7:$H$7,0))</f>
        <v>351.1</v>
      </c>
      <c r="N150" s="2">
        <f t="shared" ca="1" si="17"/>
        <v>2095706.0338199188</v>
      </c>
      <c r="O150" s="180">
        <f t="shared" ca="1" si="18"/>
        <v>9.5036473368385693E-2</v>
      </c>
      <c r="P150" s="180"/>
      <c r="Q150" s="185">
        <f>Q149</f>
        <v>2017</v>
      </c>
      <c r="R150" s="187" t="s">
        <v>245</v>
      </c>
      <c r="S150" s="180">
        <f t="shared" ref="S150:T159" ca="1" si="19">IF(SUMIFS($O$10:$O$3241,$F$10:$F$3241,$Q150,$J$10:$J$3241,$R150,$E$10:$E$3241,S$8)=0,-1,SUMIFS($O$10:$O$3241,$F$10:$F$3241,$Q150,$J$10:$J$3241,$R150,$E$10:$E$3241,S$8))</f>
        <v>4.434513320608902</v>
      </c>
      <c r="T150" s="180">
        <f t="shared" ca="1" si="19"/>
        <v>6.2004147685499156</v>
      </c>
      <c r="U150">
        <f ca="1">IF(S150=-1,-1,VLOOKUP(R150,'Vehicle weight data'!$A$4:$C$9,2,0))</f>
        <v>3500</v>
      </c>
      <c r="V150">
        <f ca="1">IF(S150=-1,-1,VLOOKUP(R150,'Vehicle weight data'!$A$4:$C$9,3,0))</f>
        <v>30000</v>
      </c>
      <c r="W150">
        <f t="shared" ca="1" si="16"/>
        <v>16750</v>
      </c>
    </row>
    <row r="151" spans="1:23" x14ac:dyDescent="0.25">
      <c r="A151" t="s">
        <v>243</v>
      </c>
      <c r="B151" t="s">
        <v>237</v>
      </c>
      <c r="C151" t="s">
        <v>238</v>
      </c>
      <c r="D151" t="s">
        <v>250</v>
      </c>
      <c r="E151" t="s">
        <v>228</v>
      </c>
      <c r="F151">
        <v>1995</v>
      </c>
      <c r="G151">
        <v>4.0537000000000004E-3</v>
      </c>
      <c r="H151" t="s">
        <v>240</v>
      </c>
      <c r="I151" t="s">
        <v>241</v>
      </c>
      <c r="J151" t="s">
        <v>2</v>
      </c>
      <c r="K151" s="183">
        <f ca="1">VLOOKUP(F151,
    OFFSET(INDIRECT(ADDRESS(MATCH(J151,'Vehicle numbers'!$A$5:$A$162,0),1,1,1,$L$6)),4,1,COUNTIF('Vehicle numbers'!$A$5:$A$162,J151),4),
    MATCH(K$8,'Vehicle numbers'!$B$4:$D$4,0))*1000</f>
        <v>21394103</v>
      </c>
      <c r="L151" s="183">
        <f ca="1">VLOOKUP(F151,
    OFFSET(INDIRECT(ADDRESS(MATCH(J151,'Vehicle numbers'!$A$5:$A$162,0),1,1,1,$L$6)),4,1,COUNTIF('Vehicle numbers'!$A$5:$A$162,J151),4),
    MATCH(L$8,'Vehicle numbers'!$B$4:$D$4,0))*1000</f>
        <v>22051597.239897843</v>
      </c>
      <c r="M151" s="184">
        <f>VLOOKUP(F151,'Annual distance covered (GB)'!$A$8:$H$33,MATCH(J151,'Annual distance covered (GB)'!$A$7:$H$7,0))</f>
        <v>351.1</v>
      </c>
      <c r="N151" s="2">
        <f t="shared" ca="1" si="17"/>
        <v>1466994.2236739432</v>
      </c>
      <c r="O151" s="180">
        <f t="shared" ca="1" si="18"/>
        <v>6.6525531357869983E-2</v>
      </c>
      <c r="P151" s="180"/>
      <c r="Q151" s="185">
        <f>Q150</f>
        <v>2017</v>
      </c>
      <c r="R151" s="188" t="s">
        <v>247</v>
      </c>
      <c r="S151" s="180">
        <f t="shared" ca="1" si="19"/>
        <v>25.87495773965556</v>
      </c>
      <c r="T151" s="180">
        <f t="shared" ca="1" si="19"/>
        <v>16.140161917189534</v>
      </c>
      <c r="U151">
        <f ca="1">IF(S151=-1,-1,VLOOKUP(R151,'Vehicle weight data'!$A$4:$C$9,2,0))</f>
        <v>30000</v>
      </c>
      <c r="V151">
        <f ca="1">IF(S151=-1,-1,VLOOKUP(R151,'Vehicle weight data'!$A$4:$C$9,3,0))</f>
        <v>44000</v>
      </c>
      <c r="W151">
        <f t="shared" ca="1" si="16"/>
        <v>37000</v>
      </c>
    </row>
    <row r="152" spans="1:23" x14ac:dyDescent="0.25">
      <c r="A152" t="s">
        <v>244</v>
      </c>
      <c r="B152" t="s">
        <v>237</v>
      </c>
      <c r="C152" t="s">
        <v>238</v>
      </c>
      <c r="D152" t="s">
        <v>250</v>
      </c>
      <c r="E152" t="s">
        <v>228</v>
      </c>
      <c r="F152">
        <v>1995</v>
      </c>
      <c r="G152">
        <v>5.7094366197182997E-4</v>
      </c>
      <c r="H152" t="s">
        <v>240</v>
      </c>
      <c r="I152" t="s">
        <v>241</v>
      </c>
      <c r="J152" t="s">
        <v>2</v>
      </c>
      <c r="K152" s="183">
        <f ca="1">VLOOKUP(F152,
    OFFSET(INDIRECT(ADDRESS(MATCH(J152,'Vehicle numbers'!$A$5:$A$162,0),1,1,1,$L$6)),4,1,COUNTIF('Vehicle numbers'!$A$5:$A$162,J152),4),
    MATCH(K$8,'Vehicle numbers'!$B$4:$D$4,0))*1000</f>
        <v>21394103</v>
      </c>
      <c r="L152" s="183">
        <f ca="1">VLOOKUP(F152,
    OFFSET(INDIRECT(ADDRESS(MATCH(J152,'Vehicle numbers'!$A$5:$A$162,0),1,1,1,$L$6)),4,1,COUNTIF('Vehicle numbers'!$A$5:$A$162,J152),4),
    MATCH(L$8,'Vehicle numbers'!$B$4:$D$4,0))*1000</f>
        <v>22051597.239897843</v>
      </c>
      <c r="M152" s="184">
        <f>VLOOKUP(F152,'Annual distance covered (GB)'!$A$8:$H$33,MATCH(J152,'Annual distance covered (GB)'!$A$7:$H$7,0))</f>
        <v>351.1</v>
      </c>
      <c r="N152" s="2">
        <f t="shared" ca="1" si="17"/>
        <v>206618.90474280852</v>
      </c>
      <c r="O152" s="180">
        <f t="shared" ca="1" si="18"/>
        <v>9.3697931489957545E-3</v>
      </c>
      <c r="P152" s="180"/>
      <c r="Q152" s="185">
        <f>Q151</f>
        <v>2017</v>
      </c>
      <c r="R152" s="186" t="s">
        <v>3</v>
      </c>
      <c r="S152" s="180">
        <f t="shared" ca="1" si="19"/>
        <v>0.12189009314277838</v>
      </c>
      <c r="T152" s="180">
        <f t="shared" ca="1" si="19"/>
        <v>0.12888478019439201</v>
      </c>
      <c r="U152">
        <f ca="1">IF(S152=-1,-1,VLOOKUP(R152,'Vehicle weight data'!$A$4:$C$9,2,0))</f>
        <v>100</v>
      </c>
      <c r="V152">
        <f ca="1">IF(S152=-1,-1,VLOOKUP(R152,'Vehicle weight data'!$A$4:$C$9,3,0))</f>
        <v>200</v>
      </c>
      <c r="W152">
        <f t="shared" ca="1" si="16"/>
        <v>150</v>
      </c>
    </row>
    <row r="153" spans="1:23" x14ac:dyDescent="0.25">
      <c r="A153" t="s">
        <v>246</v>
      </c>
      <c r="B153" t="s">
        <v>237</v>
      </c>
      <c r="C153" t="s">
        <v>238</v>
      </c>
      <c r="D153" t="s">
        <v>250</v>
      </c>
      <c r="E153" t="s">
        <v>228</v>
      </c>
      <c r="F153">
        <v>1995</v>
      </c>
      <c r="G153">
        <v>4.5675492957746402E-4</v>
      </c>
      <c r="H153" t="s">
        <v>240</v>
      </c>
      <c r="I153" t="s">
        <v>241</v>
      </c>
      <c r="J153" t="s">
        <v>2</v>
      </c>
      <c r="K153" s="183">
        <f ca="1">VLOOKUP(F153,
    OFFSET(INDIRECT(ADDRESS(MATCH(J153,'Vehicle numbers'!$A$5:$A$162,0),1,1,1,$L$6)),4,1,COUNTIF('Vehicle numbers'!$A$5:$A$162,J153),4),
    MATCH(K$8,'Vehicle numbers'!$B$4:$D$4,0))*1000</f>
        <v>21394103</v>
      </c>
      <c r="L153" s="183">
        <f ca="1">VLOOKUP(F153,
    OFFSET(INDIRECT(ADDRESS(MATCH(J153,'Vehicle numbers'!$A$5:$A$162,0),1,1,1,$L$6)),4,1,COUNTIF('Vehicle numbers'!$A$5:$A$162,J153),4),
    MATCH(L$8,'Vehicle numbers'!$B$4:$D$4,0))*1000</f>
        <v>22051597.239897843</v>
      </c>
      <c r="M153" s="184">
        <f>VLOOKUP(F153,'Annual distance covered (GB)'!$A$8:$H$33,MATCH(J153,'Annual distance covered (GB)'!$A$7:$H$7,0))</f>
        <v>351.1</v>
      </c>
      <c r="N153" s="2">
        <f t="shared" ca="1" si="17"/>
        <v>165295.12379424681</v>
      </c>
      <c r="O153" s="180">
        <f t="shared" ca="1" si="18"/>
        <v>7.4958345191966039E-3</v>
      </c>
      <c r="P153" s="180"/>
      <c r="Q153" s="185">
        <f>Q152</f>
        <v>2017</v>
      </c>
      <c r="R153" s="186" t="s">
        <v>41</v>
      </c>
      <c r="S153" s="180">
        <f t="shared" ca="1" si="19"/>
        <v>2.5375293072611176</v>
      </c>
      <c r="T153" s="180">
        <f t="shared" ca="1" si="19"/>
        <v>3.646369180468592</v>
      </c>
      <c r="U153">
        <f ca="1">IF(S153=-1,-1,VLOOKUP(R153,'Vehicle weight data'!$A$4:$C$9,2,0))</f>
        <v>3500</v>
      </c>
      <c r="V153">
        <f ca="1">IF(S153=-1,-1,VLOOKUP(R153,'Vehicle weight data'!$A$4:$C$9,3,0))</f>
        <v>24000</v>
      </c>
      <c r="W153">
        <f t="shared" ca="1" si="16"/>
        <v>13750</v>
      </c>
    </row>
    <row r="154" spans="1:23" x14ac:dyDescent="0.25">
      <c r="A154" t="s">
        <v>236</v>
      </c>
      <c r="B154" t="s">
        <v>237</v>
      </c>
      <c r="C154" t="s">
        <v>238</v>
      </c>
      <c r="D154" t="s">
        <v>255</v>
      </c>
      <c r="E154" t="s">
        <v>229</v>
      </c>
      <c r="F154">
        <v>1995</v>
      </c>
      <c r="G154">
        <v>5.5269999999999998E-3</v>
      </c>
      <c r="H154" t="s">
        <v>240</v>
      </c>
      <c r="I154" t="s">
        <v>241</v>
      </c>
      <c r="J154" t="s">
        <v>2</v>
      </c>
      <c r="K154" s="183">
        <f ca="1">VLOOKUP(F154,
    OFFSET(INDIRECT(ADDRESS(MATCH(J154,'Vehicle numbers'!$A$5:$A$162,0),1,1,1,$L$6)),4,1,COUNTIF('Vehicle numbers'!$A$5:$A$162,J154),4),
    MATCH(K$8,'Vehicle numbers'!$B$4:$D$4,0))*1000</f>
        <v>21394103</v>
      </c>
      <c r="L154" s="183">
        <f ca="1">VLOOKUP(F154,
    OFFSET(INDIRECT(ADDRESS(MATCH(J154,'Vehicle numbers'!$A$5:$A$162,0),1,1,1,$L$6)),4,1,COUNTIF('Vehicle numbers'!$A$5:$A$162,J154),4),
    MATCH(L$8,'Vehicle numbers'!$B$4:$D$4,0))*1000</f>
        <v>22051597.239897843</v>
      </c>
      <c r="M154" s="184">
        <f>VLOOKUP(F154,'Annual distance covered (GB)'!$A$8:$H$33,MATCH(J154,'Annual distance covered (GB)'!$A$7:$H$7,0))</f>
        <v>351.1</v>
      </c>
      <c r="N154" s="2">
        <f t="shared" ca="1" si="17"/>
        <v>2000167.0262342757</v>
      </c>
      <c r="O154" s="180">
        <f t="shared" ca="1" si="18"/>
        <v>9.0703952392862663E-2</v>
      </c>
      <c r="P154" s="180"/>
      <c r="Q154" s="185">
        <f>Q153+1</f>
        <v>2018</v>
      </c>
      <c r="R154" s="186" t="s">
        <v>2</v>
      </c>
      <c r="S154" s="180">
        <f t="shared" ca="1" si="19"/>
        <v>0.55780250300203504</v>
      </c>
      <c r="T154" s="180">
        <f t="shared" ca="1" si="19"/>
        <v>0.40891343133449204</v>
      </c>
      <c r="U154">
        <f ca="1">IF(S154=-1,-1,VLOOKUP(R154,'Vehicle weight data'!$A$4:$C$9,2,0))</f>
        <v>1000</v>
      </c>
      <c r="V154">
        <f ca="1">IF(S154=-1,-1,VLOOKUP(R154,'Vehicle weight data'!$A$4:$C$9,3,0))</f>
        <v>2000</v>
      </c>
      <c r="W154">
        <f t="shared" ca="1" si="16"/>
        <v>1500</v>
      </c>
    </row>
    <row r="155" spans="1:23" x14ac:dyDescent="0.25">
      <c r="A155" t="s">
        <v>243</v>
      </c>
      <c r="B155" t="s">
        <v>237</v>
      </c>
      <c r="C155" t="s">
        <v>238</v>
      </c>
      <c r="D155" t="s">
        <v>255</v>
      </c>
      <c r="E155" t="s">
        <v>229</v>
      </c>
      <c r="F155">
        <v>1995</v>
      </c>
      <c r="G155">
        <v>2.2108000000000002E-3</v>
      </c>
      <c r="H155" t="s">
        <v>240</v>
      </c>
      <c r="I155" t="s">
        <v>241</v>
      </c>
      <c r="J155" t="s">
        <v>2</v>
      </c>
      <c r="K155" s="183">
        <f ca="1">VLOOKUP(F155,
    OFFSET(INDIRECT(ADDRESS(MATCH(J155,'Vehicle numbers'!$A$5:$A$162,0),1,1,1,$L$6)),4,1,COUNTIF('Vehicle numbers'!$A$5:$A$162,J155),4),
    MATCH(K$8,'Vehicle numbers'!$B$4:$D$4,0))*1000</f>
        <v>21394103</v>
      </c>
      <c r="L155" s="183">
        <f ca="1">VLOOKUP(F155,
    OFFSET(INDIRECT(ADDRESS(MATCH(J155,'Vehicle numbers'!$A$5:$A$162,0),1,1,1,$L$6)),4,1,COUNTIF('Vehicle numbers'!$A$5:$A$162,J155),4),
    MATCH(L$8,'Vehicle numbers'!$B$4:$D$4,0))*1000</f>
        <v>22051597.239897843</v>
      </c>
      <c r="M155" s="184">
        <f>VLOOKUP(F155,'Annual distance covered (GB)'!$A$8:$H$33,MATCH(J155,'Annual distance covered (GB)'!$A$7:$H$7,0))</f>
        <v>351.1</v>
      </c>
      <c r="N155" s="2">
        <f t="shared" ca="1" si="17"/>
        <v>800066.81049371033</v>
      </c>
      <c r="O155" s="180">
        <f t="shared" ca="1" si="18"/>
        <v>3.6281580957145065E-2</v>
      </c>
      <c r="P155" s="180"/>
      <c r="Q155" s="185">
        <f>Q154</f>
        <v>2018</v>
      </c>
      <c r="R155" s="186" t="s">
        <v>188</v>
      </c>
      <c r="S155" s="180">
        <f t="shared" ca="1" si="19"/>
        <v>1.3817576971725767</v>
      </c>
      <c r="T155" s="180">
        <f t="shared" ca="1" si="19"/>
        <v>0.9996721842785099</v>
      </c>
      <c r="U155">
        <f ca="1">IF(S155=-1,-1,VLOOKUP(R155,'Vehicle weight data'!$A$4:$C$9,2,0))</f>
        <v>1500</v>
      </c>
      <c r="V155">
        <f ca="1">IF(S155=-1,-1,VLOOKUP(R155,'Vehicle weight data'!$A$4:$C$9,3,0))</f>
        <v>3500</v>
      </c>
      <c r="W155">
        <f t="shared" ca="1" si="16"/>
        <v>2500</v>
      </c>
    </row>
    <row r="156" spans="1:23" x14ac:dyDescent="0.25">
      <c r="A156" t="s">
        <v>244</v>
      </c>
      <c r="B156" t="s">
        <v>237</v>
      </c>
      <c r="C156" t="s">
        <v>238</v>
      </c>
      <c r="D156" t="s">
        <v>255</v>
      </c>
      <c r="E156" t="s">
        <v>229</v>
      </c>
      <c r="F156">
        <v>1995</v>
      </c>
      <c r="G156">
        <v>5.5270000000000004E-4</v>
      </c>
      <c r="H156" t="s">
        <v>240</v>
      </c>
      <c r="I156" t="s">
        <v>241</v>
      </c>
      <c r="J156" t="s">
        <v>2</v>
      </c>
      <c r="K156" s="183">
        <f ca="1">VLOOKUP(F156,
    OFFSET(INDIRECT(ADDRESS(MATCH(J156,'Vehicle numbers'!$A$5:$A$162,0),1,1,1,$L$6)),4,1,COUNTIF('Vehicle numbers'!$A$5:$A$162,J156),4),
    MATCH(K$8,'Vehicle numbers'!$B$4:$D$4,0))*1000</f>
        <v>21394103</v>
      </c>
      <c r="L156" s="183">
        <f ca="1">VLOOKUP(F156,
    OFFSET(INDIRECT(ADDRESS(MATCH(J156,'Vehicle numbers'!$A$5:$A$162,0),1,1,1,$L$6)),4,1,COUNTIF('Vehicle numbers'!$A$5:$A$162,J156),4),
    MATCH(L$8,'Vehicle numbers'!$B$4:$D$4,0))*1000</f>
        <v>22051597.239897843</v>
      </c>
      <c r="M156" s="184">
        <f>VLOOKUP(F156,'Annual distance covered (GB)'!$A$8:$H$33,MATCH(J156,'Annual distance covered (GB)'!$A$7:$H$7,0))</f>
        <v>351.1</v>
      </c>
      <c r="N156" s="2">
        <f t="shared" ca="1" si="17"/>
        <v>200016.70262342758</v>
      </c>
      <c r="O156" s="180">
        <f t="shared" ca="1" si="18"/>
        <v>9.0703952392862663E-3</v>
      </c>
      <c r="P156" s="180"/>
      <c r="Q156" s="185">
        <f>Q155</f>
        <v>2018</v>
      </c>
      <c r="R156" s="187" t="s">
        <v>245</v>
      </c>
      <c r="S156" s="180">
        <f t="shared" ca="1" si="19"/>
        <v>4.4170799562059964</v>
      </c>
      <c r="T156" s="180">
        <f t="shared" ca="1" si="19"/>
        <v>6.1760391308430842</v>
      </c>
      <c r="U156">
        <f ca="1">IF(S156=-1,-1,VLOOKUP(R156,'Vehicle weight data'!$A$4:$C$9,2,0))</f>
        <v>3500</v>
      </c>
      <c r="V156">
        <f ca="1">IF(S156=-1,-1,VLOOKUP(R156,'Vehicle weight data'!$A$4:$C$9,3,0))</f>
        <v>30000</v>
      </c>
      <c r="W156">
        <f t="shared" ca="1" si="16"/>
        <v>16750</v>
      </c>
    </row>
    <row r="157" spans="1:23" x14ac:dyDescent="0.25">
      <c r="A157" t="s">
        <v>246</v>
      </c>
      <c r="B157" t="s">
        <v>237</v>
      </c>
      <c r="C157" t="s">
        <v>238</v>
      </c>
      <c r="D157" t="s">
        <v>255</v>
      </c>
      <c r="E157" t="s">
        <v>229</v>
      </c>
      <c r="F157">
        <v>1995</v>
      </c>
      <c r="G157">
        <v>4.4215999999999998E-4</v>
      </c>
      <c r="H157" t="s">
        <v>240</v>
      </c>
      <c r="I157" t="s">
        <v>241</v>
      </c>
      <c r="J157" t="s">
        <v>2</v>
      </c>
      <c r="K157" s="183">
        <f ca="1">VLOOKUP(F157,
    OFFSET(INDIRECT(ADDRESS(MATCH(J157,'Vehicle numbers'!$A$5:$A$162,0),1,1,1,$L$6)),4,1,COUNTIF('Vehicle numbers'!$A$5:$A$162,J157),4),
    MATCH(K$8,'Vehicle numbers'!$B$4:$D$4,0))*1000</f>
        <v>21394103</v>
      </c>
      <c r="L157" s="183">
        <f ca="1">VLOOKUP(F157,
    OFFSET(INDIRECT(ADDRESS(MATCH(J157,'Vehicle numbers'!$A$5:$A$162,0),1,1,1,$L$6)),4,1,COUNTIF('Vehicle numbers'!$A$5:$A$162,J157),4),
    MATCH(L$8,'Vehicle numbers'!$B$4:$D$4,0))*1000</f>
        <v>22051597.239897843</v>
      </c>
      <c r="M157" s="184">
        <f>VLOOKUP(F157,'Annual distance covered (GB)'!$A$8:$H$33,MATCH(J157,'Annual distance covered (GB)'!$A$7:$H$7,0))</f>
        <v>351.1</v>
      </c>
      <c r="N157" s="2">
        <f t="shared" ca="1" si="17"/>
        <v>160013.36209874207</v>
      </c>
      <c r="O157" s="180">
        <f t="shared" ca="1" si="18"/>
        <v>7.2563161914290138E-3</v>
      </c>
      <c r="P157" s="180"/>
      <c r="Q157" s="185">
        <f>Q156</f>
        <v>2018</v>
      </c>
      <c r="R157" s="188" t="s">
        <v>247</v>
      </c>
      <c r="S157" s="180">
        <f t="shared" ca="1" si="19"/>
        <v>26.056751649817585</v>
      </c>
      <c r="T157" s="180">
        <f t="shared" ca="1" si="19"/>
        <v>16.253560484835393</v>
      </c>
      <c r="U157">
        <f ca="1">IF(S157=-1,-1,VLOOKUP(R157,'Vehicle weight data'!$A$4:$C$9,2,0))</f>
        <v>30000</v>
      </c>
      <c r="V157">
        <f ca="1">IF(S157=-1,-1,VLOOKUP(R157,'Vehicle weight data'!$A$4:$C$9,3,0))</f>
        <v>44000</v>
      </c>
      <c r="W157">
        <f t="shared" ca="1" si="16"/>
        <v>37000</v>
      </c>
    </row>
    <row r="158" spans="1:23" x14ac:dyDescent="0.25">
      <c r="A158" t="s">
        <v>236</v>
      </c>
      <c r="B158" t="s">
        <v>237</v>
      </c>
      <c r="C158" t="s">
        <v>238</v>
      </c>
      <c r="D158" t="s">
        <v>255</v>
      </c>
      <c r="E158" t="s">
        <v>228</v>
      </c>
      <c r="F158">
        <v>1995</v>
      </c>
      <c r="G158">
        <v>6.80000000000001E-3</v>
      </c>
      <c r="H158" t="s">
        <v>240</v>
      </c>
      <c r="I158" t="s">
        <v>241</v>
      </c>
      <c r="J158" t="s">
        <v>2</v>
      </c>
      <c r="K158" s="183">
        <f ca="1">VLOOKUP(F158,
    OFFSET(INDIRECT(ADDRESS(MATCH(J158,'Vehicle numbers'!$A$5:$A$162,0),1,1,1,$L$6)),4,1,COUNTIF('Vehicle numbers'!$A$5:$A$162,J158),4),
    MATCH(K$8,'Vehicle numbers'!$B$4:$D$4,0))*1000</f>
        <v>21394103</v>
      </c>
      <c r="L158" s="183">
        <f ca="1">VLOOKUP(F158,
    OFFSET(INDIRECT(ADDRESS(MATCH(J158,'Vehicle numbers'!$A$5:$A$162,0),1,1,1,$L$6)),4,1,COUNTIF('Vehicle numbers'!$A$5:$A$162,J158),4),
    MATCH(L$8,'Vehicle numbers'!$B$4:$D$4,0))*1000</f>
        <v>22051597.239897843</v>
      </c>
      <c r="M158" s="184">
        <f>VLOOKUP(F158,'Annual distance covered (GB)'!$A$8:$H$33,MATCH(J158,'Annual distance covered (GB)'!$A$7:$H$7,0))</f>
        <v>351.1</v>
      </c>
      <c r="N158" s="2">
        <f t="shared" ca="1" si="17"/>
        <v>2460853.2256908077</v>
      </c>
      <c r="O158" s="180">
        <f t="shared" ca="1" si="18"/>
        <v>0.11159523724832042</v>
      </c>
      <c r="P158" s="180"/>
      <c r="Q158" s="185">
        <f>Q157</f>
        <v>2018</v>
      </c>
      <c r="R158" s="186" t="s">
        <v>3</v>
      </c>
      <c r="S158" s="180">
        <f t="shared" ca="1" si="19"/>
        <v>0.12099751345870631</v>
      </c>
      <c r="T158" s="180">
        <f t="shared" ca="1" si="19"/>
        <v>0.12794097964898718</v>
      </c>
      <c r="U158">
        <f ca="1">IF(S158=-1,-1,VLOOKUP(R158,'Vehicle weight data'!$A$4:$C$9,2,0))</f>
        <v>100</v>
      </c>
      <c r="V158">
        <f ca="1">IF(S158=-1,-1,VLOOKUP(R158,'Vehicle weight data'!$A$4:$C$9,3,0))</f>
        <v>200</v>
      </c>
      <c r="W158">
        <f t="shared" ca="1" si="16"/>
        <v>150</v>
      </c>
    </row>
    <row r="159" spans="1:23" x14ac:dyDescent="0.25">
      <c r="A159" t="s">
        <v>243</v>
      </c>
      <c r="B159" t="s">
        <v>237</v>
      </c>
      <c r="C159" t="s">
        <v>238</v>
      </c>
      <c r="D159" t="s">
        <v>255</v>
      </c>
      <c r="E159" t="s">
        <v>228</v>
      </c>
      <c r="F159">
        <v>1995</v>
      </c>
      <c r="G159">
        <v>4.7600000000000099E-3</v>
      </c>
      <c r="H159" t="s">
        <v>240</v>
      </c>
      <c r="I159" t="s">
        <v>241</v>
      </c>
      <c r="J159" t="s">
        <v>2</v>
      </c>
      <c r="K159" s="183">
        <f ca="1">VLOOKUP(F159,
    OFFSET(INDIRECT(ADDRESS(MATCH(J159,'Vehicle numbers'!$A$5:$A$162,0),1,1,1,$L$6)),4,1,COUNTIF('Vehicle numbers'!$A$5:$A$162,J159),4),
    MATCH(K$8,'Vehicle numbers'!$B$4:$D$4,0))*1000</f>
        <v>21394103</v>
      </c>
      <c r="L159" s="183">
        <f ca="1">VLOOKUP(F159,
    OFFSET(INDIRECT(ADDRESS(MATCH(J159,'Vehicle numbers'!$A$5:$A$162,0),1,1,1,$L$6)),4,1,COUNTIF('Vehicle numbers'!$A$5:$A$162,J159),4),
    MATCH(L$8,'Vehicle numbers'!$B$4:$D$4,0))*1000</f>
        <v>22051597.239897843</v>
      </c>
      <c r="M159" s="184">
        <f>VLOOKUP(F159,'Annual distance covered (GB)'!$A$8:$H$33,MATCH(J159,'Annual distance covered (GB)'!$A$7:$H$7,0))</f>
        <v>351.1</v>
      </c>
      <c r="N159" s="2">
        <f t="shared" ca="1" si="17"/>
        <v>1722597.2579835663</v>
      </c>
      <c r="O159" s="180">
        <f t="shared" ca="1" si="18"/>
        <v>7.8116666073824337E-2</v>
      </c>
      <c r="P159" s="180"/>
      <c r="Q159" s="185">
        <f>Q158</f>
        <v>2018</v>
      </c>
      <c r="R159" s="186" t="s">
        <v>41</v>
      </c>
      <c r="S159" s="180">
        <f t="shared" ca="1" si="19"/>
        <v>2.5305279038878874</v>
      </c>
      <c r="T159" s="180">
        <f t="shared" ca="1" si="19"/>
        <v>3.6364364152525996</v>
      </c>
      <c r="U159">
        <f ca="1">IF(S159=-1,-1,VLOOKUP(R159,'Vehicle weight data'!$A$4:$C$9,2,0))</f>
        <v>3500</v>
      </c>
      <c r="V159">
        <f ca="1">IF(S159=-1,-1,VLOOKUP(R159,'Vehicle weight data'!$A$4:$C$9,3,0))</f>
        <v>24000</v>
      </c>
      <c r="W159">
        <f t="shared" ca="1" si="16"/>
        <v>13750</v>
      </c>
    </row>
    <row r="160" spans="1:23" x14ac:dyDescent="0.25">
      <c r="A160" t="s">
        <v>244</v>
      </c>
      <c r="B160" t="s">
        <v>237</v>
      </c>
      <c r="C160" t="s">
        <v>238</v>
      </c>
      <c r="D160" t="s">
        <v>255</v>
      </c>
      <c r="E160" t="s">
        <v>228</v>
      </c>
      <c r="F160">
        <v>1995</v>
      </c>
      <c r="G160">
        <v>6.7042253521126804E-4</v>
      </c>
      <c r="H160" t="s">
        <v>240</v>
      </c>
      <c r="I160" t="s">
        <v>241</v>
      </c>
      <c r="J160" t="s">
        <v>2</v>
      </c>
      <c r="K160" s="183">
        <f ca="1">VLOOKUP(F160,
    OFFSET(INDIRECT(ADDRESS(MATCH(J160,'Vehicle numbers'!$A$5:$A$162,0),1,1,1,$L$6)),4,1,COUNTIF('Vehicle numbers'!$A$5:$A$162,J160),4),
    MATCH(K$8,'Vehicle numbers'!$B$4:$D$4,0))*1000</f>
        <v>21394103</v>
      </c>
      <c r="L160" s="183">
        <f ca="1">VLOOKUP(F160,
    OFFSET(INDIRECT(ADDRESS(MATCH(J160,'Vehicle numbers'!$A$5:$A$162,0),1,1,1,$L$6)),4,1,COUNTIF('Vehicle numbers'!$A$5:$A$162,J160),4),
    MATCH(L$8,'Vehicle numbers'!$B$4:$D$4,0))*1000</f>
        <v>22051597.239897843</v>
      </c>
      <c r="M160" s="184">
        <f>VLOOKUP(F160,'Annual distance covered (GB)'!$A$8:$H$33,MATCH(J160,'Annual distance covered (GB)'!$A$7:$H$7,0))</f>
        <v>351.1</v>
      </c>
      <c r="N160" s="2">
        <f t="shared" ca="1" si="17"/>
        <v>242619.33211036111</v>
      </c>
      <c r="O160" s="180">
        <f t="shared" ca="1" si="18"/>
        <v>1.1002347334341441E-2</v>
      </c>
      <c r="P160" s="180"/>
      <c r="Q160" s="185"/>
      <c r="R160" s="186"/>
      <c r="S160" s="180"/>
      <c r="T160" s="180"/>
    </row>
    <row r="161" spans="1:20" x14ac:dyDescent="0.25">
      <c r="A161" t="s">
        <v>246</v>
      </c>
      <c r="B161" t="s">
        <v>237</v>
      </c>
      <c r="C161" t="s">
        <v>238</v>
      </c>
      <c r="D161" t="s">
        <v>255</v>
      </c>
      <c r="E161" t="s">
        <v>228</v>
      </c>
      <c r="F161">
        <v>1995</v>
      </c>
      <c r="G161">
        <v>5.3633802816901402E-4</v>
      </c>
      <c r="H161" t="s">
        <v>240</v>
      </c>
      <c r="I161" t="s">
        <v>241</v>
      </c>
      <c r="J161" t="s">
        <v>2</v>
      </c>
      <c r="K161" s="183">
        <f ca="1">VLOOKUP(F161,
    OFFSET(INDIRECT(ADDRESS(MATCH(J161,'Vehicle numbers'!$A$5:$A$162,0),1,1,1,$L$6)),4,1,COUNTIF('Vehicle numbers'!$A$5:$A$162,J161),4),
    MATCH(K$8,'Vehicle numbers'!$B$4:$D$4,0))*1000</f>
        <v>21394103</v>
      </c>
      <c r="L161" s="183">
        <f ca="1">VLOOKUP(F161,
    OFFSET(INDIRECT(ADDRESS(MATCH(J161,'Vehicle numbers'!$A$5:$A$162,0),1,1,1,$L$6)),4,1,COUNTIF('Vehicle numbers'!$A$5:$A$162,J161),4),
    MATCH(L$8,'Vehicle numbers'!$B$4:$D$4,0))*1000</f>
        <v>22051597.239897843</v>
      </c>
      <c r="M161" s="184">
        <f>VLOOKUP(F161,'Annual distance covered (GB)'!$A$8:$H$33,MATCH(J161,'Annual distance covered (GB)'!$A$7:$H$7,0))</f>
        <v>351.1</v>
      </c>
      <c r="N161" s="2">
        <f t="shared" ca="1" si="17"/>
        <v>194095.46568828876</v>
      </c>
      <c r="O161" s="180">
        <f t="shared" ca="1" si="18"/>
        <v>8.8018778674731468E-3</v>
      </c>
      <c r="P161" s="180"/>
      <c r="Q161" s="185" t="s">
        <v>334</v>
      </c>
      <c r="R161" s="187"/>
      <c r="S161" s="180"/>
      <c r="T161" s="180"/>
    </row>
    <row r="162" spans="1:20" x14ac:dyDescent="0.25">
      <c r="A162" t="s">
        <v>236</v>
      </c>
      <c r="B162" t="s">
        <v>237</v>
      </c>
      <c r="C162" t="s">
        <v>238</v>
      </c>
      <c r="D162" t="s">
        <v>256</v>
      </c>
      <c r="E162" t="s">
        <v>229</v>
      </c>
      <c r="F162">
        <v>1995</v>
      </c>
      <c r="G162">
        <v>1.1704627326590399E-2</v>
      </c>
      <c r="H162" t="s">
        <v>240</v>
      </c>
      <c r="I162" t="s">
        <v>241</v>
      </c>
      <c r="J162" t="s">
        <v>2</v>
      </c>
      <c r="K162" s="183">
        <f ca="1">VLOOKUP(F162,
    OFFSET(INDIRECT(ADDRESS(MATCH(J162,'Vehicle numbers'!$A$5:$A$162,0),1,1,1,$L$6)),4,1,COUNTIF('Vehicle numbers'!$A$5:$A$162,J162),4),
    MATCH(K$8,'Vehicle numbers'!$B$4:$D$4,0))*1000</f>
        <v>21394103</v>
      </c>
      <c r="L162" s="183">
        <f ca="1">VLOOKUP(F162,
    OFFSET(INDIRECT(ADDRESS(MATCH(J162,'Vehicle numbers'!$A$5:$A$162,0),1,1,1,$L$6)),4,1,COUNTIF('Vehicle numbers'!$A$5:$A$162,J162),4),
    MATCH(L$8,'Vehicle numbers'!$B$4:$D$4,0))*1000</f>
        <v>22051597.239897843</v>
      </c>
      <c r="M162" s="184">
        <f>VLOOKUP(F162,'Annual distance covered (GB)'!$A$8:$H$33,MATCH(J162,'Annual distance covered (GB)'!$A$7:$H$7,0))</f>
        <v>351.1</v>
      </c>
      <c r="N162" s="2">
        <f t="shared" ca="1" si="17"/>
        <v>4235789.692963046</v>
      </c>
      <c r="O162" s="180">
        <f t="shared" ca="1" si="18"/>
        <v>0.19208539167853353</v>
      </c>
      <c r="P162" s="180"/>
      <c r="Q162" s="185"/>
      <c r="R162" s="186" t="s">
        <v>188</v>
      </c>
      <c r="S162" s="180">
        <f>COUNTIFS(R10:R159,R162,Q10:Q159,2006)</f>
        <v>1</v>
      </c>
      <c r="T162" s="180"/>
    </row>
    <row r="163" spans="1:20" x14ac:dyDescent="0.25">
      <c r="A163" t="s">
        <v>243</v>
      </c>
      <c r="B163" t="s">
        <v>237</v>
      </c>
      <c r="C163" t="s">
        <v>238</v>
      </c>
      <c r="D163" t="s">
        <v>256</v>
      </c>
      <c r="E163" t="s">
        <v>229</v>
      </c>
      <c r="F163">
        <v>1995</v>
      </c>
      <c r="G163">
        <v>4.6818509306361597E-3</v>
      </c>
      <c r="H163" t="s">
        <v>240</v>
      </c>
      <c r="I163" t="s">
        <v>241</v>
      </c>
      <c r="J163" t="s">
        <v>2</v>
      </c>
      <c r="K163" s="183">
        <f ca="1">VLOOKUP(F163,
    OFFSET(INDIRECT(ADDRESS(MATCH(J163,'Vehicle numbers'!$A$5:$A$162,0),1,1,1,$L$6)),4,1,COUNTIF('Vehicle numbers'!$A$5:$A$162,J163),4),
    MATCH(K$8,'Vehicle numbers'!$B$4:$D$4,0))*1000</f>
        <v>21394103</v>
      </c>
      <c r="L163" s="183">
        <f ca="1">VLOOKUP(F163,
    OFFSET(INDIRECT(ADDRESS(MATCH(J163,'Vehicle numbers'!$A$5:$A$162,0),1,1,1,$L$6)),4,1,COUNTIF('Vehicle numbers'!$A$5:$A$162,J163),4),
    MATCH(L$8,'Vehicle numbers'!$B$4:$D$4,0))*1000</f>
        <v>22051597.239897843</v>
      </c>
      <c r="M163" s="184">
        <f>VLOOKUP(F163,'Annual distance covered (GB)'!$A$8:$H$33,MATCH(J163,'Annual distance covered (GB)'!$A$7:$H$7,0))</f>
        <v>351.1</v>
      </c>
      <c r="N163" s="2">
        <f t="shared" ca="1" si="17"/>
        <v>1694315.8771852187</v>
      </c>
      <c r="O163" s="180">
        <f t="shared" ca="1" si="18"/>
        <v>7.6834156671413426E-2</v>
      </c>
      <c r="P163" s="180"/>
      <c r="Q163" s="185"/>
      <c r="S163" s="180"/>
      <c r="T163" s="180"/>
    </row>
    <row r="164" spans="1:20" x14ac:dyDescent="0.25">
      <c r="A164" t="s">
        <v>244</v>
      </c>
      <c r="B164" t="s">
        <v>237</v>
      </c>
      <c r="C164" t="s">
        <v>238</v>
      </c>
      <c r="D164" t="s">
        <v>256</v>
      </c>
      <c r="E164" t="s">
        <v>229</v>
      </c>
      <c r="F164">
        <v>1995</v>
      </c>
      <c r="G164">
        <v>1.1704627326590399E-3</v>
      </c>
      <c r="H164" t="s">
        <v>240</v>
      </c>
      <c r="I164" t="s">
        <v>241</v>
      </c>
      <c r="J164" t="s">
        <v>2</v>
      </c>
      <c r="K164" s="183">
        <f ca="1">VLOOKUP(F164,
    OFFSET(INDIRECT(ADDRESS(MATCH(J164,'Vehicle numbers'!$A$5:$A$162,0),1,1,1,$L$6)),4,1,COUNTIF('Vehicle numbers'!$A$5:$A$162,J164),4),
    MATCH(K$8,'Vehicle numbers'!$B$4:$D$4,0))*1000</f>
        <v>21394103</v>
      </c>
      <c r="L164" s="183">
        <f ca="1">VLOOKUP(F164,
    OFFSET(INDIRECT(ADDRESS(MATCH(J164,'Vehicle numbers'!$A$5:$A$162,0),1,1,1,$L$6)),4,1,COUNTIF('Vehicle numbers'!$A$5:$A$162,J164),4),
    MATCH(L$8,'Vehicle numbers'!$B$4:$D$4,0))*1000</f>
        <v>22051597.239897843</v>
      </c>
      <c r="M164" s="184">
        <f>VLOOKUP(F164,'Annual distance covered (GB)'!$A$8:$H$33,MATCH(J164,'Annual distance covered (GB)'!$A$7:$H$7,0))</f>
        <v>351.1</v>
      </c>
      <c r="N164" s="2">
        <f t="shared" ca="1" si="17"/>
        <v>423578.96929630468</v>
      </c>
      <c r="O164" s="180">
        <f t="shared" ca="1" si="18"/>
        <v>1.9208539167853356E-2</v>
      </c>
      <c r="P164" s="180"/>
      <c r="Q164" s="185"/>
      <c r="S164" s="180"/>
      <c r="T164" s="180"/>
    </row>
    <row r="165" spans="1:20" x14ac:dyDescent="0.25">
      <c r="A165" t="s">
        <v>246</v>
      </c>
      <c r="B165" t="s">
        <v>237</v>
      </c>
      <c r="C165" t="s">
        <v>238</v>
      </c>
      <c r="D165" t="s">
        <v>256</v>
      </c>
      <c r="E165" t="s">
        <v>229</v>
      </c>
      <c r="F165">
        <v>1995</v>
      </c>
      <c r="G165">
        <v>9.3637018612723196E-4</v>
      </c>
      <c r="H165" t="s">
        <v>240</v>
      </c>
      <c r="I165" t="s">
        <v>241</v>
      </c>
      <c r="J165" t="s">
        <v>2</v>
      </c>
      <c r="K165" s="183">
        <f ca="1">VLOOKUP(F165,
    OFFSET(INDIRECT(ADDRESS(MATCH(J165,'Vehicle numbers'!$A$5:$A$162,0),1,1,1,$L$6)),4,1,COUNTIF('Vehicle numbers'!$A$5:$A$162,J165),4),
    MATCH(K$8,'Vehicle numbers'!$B$4:$D$4,0))*1000</f>
        <v>21394103</v>
      </c>
      <c r="L165" s="183">
        <f ca="1">VLOOKUP(F165,
    OFFSET(INDIRECT(ADDRESS(MATCH(J165,'Vehicle numbers'!$A$5:$A$162,0),1,1,1,$L$6)),4,1,COUNTIF('Vehicle numbers'!$A$5:$A$162,J165),4),
    MATCH(L$8,'Vehicle numbers'!$B$4:$D$4,0))*1000</f>
        <v>22051597.239897843</v>
      </c>
      <c r="M165" s="184">
        <f>VLOOKUP(F165,'Annual distance covered (GB)'!$A$8:$H$33,MATCH(J165,'Annual distance covered (GB)'!$A$7:$H$7,0))</f>
        <v>351.1</v>
      </c>
      <c r="N165" s="2">
        <f t="shared" ca="1" si="17"/>
        <v>338863.17543704371</v>
      </c>
      <c r="O165" s="180">
        <f t="shared" ca="1" si="18"/>
        <v>1.5366831334282684E-2</v>
      </c>
      <c r="P165" s="180"/>
      <c r="Q165" s="185"/>
      <c r="S165" s="180"/>
      <c r="T165" s="180"/>
    </row>
    <row r="166" spans="1:20" x14ac:dyDescent="0.25">
      <c r="A166" t="s">
        <v>236</v>
      </c>
      <c r="B166" t="s">
        <v>237</v>
      </c>
      <c r="C166" t="s">
        <v>238</v>
      </c>
      <c r="D166" t="s">
        <v>256</v>
      </c>
      <c r="E166" t="s">
        <v>228</v>
      </c>
      <c r="F166">
        <v>1995</v>
      </c>
      <c r="G166">
        <v>8.7588396260744605E-3</v>
      </c>
      <c r="H166" t="s">
        <v>240</v>
      </c>
      <c r="I166" t="s">
        <v>241</v>
      </c>
      <c r="J166" t="s">
        <v>2</v>
      </c>
      <c r="K166" s="183">
        <f ca="1">VLOOKUP(F166,
    OFFSET(INDIRECT(ADDRESS(MATCH(J166,'Vehicle numbers'!$A$5:$A$162,0),1,1,1,$L$6)),4,1,COUNTIF('Vehicle numbers'!$A$5:$A$162,J166),4),
    MATCH(K$8,'Vehicle numbers'!$B$4:$D$4,0))*1000</f>
        <v>21394103</v>
      </c>
      <c r="L166" s="183">
        <f ca="1">VLOOKUP(F166,
    OFFSET(INDIRECT(ADDRESS(MATCH(J166,'Vehicle numbers'!$A$5:$A$162,0),1,1,1,$L$6)),4,1,COUNTIF('Vehicle numbers'!$A$5:$A$162,J166),4),
    MATCH(L$8,'Vehicle numbers'!$B$4:$D$4,0))*1000</f>
        <v>22051597.239897843</v>
      </c>
      <c r="M166" s="184">
        <f>VLOOKUP(F166,'Annual distance covered (GB)'!$A$8:$H$33,MATCH(J166,'Annual distance covered (GB)'!$A$7:$H$7,0))</f>
        <v>351.1</v>
      </c>
      <c r="N166" s="2">
        <f t="shared" ca="1" si="17"/>
        <v>3169738.0510490839</v>
      </c>
      <c r="O166" s="180">
        <f t="shared" ca="1" si="18"/>
        <v>0.14374188030761295</v>
      </c>
      <c r="P166" s="180"/>
      <c r="Q166" s="185"/>
      <c r="R166" s="187" t="s">
        <v>245</v>
      </c>
      <c r="S166" s="180"/>
      <c r="T166" s="180"/>
    </row>
    <row r="167" spans="1:20" x14ac:dyDescent="0.25">
      <c r="A167" t="s">
        <v>243</v>
      </c>
      <c r="B167" t="s">
        <v>237</v>
      </c>
      <c r="C167" t="s">
        <v>238</v>
      </c>
      <c r="D167" t="s">
        <v>256</v>
      </c>
      <c r="E167" t="s">
        <v>228</v>
      </c>
      <c r="F167">
        <v>1995</v>
      </c>
      <c r="G167">
        <v>6.1311877382521198E-3</v>
      </c>
      <c r="H167" t="s">
        <v>240</v>
      </c>
      <c r="I167" t="s">
        <v>241</v>
      </c>
      <c r="J167" t="s">
        <v>2</v>
      </c>
      <c r="K167" s="183">
        <f ca="1">VLOOKUP(F167,
    OFFSET(INDIRECT(ADDRESS(MATCH(J167,'Vehicle numbers'!$A$5:$A$162,0),1,1,1,$L$6)),4,1,COUNTIF('Vehicle numbers'!$A$5:$A$162,J167),4),
    MATCH(K$8,'Vehicle numbers'!$B$4:$D$4,0))*1000</f>
        <v>21394103</v>
      </c>
      <c r="L167" s="183">
        <f ca="1">VLOOKUP(F167,
    OFFSET(INDIRECT(ADDRESS(MATCH(J167,'Vehicle numbers'!$A$5:$A$162,0),1,1,1,$L$6)),4,1,COUNTIF('Vehicle numbers'!$A$5:$A$162,J167),4),
    MATCH(L$8,'Vehicle numbers'!$B$4:$D$4,0))*1000</f>
        <v>22051597.239897843</v>
      </c>
      <c r="M167" s="184">
        <f>VLOOKUP(F167,'Annual distance covered (GB)'!$A$8:$H$33,MATCH(J167,'Annual distance covered (GB)'!$A$7:$H$7,0))</f>
        <v>351.1</v>
      </c>
      <c r="N167" s="2">
        <f t="shared" ca="1" si="17"/>
        <v>2218816.6357343579</v>
      </c>
      <c r="O167" s="180">
        <f t="shared" ca="1" si="18"/>
        <v>0.10061931621532903</v>
      </c>
      <c r="P167" s="180"/>
      <c r="Q167" s="185"/>
      <c r="R167" s="188" t="s">
        <v>247</v>
      </c>
      <c r="S167" s="180"/>
      <c r="T167" s="180"/>
    </row>
    <row r="168" spans="1:20" x14ac:dyDescent="0.25">
      <c r="A168" t="s">
        <v>244</v>
      </c>
      <c r="B168" t="s">
        <v>237</v>
      </c>
      <c r="C168" t="s">
        <v>238</v>
      </c>
      <c r="D168" t="s">
        <v>256</v>
      </c>
      <c r="E168" t="s">
        <v>228</v>
      </c>
      <c r="F168">
        <v>1995</v>
      </c>
      <c r="G168">
        <v>8.6354756876790299E-4</v>
      </c>
      <c r="H168" t="s">
        <v>240</v>
      </c>
      <c r="I168" t="s">
        <v>241</v>
      </c>
      <c r="J168" t="s">
        <v>2</v>
      </c>
      <c r="K168" s="183">
        <f ca="1">VLOOKUP(F168,
    OFFSET(INDIRECT(ADDRESS(MATCH(J168,'Vehicle numbers'!$A$5:$A$162,0),1,1,1,$L$6)),4,1,COUNTIF('Vehicle numbers'!$A$5:$A$162,J168),4),
    MATCH(K$8,'Vehicle numbers'!$B$4:$D$4,0))*1000</f>
        <v>21394103</v>
      </c>
      <c r="L168" s="183">
        <f ca="1">VLOOKUP(F168,
    OFFSET(INDIRECT(ADDRESS(MATCH(J168,'Vehicle numbers'!$A$5:$A$162,0),1,1,1,$L$6)),4,1,COUNTIF('Vehicle numbers'!$A$5:$A$162,J168),4),
    MATCH(L$8,'Vehicle numbers'!$B$4:$D$4,0))*1000</f>
        <v>22051597.239897843</v>
      </c>
      <c r="M168" s="184">
        <f>VLOOKUP(F168,'Annual distance covered (GB)'!$A$8:$H$33,MATCH(J168,'Annual distance covered (GB)'!$A$7:$H$7,0))</f>
        <v>351.1</v>
      </c>
      <c r="N168" s="2">
        <f t="shared" ca="1" si="17"/>
        <v>312509.38531469792</v>
      </c>
      <c r="O168" s="180">
        <f t="shared" ca="1" si="18"/>
        <v>1.417173467821534E-2</v>
      </c>
      <c r="P168" s="180"/>
      <c r="Q168" s="185"/>
      <c r="R168" s="186" t="s">
        <v>3</v>
      </c>
      <c r="S168" s="180"/>
      <c r="T168" s="180"/>
    </row>
    <row r="169" spans="1:20" x14ac:dyDescent="0.25">
      <c r="A169" t="s">
        <v>246</v>
      </c>
      <c r="B169" t="s">
        <v>237</v>
      </c>
      <c r="C169" t="s">
        <v>238</v>
      </c>
      <c r="D169" t="s">
        <v>256</v>
      </c>
      <c r="E169" t="s">
        <v>228</v>
      </c>
      <c r="F169">
        <v>1995</v>
      </c>
      <c r="G169">
        <v>6.9083805501432202E-4</v>
      </c>
      <c r="H169" t="s">
        <v>240</v>
      </c>
      <c r="I169" t="s">
        <v>241</v>
      </c>
      <c r="J169" t="s">
        <v>2</v>
      </c>
      <c r="K169" s="183">
        <f ca="1">VLOOKUP(F169,
    OFFSET(INDIRECT(ADDRESS(MATCH(J169,'Vehicle numbers'!$A$5:$A$162,0),1,1,1,$L$6)),4,1,COUNTIF('Vehicle numbers'!$A$5:$A$162,J169),4),
    MATCH(K$8,'Vehicle numbers'!$B$4:$D$4,0))*1000</f>
        <v>21394103</v>
      </c>
      <c r="L169" s="183">
        <f ca="1">VLOOKUP(F169,
    OFFSET(INDIRECT(ADDRESS(MATCH(J169,'Vehicle numbers'!$A$5:$A$162,0),1,1,1,$L$6)),4,1,COUNTIF('Vehicle numbers'!$A$5:$A$162,J169),4),
    MATCH(L$8,'Vehicle numbers'!$B$4:$D$4,0))*1000</f>
        <v>22051597.239897843</v>
      </c>
      <c r="M169" s="184">
        <f>VLOOKUP(F169,'Annual distance covered (GB)'!$A$8:$H$33,MATCH(J169,'Annual distance covered (GB)'!$A$7:$H$7,0))</f>
        <v>351.1</v>
      </c>
      <c r="N169" s="2">
        <f t="shared" ca="1" si="17"/>
        <v>250007.50825175818</v>
      </c>
      <c r="O169" s="180">
        <f t="shared" ca="1" si="18"/>
        <v>1.1337387742572263E-2</v>
      </c>
      <c r="P169" s="180"/>
      <c r="Q169" s="185"/>
      <c r="R169" s="186" t="s">
        <v>41</v>
      </c>
      <c r="S169" s="180"/>
      <c r="T169" s="180"/>
    </row>
    <row r="170" spans="1:20" x14ac:dyDescent="0.25">
      <c r="A170" t="s">
        <v>236</v>
      </c>
      <c r="B170" t="s">
        <v>237</v>
      </c>
      <c r="C170" t="s">
        <v>238</v>
      </c>
      <c r="D170" t="s">
        <v>257</v>
      </c>
      <c r="E170" t="s">
        <v>229</v>
      </c>
      <c r="F170">
        <v>1995</v>
      </c>
      <c r="G170">
        <v>2.1210000000000001E-3</v>
      </c>
      <c r="H170" t="s">
        <v>240</v>
      </c>
      <c r="I170" t="s">
        <v>241</v>
      </c>
      <c r="J170" t="s">
        <v>188</v>
      </c>
      <c r="K170" s="183">
        <f ca="1">VLOOKUP(F170,
    OFFSET(INDIRECT(ADDRESS(MATCH(J170,'Vehicle numbers'!$A$5:$A$162,0),1,1,1,$L$6)),4,1,COUNTIF('Vehicle numbers'!$A$5:$A$162,J170),4),
    MATCH(K$8,'Vehicle numbers'!$B$4:$D$4,0))*1000</f>
        <v>2122774</v>
      </c>
      <c r="L170" s="183">
        <f ca="1">VLOOKUP(F170,
    OFFSET(INDIRECT(ADDRESS(MATCH(J170,'Vehicle numbers'!$A$5:$A$162,0),1,1,1,$L$6)),4,1,COUNTIF('Vehicle numbers'!$A$5:$A$162,J170),4),
    MATCH(L$8,'Vehicle numbers'!$B$4:$D$4,0))*1000</f>
        <v>2183688.2395827197</v>
      </c>
      <c r="M170" s="184">
        <f>VLOOKUP(F170,'Annual distance covered (GB)'!$A$8:$H$33,MATCH(J170,'Annual distance covered (GB)'!$A$7:$H$7,0))</f>
        <v>44.5</v>
      </c>
      <c r="N170" s="2">
        <f t="shared" ca="1" si="17"/>
        <v>97092.918345945087</v>
      </c>
      <c r="O170" s="180">
        <f t="shared" ca="1" si="18"/>
        <v>4.4462811396785533E-2</v>
      </c>
      <c r="P170" s="180"/>
      <c r="Q170" s="185"/>
      <c r="R170" s="186" t="s">
        <v>2</v>
      </c>
      <c r="S170" s="180"/>
      <c r="T170" s="180"/>
    </row>
    <row r="171" spans="1:20" x14ac:dyDescent="0.25">
      <c r="A171" t="s">
        <v>243</v>
      </c>
      <c r="B171" t="s">
        <v>237</v>
      </c>
      <c r="C171" t="s">
        <v>238</v>
      </c>
      <c r="D171" t="s">
        <v>257</v>
      </c>
      <c r="E171" t="s">
        <v>229</v>
      </c>
      <c r="F171">
        <v>1995</v>
      </c>
      <c r="G171">
        <v>8.4840000000000002E-4</v>
      </c>
      <c r="H171" t="s">
        <v>240</v>
      </c>
      <c r="I171" t="s">
        <v>241</v>
      </c>
      <c r="J171" t="s">
        <v>188</v>
      </c>
      <c r="K171" s="183">
        <f ca="1">VLOOKUP(F171,
    OFFSET(INDIRECT(ADDRESS(MATCH(J171,'Vehicle numbers'!$A$5:$A$162,0),1,1,1,$L$6)),4,1,COUNTIF('Vehicle numbers'!$A$5:$A$162,J171),4),
    MATCH(K$8,'Vehicle numbers'!$B$4:$D$4,0))*1000</f>
        <v>2122774</v>
      </c>
      <c r="L171" s="183">
        <f ca="1">VLOOKUP(F171,
    OFFSET(INDIRECT(ADDRESS(MATCH(J171,'Vehicle numbers'!$A$5:$A$162,0),1,1,1,$L$6)),4,1,COUNTIF('Vehicle numbers'!$A$5:$A$162,J171),4),
    MATCH(L$8,'Vehicle numbers'!$B$4:$D$4,0))*1000</f>
        <v>2183688.2395827197</v>
      </c>
      <c r="M171" s="184">
        <f>VLOOKUP(F171,'Annual distance covered (GB)'!$A$8:$H$33,MATCH(J171,'Annual distance covered (GB)'!$A$7:$H$7,0))</f>
        <v>44.5</v>
      </c>
      <c r="N171" s="2">
        <f t="shared" ca="1" si="17"/>
        <v>38837.167338378036</v>
      </c>
      <c r="O171" s="180">
        <f t="shared" ca="1" si="18"/>
        <v>1.7785124558714213E-2</v>
      </c>
      <c r="P171" s="180"/>
      <c r="Q171" s="185"/>
      <c r="R171" s="188"/>
      <c r="S171" s="180"/>
      <c r="T171" s="180"/>
    </row>
    <row r="172" spans="1:20" x14ac:dyDescent="0.25">
      <c r="A172" t="s">
        <v>244</v>
      </c>
      <c r="B172" t="s">
        <v>237</v>
      </c>
      <c r="C172" t="s">
        <v>238</v>
      </c>
      <c r="D172" t="s">
        <v>257</v>
      </c>
      <c r="E172" t="s">
        <v>229</v>
      </c>
      <c r="F172">
        <v>1995</v>
      </c>
      <c r="G172">
        <v>2.1210000000000001E-4</v>
      </c>
      <c r="H172" t="s">
        <v>240</v>
      </c>
      <c r="I172" t="s">
        <v>241</v>
      </c>
      <c r="J172" t="s">
        <v>188</v>
      </c>
      <c r="K172" s="183">
        <f ca="1">VLOOKUP(F172,
    OFFSET(INDIRECT(ADDRESS(MATCH(J172,'Vehicle numbers'!$A$5:$A$162,0),1,1,1,$L$6)),4,1,COUNTIF('Vehicle numbers'!$A$5:$A$162,J172),4),
    MATCH(K$8,'Vehicle numbers'!$B$4:$D$4,0))*1000</f>
        <v>2122774</v>
      </c>
      <c r="L172" s="183">
        <f ca="1">VLOOKUP(F172,
    OFFSET(INDIRECT(ADDRESS(MATCH(J172,'Vehicle numbers'!$A$5:$A$162,0),1,1,1,$L$6)),4,1,COUNTIF('Vehicle numbers'!$A$5:$A$162,J172),4),
    MATCH(L$8,'Vehicle numbers'!$B$4:$D$4,0))*1000</f>
        <v>2183688.2395827197</v>
      </c>
      <c r="M172" s="184">
        <f>VLOOKUP(F172,'Annual distance covered (GB)'!$A$8:$H$33,MATCH(J172,'Annual distance covered (GB)'!$A$7:$H$7,0))</f>
        <v>44.5</v>
      </c>
      <c r="N172" s="2">
        <f t="shared" ca="1" si="17"/>
        <v>9709.2918345945091</v>
      </c>
      <c r="O172" s="180">
        <f t="shared" ca="1" si="18"/>
        <v>4.4462811396785533E-3</v>
      </c>
      <c r="P172" s="180"/>
      <c r="Q172" s="185"/>
      <c r="R172" s="186"/>
      <c r="S172" s="180"/>
      <c r="T172" s="180"/>
    </row>
    <row r="173" spans="1:20" x14ac:dyDescent="0.25">
      <c r="A173" t="s">
        <v>246</v>
      </c>
      <c r="B173" t="s">
        <v>237</v>
      </c>
      <c r="C173" t="s">
        <v>238</v>
      </c>
      <c r="D173" t="s">
        <v>257</v>
      </c>
      <c r="E173" t="s">
        <v>229</v>
      </c>
      <c r="F173">
        <v>1995</v>
      </c>
      <c r="G173">
        <v>1.6967999999999999E-4</v>
      </c>
      <c r="H173" t="s">
        <v>240</v>
      </c>
      <c r="I173" t="s">
        <v>241</v>
      </c>
      <c r="J173" t="s">
        <v>188</v>
      </c>
      <c r="K173" s="183">
        <f ca="1">VLOOKUP(F173,
    OFFSET(INDIRECT(ADDRESS(MATCH(J173,'Vehicle numbers'!$A$5:$A$162,0),1,1,1,$L$6)),4,1,COUNTIF('Vehicle numbers'!$A$5:$A$162,J173),4),
    MATCH(K$8,'Vehicle numbers'!$B$4:$D$4,0))*1000</f>
        <v>2122774</v>
      </c>
      <c r="L173" s="183">
        <f ca="1">VLOOKUP(F173,
    OFFSET(INDIRECT(ADDRESS(MATCH(J173,'Vehicle numbers'!$A$5:$A$162,0),1,1,1,$L$6)),4,1,COUNTIF('Vehicle numbers'!$A$5:$A$162,J173),4),
    MATCH(L$8,'Vehicle numbers'!$B$4:$D$4,0))*1000</f>
        <v>2183688.2395827197</v>
      </c>
      <c r="M173" s="184">
        <f>VLOOKUP(F173,'Annual distance covered (GB)'!$A$8:$H$33,MATCH(J173,'Annual distance covered (GB)'!$A$7:$H$7,0))</f>
        <v>44.5</v>
      </c>
      <c r="N173" s="2">
        <f t="shared" ca="1" si="17"/>
        <v>7767.4334676756062</v>
      </c>
      <c r="O173" s="180">
        <f t="shared" ca="1" si="18"/>
        <v>3.557024911742842E-3</v>
      </c>
      <c r="P173" s="180"/>
      <c r="Q173" s="185"/>
      <c r="R173" s="186"/>
      <c r="S173" s="180"/>
      <c r="T173" s="180"/>
    </row>
    <row r="174" spans="1:20" x14ac:dyDescent="0.25">
      <c r="A174" t="s">
        <v>236</v>
      </c>
      <c r="B174" t="s">
        <v>237</v>
      </c>
      <c r="C174" t="s">
        <v>238</v>
      </c>
      <c r="D174" t="s">
        <v>257</v>
      </c>
      <c r="E174" t="s">
        <v>228</v>
      </c>
      <c r="F174">
        <v>1995</v>
      </c>
      <c r="G174">
        <v>9.1459999999999996E-3</v>
      </c>
      <c r="H174" t="s">
        <v>240</v>
      </c>
      <c r="I174" t="s">
        <v>241</v>
      </c>
      <c r="J174" t="s">
        <v>188</v>
      </c>
      <c r="K174" s="183">
        <f ca="1">VLOOKUP(F174,
    OFFSET(INDIRECT(ADDRESS(MATCH(J174,'Vehicle numbers'!$A$5:$A$162,0),1,1,1,$L$6)),4,1,COUNTIF('Vehicle numbers'!$A$5:$A$162,J174),4),
    MATCH(K$8,'Vehicle numbers'!$B$4:$D$4,0))*1000</f>
        <v>2122774</v>
      </c>
      <c r="L174" s="183">
        <f ca="1">VLOOKUP(F174,
    OFFSET(INDIRECT(ADDRESS(MATCH(J174,'Vehicle numbers'!$A$5:$A$162,0),1,1,1,$L$6)),4,1,COUNTIF('Vehicle numbers'!$A$5:$A$162,J174),4),
    MATCH(L$8,'Vehicle numbers'!$B$4:$D$4,0))*1000</f>
        <v>2183688.2395827197</v>
      </c>
      <c r="M174" s="184">
        <f>VLOOKUP(F174,'Annual distance covered (GB)'!$A$8:$H$33,MATCH(J174,'Annual distance covered (GB)'!$A$7:$H$7,0))</f>
        <v>44.5</v>
      </c>
      <c r="N174" s="2">
        <f t="shared" ca="1" si="17"/>
        <v>418676.01659217995</v>
      </c>
      <c r="O174" s="180">
        <f t="shared" ca="1" si="18"/>
        <v>0.19172884160066028</v>
      </c>
      <c r="P174" s="180"/>
      <c r="Q174" s="185"/>
      <c r="R174" s="186"/>
      <c r="S174" s="180"/>
      <c r="T174" s="180"/>
    </row>
    <row r="175" spans="1:20" x14ac:dyDescent="0.25">
      <c r="A175" t="s">
        <v>243</v>
      </c>
      <c r="B175" t="s">
        <v>237</v>
      </c>
      <c r="C175" t="s">
        <v>238</v>
      </c>
      <c r="D175" t="s">
        <v>257</v>
      </c>
      <c r="E175" t="s">
        <v>228</v>
      </c>
      <c r="F175">
        <v>1995</v>
      </c>
      <c r="G175">
        <v>6.4022000000000003E-3</v>
      </c>
      <c r="H175" t="s">
        <v>240</v>
      </c>
      <c r="I175" t="s">
        <v>241</v>
      </c>
      <c r="J175" t="s">
        <v>188</v>
      </c>
      <c r="K175" s="183">
        <f ca="1">VLOOKUP(F175,
    OFFSET(INDIRECT(ADDRESS(MATCH(J175,'Vehicle numbers'!$A$5:$A$162,0),1,1,1,$L$6)),4,1,COUNTIF('Vehicle numbers'!$A$5:$A$162,J175),4),
    MATCH(K$8,'Vehicle numbers'!$B$4:$D$4,0))*1000</f>
        <v>2122774</v>
      </c>
      <c r="L175" s="183">
        <f ca="1">VLOOKUP(F175,
    OFFSET(INDIRECT(ADDRESS(MATCH(J175,'Vehicle numbers'!$A$5:$A$162,0),1,1,1,$L$6)),4,1,COUNTIF('Vehicle numbers'!$A$5:$A$162,J175),4),
    MATCH(L$8,'Vehicle numbers'!$B$4:$D$4,0))*1000</f>
        <v>2183688.2395827197</v>
      </c>
      <c r="M175" s="184">
        <f>VLOOKUP(F175,'Annual distance covered (GB)'!$A$8:$H$33,MATCH(J175,'Annual distance covered (GB)'!$A$7:$H$7,0))</f>
        <v>44.5</v>
      </c>
      <c r="N175" s="2">
        <f t="shared" ca="1" si="17"/>
        <v>293073.21161452599</v>
      </c>
      <c r="O175" s="180">
        <f t="shared" ca="1" si="18"/>
        <v>0.1342101891204622</v>
      </c>
      <c r="P175" s="180"/>
      <c r="Q175" s="185"/>
      <c r="R175" s="186"/>
      <c r="S175" s="180"/>
      <c r="T175" s="180"/>
    </row>
    <row r="176" spans="1:20" x14ac:dyDescent="0.25">
      <c r="A176" t="s">
        <v>244</v>
      </c>
      <c r="B176" t="s">
        <v>237</v>
      </c>
      <c r="C176" t="s">
        <v>238</v>
      </c>
      <c r="D176" t="s">
        <v>257</v>
      </c>
      <c r="E176" t="s">
        <v>228</v>
      </c>
      <c r="F176">
        <v>1995</v>
      </c>
      <c r="G176">
        <v>9.0171830985915399E-4</v>
      </c>
      <c r="H176" t="s">
        <v>240</v>
      </c>
      <c r="I176" t="s">
        <v>241</v>
      </c>
      <c r="J176" t="s">
        <v>188</v>
      </c>
      <c r="K176" s="183">
        <f ca="1">VLOOKUP(F176,
    OFFSET(INDIRECT(ADDRESS(MATCH(J176,'Vehicle numbers'!$A$5:$A$162,0),1,1,1,$L$6)),4,1,COUNTIF('Vehicle numbers'!$A$5:$A$162,J176),4),
    MATCH(K$8,'Vehicle numbers'!$B$4:$D$4,0))*1000</f>
        <v>2122774</v>
      </c>
      <c r="L176" s="183">
        <f ca="1">VLOOKUP(F176,
    OFFSET(INDIRECT(ADDRESS(MATCH(J176,'Vehicle numbers'!$A$5:$A$162,0),1,1,1,$L$6)),4,1,COUNTIF('Vehicle numbers'!$A$5:$A$162,J176),4),
    MATCH(L$8,'Vehicle numbers'!$B$4:$D$4,0))*1000</f>
        <v>2183688.2395827197</v>
      </c>
      <c r="M176" s="184">
        <f>VLOOKUP(F176,'Annual distance covered (GB)'!$A$8:$H$33,MATCH(J176,'Annual distance covered (GB)'!$A$7:$H$7,0))</f>
        <v>44.5</v>
      </c>
      <c r="N176" s="2">
        <f t="shared" ca="1" si="17"/>
        <v>41277.917128806432</v>
      </c>
      <c r="O176" s="180">
        <f t="shared" ca="1" si="18"/>
        <v>1.8902843538093246E-2</v>
      </c>
      <c r="P176" s="180"/>
      <c r="Q176" s="185"/>
      <c r="R176" s="187"/>
      <c r="S176" s="180"/>
      <c r="T176" s="180"/>
    </row>
    <row r="177" spans="1:20" x14ac:dyDescent="0.25">
      <c r="A177" t="s">
        <v>246</v>
      </c>
      <c r="B177" t="s">
        <v>237</v>
      </c>
      <c r="C177" t="s">
        <v>238</v>
      </c>
      <c r="D177" t="s">
        <v>257</v>
      </c>
      <c r="E177" t="s">
        <v>228</v>
      </c>
      <c r="F177">
        <v>1995</v>
      </c>
      <c r="G177">
        <v>7.21374647887323E-4</v>
      </c>
      <c r="H177" t="s">
        <v>240</v>
      </c>
      <c r="I177" t="s">
        <v>241</v>
      </c>
      <c r="J177" t="s">
        <v>188</v>
      </c>
      <c r="K177" s="183">
        <f ca="1">VLOOKUP(F177,
    OFFSET(INDIRECT(ADDRESS(MATCH(J177,'Vehicle numbers'!$A$5:$A$162,0),1,1,1,$L$6)),4,1,COUNTIF('Vehicle numbers'!$A$5:$A$162,J177),4),
    MATCH(K$8,'Vehicle numbers'!$B$4:$D$4,0))*1000</f>
        <v>2122774</v>
      </c>
      <c r="L177" s="183">
        <f ca="1">VLOOKUP(F177,
    OFFSET(INDIRECT(ADDRESS(MATCH(J177,'Vehicle numbers'!$A$5:$A$162,0),1,1,1,$L$6)),4,1,COUNTIF('Vehicle numbers'!$A$5:$A$162,J177),4),
    MATCH(L$8,'Vehicle numbers'!$B$4:$D$4,0))*1000</f>
        <v>2183688.2395827197</v>
      </c>
      <c r="M177" s="184">
        <f>VLOOKUP(F177,'Annual distance covered (GB)'!$A$8:$H$33,MATCH(J177,'Annual distance covered (GB)'!$A$7:$H$7,0))</f>
        <v>44.5</v>
      </c>
      <c r="N177" s="2">
        <f t="shared" ca="1" si="17"/>
        <v>33022.333703045137</v>
      </c>
      <c r="O177" s="180">
        <f t="shared" ca="1" si="18"/>
        <v>1.5122274830474593E-2</v>
      </c>
      <c r="P177" s="180"/>
      <c r="Q177" s="185"/>
      <c r="R177" s="188"/>
      <c r="S177" s="180"/>
      <c r="T177" s="180"/>
    </row>
    <row r="178" spans="1:20" x14ac:dyDescent="0.25">
      <c r="A178" t="s">
        <v>236</v>
      </c>
      <c r="B178" t="s">
        <v>237</v>
      </c>
      <c r="C178" t="s">
        <v>238</v>
      </c>
      <c r="D178" t="s">
        <v>258</v>
      </c>
      <c r="E178" t="s">
        <v>229</v>
      </c>
      <c r="F178">
        <v>1995</v>
      </c>
      <c r="G178">
        <v>8.6219999999999908E-3</v>
      </c>
      <c r="H178" t="s">
        <v>240</v>
      </c>
      <c r="I178" t="s">
        <v>241</v>
      </c>
      <c r="J178" t="s">
        <v>188</v>
      </c>
      <c r="K178" s="183">
        <f ca="1">VLOOKUP(F178,
    OFFSET(INDIRECT(ADDRESS(MATCH(J178,'Vehicle numbers'!$A$5:$A$162,0),1,1,1,$L$6)),4,1,COUNTIF('Vehicle numbers'!$A$5:$A$162,J178),4),
    MATCH(K$8,'Vehicle numbers'!$B$4:$D$4,0))*1000</f>
        <v>2122774</v>
      </c>
      <c r="L178" s="183">
        <f ca="1">VLOOKUP(F178,
    OFFSET(INDIRECT(ADDRESS(MATCH(J178,'Vehicle numbers'!$A$5:$A$162,0),1,1,1,$L$6)),4,1,COUNTIF('Vehicle numbers'!$A$5:$A$162,J178),4),
    MATCH(L$8,'Vehicle numbers'!$B$4:$D$4,0))*1000</f>
        <v>2183688.2395827197</v>
      </c>
      <c r="M178" s="184">
        <f>VLOOKUP(F178,'Annual distance covered (GB)'!$A$8:$H$33,MATCH(J178,'Annual distance covered (GB)'!$A$7:$H$7,0))</f>
        <v>44.5</v>
      </c>
      <c r="N178" s="2">
        <f t="shared" ca="1" si="17"/>
        <v>394688.89296498708</v>
      </c>
      <c r="O178" s="180">
        <f t="shared" ca="1" si="18"/>
        <v>0.18074415835128921</v>
      </c>
      <c r="P178" s="180"/>
      <c r="Q178" s="185"/>
      <c r="R178" s="186"/>
      <c r="S178" s="180"/>
      <c r="T178" s="180"/>
    </row>
    <row r="179" spans="1:20" x14ac:dyDescent="0.25">
      <c r="A179" t="s">
        <v>243</v>
      </c>
      <c r="B179" t="s">
        <v>237</v>
      </c>
      <c r="C179" t="s">
        <v>238</v>
      </c>
      <c r="D179" t="s">
        <v>258</v>
      </c>
      <c r="E179" t="s">
        <v>229</v>
      </c>
      <c r="F179">
        <v>1995</v>
      </c>
      <c r="G179">
        <v>3.4488000000000001E-3</v>
      </c>
      <c r="H179" t="s">
        <v>240</v>
      </c>
      <c r="I179" t="s">
        <v>241</v>
      </c>
      <c r="J179" t="s">
        <v>188</v>
      </c>
      <c r="K179" s="183">
        <f ca="1">VLOOKUP(F179,
    OFFSET(INDIRECT(ADDRESS(MATCH(J179,'Vehicle numbers'!$A$5:$A$162,0),1,1,1,$L$6)),4,1,COUNTIF('Vehicle numbers'!$A$5:$A$162,J179),4),
    MATCH(K$8,'Vehicle numbers'!$B$4:$D$4,0))*1000</f>
        <v>2122774</v>
      </c>
      <c r="L179" s="183">
        <f ca="1">VLOOKUP(F179,
    OFFSET(INDIRECT(ADDRESS(MATCH(J179,'Vehicle numbers'!$A$5:$A$162,0),1,1,1,$L$6)),4,1,COUNTIF('Vehicle numbers'!$A$5:$A$162,J179),4),
    MATCH(L$8,'Vehicle numbers'!$B$4:$D$4,0))*1000</f>
        <v>2183688.2395827197</v>
      </c>
      <c r="M179" s="184">
        <f>VLOOKUP(F179,'Annual distance covered (GB)'!$A$8:$H$33,MATCH(J179,'Annual distance covered (GB)'!$A$7:$H$7,0))</f>
        <v>44.5</v>
      </c>
      <c r="N179" s="2">
        <f t="shared" ca="1" si="17"/>
        <v>157875.55718599501</v>
      </c>
      <c r="O179" s="180">
        <f t="shared" ca="1" si="18"/>
        <v>7.2297663340515766E-2</v>
      </c>
      <c r="P179" s="180"/>
      <c r="Q179" s="185"/>
      <c r="R179" s="186"/>
      <c r="S179" s="180"/>
      <c r="T179" s="180"/>
    </row>
    <row r="180" spans="1:20" x14ac:dyDescent="0.25">
      <c r="A180" t="s">
        <v>244</v>
      </c>
      <c r="B180" t="s">
        <v>237</v>
      </c>
      <c r="C180" t="s">
        <v>238</v>
      </c>
      <c r="D180" t="s">
        <v>258</v>
      </c>
      <c r="E180" t="s">
        <v>229</v>
      </c>
      <c r="F180">
        <v>1995</v>
      </c>
      <c r="G180">
        <v>8.6220000000000003E-4</v>
      </c>
      <c r="H180" t="s">
        <v>240</v>
      </c>
      <c r="I180" t="s">
        <v>241</v>
      </c>
      <c r="J180" t="s">
        <v>188</v>
      </c>
      <c r="K180" s="183">
        <f ca="1">VLOOKUP(F180,
    OFFSET(INDIRECT(ADDRESS(MATCH(J180,'Vehicle numbers'!$A$5:$A$162,0),1,1,1,$L$6)),4,1,COUNTIF('Vehicle numbers'!$A$5:$A$162,J180),4),
    MATCH(K$8,'Vehicle numbers'!$B$4:$D$4,0))*1000</f>
        <v>2122774</v>
      </c>
      <c r="L180" s="183">
        <f ca="1">VLOOKUP(F180,
    OFFSET(INDIRECT(ADDRESS(MATCH(J180,'Vehicle numbers'!$A$5:$A$162,0),1,1,1,$L$6)),4,1,COUNTIF('Vehicle numbers'!$A$5:$A$162,J180),4),
    MATCH(L$8,'Vehicle numbers'!$B$4:$D$4,0))*1000</f>
        <v>2183688.2395827197</v>
      </c>
      <c r="M180" s="184">
        <f>VLOOKUP(F180,'Annual distance covered (GB)'!$A$8:$H$33,MATCH(J180,'Annual distance covered (GB)'!$A$7:$H$7,0))</f>
        <v>44.5</v>
      </c>
      <c r="N180" s="2">
        <f t="shared" ca="1" si="17"/>
        <v>39468.889296498754</v>
      </c>
      <c r="O180" s="180">
        <f t="shared" ca="1" si="18"/>
        <v>1.8074415835128942E-2</v>
      </c>
      <c r="P180" s="180"/>
      <c r="Q180" s="185"/>
      <c r="R180" s="186"/>
      <c r="S180" s="180"/>
      <c r="T180" s="180"/>
    </row>
    <row r="181" spans="1:20" x14ac:dyDescent="0.25">
      <c r="A181" t="s">
        <v>246</v>
      </c>
      <c r="B181" t="s">
        <v>237</v>
      </c>
      <c r="C181" t="s">
        <v>238</v>
      </c>
      <c r="D181" t="s">
        <v>258</v>
      </c>
      <c r="E181" t="s">
        <v>229</v>
      </c>
      <c r="F181">
        <v>1995</v>
      </c>
      <c r="G181">
        <v>6.8975999999999998E-4</v>
      </c>
      <c r="H181" t="s">
        <v>240</v>
      </c>
      <c r="I181" t="s">
        <v>241</v>
      </c>
      <c r="J181" t="s">
        <v>188</v>
      </c>
      <c r="K181" s="183">
        <f ca="1">VLOOKUP(F181,
    OFFSET(INDIRECT(ADDRESS(MATCH(J181,'Vehicle numbers'!$A$5:$A$162,0),1,1,1,$L$6)),4,1,COUNTIF('Vehicle numbers'!$A$5:$A$162,J181),4),
    MATCH(K$8,'Vehicle numbers'!$B$4:$D$4,0))*1000</f>
        <v>2122774</v>
      </c>
      <c r="L181" s="183">
        <f ca="1">VLOOKUP(F181,
    OFFSET(INDIRECT(ADDRESS(MATCH(J181,'Vehicle numbers'!$A$5:$A$162,0),1,1,1,$L$6)),4,1,COUNTIF('Vehicle numbers'!$A$5:$A$162,J181),4),
    MATCH(L$8,'Vehicle numbers'!$B$4:$D$4,0))*1000</f>
        <v>2183688.2395827197</v>
      </c>
      <c r="M181" s="184">
        <f>VLOOKUP(F181,'Annual distance covered (GB)'!$A$8:$H$33,MATCH(J181,'Annual distance covered (GB)'!$A$7:$H$7,0))</f>
        <v>44.5</v>
      </c>
      <c r="N181" s="2">
        <f t="shared" ca="1" si="17"/>
        <v>31575.111437199001</v>
      </c>
      <c r="O181" s="180">
        <f t="shared" ca="1" si="18"/>
        <v>1.4459532668103153E-2</v>
      </c>
      <c r="P181" s="180"/>
      <c r="Q181" s="185"/>
      <c r="R181" s="186"/>
      <c r="S181" s="180"/>
      <c r="T181" s="180"/>
    </row>
    <row r="182" spans="1:20" x14ac:dyDescent="0.25">
      <c r="A182" t="s">
        <v>236</v>
      </c>
      <c r="B182" t="s">
        <v>237</v>
      </c>
      <c r="C182" t="s">
        <v>238</v>
      </c>
      <c r="D182" t="s">
        <v>258</v>
      </c>
      <c r="E182" t="s">
        <v>228</v>
      </c>
      <c r="F182">
        <v>1995</v>
      </c>
      <c r="G182">
        <v>1.0741000000000001E-2</v>
      </c>
      <c r="H182" t="s">
        <v>240</v>
      </c>
      <c r="I182" t="s">
        <v>241</v>
      </c>
      <c r="J182" t="s">
        <v>188</v>
      </c>
      <c r="K182" s="183">
        <f ca="1">VLOOKUP(F182,
    OFFSET(INDIRECT(ADDRESS(MATCH(J182,'Vehicle numbers'!$A$5:$A$162,0),1,1,1,$L$6)),4,1,COUNTIF('Vehicle numbers'!$A$5:$A$162,J182),4),
    MATCH(K$8,'Vehicle numbers'!$B$4:$D$4,0))*1000</f>
        <v>2122774</v>
      </c>
      <c r="L182" s="183">
        <f ca="1">VLOOKUP(F182,
    OFFSET(INDIRECT(ADDRESS(MATCH(J182,'Vehicle numbers'!$A$5:$A$162,0),1,1,1,$L$6)),4,1,COUNTIF('Vehicle numbers'!$A$5:$A$162,J182),4),
    MATCH(L$8,'Vehicle numbers'!$B$4:$D$4,0))*1000</f>
        <v>2183688.2395827197</v>
      </c>
      <c r="M182" s="184">
        <f>VLOOKUP(F182,'Annual distance covered (GB)'!$A$8:$H$33,MATCH(J182,'Annual distance covered (GB)'!$A$7:$H$7,0))</f>
        <v>44.5</v>
      </c>
      <c r="N182" s="2">
        <f t="shared" ca="1" si="17"/>
        <v>491690.25740395859</v>
      </c>
      <c r="O182" s="180">
        <f t="shared" ca="1" si="18"/>
        <v>0.22516504347613078</v>
      </c>
      <c r="P182" s="180"/>
      <c r="Q182" s="185"/>
      <c r="R182" s="187"/>
      <c r="S182" s="180"/>
      <c r="T182" s="180"/>
    </row>
    <row r="183" spans="1:20" x14ac:dyDescent="0.25">
      <c r="A183" t="s">
        <v>243</v>
      </c>
      <c r="B183" t="s">
        <v>237</v>
      </c>
      <c r="C183" t="s">
        <v>238</v>
      </c>
      <c r="D183" t="s">
        <v>258</v>
      </c>
      <c r="E183" t="s">
        <v>228</v>
      </c>
      <c r="F183">
        <v>1995</v>
      </c>
      <c r="G183">
        <v>7.5186999999999997E-3</v>
      </c>
      <c r="H183" t="s">
        <v>240</v>
      </c>
      <c r="I183" t="s">
        <v>241</v>
      </c>
      <c r="J183" t="s">
        <v>188</v>
      </c>
      <c r="K183" s="183">
        <f ca="1">VLOOKUP(F183,
    OFFSET(INDIRECT(ADDRESS(MATCH(J183,'Vehicle numbers'!$A$5:$A$162,0),1,1,1,$L$6)),4,1,COUNTIF('Vehicle numbers'!$A$5:$A$162,J183),4),
    MATCH(K$8,'Vehicle numbers'!$B$4:$D$4,0))*1000</f>
        <v>2122774</v>
      </c>
      <c r="L183" s="183">
        <f ca="1">VLOOKUP(F183,
    OFFSET(INDIRECT(ADDRESS(MATCH(J183,'Vehicle numbers'!$A$5:$A$162,0),1,1,1,$L$6)),4,1,COUNTIF('Vehicle numbers'!$A$5:$A$162,J183),4),
    MATCH(L$8,'Vehicle numbers'!$B$4:$D$4,0))*1000</f>
        <v>2183688.2395827197</v>
      </c>
      <c r="M183" s="184">
        <f>VLOOKUP(F183,'Annual distance covered (GB)'!$A$8:$H$33,MATCH(J183,'Annual distance covered (GB)'!$A$7:$H$7,0))</f>
        <v>44.5</v>
      </c>
      <c r="N183" s="2">
        <f t="shared" ca="1" si="17"/>
        <v>344183.18018277094</v>
      </c>
      <c r="O183" s="180">
        <f t="shared" ca="1" si="18"/>
        <v>0.15761553043329152</v>
      </c>
      <c r="P183" s="180"/>
      <c r="Q183" s="185"/>
      <c r="R183" s="186"/>
      <c r="S183" s="180"/>
      <c r="T183" s="180"/>
    </row>
    <row r="184" spans="1:20" x14ac:dyDescent="0.25">
      <c r="A184" t="s">
        <v>244</v>
      </c>
      <c r="B184" t="s">
        <v>237</v>
      </c>
      <c r="C184" t="s">
        <v>238</v>
      </c>
      <c r="D184" t="s">
        <v>258</v>
      </c>
      <c r="E184" t="s">
        <v>228</v>
      </c>
      <c r="F184">
        <v>1995</v>
      </c>
      <c r="G184">
        <v>1.05897183098591E-3</v>
      </c>
      <c r="H184" t="s">
        <v>240</v>
      </c>
      <c r="I184" t="s">
        <v>241</v>
      </c>
      <c r="J184" t="s">
        <v>188</v>
      </c>
      <c r="K184" s="183">
        <f ca="1">VLOOKUP(F184,
    OFFSET(INDIRECT(ADDRESS(MATCH(J184,'Vehicle numbers'!$A$5:$A$162,0),1,1,1,$L$6)),4,1,COUNTIF('Vehicle numbers'!$A$5:$A$162,J184),4),
    MATCH(K$8,'Vehicle numbers'!$B$4:$D$4,0))*1000</f>
        <v>2122774</v>
      </c>
      <c r="L184" s="183">
        <f ca="1">VLOOKUP(F184,
    OFFSET(INDIRECT(ADDRESS(MATCH(J184,'Vehicle numbers'!$A$5:$A$162,0),1,1,1,$L$6)),4,1,COUNTIF('Vehicle numbers'!$A$5:$A$162,J184),4),
    MATCH(L$8,'Vehicle numbers'!$B$4:$D$4,0))*1000</f>
        <v>2183688.2395827197</v>
      </c>
      <c r="M184" s="184">
        <f>VLOOKUP(F184,'Annual distance covered (GB)'!$A$8:$H$33,MATCH(J184,'Annual distance covered (GB)'!$A$7:$H$7,0))</f>
        <v>44.5</v>
      </c>
      <c r="N184" s="2">
        <f t="shared" ca="1" si="17"/>
        <v>48476.504251094251</v>
      </c>
      <c r="O184" s="180">
        <f t="shared" ca="1" si="18"/>
        <v>2.2199370483562072E-2</v>
      </c>
      <c r="P184" s="180"/>
      <c r="Q184" s="185"/>
      <c r="R184" s="186"/>
      <c r="S184" s="180"/>
      <c r="T184" s="180"/>
    </row>
    <row r="185" spans="1:20" x14ac:dyDescent="0.25">
      <c r="A185" t="s">
        <v>246</v>
      </c>
      <c r="B185" t="s">
        <v>237</v>
      </c>
      <c r="C185" t="s">
        <v>238</v>
      </c>
      <c r="D185" t="s">
        <v>258</v>
      </c>
      <c r="E185" t="s">
        <v>228</v>
      </c>
      <c r="F185">
        <v>1995</v>
      </c>
      <c r="G185">
        <v>8.47177464788731E-4</v>
      </c>
      <c r="H185" t="s">
        <v>240</v>
      </c>
      <c r="I185" t="s">
        <v>241</v>
      </c>
      <c r="J185" t="s">
        <v>188</v>
      </c>
      <c r="K185" s="183">
        <f ca="1">VLOOKUP(F185,
    OFFSET(INDIRECT(ADDRESS(MATCH(J185,'Vehicle numbers'!$A$5:$A$162,0),1,1,1,$L$6)),4,1,COUNTIF('Vehicle numbers'!$A$5:$A$162,J185),4),
    MATCH(K$8,'Vehicle numbers'!$B$4:$D$4,0))*1000</f>
        <v>2122774</v>
      </c>
      <c r="L185" s="183">
        <f ca="1">VLOOKUP(F185,
    OFFSET(INDIRECT(ADDRESS(MATCH(J185,'Vehicle numbers'!$A$5:$A$162,0),1,1,1,$L$6)),4,1,COUNTIF('Vehicle numbers'!$A$5:$A$162,J185),4),
    MATCH(L$8,'Vehicle numbers'!$B$4:$D$4,0))*1000</f>
        <v>2183688.2395827197</v>
      </c>
      <c r="M185" s="184">
        <f>VLOOKUP(F185,'Annual distance covered (GB)'!$A$8:$H$33,MATCH(J185,'Annual distance covered (GB)'!$A$7:$H$7,0))</f>
        <v>44.5</v>
      </c>
      <c r="N185" s="2">
        <f t="shared" ca="1" si="17"/>
        <v>38781.203400875544</v>
      </c>
      <c r="O185" s="180">
        <f t="shared" ca="1" si="18"/>
        <v>1.7759496386849722E-2</v>
      </c>
      <c r="P185" s="180"/>
      <c r="Q185" s="185"/>
      <c r="R185" s="187"/>
      <c r="S185" s="180"/>
      <c r="T185" s="180"/>
    </row>
    <row r="186" spans="1:20" x14ac:dyDescent="0.25">
      <c r="A186" t="s">
        <v>236</v>
      </c>
      <c r="B186" t="s">
        <v>237</v>
      </c>
      <c r="C186" t="s">
        <v>238</v>
      </c>
      <c r="D186" t="s">
        <v>259</v>
      </c>
      <c r="E186" t="s">
        <v>229</v>
      </c>
      <c r="F186">
        <v>1995</v>
      </c>
      <c r="G186">
        <v>1.8218999999999999E-2</v>
      </c>
      <c r="H186" t="s">
        <v>240</v>
      </c>
      <c r="I186" t="s">
        <v>241</v>
      </c>
      <c r="J186" t="s">
        <v>188</v>
      </c>
      <c r="K186" s="183">
        <f ca="1">VLOOKUP(F186,
    OFFSET(INDIRECT(ADDRESS(MATCH(J186,'Vehicle numbers'!$A$5:$A$162,0),1,1,1,$L$6)),4,1,COUNTIF('Vehicle numbers'!$A$5:$A$162,J186),4),
    MATCH(K$8,'Vehicle numbers'!$B$4:$D$4,0))*1000</f>
        <v>2122774</v>
      </c>
      <c r="L186" s="183">
        <f ca="1">VLOOKUP(F186,
    OFFSET(INDIRECT(ADDRESS(MATCH(J186,'Vehicle numbers'!$A$5:$A$162,0),1,1,1,$L$6)),4,1,COUNTIF('Vehicle numbers'!$A$5:$A$162,J186),4),
    MATCH(L$8,'Vehicle numbers'!$B$4:$D$4,0))*1000</f>
        <v>2183688.2395827197</v>
      </c>
      <c r="M186" s="184">
        <f>VLOOKUP(F186,'Annual distance covered (GB)'!$A$8:$H$33,MATCH(J186,'Annual distance covered (GB)'!$A$7:$H$7,0))</f>
        <v>44.5</v>
      </c>
      <c r="N186" s="2">
        <f t="shared" ca="1" si="17"/>
        <v>834010.31557980832</v>
      </c>
      <c r="O186" s="180">
        <f t="shared" ca="1" si="18"/>
        <v>0.38192737427535861</v>
      </c>
      <c r="P186" s="180"/>
      <c r="Q186" s="185"/>
      <c r="R186" s="188"/>
      <c r="S186" s="180"/>
      <c r="T186" s="180"/>
    </row>
    <row r="187" spans="1:20" x14ac:dyDescent="0.25">
      <c r="A187" t="s">
        <v>243</v>
      </c>
      <c r="B187" t="s">
        <v>237</v>
      </c>
      <c r="C187" t="s">
        <v>238</v>
      </c>
      <c r="D187" t="s">
        <v>259</v>
      </c>
      <c r="E187" t="s">
        <v>229</v>
      </c>
      <c r="F187">
        <v>1995</v>
      </c>
      <c r="G187">
        <v>7.2876E-3</v>
      </c>
      <c r="H187" t="s">
        <v>240</v>
      </c>
      <c r="I187" t="s">
        <v>241</v>
      </c>
      <c r="J187" t="s">
        <v>188</v>
      </c>
      <c r="K187" s="183">
        <f ca="1">VLOOKUP(F187,
    OFFSET(INDIRECT(ADDRESS(MATCH(J187,'Vehicle numbers'!$A$5:$A$162,0),1,1,1,$L$6)),4,1,COUNTIF('Vehicle numbers'!$A$5:$A$162,J187),4),
    MATCH(K$8,'Vehicle numbers'!$B$4:$D$4,0))*1000</f>
        <v>2122774</v>
      </c>
      <c r="L187" s="183">
        <f ca="1">VLOOKUP(F187,
    OFFSET(INDIRECT(ADDRESS(MATCH(J187,'Vehicle numbers'!$A$5:$A$162,0),1,1,1,$L$6)),4,1,COUNTIF('Vehicle numbers'!$A$5:$A$162,J187),4),
    MATCH(L$8,'Vehicle numbers'!$B$4:$D$4,0))*1000</f>
        <v>2183688.2395827197</v>
      </c>
      <c r="M187" s="184">
        <f>VLOOKUP(F187,'Annual distance covered (GB)'!$A$8:$H$33,MATCH(J187,'Annual distance covered (GB)'!$A$7:$H$7,0))</f>
        <v>44.5</v>
      </c>
      <c r="N187" s="2">
        <f t="shared" ca="1" si="17"/>
        <v>333604.12623192329</v>
      </c>
      <c r="O187" s="180">
        <f t="shared" ca="1" si="18"/>
        <v>0.15277094971014341</v>
      </c>
      <c r="P187" s="180"/>
      <c r="Q187" s="185"/>
      <c r="R187" s="186"/>
      <c r="S187" s="180"/>
      <c r="T187" s="180"/>
    </row>
    <row r="188" spans="1:20" x14ac:dyDescent="0.25">
      <c r="A188" t="s">
        <v>244</v>
      </c>
      <c r="B188" t="s">
        <v>237</v>
      </c>
      <c r="C188" t="s">
        <v>238</v>
      </c>
      <c r="D188" t="s">
        <v>259</v>
      </c>
      <c r="E188" t="s">
        <v>229</v>
      </c>
      <c r="F188">
        <v>1995</v>
      </c>
      <c r="G188">
        <v>1.8219E-3</v>
      </c>
      <c r="H188" t="s">
        <v>240</v>
      </c>
      <c r="I188" t="s">
        <v>241</v>
      </c>
      <c r="J188" t="s">
        <v>188</v>
      </c>
      <c r="K188" s="183">
        <f ca="1">VLOOKUP(F188,
    OFFSET(INDIRECT(ADDRESS(MATCH(J188,'Vehicle numbers'!$A$5:$A$162,0),1,1,1,$L$6)),4,1,COUNTIF('Vehicle numbers'!$A$5:$A$162,J188),4),
    MATCH(K$8,'Vehicle numbers'!$B$4:$D$4,0))*1000</f>
        <v>2122774</v>
      </c>
      <c r="L188" s="183">
        <f ca="1">VLOOKUP(F188,
    OFFSET(INDIRECT(ADDRESS(MATCH(J188,'Vehicle numbers'!$A$5:$A$162,0),1,1,1,$L$6)),4,1,COUNTIF('Vehicle numbers'!$A$5:$A$162,J188),4),
    MATCH(L$8,'Vehicle numbers'!$B$4:$D$4,0))*1000</f>
        <v>2183688.2395827197</v>
      </c>
      <c r="M188" s="184">
        <f>VLOOKUP(F188,'Annual distance covered (GB)'!$A$8:$H$33,MATCH(J188,'Annual distance covered (GB)'!$A$7:$H$7,0))</f>
        <v>44.5</v>
      </c>
      <c r="N188" s="2">
        <f t="shared" ca="1" si="17"/>
        <v>83401.031557980823</v>
      </c>
      <c r="O188" s="180">
        <f t="shared" ca="1" si="18"/>
        <v>3.8192737427535851E-2</v>
      </c>
      <c r="P188" s="180"/>
      <c r="Q188" s="185"/>
      <c r="R188" s="186"/>
      <c r="S188" s="180"/>
      <c r="T188" s="180"/>
    </row>
    <row r="189" spans="1:20" x14ac:dyDescent="0.25">
      <c r="A189" t="s">
        <v>246</v>
      </c>
      <c r="B189" t="s">
        <v>237</v>
      </c>
      <c r="C189" t="s">
        <v>238</v>
      </c>
      <c r="D189" t="s">
        <v>259</v>
      </c>
      <c r="E189" t="s">
        <v>229</v>
      </c>
      <c r="F189">
        <v>1995</v>
      </c>
      <c r="G189">
        <v>1.4575199999999999E-3</v>
      </c>
      <c r="H189" t="s">
        <v>240</v>
      </c>
      <c r="I189" t="s">
        <v>241</v>
      </c>
      <c r="J189" t="s">
        <v>188</v>
      </c>
      <c r="K189" s="183">
        <f ca="1">VLOOKUP(F189,
    OFFSET(INDIRECT(ADDRESS(MATCH(J189,'Vehicle numbers'!$A$5:$A$162,0),1,1,1,$L$6)),4,1,COUNTIF('Vehicle numbers'!$A$5:$A$162,J189),4),
    MATCH(K$8,'Vehicle numbers'!$B$4:$D$4,0))*1000</f>
        <v>2122774</v>
      </c>
      <c r="L189" s="183">
        <f ca="1">VLOOKUP(F189,
    OFFSET(INDIRECT(ADDRESS(MATCH(J189,'Vehicle numbers'!$A$5:$A$162,0),1,1,1,$L$6)),4,1,COUNTIF('Vehicle numbers'!$A$5:$A$162,J189),4),
    MATCH(L$8,'Vehicle numbers'!$B$4:$D$4,0))*1000</f>
        <v>2183688.2395827197</v>
      </c>
      <c r="M189" s="184">
        <f>VLOOKUP(F189,'Annual distance covered (GB)'!$A$8:$H$33,MATCH(J189,'Annual distance covered (GB)'!$A$7:$H$7,0))</f>
        <v>44.5</v>
      </c>
      <c r="N189" s="2">
        <f t="shared" ca="1" si="17"/>
        <v>66720.825246384658</v>
      </c>
      <c r="O189" s="180">
        <f t="shared" ca="1" si="18"/>
        <v>3.0554189942028683E-2</v>
      </c>
      <c r="P189" s="180"/>
      <c r="Q189" s="185"/>
      <c r="R189" s="186"/>
      <c r="S189" s="180"/>
      <c r="T189" s="180"/>
    </row>
    <row r="190" spans="1:20" x14ac:dyDescent="0.25">
      <c r="A190" t="s">
        <v>236</v>
      </c>
      <c r="B190" t="s">
        <v>237</v>
      </c>
      <c r="C190" t="s">
        <v>238</v>
      </c>
      <c r="D190" t="s">
        <v>259</v>
      </c>
      <c r="E190" t="s">
        <v>228</v>
      </c>
      <c r="F190">
        <v>1995</v>
      </c>
      <c r="G190">
        <v>1.3802E-2</v>
      </c>
      <c r="H190" t="s">
        <v>240</v>
      </c>
      <c r="I190" t="s">
        <v>241</v>
      </c>
      <c r="J190" t="s">
        <v>188</v>
      </c>
      <c r="K190" s="183">
        <f ca="1">VLOOKUP(F190,
    OFFSET(INDIRECT(ADDRESS(MATCH(J190,'Vehicle numbers'!$A$5:$A$162,0),1,1,1,$L$6)),4,1,COUNTIF('Vehicle numbers'!$A$5:$A$162,J190),4),
    MATCH(K$8,'Vehicle numbers'!$B$4:$D$4,0))*1000</f>
        <v>2122774</v>
      </c>
      <c r="L190" s="183">
        <f ca="1">VLOOKUP(F190,
    OFFSET(INDIRECT(ADDRESS(MATCH(J190,'Vehicle numbers'!$A$5:$A$162,0),1,1,1,$L$6)),4,1,COUNTIF('Vehicle numbers'!$A$5:$A$162,J190),4),
    MATCH(L$8,'Vehicle numbers'!$B$4:$D$4,0))*1000</f>
        <v>2183688.2395827197</v>
      </c>
      <c r="M190" s="184">
        <f>VLOOKUP(F190,'Annual distance covered (GB)'!$A$8:$H$33,MATCH(J190,'Annual distance covered (GB)'!$A$7:$H$7,0))</f>
        <v>44.5</v>
      </c>
      <c r="N190" s="2">
        <f t="shared" ca="1" si="17"/>
        <v>631813.5120276917</v>
      </c>
      <c r="O190" s="180">
        <f t="shared" ca="1" si="18"/>
        <v>0.28933320268667323</v>
      </c>
      <c r="P190" s="180"/>
      <c r="Q190" s="185"/>
      <c r="R190" s="186"/>
      <c r="S190" s="180"/>
      <c r="T190" s="180"/>
    </row>
    <row r="191" spans="1:20" x14ac:dyDescent="0.25">
      <c r="A191" t="s">
        <v>243</v>
      </c>
      <c r="B191" t="s">
        <v>237</v>
      </c>
      <c r="C191" t="s">
        <v>238</v>
      </c>
      <c r="D191" t="s">
        <v>259</v>
      </c>
      <c r="E191" t="s">
        <v>228</v>
      </c>
      <c r="F191">
        <v>1995</v>
      </c>
      <c r="G191">
        <v>9.6614000000000005E-3</v>
      </c>
      <c r="H191" t="s">
        <v>240</v>
      </c>
      <c r="I191" t="s">
        <v>241</v>
      </c>
      <c r="J191" t="s">
        <v>188</v>
      </c>
      <c r="K191" s="183">
        <f ca="1">VLOOKUP(F191,
    OFFSET(INDIRECT(ADDRESS(MATCH(J191,'Vehicle numbers'!$A$5:$A$162,0),1,1,1,$L$6)),4,1,COUNTIF('Vehicle numbers'!$A$5:$A$162,J191),4),
    MATCH(K$8,'Vehicle numbers'!$B$4:$D$4,0))*1000</f>
        <v>2122774</v>
      </c>
      <c r="L191" s="183">
        <f ca="1">VLOOKUP(F191,
    OFFSET(INDIRECT(ADDRESS(MATCH(J191,'Vehicle numbers'!$A$5:$A$162,0),1,1,1,$L$6)),4,1,COUNTIF('Vehicle numbers'!$A$5:$A$162,J191),4),
    MATCH(L$8,'Vehicle numbers'!$B$4:$D$4,0))*1000</f>
        <v>2183688.2395827197</v>
      </c>
      <c r="M191" s="184">
        <f>VLOOKUP(F191,'Annual distance covered (GB)'!$A$8:$H$33,MATCH(J191,'Annual distance covered (GB)'!$A$7:$H$7,0))</f>
        <v>44.5</v>
      </c>
      <c r="N191" s="2">
        <f t="shared" ca="1" si="17"/>
        <v>442269.4584193842</v>
      </c>
      <c r="O191" s="180">
        <f t="shared" ca="1" si="18"/>
        <v>0.20253324188067126</v>
      </c>
      <c r="P191" s="180"/>
      <c r="Q191" s="185"/>
      <c r="R191" s="187"/>
      <c r="S191" s="180"/>
      <c r="T191" s="180"/>
    </row>
    <row r="192" spans="1:20" x14ac:dyDescent="0.25">
      <c r="A192" t="s">
        <v>244</v>
      </c>
      <c r="B192" t="s">
        <v>237</v>
      </c>
      <c r="C192" t="s">
        <v>238</v>
      </c>
      <c r="D192" t="s">
        <v>259</v>
      </c>
      <c r="E192" t="s">
        <v>228</v>
      </c>
      <c r="F192">
        <v>1995</v>
      </c>
      <c r="G192">
        <v>1.3607605633802801E-3</v>
      </c>
      <c r="H192" t="s">
        <v>240</v>
      </c>
      <c r="I192" t="s">
        <v>241</v>
      </c>
      <c r="J192" t="s">
        <v>188</v>
      </c>
      <c r="K192" s="183">
        <f ca="1">VLOOKUP(F192,
    OFFSET(INDIRECT(ADDRESS(MATCH(J192,'Vehicle numbers'!$A$5:$A$162,0),1,1,1,$L$6)),4,1,COUNTIF('Vehicle numbers'!$A$5:$A$162,J192),4),
    MATCH(K$8,'Vehicle numbers'!$B$4:$D$4,0))*1000</f>
        <v>2122774</v>
      </c>
      <c r="L192" s="183">
        <f ca="1">VLOOKUP(F192,
    OFFSET(INDIRECT(ADDRESS(MATCH(J192,'Vehicle numbers'!$A$5:$A$162,0),1,1,1,$L$6)),4,1,COUNTIF('Vehicle numbers'!$A$5:$A$162,J192),4),
    MATCH(L$8,'Vehicle numbers'!$B$4:$D$4,0))*1000</f>
        <v>2183688.2395827197</v>
      </c>
      <c r="M192" s="184">
        <f>VLOOKUP(F192,'Annual distance covered (GB)'!$A$8:$H$33,MATCH(J192,'Annual distance covered (GB)'!$A$7:$H$7,0))</f>
        <v>44.5</v>
      </c>
      <c r="N192" s="2">
        <f t="shared" ca="1" si="17"/>
        <v>62291.473016814591</v>
      </c>
      <c r="O192" s="180">
        <f t="shared" ca="1" si="18"/>
        <v>2.8525808715587464E-2</v>
      </c>
      <c r="P192" s="180"/>
      <c r="Q192" s="185"/>
      <c r="R192" s="188"/>
      <c r="S192" s="180"/>
      <c r="T192" s="180"/>
    </row>
    <row r="193" spans="1:20" x14ac:dyDescent="0.25">
      <c r="A193" t="s">
        <v>246</v>
      </c>
      <c r="B193" t="s">
        <v>237</v>
      </c>
      <c r="C193" t="s">
        <v>238</v>
      </c>
      <c r="D193" t="s">
        <v>259</v>
      </c>
      <c r="E193" t="s">
        <v>228</v>
      </c>
      <c r="F193">
        <v>1995</v>
      </c>
      <c r="G193">
        <v>1.0886084507042201E-3</v>
      </c>
      <c r="H193" t="s">
        <v>240</v>
      </c>
      <c r="I193" t="s">
        <v>241</v>
      </c>
      <c r="J193" t="s">
        <v>188</v>
      </c>
      <c r="K193" s="183">
        <f ca="1">VLOOKUP(F193,
    OFFSET(INDIRECT(ADDRESS(MATCH(J193,'Vehicle numbers'!$A$5:$A$162,0),1,1,1,$L$6)),4,1,COUNTIF('Vehicle numbers'!$A$5:$A$162,J193),4),
    MATCH(K$8,'Vehicle numbers'!$B$4:$D$4,0))*1000</f>
        <v>2122774</v>
      </c>
      <c r="L193" s="183">
        <f ca="1">VLOOKUP(F193,
    OFFSET(INDIRECT(ADDRESS(MATCH(J193,'Vehicle numbers'!$A$5:$A$162,0),1,1,1,$L$6)),4,1,COUNTIF('Vehicle numbers'!$A$5:$A$162,J193),4),
    MATCH(L$8,'Vehicle numbers'!$B$4:$D$4,0))*1000</f>
        <v>2183688.2395827197</v>
      </c>
      <c r="M193" s="184">
        <f>VLOOKUP(F193,'Annual distance covered (GB)'!$A$8:$H$33,MATCH(J193,'Annual distance covered (GB)'!$A$7:$H$7,0))</f>
        <v>44.5</v>
      </c>
      <c r="N193" s="2">
        <f t="shared" ca="1" si="17"/>
        <v>49833.178413451496</v>
      </c>
      <c r="O193" s="180">
        <f t="shared" ca="1" si="18"/>
        <v>2.2820646972469889E-2</v>
      </c>
      <c r="P193" s="180"/>
      <c r="Q193" s="185"/>
      <c r="R193" s="186"/>
      <c r="S193" s="180"/>
      <c r="T193" s="180"/>
    </row>
    <row r="194" spans="1:20" x14ac:dyDescent="0.25">
      <c r="A194" t="s">
        <v>236</v>
      </c>
      <c r="B194" t="s">
        <v>237</v>
      </c>
      <c r="C194" t="s">
        <v>238</v>
      </c>
      <c r="D194" t="s">
        <v>260</v>
      </c>
      <c r="E194" t="s">
        <v>229</v>
      </c>
      <c r="F194">
        <v>1995</v>
      </c>
      <c r="G194">
        <v>5.8399999999999997E-3</v>
      </c>
      <c r="H194" t="s">
        <v>240</v>
      </c>
      <c r="I194" t="s">
        <v>241</v>
      </c>
      <c r="J194" t="s">
        <v>3</v>
      </c>
      <c r="K194" s="183">
        <f ca="1">VLOOKUP(F194,
    OFFSET(INDIRECT(ADDRESS(MATCH(J194,'Vehicle numbers'!$A$5:$A$162,0),1,1,1,$L$6)),4,1,COUNTIF('Vehicle numbers'!$A$5:$A$162,J194),4),
    MATCH(K$8,'Vehicle numbers'!$B$4:$D$4,0))*1000</f>
        <v>702493</v>
      </c>
      <c r="L194" s="183">
        <f ca="1">VLOOKUP(F194,
    OFFSET(INDIRECT(ADDRESS(MATCH(J194,'Vehicle numbers'!$A$5:$A$162,0),1,1,1,$L$6)),4,1,COUNTIF('Vehicle numbers'!$A$5:$A$162,J194),4),
    MATCH(L$8,'Vehicle numbers'!$B$4:$D$4,0))*1000</f>
        <v>715402.13747296715</v>
      </c>
      <c r="M194" s="184">
        <f>VLOOKUP(F194,'Annual distance covered (GB)'!$A$8:$H$33,MATCH(J194,'Annual distance covered (GB)'!$A$7:$H$7,0))</f>
        <v>3.7</v>
      </c>
      <c r="N194" s="2">
        <f t="shared" ca="1" si="17"/>
        <v>22005.072486865884</v>
      </c>
      <c r="O194" s="180">
        <f t="shared" ca="1" si="18"/>
        <v>3.0759025356836299E-2</v>
      </c>
      <c r="P194" s="180"/>
      <c r="Q194" s="185"/>
      <c r="R194" s="186"/>
      <c r="S194" s="180"/>
      <c r="T194" s="180"/>
    </row>
    <row r="195" spans="1:20" x14ac:dyDescent="0.25">
      <c r="A195" t="s">
        <v>243</v>
      </c>
      <c r="B195" t="s">
        <v>237</v>
      </c>
      <c r="C195" t="s">
        <v>238</v>
      </c>
      <c r="D195" t="s">
        <v>260</v>
      </c>
      <c r="E195" t="s">
        <v>229</v>
      </c>
      <c r="F195">
        <v>1995</v>
      </c>
      <c r="G195">
        <v>2.336E-3</v>
      </c>
      <c r="H195" t="s">
        <v>240</v>
      </c>
      <c r="I195" t="s">
        <v>241</v>
      </c>
      <c r="J195" t="s">
        <v>3</v>
      </c>
      <c r="K195" s="183">
        <f ca="1">VLOOKUP(F195,
    OFFSET(INDIRECT(ADDRESS(MATCH(J195,'Vehicle numbers'!$A$5:$A$162,0),1,1,1,$L$6)),4,1,COUNTIF('Vehicle numbers'!$A$5:$A$162,J195),4),
    MATCH(K$8,'Vehicle numbers'!$B$4:$D$4,0))*1000</f>
        <v>702493</v>
      </c>
      <c r="L195" s="183">
        <f ca="1">VLOOKUP(F195,
    OFFSET(INDIRECT(ADDRESS(MATCH(J195,'Vehicle numbers'!$A$5:$A$162,0),1,1,1,$L$6)),4,1,COUNTIF('Vehicle numbers'!$A$5:$A$162,J195),4),
    MATCH(L$8,'Vehicle numbers'!$B$4:$D$4,0))*1000</f>
        <v>715402.13747296715</v>
      </c>
      <c r="M195" s="184">
        <f>VLOOKUP(F195,'Annual distance covered (GB)'!$A$8:$H$33,MATCH(J195,'Annual distance covered (GB)'!$A$7:$H$7,0))</f>
        <v>3.7</v>
      </c>
      <c r="N195" s="2">
        <f t="shared" ca="1" si="17"/>
        <v>8802.0289947463534</v>
      </c>
      <c r="O195" s="180">
        <f t="shared" ca="1" si="18"/>
        <v>1.230361014273452E-2</v>
      </c>
      <c r="P195" s="180"/>
      <c r="Q195" s="185"/>
      <c r="R195" s="186"/>
      <c r="S195" s="180"/>
      <c r="T195" s="180"/>
    </row>
    <row r="196" spans="1:20" x14ac:dyDescent="0.25">
      <c r="A196" t="s">
        <v>244</v>
      </c>
      <c r="B196" t="s">
        <v>237</v>
      </c>
      <c r="C196" t="s">
        <v>238</v>
      </c>
      <c r="D196" t="s">
        <v>260</v>
      </c>
      <c r="E196" t="s">
        <v>229</v>
      </c>
      <c r="F196">
        <v>1995</v>
      </c>
      <c r="G196">
        <v>5.8399999999999999E-4</v>
      </c>
      <c r="H196" t="s">
        <v>240</v>
      </c>
      <c r="I196" t="s">
        <v>241</v>
      </c>
      <c r="J196" t="s">
        <v>3</v>
      </c>
      <c r="K196" s="183">
        <f ca="1">VLOOKUP(F196,
    OFFSET(INDIRECT(ADDRESS(MATCH(J196,'Vehicle numbers'!$A$5:$A$162,0),1,1,1,$L$6)),4,1,COUNTIF('Vehicle numbers'!$A$5:$A$162,J196),4),
    MATCH(K$8,'Vehicle numbers'!$B$4:$D$4,0))*1000</f>
        <v>702493</v>
      </c>
      <c r="L196" s="183">
        <f ca="1">VLOOKUP(F196,
    OFFSET(INDIRECT(ADDRESS(MATCH(J196,'Vehicle numbers'!$A$5:$A$162,0),1,1,1,$L$6)),4,1,COUNTIF('Vehicle numbers'!$A$5:$A$162,J196),4),
    MATCH(L$8,'Vehicle numbers'!$B$4:$D$4,0))*1000</f>
        <v>715402.13747296715</v>
      </c>
      <c r="M196" s="184">
        <f>VLOOKUP(F196,'Annual distance covered (GB)'!$A$8:$H$33,MATCH(J196,'Annual distance covered (GB)'!$A$7:$H$7,0))</f>
        <v>3.7</v>
      </c>
      <c r="N196" s="2">
        <f t="shared" ca="1" si="17"/>
        <v>2200.5072486865884</v>
      </c>
      <c r="O196" s="180">
        <f t="shared" ca="1" si="18"/>
        <v>3.07590253568363E-3</v>
      </c>
      <c r="P196" s="180"/>
      <c r="Q196" s="185"/>
      <c r="R196" s="186"/>
      <c r="S196" s="180"/>
      <c r="T196" s="180"/>
    </row>
    <row r="197" spans="1:20" x14ac:dyDescent="0.25">
      <c r="A197" t="s">
        <v>246</v>
      </c>
      <c r="B197" t="s">
        <v>237</v>
      </c>
      <c r="C197" t="s">
        <v>238</v>
      </c>
      <c r="D197" t="s">
        <v>260</v>
      </c>
      <c r="E197" t="s">
        <v>229</v>
      </c>
      <c r="F197">
        <v>1995</v>
      </c>
      <c r="G197">
        <v>4.6720000000000003E-4</v>
      </c>
      <c r="H197" t="s">
        <v>240</v>
      </c>
      <c r="I197" t="s">
        <v>241</v>
      </c>
      <c r="J197" t="s">
        <v>3</v>
      </c>
      <c r="K197" s="183">
        <f ca="1">VLOOKUP(F197,
    OFFSET(INDIRECT(ADDRESS(MATCH(J197,'Vehicle numbers'!$A$5:$A$162,0),1,1,1,$L$6)),4,1,COUNTIF('Vehicle numbers'!$A$5:$A$162,J197),4),
    MATCH(K$8,'Vehicle numbers'!$B$4:$D$4,0))*1000</f>
        <v>702493</v>
      </c>
      <c r="L197" s="183">
        <f ca="1">VLOOKUP(F197,
    OFFSET(INDIRECT(ADDRESS(MATCH(J197,'Vehicle numbers'!$A$5:$A$162,0),1,1,1,$L$6)),4,1,COUNTIF('Vehicle numbers'!$A$5:$A$162,J197),4),
    MATCH(L$8,'Vehicle numbers'!$B$4:$D$4,0))*1000</f>
        <v>715402.13747296715</v>
      </c>
      <c r="M197" s="184">
        <f>VLOOKUP(F197,'Annual distance covered (GB)'!$A$8:$H$33,MATCH(J197,'Annual distance covered (GB)'!$A$7:$H$7,0))</f>
        <v>3.7</v>
      </c>
      <c r="N197" s="2">
        <f t="shared" ca="1" si="17"/>
        <v>1760.405798949271</v>
      </c>
      <c r="O197" s="180">
        <f t="shared" ca="1" si="18"/>
        <v>2.4607220285469042E-3</v>
      </c>
      <c r="P197" s="180"/>
      <c r="Q197" s="185"/>
      <c r="R197" s="187"/>
      <c r="S197" s="180"/>
      <c r="T197" s="180"/>
    </row>
    <row r="198" spans="1:20" x14ac:dyDescent="0.25">
      <c r="A198" t="s">
        <v>236</v>
      </c>
      <c r="B198" t="s">
        <v>237</v>
      </c>
      <c r="C198" t="s">
        <v>238</v>
      </c>
      <c r="D198" t="s">
        <v>260</v>
      </c>
      <c r="E198" t="s">
        <v>228</v>
      </c>
      <c r="F198">
        <v>1995</v>
      </c>
      <c r="G198">
        <v>3.7569999999999999E-3</v>
      </c>
      <c r="H198" t="s">
        <v>240</v>
      </c>
      <c r="I198" t="s">
        <v>241</v>
      </c>
      <c r="J198" t="s">
        <v>3</v>
      </c>
      <c r="K198" s="183">
        <f ca="1">VLOOKUP(F198,
    OFFSET(INDIRECT(ADDRESS(MATCH(J198,'Vehicle numbers'!$A$5:$A$162,0),1,1,1,$L$6)),4,1,COUNTIF('Vehicle numbers'!$A$5:$A$162,J198),4),
    MATCH(K$8,'Vehicle numbers'!$B$4:$D$4,0))*1000</f>
        <v>702493</v>
      </c>
      <c r="L198" s="183">
        <f ca="1">VLOOKUP(F198,
    OFFSET(INDIRECT(ADDRESS(MATCH(J198,'Vehicle numbers'!$A$5:$A$162,0),1,1,1,$L$6)),4,1,COUNTIF('Vehicle numbers'!$A$5:$A$162,J198),4),
    MATCH(L$8,'Vehicle numbers'!$B$4:$D$4,0))*1000</f>
        <v>715402.13747296715</v>
      </c>
      <c r="M198" s="184">
        <f>VLOOKUP(F198,'Annual distance covered (GB)'!$A$8:$H$33,MATCH(J198,'Annual distance covered (GB)'!$A$7:$H$7,0))</f>
        <v>3.7</v>
      </c>
      <c r="N198" s="2">
        <f t="shared" ca="1" si="17"/>
        <v>14156.345433759439</v>
      </c>
      <c r="O198" s="180">
        <f t="shared" ca="1" si="18"/>
        <v>1.9787955182471572E-2</v>
      </c>
      <c r="P198" s="180"/>
      <c r="Q198" s="185"/>
      <c r="R198" s="186"/>
      <c r="S198" s="180"/>
      <c r="T198" s="180"/>
    </row>
    <row r="199" spans="1:20" x14ac:dyDescent="0.25">
      <c r="A199" t="s">
        <v>243</v>
      </c>
      <c r="B199" t="s">
        <v>237</v>
      </c>
      <c r="C199" t="s">
        <v>238</v>
      </c>
      <c r="D199" t="s">
        <v>260</v>
      </c>
      <c r="E199" t="s">
        <v>228</v>
      </c>
      <c r="F199">
        <v>1995</v>
      </c>
      <c r="G199">
        <v>2.6299000000000001E-3</v>
      </c>
      <c r="H199" t="s">
        <v>240</v>
      </c>
      <c r="I199" t="s">
        <v>241</v>
      </c>
      <c r="J199" t="s">
        <v>3</v>
      </c>
      <c r="K199" s="183">
        <f ca="1">VLOOKUP(F199,
    OFFSET(INDIRECT(ADDRESS(MATCH(J199,'Vehicle numbers'!$A$5:$A$162,0),1,1,1,$L$6)),4,1,COUNTIF('Vehicle numbers'!$A$5:$A$162,J199),4),
    MATCH(K$8,'Vehicle numbers'!$B$4:$D$4,0))*1000</f>
        <v>702493</v>
      </c>
      <c r="L199" s="183">
        <f ca="1">VLOOKUP(F199,
    OFFSET(INDIRECT(ADDRESS(MATCH(J199,'Vehicle numbers'!$A$5:$A$162,0),1,1,1,$L$6)),4,1,COUNTIF('Vehicle numbers'!$A$5:$A$162,J199),4),
    MATCH(L$8,'Vehicle numbers'!$B$4:$D$4,0))*1000</f>
        <v>715402.13747296715</v>
      </c>
      <c r="M199" s="184">
        <f>VLOOKUP(F199,'Annual distance covered (GB)'!$A$8:$H$33,MATCH(J199,'Annual distance covered (GB)'!$A$7:$H$7,0))</f>
        <v>3.7</v>
      </c>
      <c r="N199" s="2">
        <f t="shared" ca="1" si="17"/>
        <v>9909.4418036316074</v>
      </c>
      <c r="O199" s="180">
        <f t="shared" ca="1" si="18"/>
        <v>1.3851568627730099E-2</v>
      </c>
      <c r="P199" s="180"/>
      <c r="Q199" s="185"/>
      <c r="R199" s="186"/>
      <c r="S199" s="180"/>
      <c r="T199" s="180"/>
    </row>
    <row r="200" spans="1:20" x14ac:dyDescent="0.25">
      <c r="A200" t="s">
        <v>244</v>
      </c>
      <c r="B200" t="s">
        <v>237</v>
      </c>
      <c r="C200" t="s">
        <v>238</v>
      </c>
      <c r="D200" t="s">
        <v>260</v>
      </c>
      <c r="E200" t="s">
        <v>228</v>
      </c>
      <c r="F200">
        <v>1995</v>
      </c>
      <c r="G200">
        <v>3.7040845070422499E-4</v>
      </c>
      <c r="H200" t="s">
        <v>240</v>
      </c>
      <c r="I200" t="s">
        <v>241</v>
      </c>
      <c r="J200" t="s">
        <v>3</v>
      </c>
      <c r="K200" s="183">
        <f ca="1">VLOOKUP(F200,
    OFFSET(INDIRECT(ADDRESS(MATCH(J200,'Vehicle numbers'!$A$5:$A$162,0),1,1,1,$L$6)),4,1,COUNTIF('Vehicle numbers'!$A$5:$A$162,J200),4),
    MATCH(K$8,'Vehicle numbers'!$B$4:$D$4,0))*1000</f>
        <v>702493</v>
      </c>
      <c r="L200" s="183">
        <f ca="1">VLOOKUP(F200,
    OFFSET(INDIRECT(ADDRESS(MATCH(J200,'Vehicle numbers'!$A$5:$A$162,0),1,1,1,$L$6)),4,1,COUNTIF('Vehicle numbers'!$A$5:$A$162,J200),4),
    MATCH(L$8,'Vehicle numbers'!$B$4:$D$4,0))*1000</f>
        <v>715402.13747296715</v>
      </c>
      <c r="M200" s="184">
        <f>VLOOKUP(F200,'Annual distance covered (GB)'!$A$8:$H$33,MATCH(J200,'Annual distance covered (GB)'!$A$7:$H$7,0))</f>
        <v>3.7</v>
      </c>
      <c r="N200" s="2">
        <f t="shared" ca="1" si="17"/>
        <v>1395.6960286805067</v>
      </c>
      <c r="O200" s="180">
        <f t="shared" ca="1" si="18"/>
        <v>1.9509251588352235E-3</v>
      </c>
      <c r="P200" s="180"/>
      <c r="Q200" s="185"/>
      <c r="R200" s="187"/>
      <c r="S200" s="180"/>
      <c r="T200" s="180"/>
    </row>
    <row r="201" spans="1:20" x14ac:dyDescent="0.25">
      <c r="A201" t="s">
        <v>246</v>
      </c>
      <c r="B201" t="s">
        <v>237</v>
      </c>
      <c r="C201" t="s">
        <v>238</v>
      </c>
      <c r="D201" t="s">
        <v>260</v>
      </c>
      <c r="E201" t="s">
        <v>228</v>
      </c>
      <c r="F201">
        <v>1995</v>
      </c>
      <c r="G201">
        <v>2.9632676056337998E-4</v>
      </c>
      <c r="H201" t="s">
        <v>240</v>
      </c>
      <c r="I201" t="s">
        <v>241</v>
      </c>
      <c r="J201" t="s">
        <v>3</v>
      </c>
      <c r="K201" s="183">
        <f ca="1">VLOOKUP(F201,
    OFFSET(INDIRECT(ADDRESS(MATCH(J201,'Vehicle numbers'!$A$5:$A$162,0),1,1,1,$L$6)),4,1,COUNTIF('Vehicle numbers'!$A$5:$A$162,J201),4),
    MATCH(K$8,'Vehicle numbers'!$B$4:$D$4,0))*1000</f>
        <v>702493</v>
      </c>
      <c r="L201" s="183">
        <f ca="1">VLOOKUP(F201,
    OFFSET(INDIRECT(ADDRESS(MATCH(J201,'Vehicle numbers'!$A$5:$A$162,0),1,1,1,$L$6)),4,1,COUNTIF('Vehicle numbers'!$A$5:$A$162,J201),4),
    MATCH(L$8,'Vehicle numbers'!$B$4:$D$4,0))*1000</f>
        <v>715402.13747296715</v>
      </c>
      <c r="M201" s="184">
        <f>VLOOKUP(F201,'Annual distance covered (GB)'!$A$8:$H$33,MATCH(J201,'Annual distance covered (GB)'!$A$7:$H$7,0))</f>
        <v>3.7</v>
      </c>
      <c r="N201" s="2">
        <f t="shared" ca="1" si="17"/>
        <v>1116.5568229444052</v>
      </c>
      <c r="O201" s="180">
        <f t="shared" ca="1" si="18"/>
        <v>1.5607401270681784E-3</v>
      </c>
      <c r="P201" s="180"/>
      <c r="Q201" s="185"/>
      <c r="R201" s="188"/>
      <c r="S201" s="180"/>
      <c r="T201" s="180"/>
    </row>
    <row r="202" spans="1:20" x14ac:dyDescent="0.25">
      <c r="A202" t="s">
        <v>236</v>
      </c>
      <c r="B202" t="s">
        <v>237</v>
      </c>
      <c r="C202" t="s">
        <v>238</v>
      </c>
      <c r="D202" t="s">
        <v>261</v>
      </c>
      <c r="E202" t="s">
        <v>229</v>
      </c>
      <c r="F202">
        <v>1995</v>
      </c>
      <c r="G202">
        <v>5.8399999999999997E-3</v>
      </c>
      <c r="H202" t="s">
        <v>240</v>
      </c>
      <c r="I202" t="s">
        <v>241</v>
      </c>
      <c r="J202" t="s">
        <v>3</v>
      </c>
      <c r="K202" s="183">
        <f ca="1">VLOOKUP(F202,
    OFFSET(INDIRECT(ADDRESS(MATCH(J202,'Vehicle numbers'!$A$5:$A$162,0),1,1,1,$L$6)),4,1,COUNTIF('Vehicle numbers'!$A$5:$A$162,J202),4),
    MATCH(K$8,'Vehicle numbers'!$B$4:$D$4,0))*1000</f>
        <v>702493</v>
      </c>
      <c r="L202" s="183">
        <f ca="1">VLOOKUP(F202,
    OFFSET(INDIRECT(ADDRESS(MATCH(J202,'Vehicle numbers'!$A$5:$A$162,0),1,1,1,$L$6)),4,1,COUNTIF('Vehicle numbers'!$A$5:$A$162,J202),4),
    MATCH(L$8,'Vehicle numbers'!$B$4:$D$4,0))*1000</f>
        <v>715402.13747296715</v>
      </c>
      <c r="M202" s="184">
        <f>VLOOKUP(F202,'Annual distance covered (GB)'!$A$8:$H$33,MATCH(J202,'Annual distance covered (GB)'!$A$7:$H$7,0))</f>
        <v>3.7</v>
      </c>
      <c r="N202" s="2">
        <f t="shared" ca="1" si="17"/>
        <v>22005.072486865884</v>
      </c>
      <c r="O202" s="180">
        <f t="shared" ca="1" si="18"/>
        <v>3.0759025356836299E-2</v>
      </c>
      <c r="P202" s="180"/>
      <c r="Q202" s="185"/>
      <c r="R202" s="186"/>
      <c r="S202" s="180"/>
      <c r="T202" s="180"/>
    </row>
    <row r="203" spans="1:20" x14ac:dyDescent="0.25">
      <c r="A203" t="s">
        <v>243</v>
      </c>
      <c r="B203" t="s">
        <v>237</v>
      </c>
      <c r="C203" t="s">
        <v>238</v>
      </c>
      <c r="D203" t="s">
        <v>261</v>
      </c>
      <c r="E203" t="s">
        <v>229</v>
      </c>
      <c r="F203">
        <v>1995</v>
      </c>
      <c r="G203">
        <v>2.336E-3</v>
      </c>
      <c r="H203" t="s">
        <v>240</v>
      </c>
      <c r="I203" t="s">
        <v>241</v>
      </c>
      <c r="J203" t="s">
        <v>3</v>
      </c>
      <c r="K203" s="183">
        <f ca="1">VLOOKUP(F203,
    OFFSET(INDIRECT(ADDRESS(MATCH(J203,'Vehicle numbers'!$A$5:$A$162,0),1,1,1,$L$6)),4,1,COUNTIF('Vehicle numbers'!$A$5:$A$162,J203),4),
    MATCH(K$8,'Vehicle numbers'!$B$4:$D$4,0))*1000</f>
        <v>702493</v>
      </c>
      <c r="L203" s="183">
        <f ca="1">VLOOKUP(F203,
    OFFSET(INDIRECT(ADDRESS(MATCH(J203,'Vehicle numbers'!$A$5:$A$162,0),1,1,1,$L$6)),4,1,COUNTIF('Vehicle numbers'!$A$5:$A$162,J203),4),
    MATCH(L$8,'Vehicle numbers'!$B$4:$D$4,0))*1000</f>
        <v>715402.13747296715</v>
      </c>
      <c r="M203" s="184">
        <f>VLOOKUP(F203,'Annual distance covered (GB)'!$A$8:$H$33,MATCH(J203,'Annual distance covered (GB)'!$A$7:$H$7,0))</f>
        <v>3.7</v>
      </c>
      <c r="N203" s="2">
        <f t="shared" ref="N203:N266" ca="1" si="20">M203*G203*1000000*(L203/K203)</f>
        <v>8802.0289947463534</v>
      </c>
      <c r="O203" s="180">
        <f t="shared" ref="O203:O266" ca="1" si="21">N203/L203</f>
        <v>1.230361014273452E-2</v>
      </c>
      <c r="P203" s="180"/>
      <c r="Q203" s="185"/>
      <c r="R203" s="186"/>
      <c r="S203" s="180"/>
      <c r="T203" s="180"/>
    </row>
    <row r="204" spans="1:20" x14ac:dyDescent="0.25">
      <c r="A204" t="s">
        <v>244</v>
      </c>
      <c r="B204" t="s">
        <v>237</v>
      </c>
      <c r="C204" t="s">
        <v>238</v>
      </c>
      <c r="D204" t="s">
        <v>261</v>
      </c>
      <c r="E204" t="s">
        <v>229</v>
      </c>
      <c r="F204">
        <v>1995</v>
      </c>
      <c r="G204">
        <v>5.8399999999999999E-4</v>
      </c>
      <c r="H204" t="s">
        <v>240</v>
      </c>
      <c r="I204" t="s">
        <v>241</v>
      </c>
      <c r="J204" t="s">
        <v>3</v>
      </c>
      <c r="K204" s="183">
        <f ca="1">VLOOKUP(F204,
    OFFSET(INDIRECT(ADDRESS(MATCH(J204,'Vehicle numbers'!$A$5:$A$162,0),1,1,1,$L$6)),4,1,COUNTIF('Vehicle numbers'!$A$5:$A$162,J204),4),
    MATCH(K$8,'Vehicle numbers'!$B$4:$D$4,0))*1000</f>
        <v>702493</v>
      </c>
      <c r="L204" s="183">
        <f ca="1">VLOOKUP(F204,
    OFFSET(INDIRECT(ADDRESS(MATCH(J204,'Vehicle numbers'!$A$5:$A$162,0),1,1,1,$L$6)),4,1,COUNTIF('Vehicle numbers'!$A$5:$A$162,J204),4),
    MATCH(L$8,'Vehicle numbers'!$B$4:$D$4,0))*1000</f>
        <v>715402.13747296715</v>
      </c>
      <c r="M204" s="184">
        <f>VLOOKUP(F204,'Annual distance covered (GB)'!$A$8:$H$33,MATCH(J204,'Annual distance covered (GB)'!$A$7:$H$7,0))</f>
        <v>3.7</v>
      </c>
      <c r="N204" s="2">
        <f t="shared" ca="1" si="20"/>
        <v>2200.5072486865884</v>
      </c>
      <c r="O204" s="180">
        <f t="shared" ca="1" si="21"/>
        <v>3.07590253568363E-3</v>
      </c>
      <c r="P204" s="180"/>
      <c r="Q204" s="185"/>
      <c r="R204" s="186"/>
      <c r="S204" s="180"/>
      <c r="T204" s="180"/>
    </row>
    <row r="205" spans="1:20" x14ac:dyDescent="0.25">
      <c r="A205" t="s">
        <v>246</v>
      </c>
      <c r="B205" t="s">
        <v>237</v>
      </c>
      <c r="C205" t="s">
        <v>238</v>
      </c>
      <c r="D205" t="s">
        <v>261</v>
      </c>
      <c r="E205" t="s">
        <v>229</v>
      </c>
      <c r="F205">
        <v>1995</v>
      </c>
      <c r="G205">
        <v>4.6720000000000003E-4</v>
      </c>
      <c r="H205" t="s">
        <v>240</v>
      </c>
      <c r="I205" t="s">
        <v>241</v>
      </c>
      <c r="J205" t="s">
        <v>3</v>
      </c>
      <c r="K205" s="183">
        <f ca="1">VLOOKUP(F205,
    OFFSET(INDIRECT(ADDRESS(MATCH(J205,'Vehicle numbers'!$A$5:$A$162,0),1,1,1,$L$6)),4,1,COUNTIF('Vehicle numbers'!$A$5:$A$162,J205),4),
    MATCH(K$8,'Vehicle numbers'!$B$4:$D$4,0))*1000</f>
        <v>702493</v>
      </c>
      <c r="L205" s="183">
        <f ca="1">VLOOKUP(F205,
    OFFSET(INDIRECT(ADDRESS(MATCH(J205,'Vehicle numbers'!$A$5:$A$162,0),1,1,1,$L$6)),4,1,COUNTIF('Vehicle numbers'!$A$5:$A$162,J205),4),
    MATCH(L$8,'Vehicle numbers'!$B$4:$D$4,0))*1000</f>
        <v>715402.13747296715</v>
      </c>
      <c r="M205" s="184">
        <f>VLOOKUP(F205,'Annual distance covered (GB)'!$A$8:$H$33,MATCH(J205,'Annual distance covered (GB)'!$A$7:$H$7,0))</f>
        <v>3.7</v>
      </c>
      <c r="N205" s="2">
        <f t="shared" ca="1" si="20"/>
        <v>1760.405798949271</v>
      </c>
      <c r="O205" s="180">
        <f t="shared" ca="1" si="21"/>
        <v>2.4607220285469042E-3</v>
      </c>
      <c r="P205" s="180"/>
      <c r="Q205" s="185"/>
      <c r="R205" s="186"/>
      <c r="S205" s="180"/>
      <c r="T205" s="180"/>
    </row>
    <row r="206" spans="1:20" x14ac:dyDescent="0.25">
      <c r="A206" t="s">
        <v>236</v>
      </c>
      <c r="B206" t="s">
        <v>237</v>
      </c>
      <c r="C206" t="s">
        <v>238</v>
      </c>
      <c r="D206" t="s">
        <v>261</v>
      </c>
      <c r="E206" t="s">
        <v>228</v>
      </c>
      <c r="F206">
        <v>1995</v>
      </c>
      <c r="G206">
        <v>3.7569999999999999E-3</v>
      </c>
      <c r="H206" t="s">
        <v>240</v>
      </c>
      <c r="I206" t="s">
        <v>241</v>
      </c>
      <c r="J206" t="s">
        <v>3</v>
      </c>
      <c r="K206" s="183">
        <f ca="1">VLOOKUP(F206,
    OFFSET(INDIRECT(ADDRESS(MATCH(J206,'Vehicle numbers'!$A$5:$A$162,0),1,1,1,$L$6)),4,1,COUNTIF('Vehicle numbers'!$A$5:$A$162,J206),4),
    MATCH(K$8,'Vehicle numbers'!$B$4:$D$4,0))*1000</f>
        <v>702493</v>
      </c>
      <c r="L206" s="183">
        <f ca="1">VLOOKUP(F206,
    OFFSET(INDIRECT(ADDRESS(MATCH(J206,'Vehicle numbers'!$A$5:$A$162,0),1,1,1,$L$6)),4,1,COUNTIF('Vehicle numbers'!$A$5:$A$162,J206),4),
    MATCH(L$8,'Vehicle numbers'!$B$4:$D$4,0))*1000</f>
        <v>715402.13747296715</v>
      </c>
      <c r="M206" s="184">
        <f>VLOOKUP(F206,'Annual distance covered (GB)'!$A$8:$H$33,MATCH(J206,'Annual distance covered (GB)'!$A$7:$H$7,0))</f>
        <v>3.7</v>
      </c>
      <c r="N206" s="2">
        <f t="shared" ca="1" si="20"/>
        <v>14156.345433759439</v>
      </c>
      <c r="O206" s="180">
        <f t="shared" ca="1" si="21"/>
        <v>1.9787955182471572E-2</v>
      </c>
      <c r="P206" s="180"/>
      <c r="Q206" s="185"/>
      <c r="R206" s="187"/>
      <c r="S206" s="180"/>
      <c r="T206" s="180"/>
    </row>
    <row r="207" spans="1:20" x14ac:dyDescent="0.25">
      <c r="A207" t="s">
        <v>243</v>
      </c>
      <c r="B207" t="s">
        <v>237</v>
      </c>
      <c r="C207" t="s">
        <v>238</v>
      </c>
      <c r="D207" t="s">
        <v>261</v>
      </c>
      <c r="E207" t="s">
        <v>228</v>
      </c>
      <c r="F207">
        <v>1995</v>
      </c>
      <c r="G207">
        <v>2.6299000000000001E-3</v>
      </c>
      <c r="H207" t="s">
        <v>240</v>
      </c>
      <c r="I207" t="s">
        <v>241</v>
      </c>
      <c r="J207" t="s">
        <v>3</v>
      </c>
      <c r="K207" s="183">
        <f ca="1">VLOOKUP(F207,
    OFFSET(INDIRECT(ADDRESS(MATCH(J207,'Vehicle numbers'!$A$5:$A$162,0),1,1,1,$L$6)),4,1,COUNTIF('Vehicle numbers'!$A$5:$A$162,J207),4),
    MATCH(K$8,'Vehicle numbers'!$B$4:$D$4,0))*1000</f>
        <v>702493</v>
      </c>
      <c r="L207" s="183">
        <f ca="1">VLOOKUP(F207,
    OFFSET(INDIRECT(ADDRESS(MATCH(J207,'Vehicle numbers'!$A$5:$A$162,0),1,1,1,$L$6)),4,1,COUNTIF('Vehicle numbers'!$A$5:$A$162,J207),4),
    MATCH(L$8,'Vehicle numbers'!$B$4:$D$4,0))*1000</f>
        <v>715402.13747296715</v>
      </c>
      <c r="M207" s="184">
        <f>VLOOKUP(F207,'Annual distance covered (GB)'!$A$8:$H$33,MATCH(J207,'Annual distance covered (GB)'!$A$7:$H$7,0))</f>
        <v>3.7</v>
      </c>
      <c r="N207" s="2">
        <f t="shared" ca="1" si="20"/>
        <v>9909.4418036316074</v>
      </c>
      <c r="O207" s="180">
        <f t="shared" ca="1" si="21"/>
        <v>1.3851568627730099E-2</v>
      </c>
      <c r="P207" s="180"/>
      <c r="Q207" s="185"/>
      <c r="R207" s="188"/>
      <c r="S207" s="180"/>
      <c r="T207" s="180"/>
    </row>
    <row r="208" spans="1:20" x14ac:dyDescent="0.25">
      <c r="A208" t="s">
        <v>244</v>
      </c>
      <c r="B208" t="s">
        <v>237</v>
      </c>
      <c r="C208" t="s">
        <v>238</v>
      </c>
      <c r="D208" t="s">
        <v>261</v>
      </c>
      <c r="E208" t="s">
        <v>228</v>
      </c>
      <c r="F208">
        <v>1995</v>
      </c>
      <c r="G208">
        <v>3.7040845070422499E-4</v>
      </c>
      <c r="H208" t="s">
        <v>240</v>
      </c>
      <c r="I208" t="s">
        <v>241</v>
      </c>
      <c r="J208" t="s">
        <v>3</v>
      </c>
      <c r="K208" s="183">
        <f ca="1">VLOOKUP(F208,
    OFFSET(INDIRECT(ADDRESS(MATCH(J208,'Vehicle numbers'!$A$5:$A$162,0),1,1,1,$L$6)),4,1,COUNTIF('Vehicle numbers'!$A$5:$A$162,J208),4),
    MATCH(K$8,'Vehicle numbers'!$B$4:$D$4,0))*1000</f>
        <v>702493</v>
      </c>
      <c r="L208" s="183">
        <f ca="1">VLOOKUP(F208,
    OFFSET(INDIRECT(ADDRESS(MATCH(J208,'Vehicle numbers'!$A$5:$A$162,0),1,1,1,$L$6)),4,1,COUNTIF('Vehicle numbers'!$A$5:$A$162,J208),4),
    MATCH(L$8,'Vehicle numbers'!$B$4:$D$4,0))*1000</f>
        <v>715402.13747296715</v>
      </c>
      <c r="M208" s="184">
        <f>VLOOKUP(F208,'Annual distance covered (GB)'!$A$8:$H$33,MATCH(J208,'Annual distance covered (GB)'!$A$7:$H$7,0))</f>
        <v>3.7</v>
      </c>
      <c r="N208" s="2">
        <f t="shared" ca="1" si="20"/>
        <v>1395.6960286805067</v>
      </c>
      <c r="O208" s="180">
        <f t="shared" ca="1" si="21"/>
        <v>1.9509251588352235E-3</v>
      </c>
      <c r="P208" s="180"/>
      <c r="Q208" s="185"/>
      <c r="R208" s="186"/>
      <c r="S208" s="180"/>
      <c r="T208" s="180"/>
    </row>
    <row r="209" spans="1:20" x14ac:dyDescent="0.25">
      <c r="A209" t="s">
        <v>246</v>
      </c>
      <c r="B209" t="s">
        <v>237</v>
      </c>
      <c r="C209" t="s">
        <v>238</v>
      </c>
      <c r="D209" t="s">
        <v>261</v>
      </c>
      <c r="E209" t="s">
        <v>228</v>
      </c>
      <c r="F209">
        <v>1995</v>
      </c>
      <c r="G209">
        <v>2.9632676056337998E-4</v>
      </c>
      <c r="H209" t="s">
        <v>240</v>
      </c>
      <c r="I209" t="s">
        <v>241</v>
      </c>
      <c r="J209" t="s">
        <v>3</v>
      </c>
      <c r="K209" s="183">
        <f ca="1">VLOOKUP(F209,
    OFFSET(INDIRECT(ADDRESS(MATCH(J209,'Vehicle numbers'!$A$5:$A$162,0),1,1,1,$L$6)),4,1,COUNTIF('Vehicle numbers'!$A$5:$A$162,J209),4),
    MATCH(K$8,'Vehicle numbers'!$B$4:$D$4,0))*1000</f>
        <v>702493</v>
      </c>
      <c r="L209" s="183">
        <f ca="1">VLOOKUP(F209,
    OFFSET(INDIRECT(ADDRESS(MATCH(J209,'Vehicle numbers'!$A$5:$A$162,0),1,1,1,$L$6)),4,1,COUNTIF('Vehicle numbers'!$A$5:$A$162,J209),4),
    MATCH(L$8,'Vehicle numbers'!$B$4:$D$4,0))*1000</f>
        <v>715402.13747296715</v>
      </c>
      <c r="M209" s="184">
        <f>VLOOKUP(F209,'Annual distance covered (GB)'!$A$8:$H$33,MATCH(J209,'Annual distance covered (GB)'!$A$7:$H$7,0))</f>
        <v>3.7</v>
      </c>
      <c r="N209" s="2">
        <f t="shared" ca="1" si="20"/>
        <v>1116.5568229444052</v>
      </c>
      <c r="O209" s="180">
        <f t="shared" ca="1" si="21"/>
        <v>1.5607401270681784E-3</v>
      </c>
      <c r="P209" s="180"/>
      <c r="Q209" s="185"/>
      <c r="R209" s="186"/>
      <c r="S209" s="180"/>
      <c r="T209" s="180"/>
    </row>
    <row r="210" spans="1:20" x14ac:dyDescent="0.25">
      <c r="A210" t="s">
        <v>236</v>
      </c>
      <c r="B210" t="s">
        <v>237</v>
      </c>
      <c r="C210" t="s">
        <v>238</v>
      </c>
      <c r="D210" t="s">
        <v>262</v>
      </c>
      <c r="E210" t="s">
        <v>229</v>
      </c>
      <c r="F210">
        <v>1995</v>
      </c>
      <c r="G210">
        <v>6.8000000000000005E-4</v>
      </c>
      <c r="H210" t="s">
        <v>240</v>
      </c>
      <c r="I210" t="s">
        <v>241</v>
      </c>
      <c r="J210" t="s">
        <v>3</v>
      </c>
      <c r="K210" s="183">
        <f ca="1">VLOOKUP(F210,
    OFFSET(INDIRECT(ADDRESS(MATCH(J210,'Vehicle numbers'!$A$5:$A$162,0),1,1,1,$L$6)),4,1,COUNTIF('Vehicle numbers'!$A$5:$A$162,J210),4),
    MATCH(K$8,'Vehicle numbers'!$B$4:$D$4,0))*1000</f>
        <v>702493</v>
      </c>
      <c r="L210" s="183">
        <f ca="1">VLOOKUP(F210,
    OFFSET(INDIRECT(ADDRESS(MATCH(J210,'Vehicle numbers'!$A$5:$A$162,0),1,1,1,$L$6)),4,1,COUNTIF('Vehicle numbers'!$A$5:$A$162,J210),4),
    MATCH(L$8,'Vehicle numbers'!$B$4:$D$4,0))*1000</f>
        <v>715402.13747296715</v>
      </c>
      <c r="M210" s="184">
        <f>VLOOKUP(F210,'Annual distance covered (GB)'!$A$8:$H$33,MATCH(J210,'Annual distance covered (GB)'!$A$7:$H$7,0))</f>
        <v>3.7</v>
      </c>
      <c r="N210" s="2">
        <f t="shared" ca="1" si="20"/>
        <v>2562.2344676487673</v>
      </c>
      <c r="O210" s="180">
        <f t="shared" ca="1" si="21"/>
        <v>3.5815303497686102E-3</v>
      </c>
      <c r="P210" s="180"/>
      <c r="Q210" s="185"/>
      <c r="R210" s="186"/>
      <c r="S210" s="180"/>
      <c r="T210" s="180"/>
    </row>
    <row r="211" spans="1:20" x14ac:dyDescent="0.25">
      <c r="A211" t="s">
        <v>243</v>
      </c>
      <c r="B211" t="s">
        <v>237</v>
      </c>
      <c r="C211" t="s">
        <v>238</v>
      </c>
      <c r="D211" t="s">
        <v>262</v>
      </c>
      <c r="E211" t="s">
        <v>229</v>
      </c>
      <c r="F211">
        <v>1995</v>
      </c>
      <c r="G211">
        <v>2.72E-4</v>
      </c>
      <c r="H211" t="s">
        <v>240</v>
      </c>
      <c r="I211" t="s">
        <v>241</v>
      </c>
      <c r="J211" t="s">
        <v>3</v>
      </c>
      <c r="K211" s="183">
        <f ca="1">VLOOKUP(F211,
    OFFSET(INDIRECT(ADDRESS(MATCH(J211,'Vehicle numbers'!$A$5:$A$162,0),1,1,1,$L$6)),4,1,COUNTIF('Vehicle numbers'!$A$5:$A$162,J211),4),
    MATCH(K$8,'Vehicle numbers'!$B$4:$D$4,0))*1000</f>
        <v>702493</v>
      </c>
      <c r="L211" s="183">
        <f ca="1">VLOOKUP(F211,
    OFFSET(INDIRECT(ADDRESS(MATCH(J211,'Vehicle numbers'!$A$5:$A$162,0),1,1,1,$L$6)),4,1,COUNTIF('Vehicle numbers'!$A$5:$A$162,J211),4),
    MATCH(L$8,'Vehicle numbers'!$B$4:$D$4,0))*1000</f>
        <v>715402.13747296715</v>
      </c>
      <c r="M211" s="184">
        <f>VLOOKUP(F211,'Annual distance covered (GB)'!$A$8:$H$33,MATCH(J211,'Annual distance covered (GB)'!$A$7:$H$7,0))</f>
        <v>3.7</v>
      </c>
      <c r="N211" s="2">
        <f t="shared" ca="1" si="20"/>
        <v>1024.8937870595068</v>
      </c>
      <c r="O211" s="180">
        <f t="shared" ca="1" si="21"/>
        <v>1.4326121399074439E-3</v>
      </c>
      <c r="P211" s="180"/>
      <c r="Q211" s="185"/>
      <c r="R211" s="186"/>
      <c r="S211" s="180"/>
      <c r="T211" s="180"/>
    </row>
    <row r="212" spans="1:20" x14ac:dyDescent="0.25">
      <c r="A212" t="s">
        <v>244</v>
      </c>
      <c r="B212" t="s">
        <v>237</v>
      </c>
      <c r="C212" t="s">
        <v>238</v>
      </c>
      <c r="D212" t="s">
        <v>262</v>
      </c>
      <c r="E212" t="s">
        <v>229</v>
      </c>
      <c r="F212">
        <v>1995</v>
      </c>
      <c r="G212" s="189">
        <v>6.7999999999999999E-5</v>
      </c>
      <c r="H212" t="s">
        <v>240</v>
      </c>
      <c r="I212" t="s">
        <v>241</v>
      </c>
      <c r="J212" t="s">
        <v>3</v>
      </c>
      <c r="K212" s="183">
        <f ca="1">VLOOKUP(F212,
    OFFSET(INDIRECT(ADDRESS(MATCH(J212,'Vehicle numbers'!$A$5:$A$162,0),1,1,1,$L$6)),4,1,COUNTIF('Vehicle numbers'!$A$5:$A$162,J212),4),
    MATCH(K$8,'Vehicle numbers'!$B$4:$D$4,0))*1000</f>
        <v>702493</v>
      </c>
      <c r="L212" s="183">
        <f ca="1">VLOOKUP(F212,
    OFFSET(INDIRECT(ADDRESS(MATCH(J212,'Vehicle numbers'!$A$5:$A$162,0),1,1,1,$L$6)),4,1,COUNTIF('Vehicle numbers'!$A$5:$A$162,J212),4),
    MATCH(L$8,'Vehicle numbers'!$B$4:$D$4,0))*1000</f>
        <v>715402.13747296715</v>
      </c>
      <c r="M212" s="184">
        <f>VLOOKUP(F212,'Annual distance covered (GB)'!$A$8:$H$33,MATCH(J212,'Annual distance covered (GB)'!$A$7:$H$7,0))</f>
        <v>3.7</v>
      </c>
      <c r="N212" s="2">
        <f t="shared" ca="1" si="20"/>
        <v>256.22344676487671</v>
      </c>
      <c r="O212" s="180">
        <f t="shared" ca="1" si="21"/>
        <v>3.5815303497686098E-4</v>
      </c>
      <c r="P212" s="180"/>
      <c r="Q212" s="185"/>
      <c r="R212" s="187"/>
      <c r="S212" s="180"/>
      <c r="T212" s="180"/>
    </row>
    <row r="213" spans="1:20" x14ac:dyDescent="0.25">
      <c r="A213" t="s">
        <v>246</v>
      </c>
      <c r="B213" t="s">
        <v>237</v>
      </c>
      <c r="C213" t="s">
        <v>238</v>
      </c>
      <c r="D213" t="s">
        <v>262</v>
      </c>
      <c r="E213" t="s">
        <v>229</v>
      </c>
      <c r="F213">
        <v>1995</v>
      </c>
      <c r="G213" s="189">
        <v>5.4400000000000001E-5</v>
      </c>
      <c r="H213" t="s">
        <v>240</v>
      </c>
      <c r="I213" t="s">
        <v>241</v>
      </c>
      <c r="J213" t="s">
        <v>3</v>
      </c>
      <c r="K213" s="183">
        <f ca="1">VLOOKUP(F213,
    OFFSET(INDIRECT(ADDRESS(MATCH(J213,'Vehicle numbers'!$A$5:$A$162,0),1,1,1,$L$6)),4,1,COUNTIF('Vehicle numbers'!$A$5:$A$162,J213),4),
    MATCH(K$8,'Vehicle numbers'!$B$4:$D$4,0))*1000</f>
        <v>702493</v>
      </c>
      <c r="L213" s="183">
        <f ca="1">VLOOKUP(F213,
    OFFSET(INDIRECT(ADDRESS(MATCH(J213,'Vehicle numbers'!$A$5:$A$162,0),1,1,1,$L$6)),4,1,COUNTIF('Vehicle numbers'!$A$5:$A$162,J213),4),
    MATCH(L$8,'Vehicle numbers'!$B$4:$D$4,0))*1000</f>
        <v>715402.13747296715</v>
      </c>
      <c r="M213" s="184">
        <f>VLOOKUP(F213,'Annual distance covered (GB)'!$A$8:$H$33,MATCH(J213,'Annual distance covered (GB)'!$A$7:$H$7,0))</f>
        <v>3.7</v>
      </c>
      <c r="N213" s="2">
        <f t="shared" ca="1" si="20"/>
        <v>204.9787574119014</v>
      </c>
      <c r="O213" s="180">
        <f t="shared" ca="1" si="21"/>
        <v>2.8652242798148884E-4</v>
      </c>
      <c r="P213" s="180"/>
      <c r="Q213" s="185"/>
      <c r="R213" s="186"/>
      <c r="S213" s="180"/>
      <c r="T213" s="180"/>
    </row>
    <row r="214" spans="1:20" x14ac:dyDescent="0.25">
      <c r="A214" t="s">
        <v>236</v>
      </c>
      <c r="B214" t="s">
        <v>237</v>
      </c>
      <c r="C214" t="s">
        <v>238</v>
      </c>
      <c r="D214" t="s">
        <v>262</v>
      </c>
      <c r="E214" t="s">
        <v>228</v>
      </c>
      <c r="F214">
        <v>1995</v>
      </c>
      <c r="G214">
        <v>2.49E-3</v>
      </c>
      <c r="H214" t="s">
        <v>240</v>
      </c>
      <c r="I214" t="s">
        <v>241</v>
      </c>
      <c r="J214" t="s">
        <v>3</v>
      </c>
      <c r="K214" s="183">
        <f ca="1">VLOOKUP(F214,
    OFFSET(INDIRECT(ADDRESS(MATCH(J214,'Vehicle numbers'!$A$5:$A$162,0),1,1,1,$L$6)),4,1,COUNTIF('Vehicle numbers'!$A$5:$A$162,J214),4),
    MATCH(K$8,'Vehicle numbers'!$B$4:$D$4,0))*1000</f>
        <v>702493</v>
      </c>
      <c r="L214" s="183">
        <f ca="1">VLOOKUP(F214,
    OFFSET(INDIRECT(ADDRESS(MATCH(J214,'Vehicle numbers'!$A$5:$A$162,0),1,1,1,$L$6)),4,1,COUNTIF('Vehicle numbers'!$A$5:$A$162,J214),4),
    MATCH(L$8,'Vehicle numbers'!$B$4:$D$4,0))*1000</f>
        <v>715402.13747296715</v>
      </c>
      <c r="M214" s="184">
        <f>VLOOKUP(F214,'Annual distance covered (GB)'!$A$8:$H$33,MATCH(J214,'Annual distance covered (GB)'!$A$7:$H$7,0))</f>
        <v>3.7</v>
      </c>
      <c r="N214" s="2">
        <f t="shared" ca="1" si="20"/>
        <v>9382.2997418315153</v>
      </c>
      <c r="O214" s="180">
        <f t="shared" ca="1" si="21"/>
        <v>1.3114721427829174E-2</v>
      </c>
      <c r="P214" s="180"/>
      <c r="Q214" s="185"/>
      <c r="R214" s="186"/>
      <c r="S214" s="180"/>
      <c r="T214" s="180"/>
    </row>
    <row r="215" spans="1:20" x14ac:dyDescent="0.25">
      <c r="A215" t="s">
        <v>243</v>
      </c>
      <c r="B215" t="s">
        <v>237</v>
      </c>
      <c r="C215" t="s">
        <v>238</v>
      </c>
      <c r="D215" t="s">
        <v>262</v>
      </c>
      <c r="E215" t="s">
        <v>228</v>
      </c>
      <c r="F215">
        <v>1995</v>
      </c>
      <c r="G215">
        <v>1.743E-3</v>
      </c>
      <c r="H215" t="s">
        <v>240</v>
      </c>
      <c r="I215" t="s">
        <v>241</v>
      </c>
      <c r="J215" t="s">
        <v>3</v>
      </c>
      <c r="K215" s="183">
        <f ca="1">VLOOKUP(F215,
    OFFSET(INDIRECT(ADDRESS(MATCH(J215,'Vehicle numbers'!$A$5:$A$162,0),1,1,1,$L$6)),4,1,COUNTIF('Vehicle numbers'!$A$5:$A$162,J215),4),
    MATCH(K$8,'Vehicle numbers'!$B$4:$D$4,0))*1000</f>
        <v>702493</v>
      </c>
      <c r="L215" s="183">
        <f ca="1">VLOOKUP(F215,
    OFFSET(INDIRECT(ADDRESS(MATCH(J215,'Vehicle numbers'!$A$5:$A$162,0),1,1,1,$L$6)),4,1,COUNTIF('Vehicle numbers'!$A$5:$A$162,J215),4),
    MATCH(L$8,'Vehicle numbers'!$B$4:$D$4,0))*1000</f>
        <v>715402.13747296715</v>
      </c>
      <c r="M215" s="184">
        <f>VLOOKUP(F215,'Annual distance covered (GB)'!$A$8:$H$33,MATCH(J215,'Annual distance covered (GB)'!$A$7:$H$7,0))</f>
        <v>3.7</v>
      </c>
      <c r="N215" s="2">
        <f t="shared" ca="1" si="20"/>
        <v>6567.6098192820609</v>
      </c>
      <c r="O215" s="180">
        <f t="shared" ca="1" si="21"/>
        <v>9.1803049994804223E-3</v>
      </c>
      <c r="P215" s="180"/>
      <c r="Q215" s="185"/>
      <c r="R215" s="187"/>
      <c r="S215" s="180"/>
      <c r="T215" s="180"/>
    </row>
    <row r="216" spans="1:20" x14ac:dyDescent="0.25">
      <c r="A216" t="s">
        <v>244</v>
      </c>
      <c r="B216" t="s">
        <v>237</v>
      </c>
      <c r="C216" t="s">
        <v>238</v>
      </c>
      <c r="D216" t="s">
        <v>262</v>
      </c>
      <c r="E216" t="s">
        <v>228</v>
      </c>
      <c r="F216">
        <v>1995</v>
      </c>
      <c r="G216">
        <v>2.4549295774647798E-4</v>
      </c>
      <c r="H216" t="s">
        <v>240</v>
      </c>
      <c r="I216" t="s">
        <v>241</v>
      </c>
      <c r="J216" t="s">
        <v>3</v>
      </c>
      <c r="K216" s="183">
        <f ca="1">VLOOKUP(F216,
    OFFSET(INDIRECT(ADDRESS(MATCH(J216,'Vehicle numbers'!$A$5:$A$162,0),1,1,1,$L$6)),4,1,COUNTIF('Vehicle numbers'!$A$5:$A$162,J216),4),
    MATCH(K$8,'Vehicle numbers'!$B$4:$D$4,0))*1000</f>
        <v>702493</v>
      </c>
      <c r="L216" s="183">
        <f ca="1">VLOOKUP(F216,
    OFFSET(INDIRECT(ADDRESS(MATCH(J216,'Vehicle numbers'!$A$5:$A$162,0),1,1,1,$L$6)),4,1,COUNTIF('Vehicle numbers'!$A$5:$A$162,J216),4),
    MATCH(L$8,'Vehicle numbers'!$B$4:$D$4,0))*1000</f>
        <v>715402.13747296715</v>
      </c>
      <c r="M216" s="184">
        <f>VLOOKUP(F216,'Annual distance covered (GB)'!$A$8:$H$33,MATCH(J216,'Annual distance covered (GB)'!$A$7:$H$7,0))</f>
        <v>3.7</v>
      </c>
      <c r="N216" s="2">
        <f t="shared" ca="1" si="20"/>
        <v>925.01546750451234</v>
      </c>
      <c r="O216" s="180">
        <f t="shared" ca="1" si="21"/>
        <v>1.2930007041521677E-3</v>
      </c>
      <c r="P216" s="180"/>
      <c r="Q216" s="185"/>
      <c r="R216" s="188"/>
      <c r="S216" s="180"/>
      <c r="T216" s="180"/>
    </row>
    <row r="217" spans="1:20" x14ac:dyDescent="0.25">
      <c r="A217" t="s">
        <v>246</v>
      </c>
      <c r="B217" t="s">
        <v>237</v>
      </c>
      <c r="C217" t="s">
        <v>238</v>
      </c>
      <c r="D217" t="s">
        <v>262</v>
      </c>
      <c r="E217" t="s">
        <v>228</v>
      </c>
      <c r="F217">
        <v>1995</v>
      </c>
      <c r="G217">
        <v>1.96394366197183E-4</v>
      </c>
      <c r="H217" t="s">
        <v>240</v>
      </c>
      <c r="I217" t="s">
        <v>241</v>
      </c>
      <c r="J217" t="s">
        <v>3</v>
      </c>
      <c r="K217" s="183">
        <f ca="1">VLOOKUP(F217,
    OFFSET(INDIRECT(ADDRESS(MATCH(J217,'Vehicle numbers'!$A$5:$A$162,0),1,1,1,$L$6)),4,1,COUNTIF('Vehicle numbers'!$A$5:$A$162,J217),4),
    MATCH(K$8,'Vehicle numbers'!$B$4:$D$4,0))*1000</f>
        <v>702493</v>
      </c>
      <c r="L217" s="183">
        <f ca="1">VLOOKUP(F217,
    OFFSET(INDIRECT(ADDRESS(MATCH(J217,'Vehicle numbers'!$A$5:$A$162,0),1,1,1,$L$6)),4,1,COUNTIF('Vehicle numbers'!$A$5:$A$162,J217),4),
    MATCH(L$8,'Vehicle numbers'!$B$4:$D$4,0))*1000</f>
        <v>715402.13747296715</v>
      </c>
      <c r="M217" s="184">
        <f>VLOOKUP(F217,'Annual distance covered (GB)'!$A$8:$H$33,MATCH(J217,'Annual distance covered (GB)'!$A$7:$H$7,0))</f>
        <v>3.7</v>
      </c>
      <c r="N217" s="2">
        <f t="shared" ca="1" si="20"/>
        <v>740.01237400361208</v>
      </c>
      <c r="O217" s="180">
        <f t="shared" ca="1" si="21"/>
        <v>1.0344005633217371E-3</v>
      </c>
      <c r="P217" s="180"/>
      <c r="Q217" s="185"/>
      <c r="R217" s="186"/>
      <c r="S217" s="180"/>
      <c r="T217" s="180"/>
    </row>
    <row r="218" spans="1:20" x14ac:dyDescent="0.25">
      <c r="A218" t="s">
        <v>236</v>
      </c>
      <c r="B218" t="s">
        <v>237</v>
      </c>
      <c r="C218" t="s">
        <v>238</v>
      </c>
      <c r="D218" t="s">
        <v>263</v>
      </c>
      <c r="E218" t="s">
        <v>229</v>
      </c>
      <c r="F218">
        <v>1995</v>
      </c>
      <c r="G218">
        <v>2.764E-3</v>
      </c>
      <c r="H218" t="s">
        <v>240</v>
      </c>
      <c r="I218" t="s">
        <v>241</v>
      </c>
      <c r="J218" t="s">
        <v>3</v>
      </c>
      <c r="K218" s="183">
        <f ca="1">VLOOKUP(F218,
    OFFSET(INDIRECT(ADDRESS(MATCH(J218,'Vehicle numbers'!$A$5:$A$162,0),1,1,1,$L$6)),4,1,COUNTIF('Vehicle numbers'!$A$5:$A$162,J218),4),
    MATCH(K$8,'Vehicle numbers'!$B$4:$D$4,0))*1000</f>
        <v>702493</v>
      </c>
      <c r="L218" s="183">
        <f ca="1">VLOOKUP(F218,
    OFFSET(INDIRECT(ADDRESS(MATCH(J218,'Vehicle numbers'!$A$5:$A$162,0),1,1,1,$L$6)),4,1,COUNTIF('Vehicle numbers'!$A$5:$A$162,J218),4),
    MATCH(L$8,'Vehicle numbers'!$B$4:$D$4,0))*1000</f>
        <v>715402.13747296715</v>
      </c>
      <c r="M218" s="184">
        <f>VLOOKUP(F218,'Annual distance covered (GB)'!$A$8:$H$33,MATCH(J218,'Annual distance covered (GB)'!$A$7:$H$7,0))</f>
        <v>3.7</v>
      </c>
      <c r="N218" s="2">
        <f t="shared" ca="1" si="20"/>
        <v>10414.729512619402</v>
      </c>
      <c r="O218" s="180">
        <f t="shared" ca="1" si="21"/>
        <v>1.4557867480530057E-2</v>
      </c>
      <c r="P218" s="180"/>
      <c r="Q218" s="185"/>
      <c r="R218" s="186"/>
      <c r="S218" s="180"/>
      <c r="T218" s="180"/>
    </row>
    <row r="219" spans="1:20" x14ac:dyDescent="0.25">
      <c r="A219" t="s">
        <v>243</v>
      </c>
      <c r="B219" t="s">
        <v>237</v>
      </c>
      <c r="C219" t="s">
        <v>238</v>
      </c>
      <c r="D219" t="s">
        <v>263</v>
      </c>
      <c r="E219" t="s">
        <v>229</v>
      </c>
      <c r="F219">
        <v>1995</v>
      </c>
      <c r="G219">
        <v>1.1056E-3</v>
      </c>
      <c r="H219" t="s">
        <v>240</v>
      </c>
      <c r="I219" t="s">
        <v>241</v>
      </c>
      <c r="J219" t="s">
        <v>3</v>
      </c>
      <c r="K219" s="183">
        <f ca="1">VLOOKUP(F219,
    OFFSET(INDIRECT(ADDRESS(MATCH(J219,'Vehicle numbers'!$A$5:$A$162,0),1,1,1,$L$6)),4,1,COUNTIF('Vehicle numbers'!$A$5:$A$162,J219),4),
    MATCH(K$8,'Vehicle numbers'!$B$4:$D$4,0))*1000</f>
        <v>702493</v>
      </c>
      <c r="L219" s="183">
        <f ca="1">VLOOKUP(F219,
    OFFSET(INDIRECT(ADDRESS(MATCH(J219,'Vehicle numbers'!$A$5:$A$162,0),1,1,1,$L$6)),4,1,COUNTIF('Vehicle numbers'!$A$5:$A$162,J219),4),
    MATCH(L$8,'Vehicle numbers'!$B$4:$D$4,0))*1000</f>
        <v>715402.13747296715</v>
      </c>
      <c r="M219" s="184">
        <f>VLOOKUP(F219,'Annual distance covered (GB)'!$A$8:$H$33,MATCH(J219,'Annual distance covered (GB)'!$A$7:$H$7,0))</f>
        <v>3.7</v>
      </c>
      <c r="N219" s="2">
        <f t="shared" ca="1" si="20"/>
        <v>4165.8918050477596</v>
      </c>
      <c r="O219" s="180">
        <f t="shared" ca="1" si="21"/>
        <v>5.8231469922120213E-3</v>
      </c>
      <c r="P219" s="180"/>
      <c r="Q219" s="185"/>
      <c r="R219" s="186"/>
      <c r="S219" s="180"/>
      <c r="T219" s="180"/>
    </row>
    <row r="220" spans="1:20" x14ac:dyDescent="0.25">
      <c r="A220" t="s">
        <v>244</v>
      </c>
      <c r="B220" t="s">
        <v>237</v>
      </c>
      <c r="C220" t="s">
        <v>238</v>
      </c>
      <c r="D220" t="s">
        <v>263</v>
      </c>
      <c r="E220" t="s">
        <v>229</v>
      </c>
      <c r="F220">
        <v>1995</v>
      </c>
      <c r="G220">
        <v>2.764E-4</v>
      </c>
      <c r="H220" t="s">
        <v>240</v>
      </c>
      <c r="I220" t="s">
        <v>241</v>
      </c>
      <c r="J220" t="s">
        <v>3</v>
      </c>
      <c r="K220" s="183">
        <f ca="1">VLOOKUP(F220,
    OFFSET(INDIRECT(ADDRESS(MATCH(J220,'Vehicle numbers'!$A$5:$A$162,0),1,1,1,$L$6)),4,1,COUNTIF('Vehicle numbers'!$A$5:$A$162,J220),4),
    MATCH(K$8,'Vehicle numbers'!$B$4:$D$4,0))*1000</f>
        <v>702493</v>
      </c>
      <c r="L220" s="183">
        <f ca="1">VLOOKUP(F220,
    OFFSET(INDIRECT(ADDRESS(MATCH(J220,'Vehicle numbers'!$A$5:$A$162,0),1,1,1,$L$6)),4,1,COUNTIF('Vehicle numbers'!$A$5:$A$162,J220),4),
    MATCH(L$8,'Vehicle numbers'!$B$4:$D$4,0))*1000</f>
        <v>715402.13747296715</v>
      </c>
      <c r="M220" s="184">
        <f>VLOOKUP(F220,'Annual distance covered (GB)'!$A$8:$H$33,MATCH(J220,'Annual distance covered (GB)'!$A$7:$H$7,0))</f>
        <v>3.7</v>
      </c>
      <c r="N220" s="2">
        <f t="shared" ca="1" si="20"/>
        <v>1041.4729512619399</v>
      </c>
      <c r="O220" s="180">
        <f t="shared" ca="1" si="21"/>
        <v>1.4557867480530053E-3</v>
      </c>
      <c r="P220" s="180"/>
      <c r="Q220" s="185"/>
      <c r="R220" s="186"/>
      <c r="S220" s="180"/>
      <c r="T220" s="180"/>
    </row>
    <row r="221" spans="1:20" x14ac:dyDescent="0.25">
      <c r="A221" t="s">
        <v>246</v>
      </c>
      <c r="B221" t="s">
        <v>237</v>
      </c>
      <c r="C221" t="s">
        <v>238</v>
      </c>
      <c r="D221" t="s">
        <v>263</v>
      </c>
      <c r="E221" t="s">
        <v>229</v>
      </c>
      <c r="F221">
        <v>1995</v>
      </c>
      <c r="G221">
        <v>2.2112E-4</v>
      </c>
      <c r="H221" t="s">
        <v>240</v>
      </c>
      <c r="I221" t="s">
        <v>241</v>
      </c>
      <c r="J221" t="s">
        <v>3</v>
      </c>
      <c r="K221" s="183">
        <f ca="1">VLOOKUP(F221,
    OFFSET(INDIRECT(ADDRESS(MATCH(J221,'Vehicle numbers'!$A$5:$A$162,0),1,1,1,$L$6)),4,1,COUNTIF('Vehicle numbers'!$A$5:$A$162,J221),4),
    MATCH(K$8,'Vehicle numbers'!$B$4:$D$4,0))*1000</f>
        <v>702493</v>
      </c>
      <c r="L221" s="183">
        <f ca="1">VLOOKUP(F221,
    OFFSET(INDIRECT(ADDRESS(MATCH(J221,'Vehicle numbers'!$A$5:$A$162,0),1,1,1,$L$6)),4,1,COUNTIF('Vehicle numbers'!$A$5:$A$162,J221),4),
    MATCH(L$8,'Vehicle numbers'!$B$4:$D$4,0))*1000</f>
        <v>715402.13747296715</v>
      </c>
      <c r="M221" s="184">
        <f>VLOOKUP(F221,'Annual distance covered (GB)'!$A$8:$H$33,MATCH(J221,'Annual distance covered (GB)'!$A$7:$H$7,0))</f>
        <v>3.7</v>
      </c>
      <c r="N221" s="2">
        <f t="shared" ca="1" si="20"/>
        <v>833.17836100955208</v>
      </c>
      <c r="O221" s="180">
        <f t="shared" ca="1" si="21"/>
        <v>1.1646293984424044E-3</v>
      </c>
      <c r="P221" s="180"/>
      <c r="Q221" s="185"/>
      <c r="R221" s="187"/>
      <c r="S221" s="180"/>
      <c r="T221" s="180"/>
    </row>
    <row r="222" spans="1:20" x14ac:dyDescent="0.25">
      <c r="A222" t="s">
        <v>236</v>
      </c>
      <c r="B222" t="s">
        <v>237</v>
      </c>
      <c r="C222" t="s">
        <v>238</v>
      </c>
      <c r="D222" t="s">
        <v>263</v>
      </c>
      <c r="E222" t="s">
        <v>228</v>
      </c>
      <c r="F222">
        <v>1995</v>
      </c>
      <c r="G222">
        <v>2.9239999999999999E-3</v>
      </c>
      <c r="H222" t="s">
        <v>240</v>
      </c>
      <c r="I222" t="s">
        <v>241</v>
      </c>
      <c r="J222" t="s">
        <v>3</v>
      </c>
      <c r="K222" s="183">
        <f ca="1">VLOOKUP(F222,
    OFFSET(INDIRECT(ADDRESS(MATCH(J222,'Vehicle numbers'!$A$5:$A$162,0),1,1,1,$L$6)),4,1,COUNTIF('Vehicle numbers'!$A$5:$A$162,J222),4),
    MATCH(K$8,'Vehicle numbers'!$B$4:$D$4,0))*1000</f>
        <v>702493</v>
      </c>
      <c r="L222" s="183">
        <f ca="1">VLOOKUP(F222,
    OFFSET(INDIRECT(ADDRESS(MATCH(J222,'Vehicle numbers'!$A$5:$A$162,0),1,1,1,$L$6)),4,1,COUNTIF('Vehicle numbers'!$A$5:$A$162,J222),4),
    MATCH(L$8,'Vehicle numbers'!$B$4:$D$4,0))*1000</f>
        <v>715402.13747296715</v>
      </c>
      <c r="M222" s="184">
        <f>VLOOKUP(F222,'Annual distance covered (GB)'!$A$8:$H$33,MATCH(J222,'Annual distance covered (GB)'!$A$7:$H$7,0))</f>
        <v>3.7</v>
      </c>
      <c r="N222" s="2">
        <f t="shared" ca="1" si="20"/>
        <v>11017.608210889697</v>
      </c>
      <c r="O222" s="180">
        <f t="shared" ca="1" si="21"/>
        <v>1.5400580504005021E-2</v>
      </c>
      <c r="P222" s="180"/>
      <c r="Q222" s="185"/>
      <c r="R222" s="188"/>
      <c r="S222" s="180"/>
      <c r="T222" s="180"/>
    </row>
    <row r="223" spans="1:20" x14ac:dyDescent="0.25">
      <c r="A223" t="s">
        <v>243</v>
      </c>
      <c r="B223" t="s">
        <v>237</v>
      </c>
      <c r="C223" t="s">
        <v>238</v>
      </c>
      <c r="D223" t="s">
        <v>263</v>
      </c>
      <c r="E223" t="s">
        <v>228</v>
      </c>
      <c r="F223">
        <v>1995</v>
      </c>
      <c r="G223">
        <v>2.0468000000000001E-3</v>
      </c>
      <c r="H223" t="s">
        <v>240</v>
      </c>
      <c r="I223" t="s">
        <v>241</v>
      </c>
      <c r="J223" t="s">
        <v>3</v>
      </c>
      <c r="K223" s="183">
        <f ca="1">VLOOKUP(F223,
    OFFSET(INDIRECT(ADDRESS(MATCH(J223,'Vehicle numbers'!$A$5:$A$162,0),1,1,1,$L$6)),4,1,COUNTIF('Vehicle numbers'!$A$5:$A$162,J223),4),
    MATCH(K$8,'Vehicle numbers'!$B$4:$D$4,0))*1000</f>
        <v>702493</v>
      </c>
      <c r="L223" s="183">
        <f ca="1">VLOOKUP(F223,
    OFFSET(INDIRECT(ADDRESS(MATCH(J223,'Vehicle numbers'!$A$5:$A$162,0),1,1,1,$L$6)),4,1,COUNTIF('Vehicle numbers'!$A$5:$A$162,J223),4),
    MATCH(L$8,'Vehicle numbers'!$B$4:$D$4,0))*1000</f>
        <v>715402.13747296715</v>
      </c>
      <c r="M223" s="184">
        <f>VLOOKUP(F223,'Annual distance covered (GB)'!$A$8:$H$33,MATCH(J223,'Annual distance covered (GB)'!$A$7:$H$7,0))</f>
        <v>3.7</v>
      </c>
      <c r="N223" s="2">
        <f t="shared" ca="1" si="20"/>
        <v>7712.32574762279</v>
      </c>
      <c r="O223" s="180">
        <f t="shared" ca="1" si="21"/>
        <v>1.0780406352803517E-2</v>
      </c>
      <c r="P223" s="180"/>
      <c r="Q223" s="185"/>
      <c r="R223" s="186"/>
      <c r="S223" s="180"/>
      <c r="T223" s="180"/>
    </row>
    <row r="224" spans="1:20" x14ac:dyDescent="0.25">
      <c r="A224" t="s">
        <v>244</v>
      </c>
      <c r="B224" t="s">
        <v>237</v>
      </c>
      <c r="C224" t="s">
        <v>238</v>
      </c>
      <c r="D224" t="s">
        <v>263</v>
      </c>
      <c r="E224" t="s">
        <v>228</v>
      </c>
      <c r="F224">
        <v>1995</v>
      </c>
      <c r="G224">
        <v>2.8828169014084501E-4</v>
      </c>
      <c r="H224" t="s">
        <v>240</v>
      </c>
      <c r="I224" t="s">
        <v>241</v>
      </c>
      <c r="J224" t="s">
        <v>3</v>
      </c>
      <c r="K224" s="183">
        <f ca="1">VLOOKUP(F224,
    OFFSET(INDIRECT(ADDRESS(MATCH(J224,'Vehicle numbers'!$A$5:$A$162,0),1,1,1,$L$6)),4,1,COUNTIF('Vehicle numbers'!$A$5:$A$162,J224),4),
    MATCH(K$8,'Vehicle numbers'!$B$4:$D$4,0))*1000</f>
        <v>702493</v>
      </c>
      <c r="L224" s="183">
        <f ca="1">VLOOKUP(F224,
    OFFSET(INDIRECT(ADDRESS(MATCH(J224,'Vehicle numbers'!$A$5:$A$162,0),1,1,1,$L$6)),4,1,COUNTIF('Vehicle numbers'!$A$5:$A$162,J224),4),
    MATCH(L$8,'Vehicle numbers'!$B$4:$D$4,0))*1000</f>
        <v>715402.13747296715</v>
      </c>
      <c r="M224" s="184">
        <f>VLOOKUP(F224,'Annual distance covered (GB)'!$A$8:$H$33,MATCH(J224,'Annual distance covered (GB)'!$A$7:$H$7,0))</f>
        <v>3.7</v>
      </c>
      <c r="N224" s="2">
        <f t="shared" ca="1" si="20"/>
        <v>1086.243063045463</v>
      </c>
      <c r="O224" s="180">
        <f t="shared" ca="1" si="21"/>
        <v>1.5183670919441568E-3</v>
      </c>
      <c r="P224" s="180"/>
      <c r="Q224" s="185"/>
      <c r="R224" s="186"/>
      <c r="S224" s="180"/>
      <c r="T224" s="180"/>
    </row>
    <row r="225" spans="1:20" x14ac:dyDescent="0.25">
      <c r="A225" t="s">
        <v>246</v>
      </c>
      <c r="B225" t="s">
        <v>237</v>
      </c>
      <c r="C225" t="s">
        <v>238</v>
      </c>
      <c r="D225" t="s">
        <v>263</v>
      </c>
      <c r="E225" t="s">
        <v>228</v>
      </c>
      <c r="F225">
        <v>1995</v>
      </c>
      <c r="G225">
        <v>2.3062535211267599E-4</v>
      </c>
      <c r="H225" t="s">
        <v>240</v>
      </c>
      <c r="I225" t="s">
        <v>241</v>
      </c>
      <c r="J225" t="s">
        <v>3</v>
      </c>
      <c r="K225" s="183">
        <f ca="1">VLOOKUP(F225,
    OFFSET(INDIRECT(ADDRESS(MATCH(J225,'Vehicle numbers'!$A$5:$A$162,0),1,1,1,$L$6)),4,1,COUNTIF('Vehicle numbers'!$A$5:$A$162,J225),4),
    MATCH(K$8,'Vehicle numbers'!$B$4:$D$4,0))*1000</f>
        <v>702493</v>
      </c>
      <c r="L225" s="183">
        <f ca="1">VLOOKUP(F225,
    OFFSET(INDIRECT(ADDRESS(MATCH(J225,'Vehicle numbers'!$A$5:$A$162,0),1,1,1,$L$6)),4,1,COUNTIF('Vehicle numbers'!$A$5:$A$162,J225),4),
    MATCH(L$8,'Vehicle numbers'!$B$4:$D$4,0))*1000</f>
        <v>715402.13747296715</v>
      </c>
      <c r="M225" s="184">
        <f>VLOOKUP(F225,'Annual distance covered (GB)'!$A$8:$H$33,MATCH(J225,'Annual distance covered (GB)'!$A$7:$H$7,0))</f>
        <v>3.7</v>
      </c>
      <c r="N225" s="2">
        <f t="shared" ca="1" si="20"/>
        <v>868.99445043637036</v>
      </c>
      <c r="O225" s="180">
        <f t="shared" ca="1" si="21"/>
        <v>1.2146936735553254E-3</v>
      </c>
      <c r="P225" s="180"/>
      <c r="Q225" s="185"/>
      <c r="R225" s="186"/>
      <c r="S225" s="180"/>
      <c r="T225" s="180"/>
    </row>
    <row r="226" spans="1:20" x14ac:dyDescent="0.25">
      <c r="A226" t="s">
        <v>236</v>
      </c>
      <c r="B226" t="s">
        <v>237</v>
      </c>
      <c r="C226" t="s">
        <v>238</v>
      </c>
      <c r="D226" t="s">
        <v>264</v>
      </c>
      <c r="E226" t="s">
        <v>229</v>
      </c>
      <c r="F226">
        <v>1995</v>
      </c>
      <c r="G226">
        <v>5.8399999999999798E-3</v>
      </c>
      <c r="H226" t="s">
        <v>240</v>
      </c>
      <c r="I226" t="s">
        <v>241</v>
      </c>
      <c r="J226" t="s">
        <v>3</v>
      </c>
      <c r="K226" s="183">
        <f ca="1">VLOOKUP(F226,
    OFFSET(INDIRECT(ADDRESS(MATCH(J226,'Vehicle numbers'!$A$5:$A$162,0),1,1,1,$L$6)),4,1,COUNTIF('Vehicle numbers'!$A$5:$A$162,J226),4),
    MATCH(K$8,'Vehicle numbers'!$B$4:$D$4,0))*1000</f>
        <v>702493</v>
      </c>
      <c r="L226" s="183">
        <f ca="1">VLOOKUP(F226,
    OFFSET(INDIRECT(ADDRESS(MATCH(J226,'Vehicle numbers'!$A$5:$A$162,0),1,1,1,$L$6)),4,1,COUNTIF('Vehicle numbers'!$A$5:$A$162,J226),4),
    MATCH(L$8,'Vehicle numbers'!$B$4:$D$4,0))*1000</f>
        <v>715402.13747296715</v>
      </c>
      <c r="M226" s="184">
        <f>VLOOKUP(F226,'Annual distance covered (GB)'!$A$8:$H$33,MATCH(J226,'Annual distance covered (GB)'!$A$7:$H$7,0))</f>
        <v>3.7</v>
      </c>
      <c r="N226" s="2">
        <f t="shared" ca="1" si="20"/>
        <v>22005.072486865807</v>
      </c>
      <c r="O226" s="180">
        <f t="shared" ca="1" si="21"/>
        <v>3.0759025356836191E-2</v>
      </c>
      <c r="P226" s="180"/>
      <c r="Q226" s="185"/>
      <c r="R226" s="186"/>
      <c r="S226" s="180"/>
      <c r="T226" s="180"/>
    </row>
    <row r="227" spans="1:20" x14ac:dyDescent="0.25">
      <c r="A227" t="s">
        <v>243</v>
      </c>
      <c r="B227" t="s">
        <v>237</v>
      </c>
      <c r="C227" t="s">
        <v>238</v>
      </c>
      <c r="D227" t="s">
        <v>264</v>
      </c>
      <c r="E227" t="s">
        <v>229</v>
      </c>
      <c r="F227">
        <v>1995</v>
      </c>
      <c r="G227">
        <v>2.33599999999999E-3</v>
      </c>
      <c r="H227" t="s">
        <v>240</v>
      </c>
      <c r="I227" t="s">
        <v>241</v>
      </c>
      <c r="J227" t="s">
        <v>3</v>
      </c>
      <c r="K227" s="183">
        <f ca="1">VLOOKUP(F227,
    OFFSET(INDIRECT(ADDRESS(MATCH(J227,'Vehicle numbers'!$A$5:$A$162,0),1,1,1,$L$6)),4,1,COUNTIF('Vehicle numbers'!$A$5:$A$162,J227),4),
    MATCH(K$8,'Vehicle numbers'!$B$4:$D$4,0))*1000</f>
        <v>702493</v>
      </c>
      <c r="L227" s="183">
        <f ca="1">VLOOKUP(F227,
    OFFSET(INDIRECT(ADDRESS(MATCH(J227,'Vehicle numbers'!$A$5:$A$162,0),1,1,1,$L$6)),4,1,COUNTIF('Vehicle numbers'!$A$5:$A$162,J227),4),
    MATCH(L$8,'Vehicle numbers'!$B$4:$D$4,0))*1000</f>
        <v>715402.13747296715</v>
      </c>
      <c r="M227" s="184">
        <f>VLOOKUP(F227,'Annual distance covered (GB)'!$A$8:$H$33,MATCH(J227,'Annual distance covered (GB)'!$A$7:$H$7,0))</f>
        <v>3.7</v>
      </c>
      <c r="N227" s="2">
        <f t="shared" ca="1" si="20"/>
        <v>8802.028994746317</v>
      </c>
      <c r="O227" s="180">
        <f t="shared" ca="1" si="21"/>
        <v>1.2303610142734468E-2</v>
      </c>
      <c r="P227" s="180"/>
      <c r="Q227" s="185"/>
      <c r="R227" s="187"/>
      <c r="S227" s="180"/>
      <c r="T227" s="180"/>
    </row>
    <row r="228" spans="1:20" x14ac:dyDescent="0.25">
      <c r="A228" t="s">
        <v>244</v>
      </c>
      <c r="B228" t="s">
        <v>237</v>
      </c>
      <c r="C228" t="s">
        <v>238</v>
      </c>
      <c r="D228" t="s">
        <v>264</v>
      </c>
      <c r="E228" t="s">
        <v>229</v>
      </c>
      <c r="F228">
        <v>1995</v>
      </c>
      <c r="G228">
        <v>5.8399999999999804E-4</v>
      </c>
      <c r="H228" t="s">
        <v>240</v>
      </c>
      <c r="I228" t="s">
        <v>241</v>
      </c>
      <c r="J228" t="s">
        <v>3</v>
      </c>
      <c r="K228" s="183">
        <f ca="1">VLOOKUP(F228,
    OFFSET(INDIRECT(ADDRESS(MATCH(J228,'Vehicle numbers'!$A$5:$A$162,0),1,1,1,$L$6)),4,1,COUNTIF('Vehicle numbers'!$A$5:$A$162,J228),4),
    MATCH(K$8,'Vehicle numbers'!$B$4:$D$4,0))*1000</f>
        <v>702493</v>
      </c>
      <c r="L228" s="183">
        <f ca="1">VLOOKUP(F228,
    OFFSET(INDIRECT(ADDRESS(MATCH(J228,'Vehicle numbers'!$A$5:$A$162,0),1,1,1,$L$6)),4,1,COUNTIF('Vehicle numbers'!$A$5:$A$162,J228),4),
    MATCH(L$8,'Vehicle numbers'!$B$4:$D$4,0))*1000</f>
        <v>715402.13747296715</v>
      </c>
      <c r="M228" s="184">
        <f>VLOOKUP(F228,'Annual distance covered (GB)'!$A$8:$H$33,MATCH(J228,'Annual distance covered (GB)'!$A$7:$H$7,0))</f>
        <v>3.7</v>
      </c>
      <c r="N228" s="2">
        <f t="shared" ca="1" si="20"/>
        <v>2200.5072486865806</v>
      </c>
      <c r="O228" s="180">
        <f t="shared" ca="1" si="21"/>
        <v>3.0759025356836191E-3</v>
      </c>
      <c r="P228" s="180"/>
      <c r="Q228" s="185"/>
      <c r="R228" s="186"/>
      <c r="S228" s="180"/>
      <c r="T228" s="180"/>
    </row>
    <row r="229" spans="1:20" x14ac:dyDescent="0.25">
      <c r="A229" t="s">
        <v>246</v>
      </c>
      <c r="B229" t="s">
        <v>237</v>
      </c>
      <c r="C229" t="s">
        <v>238</v>
      </c>
      <c r="D229" t="s">
        <v>264</v>
      </c>
      <c r="E229" t="s">
        <v>229</v>
      </c>
      <c r="F229">
        <v>1995</v>
      </c>
      <c r="G229">
        <v>4.6719999999999802E-4</v>
      </c>
      <c r="H229" t="s">
        <v>240</v>
      </c>
      <c r="I229" t="s">
        <v>241</v>
      </c>
      <c r="J229" t="s">
        <v>3</v>
      </c>
      <c r="K229" s="183">
        <f ca="1">VLOOKUP(F229,
    OFFSET(INDIRECT(ADDRESS(MATCH(J229,'Vehicle numbers'!$A$5:$A$162,0),1,1,1,$L$6)),4,1,COUNTIF('Vehicle numbers'!$A$5:$A$162,J229),4),
    MATCH(K$8,'Vehicle numbers'!$B$4:$D$4,0))*1000</f>
        <v>702493</v>
      </c>
      <c r="L229" s="183">
        <f ca="1">VLOOKUP(F229,
    OFFSET(INDIRECT(ADDRESS(MATCH(J229,'Vehicle numbers'!$A$5:$A$162,0),1,1,1,$L$6)),4,1,COUNTIF('Vehicle numbers'!$A$5:$A$162,J229),4),
    MATCH(L$8,'Vehicle numbers'!$B$4:$D$4,0))*1000</f>
        <v>715402.13747296715</v>
      </c>
      <c r="M229" s="184">
        <f>VLOOKUP(F229,'Annual distance covered (GB)'!$A$8:$H$33,MATCH(J229,'Annual distance covered (GB)'!$A$7:$H$7,0))</f>
        <v>3.7</v>
      </c>
      <c r="N229" s="2">
        <f t="shared" ca="1" si="20"/>
        <v>1760.405798949263</v>
      </c>
      <c r="O229" s="180">
        <f t="shared" ca="1" si="21"/>
        <v>2.460722028546893E-3</v>
      </c>
      <c r="P229" s="180"/>
      <c r="Q229" s="185"/>
      <c r="R229" s="186"/>
      <c r="S229" s="180"/>
      <c r="T229" s="180"/>
    </row>
    <row r="230" spans="1:20" x14ac:dyDescent="0.25">
      <c r="A230" t="s">
        <v>236</v>
      </c>
      <c r="B230" t="s">
        <v>237</v>
      </c>
      <c r="C230" t="s">
        <v>238</v>
      </c>
      <c r="D230" t="s">
        <v>264</v>
      </c>
      <c r="E230" t="s">
        <v>228</v>
      </c>
      <c r="F230">
        <v>1995</v>
      </c>
      <c r="G230">
        <v>3.7569999999999899E-3</v>
      </c>
      <c r="H230" t="s">
        <v>240</v>
      </c>
      <c r="I230" t="s">
        <v>241</v>
      </c>
      <c r="J230" t="s">
        <v>3</v>
      </c>
      <c r="K230" s="183">
        <f ca="1">VLOOKUP(F230,
    OFFSET(INDIRECT(ADDRESS(MATCH(J230,'Vehicle numbers'!$A$5:$A$162,0),1,1,1,$L$6)),4,1,COUNTIF('Vehicle numbers'!$A$5:$A$162,J230),4),
    MATCH(K$8,'Vehicle numbers'!$B$4:$D$4,0))*1000</f>
        <v>702493</v>
      </c>
      <c r="L230" s="183">
        <f ca="1">VLOOKUP(F230,
    OFFSET(INDIRECT(ADDRESS(MATCH(J230,'Vehicle numbers'!$A$5:$A$162,0),1,1,1,$L$6)),4,1,COUNTIF('Vehicle numbers'!$A$5:$A$162,J230),4),
    MATCH(L$8,'Vehicle numbers'!$B$4:$D$4,0))*1000</f>
        <v>715402.13747296715</v>
      </c>
      <c r="M230" s="184">
        <f>VLOOKUP(F230,'Annual distance covered (GB)'!$A$8:$H$33,MATCH(J230,'Annual distance covered (GB)'!$A$7:$H$7,0))</f>
        <v>3.7</v>
      </c>
      <c r="N230" s="2">
        <f t="shared" ca="1" si="20"/>
        <v>14156.345433759403</v>
      </c>
      <c r="O230" s="180">
        <f t="shared" ca="1" si="21"/>
        <v>1.978795518247152E-2</v>
      </c>
      <c r="P230" s="180"/>
      <c r="Q230" s="185"/>
      <c r="R230" s="187"/>
      <c r="S230" s="180"/>
      <c r="T230" s="180"/>
    </row>
    <row r="231" spans="1:20" x14ac:dyDescent="0.25">
      <c r="A231" t="s">
        <v>243</v>
      </c>
      <c r="B231" t="s">
        <v>237</v>
      </c>
      <c r="C231" t="s">
        <v>238</v>
      </c>
      <c r="D231" t="s">
        <v>264</v>
      </c>
      <c r="E231" t="s">
        <v>228</v>
      </c>
      <c r="F231">
        <v>1995</v>
      </c>
      <c r="G231">
        <v>2.6298999999999901E-3</v>
      </c>
      <c r="H231" t="s">
        <v>240</v>
      </c>
      <c r="I231" t="s">
        <v>241</v>
      </c>
      <c r="J231" t="s">
        <v>3</v>
      </c>
      <c r="K231" s="183">
        <f ca="1">VLOOKUP(F231,
    OFFSET(INDIRECT(ADDRESS(MATCH(J231,'Vehicle numbers'!$A$5:$A$162,0),1,1,1,$L$6)),4,1,COUNTIF('Vehicle numbers'!$A$5:$A$162,J231),4),
    MATCH(K$8,'Vehicle numbers'!$B$4:$D$4,0))*1000</f>
        <v>702493</v>
      </c>
      <c r="L231" s="183">
        <f ca="1">VLOOKUP(F231,
    OFFSET(INDIRECT(ADDRESS(MATCH(J231,'Vehicle numbers'!$A$5:$A$162,0),1,1,1,$L$6)),4,1,COUNTIF('Vehicle numbers'!$A$5:$A$162,J231),4),
    MATCH(L$8,'Vehicle numbers'!$B$4:$D$4,0))*1000</f>
        <v>715402.13747296715</v>
      </c>
      <c r="M231" s="184">
        <f>VLOOKUP(F231,'Annual distance covered (GB)'!$A$8:$H$33,MATCH(J231,'Annual distance covered (GB)'!$A$7:$H$7,0))</f>
        <v>3.7</v>
      </c>
      <c r="N231" s="2">
        <f t="shared" ca="1" si="20"/>
        <v>9909.441803631571</v>
      </c>
      <c r="O231" s="180">
        <f t="shared" ca="1" si="21"/>
        <v>1.3851568627730048E-2</v>
      </c>
      <c r="P231" s="180"/>
      <c r="Q231" s="185"/>
      <c r="R231" s="188"/>
      <c r="S231" s="180"/>
      <c r="T231" s="180"/>
    </row>
    <row r="232" spans="1:20" x14ac:dyDescent="0.25">
      <c r="A232" t="s">
        <v>244</v>
      </c>
      <c r="B232" t="s">
        <v>237</v>
      </c>
      <c r="C232" t="s">
        <v>238</v>
      </c>
      <c r="D232" t="s">
        <v>264</v>
      </c>
      <c r="E232" t="s">
        <v>228</v>
      </c>
      <c r="F232">
        <v>1995</v>
      </c>
      <c r="G232">
        <v>3.7040845070422299E-4</v>
      </c>
      <c r="H232" t="s">
        <v>240</v>
      </c>
      <c r="I232" t="s">
        <v>241</v>
      </c>
      <c r="J232" t="s">
        <v>3</v>
      </c>
      <c r="K232" s="183">
        <f ca="1">VLOOKUP(F232,
    OFFSET(INDIRECT(ADDRESS(MATCH(J232,'Vehicle numbers'!$A$5:$A$162,0),1,1,1,$L$6)),4,1,COUNTIF('Vehicle numbers'!$A$5:$A$162,J232),4),
    MATCH(K$8,'Vehicle numbers'!$B$4:$D$4,0))*1000</f>
        <v>702493</v>
      </c>
      <c r="L232" s="183">
        <f ca="1">VLOOKUP(F232,
    OFFSET(INDIRECT(ADDRESS(MATCH(J232,'Vehicle numbers'!$A$5:$A$162,0),1,1,1,$L$6)),4,1,COUNTIF('Vehicle numbers'!$A$5:$A$162,J232),4),
    MATCH(L$8,'Vehicle numbers'!$B$4:$D$4,0))*1000</f>
        <v>715402.13747296715</v>
      </c>
      <c r="M232" s="184">
        <f>VLOOKUP(F232,'Annual distance covered (GB)'!$A$8:$H$33,MATCH(J232,'Annual distance covered (GB)'!$A$7:$H$7,0))</f>
        <v>3.7</v>
      </c>
      <c r="N232" s="2">
        <f t="shared" ca="1" si="20"/>
        <v>1395.6960286804992</v>
      </c>
      <c r="O232" s="180">
        <f t="shared" ca="1" si="21"/>
        <v>1.9509251588352128E-3</v>
      </c>
      <c r="P232" s="180"/>
      <c r="Q232" s="185"/>
      <c r="R232" s="186"/>
      <c r="S232" s="180"/>
      <c r="T232" s="180"/>
    </row>
    <row r="233" spans="1:20" x14ac:dyDescent="0.25">
      <c r="A233" t="s">
        <v>246</v>
      </c>
      <c r="B233" t="s">
        <v>237</v>
      </c>
      <c r="C233" t="s">
        <v>238</v>
      </c>
      <c r="D233" t="s">
        <v>264</v>
      </c>
      <c r="E233" t="s">
        <v>228</v>
      </c>
      <c r="F233">
        <v>1995</v>
      </c>
      <c r="G233">
        <v>2.9632676056337901E-4</v>
      </c>
      <c r="H233" t="s">
        <v>240</v>
      </c>
      <c r="I233" t="s">
        <v>241</v>
      </c>
      <c r="J233" t="s">
        <v>3</v>
      </c>
      <c r="K233" s="183">
        <f ca="1">VLOOKUP(F233,
    OFFSET(INDIRECT(ADDRESS(MATCH(J233,'Vehicle numbers'!$A$5:$A$162,0),1,1,1,$L$6)),4,1,COUNTIF('Vehicle numbers'!$A$5:$A$162,J233),4),
    MATCH(K$8,'Vehicle numbers'!$B$4:$D$4,0))*1000</f>
        <v>702493</v>
      </c>
      <c r="L233" s="183">
        <f ca="1">VLOOKUP(F233,
    OFFSET(INDIRECT(ADDRESS(MATCH(J233,'Vehicle numbers'!$A$5:$A$162,0),1,1,1,$L$6)),4,1,COUNTIF('Vehicle numbers'!$A$5:$A$162,J233),4),
    MATCH(L$8,'Vehicle numbers'!$B$4:$D$4,0))*1000</f>
        <v>715402.13747296715</v>
      </c>
      <c r="M233" s="184">
        <f>VLOOKUP(F233,'Annual distance covered (GB)'!$A$8:$H$33,MATCH(J233,'Annual distance covered (GB)'!$A$7:$H$7,0))</f>
        <v>3.7</v>
      </c>
      <c r="N233" s="2">
        <f t="shared" ca="1" si="20"/>
        <v>1116.5568229444016</v>
      </c>
      <c r="O233" s="180">
        <f t="shared" ca="1" si="21"/>
        <v>1.5607401270681734E-3</v>
      </c>
      <c r="P233" s="180"/>
      <c r="Q233" s="185"/>
      <c r="R233" s="186"/>
      <c r="S233" s="180"/>
      <c r="T233" s="180"/>
    </row>
    <row r="234" spans="1:20" x14ac:dyDescent="0.25">
      <c r="A234" t="s">
        <v>236</v>
      </c>
      <c r="B234" t="s">
        <v>237</v>
      </c>
      <c r="C234" t="s">
        <v>238</v>
      </c>
      <c r="D234" t="s">
        <v>239</v>
      </c>
      <c r="E234" t="s">
        <v>229</v>
      </c>
      <c r="F234">
        <v>1996</v>
      </c>
      <c r="G234">
        <v>8.4410000000000006E-3</v>
      </c>
      <c r="H234" t="s">
        <v>240</v>
      </c>
      <c r="I234" t="s">
        <v>241</v>
      </c>
      <c r="J234" t="s">
        <v>242</v>
      </c>
      <c r="K234" s="183">
        <f ca="1">VLOOKUP(F234,
    OFFSET(INDIRECT(ADDRESS(MATCH(J234,'Vehicle numbers'!$A$5:$A$162,0),1,1,1,$L$6)),4,1,COUNTIF('Vehicle numbers'!$A$5:$A$162,J234),4),
    MATCH(K$8,'Vehicle numbers'!$B$4:$D$4,0))*1000</f>
        <v>157638</v>
      </c>
      <c r="L234" s="183">
        <f ca="1">VLOOKUP(F234,
    OFFSET(INDIRECT(ADDRESS(MATCH(J234,'Vehicle numbers'!$A$5:$A$162,0),1,1,1,$L$6)),4,1,COUNTIF('Vehicle numbers'!$A$5:$A$162,J234),4),
    MATCH(L$8,'Vehicle numbers'!$B$4:$D$4,0))*1000</f>
        <v>163145.81439636886</v>
      </c>
      <c r="M234" s="184">
        <f>VLOOKUP(F234,'Annual distance covered (GB)'!$A$8:$H$33,MATCH(J234,'Annual distance covered (GB)'!$A$7:$H$7,0))</f>
        <v>5</v>
      </c>
      <c r="N234" s="2">
        <f t="shared" ca="1" si="20"/>
        <v>43679.627352533964</v>
      </c>
      <c r="O234" s="180">
        <f t="shared" ca="1" si="21"/>
        <v>0.26773366827795331</v>
      </c>
      <c r="P234" s="180"/>
      <c r="Q234" s="185"/>
      <c r="R234" s="186"/>
      <c r="S234" s="180"/>
      <c r="T234" s="180"/>
    </row>
    <row r="235" spans="1:20" x14ac:dyDescent="0.25">
      <c r="A235" t="s">
        <v>243</v>
      </c>
      <c r="B235" t="s">
        <v>237</v>
      </c>
      <c r="C235" t="s">
        <v>238</v>
      </c>
      <c r="D235" t="s">
        <v>239</v>
      </c>
      <c r="E235" t="s">
        <v>229</v>
      </c>
      <c r="F235">
        <v>1996</v>
      </c>
      <c r="G235">
        <v>3.3763999999999999E-3</v>
      </c>
      <c r="H235" t="s">
        <v>240</v>
      </c>
      <c r="I235" t="s">
        <v>241</v>
      </c>
      <c r="J235" t="s">
        <v>242</v>
      </c>
      <c r="K235" s="183">
        <f ca="1">VLOOKUP(F235,
    OFFSET(INDIRECT(ADDRESS(MATCH(J235,'Vehicle numbers'!$A$5:$A$162,0),1,1,1,$L$6)),4,1,COUNTIF('Vehicle numbers'!$A$5:$A$162,J235),4),
    MATCH(K$8,'Vehicle numbers'!$B$4:$D$4,0))*1000</f>
        <v>157638</v>
      </c>
      <c r="L235" s="183">
        <f ca="1">VLOOKUP(F235,
    OFFSET(INDIRECT(ADDRESS(MATCH(J235,'Vehicle numbers'!$A$5:$A$162,0),1,1,1,$L$6)),4,1,COUNTIF('Vehicle numbers'!$A$5:$A$162,J235),4),
    MATCH(L$8,'Vehicle numbers'!$B$4:$D$4,0))*1000</f>
        <v>163145.81439636886</v>
      </c>
      <c r="M235" s="184">
        <f>VLOOKUP(F235,'Annual distance covered (GB)'!$A$8:$H$33,MATCH(J235,'Annual distance covered (GB)'!$A$7:$H$7,0))</f>
        <v>5</v>
      </c>
      <c r="N235" s="2">
        <f t="shared" ca="1" si="20"/>
        <v>17471.850941013581</v>
      </c>
      <c r="O235" s="180">
        <f t="shared" ca="1" si="21"/>
        <v>0.1070934673111813</v>
      </c>
      <c r="P235" s="180"/>
      <c r="Q235" s="185"/>
      <c r="R235" s="186"/>
      <c r="S235" s="180"/>
      <c r="T235" s="180"/>
    </row>
    <row r="236" spans="1:20" x14ac:dyDescent="0.25">
      <c r="A236" t="s">
        <v>244</v>
      </c>
      <c r="B236" t="s">
        <v>237</v>
      </c>
      <c r="C236" t="s">
        <v>238</v>
      </c>
      <c r="D236" t="s">
        <v>239</v>
      </c>
      <c r="E236" t="s">
        <v>229</v>
      </c>
      <c r="F236">
        <v>1996</v>
      </c>
      <c r="G236">
        <v>8.4409999999999997E-4</v>
      </c>
      <c r="H236" t="s">
        <v>240</v>
      </c>
      <c r="I236" t="s">
        <v>241</v>
      </c>
      <c r="J236" t="s">
        <v>242</v>
      </c>
      <c r="K236" s="183">
        <f ca="1">VLOOKUP(F236,
    OFFSET(INDIRECT(ADDRESS(MATCH(J236,'Vehicle numbers'!$A$5:$A$162,0),1,1,1,$L$6)),4,1,COUNTIF('Vehicle numbers'!$A$5:$A$162,J236),4),
    MATCH(K$8,'Vehicle numbers'!$B$4:$D$4,0))*1000</f>
        <v>157638</v>
      </c>
      <c r="L236" s="183">
        <f ca="1">VLOOKUP(F236,
    OFFSET(INDIRECT(ADDRESS(MATCH(J236,'Vehicle numbers'!$A$5:$A$162,0),1,1,1,$L$6)),4,1,COUNTIF('Vehicle numbers'!$A$5:$A$162,J236),4),
    MATCH(L$8,'Vehicle numbers'!$B$4:$D$4,0))*1000</f>
        <v>163145.81439636886</v>
      </c>
      <c r="M236" s="184">
        <f>VLOOKUP(F236,'Annual distance covered (GB)'!$A$8:$H$33,MATCH(J236,'Annual distance covered (GB)'!$A$7:$H$7,0))</f>
        <v>5</v>
      </c>
      <c r="N236" s="2">
        <f t="shared" ca="1" si="20"/>
        <v>4367.9627352533953</v>
      </c>
      <c r="O236" s="180">
        <f t="shared" ca="1" si="21"/>
        <v>2.6773366827795325E-2</v>
      </c>
      <c r="P236" s="180"/>
      <c r="Q236" s="185"/>
      <c r="R236" s="187"/>
      <c r="S236" s="180"/>
      <c r="T236" s="180"/>
    </row>
    <row r="237" spans="1:20" x14ac:dyDescent="0.25">
      <c r="A237" t="s">
        <v>246</v>
      </c>
      <c r="B237" t="s">
        <v>237</v>
      </c>
      <c r="C237" t="s">
        <v>238</v>
      </c>
      <c r="D237" t="s">
        <v>239</v>
      </c>
      <c r="E237" t="s">
        <v>229</v>
      </c>
      <c r="F237">
        <v>1996</v>
      </c>
      <c r="G237">
        <v>6.7528E-4</v>
      </c>
      <c r="H237" t="s">
        <v>240</v>
      </c>
      <c r="I237" t="s">
        <v>241</v>
      </c>
      <c r="J237" t="s">
        <v>242</v>
      </c>
      <c r="K237" s="183">
        <f ca="1">VLOOKUP(F237,
    OFFSET(INDIRECT(ADDRESS(MATCH(J237,'Vehicle numbers'!$A$5:$A$162,0),1,1,1,$L$6)),4,1,COUNTIF('Vehicle numbers'!$A$5:$A$162,J237),4),
    MATCH(K$8,'Vehicle numbers'!$B$4:$D$4,0))*1000</f>
        <v>157638</v>
      </c>
      <c r="L237" s="183">
        <f ca="1">VLOOKUP(F237,
    OFFSET(INDIRECT(ADDRESS(MATCH(J237,'Vehicle numbers'!$A$5:$A$162,0),1,1,1,$L$6)),4,1,COUNTIF('Vehicle numbers'!$A$5:$A$162,J237),4),
    MATCH(L$8,'Vehicle numbers'!$B$4:$D$4,0))*1000</f>
        <v>163145.81439636886</v>
      </c>
      <c r="M237" s="184">
        <f>VLOOKUP(F237,'Annual distance covered (GB)'!$A$8:$H$33,MATCH(J237,'Annual distance covered (GB)'!$A$7:$H$7,0))</f>
        <v>5</v>
      </c>
      <c r="N237" s="2">
        <f t="shared" ca="1" si="20"/>
        <v>3494.3701882027167</v>
      </c>
      <c r="O237" s="180">
        <f t="shared" ca="1" si="21"/>
        <v>2.1418693462236262E-2</v>
      </c>
      <c r="P237" s="180"/>
      <c r="Q237" s="185"/>
      <c r="R237" s="188"/>
      <c r="S237" s="180"/>
      <c r="T237" s="180"/>
    </row>
    <row r="238" spans="1:20" x14ac:dyDescent="0.25">
      <c r="A238" t="s">
        <v>236</v>
      </c>
      <c r="B238" t="s">
        <v>237</v>
      </c>
      <c r="C238" t="s">
        <v>238</v>
      </c>
      <c r="D238" t="s">
        <v>239</v>
      </c>
      <c r="E238" t="s">
        <v>228</v>
      </c>
      <c r="F238">
        <v>1996</v>
      </c>
      <c r="G238">
        <v>1.39232E-2</v>
      </c>
      <c r="H238" t="s">
        <v>240</v>
      </c>
      <c r="I238" t="s">
        <v>241</v>
      </c>
      <c r="J238" t="s">
        <v>242</v>
      </c>
      <c r="K238" s="183">
        <f ca="1">VLOOKUP(F238,
    OFFSET(INDIRECT(ADDRESS(MATCH(J238,'Vehicle numbers'!$A$5:$A$162,0),1,1,1,$L$6)),4,1,COUNTIF('Vehicle numbers'!$A$5:$A$162,J238),4),
    MATCH(K$8,'Vehicle numbers'!$B$4:$D$4,0))*1000</f>
        <v>157638</v>
      </c>
      <c r="L238" s="183">
        <f ca="1">VLOOKUP(F238,
    OFFSET(INDIRECT(ADDRESS(MATCH(J238,'Vehicle numbers'!$A$5:$A$162,0),1,1,1,$L$6)),4,1,COUNTIF('Vehicle numbers'!$A$5:$A$162,J238),4),
    MATCH(L$8,'Vehicle numbers'!$B$4:$D$4,0))*1000</f>
        <v>163145.81439636886</v>
      </c>
      <c r="M238" s="184">
        <f>VLOOKUP(F238,'Annual distance covered (GB)'!$A$8:$H$33,MATCH(J238,'Annual distance covered (GB)'!$A$7:$H$7,0))</f>
        <v>5</v>
      </c>
      <c r="N238" s="2">
        <f t="shared" ca="1" si="20"/>
        <v>72048.357724772039</v>
      </c>
      <c r="O238" s="180">
        <f t="shared" ca="1" si="21"/>
        <v>0.44161940648828329</v>
      </c>
      <c r="P238" s="180"/>
      <c r="Q238" s="185"/>
      <c r="R238" s="186"/>
      <c r="S238" s="180"/>
      <c r="T238" s="180"/>
    </row>
    <row r="239" spans="1:20" x14ac:dyDescent="0.25">
      <c r="A239" t="s">
        <v>243</v>
      </c>
      <c r="B239" t="s">
        <v>237</v>
      </c>
      <c r="C239" t="s">
        <v>238</v>
      </c>
      <c r="D239" t="s">
        <v>239</v>
      </c>
      <c r="E239" t="s">
        <v>228</v>
      </c>
      <c r="F239">
        <v>1996</v>
      </c>
      <c r="G239">
        <v>9.7462399999999998E-3</v>
      </c>
      <c r="H239" t="s">
        <v>240</v>
      </c>
      <c r="I239" t="s">
        <v>241</v>
      </c>
      <c r="J239" t="s">
        <v>242</v>
      </c>
      <c r="K239" s="183">
        <f ca="1">VLOOKUP(F239,
    OFFSET(INDIRECT(ADDRESS(MATCH(J239,'Vehicle numbers'!$A$5:$A$162,0),1,1,1,$L$6)),4,1,COUNTIF('Vehicle numbers'!$A$5:$A$162,J239),4),
    MATCH(K$8,'Vehicle numbers'!$B$4:$D$4,0))*1000</f>
        <v>157638</v>
      </c>
      <c r="L239" s="183">
        <f ca="1">VLOOKUP(F239,
    OFFSET(INDIRECT(ADDRESS(MATCH(J239,'Vehicle numbers'!$A$5:$A$162,0),1,1,1,$L$6)),4,1,COUNTIF('Vehicle numbers'!$A$5:$A$162,J239),4),
    MATCH(L$8,'Vehicle numbers'!$B$4:$D$4,0))*1000</f>
        <v>163145.81439636886</v>
      </c>
      <c r="M239" s="184">
        <f>VLOOKUP(F239,'Annual distance covered (GB)'!$A$8:$H$33,MATCH(J239,'Annual distance covered (GB)'!$A$7:$H$7,0))</f>
        <v>5</v>
      </c>
      <c r="N239" s="2">
        <f t="shared" ca="1" si="20"/>
        <v>50433.850407340433</v>
      </c>
      <c r="O239" s="180">
        <f t="shared" ca="1" si="21"/>
        <v>0.30913358454179835</v>
      </c>
      <c r="P239" s="180"/>
      <c r="Q239" s="185"/>
      <c r="R239" s="186"/>
      <c r="S239" s="180"/>
      <c r="T239" s="180"/>
    </row>
    <row r="240" spans="1:20" x14ac:dyDescent="0.25">
      <c r="A240" t="s">
        <v>244</v>
      </c>
      <c r="B240" t="s">
        <v>237</v>
      </c>
      <c r="C240" t="s">
        <v>238</v>
      </c>
      <c r="D240" t="s">
        <v>239</v>
      </c>
      <c r="E240" t="s">
        <v>228</v>
      </c>
      <c r="F240">
        <v>1996</v>
      </c>
      <c r="G240">
        <v>1.3727098591549301E-3</v>
      </c>
      <c r="H240" t="s">
        <v>240</v>
      </c>
      <c r="I240" t="s">
        <v>241</v>
      </c>
      <c r="J240" t="s">
        <v>242</v>
      </c>
      <c r="K240" s="183">
        <f ca="1">VLOOKUP(F240,
    OFFSET(INDIRECT(ADDRESS(MATCH(J240,'Vehicle numbers'!$A$5:$A$162,0),1,1,1,$L$6)),4,1,COUNTIF('Vehicle numbers'!$A$5:$A$162,J240),4),
    MATCH(K$8,'Vehicle numbers'!$B$4:$D$4,0))*1000</f>
        <v>157638</v>
      </c>
      <c r="L240" s="183">
        <f ca="1">VLOOKUP(F240,
    OFFSET(INDIRECT(ADDRESS(MATCH(J240,'Vehicle numbers'!$A$5:$A$162,0),1,1,1,$L$6)),4,1,COUNTIF('Vehicle numbers'!$A$5:$A$162,J240),4),
    MATCH(L$8,'Vehicle numbers'!$B$4:$D$4,0))*1000</f>
        <v>163145.81439636886</v>
      </c>
      <c r="M240" s="184">
        <f>VLOOKUP(F240,'Annual distance covered (GB)'!$A$8:$H$33,MATCH(J240,'Annual distance covered (GB)'!$A$7:$H$7,0))</f>
        <v>5</v>
      </c>
      <c r="N240" s="2">
        <f t="shared" ca="1" si="20"/>
        <v>7103.3592123014705</v>
      </c>
      <c r="O240" s="180">
        <f t="shared" ca="1" si="21"/>
        <v>4.3539941484760335E-2</v>
      </c>
      <c r="P240" s="180"/>
      <c r="Q240" s="185"/>
      <c r="R240" s="186"/>
      <c r="S240" s="180"/>
      <c r="T240" s="180"/>
    </row>
    <row r="241" spans="1:20" x14ac:dyDescent="0.25">
      <c r="A241" t="s">
        <v>246</v>
      </c>
      <c r="B241" t="s">
        <v>237</v>
      </c>
      <c r="C241" t="s">
        <v>238</v>
      </c>
      <c r="D241" t="s">
        <v>239</v>
      </c>
      <c r="E241" t="s">
        <v>228</v>
      </c>
      <c r="F241">
        <v>1996</v>
      </c>
      <c r="G241">
        <v>1.09816788732394E-3</v>
      </c>
      <c r="H241" t="s">
        <v>240</v>
      </c>
      <c r="I241" t="s">
        <v>241</v>
      </c>
      <c r="J241" t="s">
        <v>242</v>
      </c>
      <c r="K241" s="183">
        <f ca="1">VLOOKUP(F241,
    OFFSET(INDIRECT(ADDRESS(MATCH(J241,'Vehicle numbers'!$A$5:$A$162,0),1,1,1,$L$6)),4,1,COUNTIF('Vehicle numbers'!$A$5:$A$162,J241),4),
    MATCH(K$8,'Vehicle numbers'!$B$4:$D$4,0))*1000</f>
        <v>157638</v>
      </c>
      <c r="L241" s="183">
        <f ca="1">VLOOKUP(F241,
    OFFSET(INDIRECT(ADDRESS(MATCH(J241,'Vehicle numbers'!$A$5:$A$162,0),1,1,1,$L$6)),4,1,COUNTIF('Vehicle numbers'!$A$5:$A$162,J241),4),
    MATCH(L$8,'Vehicle numbers'!$B$4:$D$4,0))*1000</f>
        <v>163145.81439636886</v>
      </c>
      <c r="M241" s="184">
        <f>VLOOKUP(F241,'Annual distance covered (GB)'!$A$8:$H$33,MATCH(J241,'Annual distance covered (GB)'!$A$7:$H$7,0))</f>
        <v>5</v>
      </c>
      <c r="N241" s="2">
        <f t="shared" ca="1" si="20"/>
        <v>5682.6873698411555</v>
      </c>
      <c r="O241" s="180">
        <f t="shared" ca="1" si="21"/>
        <v>3.4831953187808143E-2</v>
      </c>
      <c r="P241" s="180"/>
      <c r="Q241" s="185"/>
      <c r="R241" s="186"/>
      <c r="S241" s="180"/>
      <c r="T241" s="180"/>
    </row>
    <row r="242" spans="1:20" x14ac:dyDescent="0.25">
      <c r="A242" t="s">
        <v>236</v>
      </c>
      <c r="B242" t="s">
        <v>237</v>
      </c>
      <c r="C242" t="s">
        <v>238</v>
      </c>
      <c r="D242" t="s">
        <v>248</v>
      </c>
      <c r="E242" t="s">
        <v>229</v>
      </c>
      <c r="F242">
        <v>1996</v>
      </c>
      <c r="G242">
        <v>2.7143000000000101E-2</v>
      </c>
      <c r="H242" t="s">
        <v>240</v>
      </c>
      <c r="I242" t="s">
        <v>241</v>
      </c>
      <c r="J242" t="s">
        <v>242</v>
      </c>
      <c r="K242" s="183">
        <f ca="1">VLOOKUP(F242,
    OFFSET(INDIRECT(ADDRESS(MATCH(J242,'Vehicle numbers'!$A$5:$A$162,0),1,1,1,$L$6)),4,1,COUNTIF('Vehicle numbers'!$A$5:$A$162,J242),4),
    MATCH(K$8,'Vehicle numbers'!$B$4:$D$4,0))*1000</f>
        <v>157638</v>
      </c>
      <c r="L242" s="183">
        <f ca="1">VLOOKUP(F242,
    OFFSET(INDIRECT(ADDRESS(MATCH(J242,'Vehicle numbers'!$A$5:$A$162,0),1,1,1,$L$6)),4,1,COUNTIF('Vehicle numbers'!$A$5:$A$162,J242),4),
    MATCH(L$8,'Vehicle numbers'!$B$4:$D$4,0))*1000</f>
        <v>163145.81439636886</v>
      </c>
      <c r="M242" s="184">
        <f>VLOOKUP(F242,'Annual distance covered (GB)'!$A$8:$H$33,MATCH(J242,'Annual distance covered (GB)'!$A$7:$H$7,0))</f>
        <v>5</v>
      </c>
      <c r="N242" s="2">
        <f t="shared" ca="1" si="20"/>
        <v>140456.83274846978</v>
      </c>
      <c r="O242" s="180">
        <f t="shared" ca="1" si="21"/>
        <v>0.86092820259074898</v>
      </c>
      <c r="P242" s="180"/>
      <c r="Q242" s="185"/>
      <c r="R242" s="187"/>
      <c r="S242" s="180"/>
      <c r="T242" s="180"/>
    </row>
    <row r="243" spans="1:20" x14ac:dyDescent="0.25">
      <c r="A243" t="s">
        <v>243</v>
      </c>
      <c r="B243" t="s">
        <v>237</v>
      </c>
      <c r="C243" t="s">
        <v>238</v>
      </c>
      <c r="D243" t="s">
        <v>248</v>
      </c>
      <c r="E243" t="s">
        <v>229</v>
      </c>
      <c r="F243">
        <v>1996</v>
      </c>
      <c r="G243">
        <v>1.0857199999999999E-2</v>
      </c>
      <c r="H243" t="s">
        <v>240</v>
      </c>
      <c r="I243" t="s">
        <v>241</v>
      </c>
      <c r="J243" t="s">
        <v>242</v>
      </c>
      <c r="K243" s="183">
        <f ca="1">VLOOKUP(F243,
    OFFSET(INDIRECT(ADDRESS(MATCH(J243,'Vehicle numbers'!$A$5:$A$162,0),1,1,1,$L$6)),4,1,COUNTIF('Vehicle numbers'!$A$5:$A$162,J243),4),
    MATCH(K$8,'Vehicle numbers'!$B$4:$D$4,0))*1000</f>
        <v>157638</v>
      </c>
      <c r="L243" s="183">
        <f ca="1">VLOOKUP(F243,
    OFFSET(INDIRECT(ADDRESS(MATCH(J243,'Vehicle numbers'!$A$5:$A$162,0),1,1,1,$L$6)),4,1,COUNTIF('Vehicle numbers'!$A$5:$A$162,J243),4),
    MATCH(L$8,'Vehicle numbers'!$B$4:$D$4,0))*1000</f>
        <v>163145.81439636886</v>
      </c>
      <c r="M243" s="184">
        <f>VLOOKUP(F243,'Annual distance covered (GB)'!$A$8:$H$33,MATCH(J243,'Annual distance covered (GB)'!$A$7:$H$7,0))</f>
        <v>5</v>
      </c>
      <c r="N243" s="2">
        <f t="shared" ca="1" si="20"/>
        <v>56182.733099387704</v>
      </c>
      <c r="O243" s="180">
        <f t="shared" ca="1" si="21"/>
        <v>0.34437128103629833</v>
      </c>
      <c r="P243" s="180"/>
      <c r="Q243" s="185"/>
      <c r="R243" s="186"/>
      <c r="S243" s="180"/>
      <c r="T243" s="180"/>
    </row>
    <row r="244" spans="1:20" x14ac:dyDescent="0.25">
      <c r="A244" t="s">
        <v>244</v>
      </c>
      <c r="B244" t="s">
        <v>237</v>
      </c>
      <c r="C244" t="s">
        <v>238</v>
      </c>
      <c r="D244" t="s">
        <v>248</v>
      </c>
      <c r="E244" t="s">
        <v>229</v>
      </c>
      <c r="F244">
        <v>1996</v>
      </c>
      <c r="G244">
        <v>2.7142999999999998E-3</v>
      </c>
      <c r="H244" t="s">
        <v>240</v>
      </c>
      <c r="I244" t="s">
        <v>241</v>
      </c>
      <c r="J244" t="s">
        <v>242</v>
      </c>
      <c r="K244" s="183">
        <f ca="1">VLOOKUP(F244,
    OFFSET(INDIRECT(ADDRESS(MATCH(J244,'Vehicle numbers'!$A$5:$A$162,0),1,1,1,$L$6)),4,1,COUNTIF('Vehicle numbers'!$A$5:$A$162,J244),4),
    MATCH(K$8,'Vehicle numbers'!$B$4:$D$4,0))*1000</f>
        <v>157638</v>
      </c>
      <c r="L244" s="183">
        <f ca="1">VLOOKUP(F244,
    OFFSET(INDIRECT(ADDRESS(MATCH(J244,'Vehicle numbers'!$A$5:$A$162,0),1,1,1,$L$6)),4,1,COUNTIF('Vehicle numbers'!$A$5:$A$162,J244),4),
    MATCH(L$8,'Vehicle numbers'!$B$4:$D$4,0))*1000</f>
        <v>163145.81439636886</v>
      </c>
      <c r="M244" s="184">
        <f>VLOOKUP(F244,'Annual distance covered (GB)'!$A$8:$H$33,MATCH(J244,'Annual distance covered (GB)'!$A$7:$H$7,0))</f>
        <v>5</v>
      </c>
      <c r="N244" s="2">
        <f t="shared" ca="1" si="20"/>
        <v>14045.683274846926</v>
      </c>
      <c r="O244" s="180">
        <f t="shared" ca="1" si="21"/>
        <v>8.6092820259074582E-2</v>
      </c>
      <c r="P244" s="180"/>
      <c r="Q244" s="185"/>
      <c r="R244" s="186"/>
      <c r="S244" s="180"/>
      <c r="T244" s="180"/>
    </row>
    <row r="245" spans="1:20" x14ac:dyDescent="0.25">
      <c r="A245" t="s">
        <v>246</v>
      </c>
      <c r="B245" t="s">
        <v>237</v>
      </c>
      <c r="C245" t="s">
        <v>238</v>
      </c>
      <c r="D245" t="s">
        <v>248</v>
      </c>
      <c r="E245" t="s">
        <v>229</v>
      </c>
      <c r="F245">
        <v>1996</v>
      </c>
      <c r="G245">
        <v>2.1714400000000002E-3</v>
      </c>
      <c r="H245" t="s">
        <v>240</v>
      </c>
      <c r="I245" t="s">
        <v>241</v>
      </c>
      <c r="J245" t="s">
        <v>242</v>
      </c>
      <c r="K245" s="183">
        <f ca="1">VLOOKUP(F245,
    OFFSET(INDIRECT(ADDRESS(MATCH(J245,'Vehicle numbers'!$A$5:$A$162,0),1,1,1,$L$6)),4,1,COUNTIF('Vehicle numbers'!$A$5:$A$162,J245),4),
    MATCH(K$8,'Vehicle numbers'!$B$4:$D$4,0))*1000</f>
        <v>157638</v>
      </c>
      <c r="L245" s="183">
        <f ca="1">VLOOKUP(F245,
    OFFSET(INDIRECT(ADDRESS(MATCH(J245,'Vehicle numbers'!$A$5:$A$162,0),1,1,1,$L$6)),4,1,COUNTIF('Vehicle numbers'!$A$5:$A$162,J245),4),
    MATCH(L$8,'Vehicle numbers'!$B$4:$D$4,0))*1000</f>
        <v>163145.81439636886</v>
      </c>
      <c r="M245" s="184">
        <f>VLOOKUP(F245,'Annual distance covered (GB)'!$A$8:$H$33,MATCH(J245,'Annual distance covered (GB)'!$A$7:$H$7,0))</f>
        <v>5</v>
      </c>
      <c r="N245" s="2">
        <f t="shared" ca="1" si="20"/>
        <v>11236.546619877543</v>
      </c>
      <c r="O245" s="180">
        <f t="shared" ca="1" si="21"/>
        <v>6.8874256207259676E-2</v>
      </c>
      <c r="P245" s="180"/>
      <c r="Q245" s="185"/>
      <c r="R245" s="187"/>
      <c r="S245" s="180"/>
      <c r="T245" s="180"/>
    </row>
    <row r="246" spans="1:20" x14ac:dyDescent="0.25">
      <c r="A246" t="s">
        <v>236</v>
      </c>
      <c r="B246" t="s">
        <v>237</v>
      </c>
      <c r="C246" t="s">
        <v>238</v>
      </c>
      <c r="D246" t="s">
        <v>248</v>
      </c>
      <c r="E246" t="s">
        <v>228</v>
      </c>
      <c r="F246">
        <v>1996</v>
      </c>
      <c r="G246">
        <v>1.6955207511182801E-2</v>
      </c>
      <c r="H246" t="s">
        <v>240</v>
      </c>
      <c r="I246" t="s">
        <v>241</v>
      </c>
      <c r="J246" t="s">
        <v>242</v>
      </c>
      <c r="K246" s="183">
        <f ca="1">VLOOKUP(F246,
    OFFSET(INDIRECT(ADDRESS(MATCH(J246,'Vehicle numbers'!$A$5:$A$162,0),1,1,1,$L$6)),4,1,COUNTIF('Vehicle numbers'!$A$5:$A$162,J246),4),
    MATCH(K$8,'Vehicle numbers'!$B$4:$D$4,0))*1000</f>
        <v>157638</v>
      </c>
      <c r="L246" s="183">
        <f ca="1">VLOOKUP(F246,
    OFFSET(INDIRECT(ADDRESS(MATCH(J246,'Vehicle numbers'!$A$5:$A$162,0),1,1,1,$L$6)),4,1,COUNTIF('Vehicle numbers'!$A$5:$A$162,J246),4),
    MATCH(L$8,'Vehicle numbers'!$B$4:$D$4,0))*1000</f>
        <v>163145.81439636886</v>
      </c>
      <c r="M246" s="184">
        <f>VLOOKUP(F246,'Annual distance covered (GB)'!$A$8:$H$33,MATCH(J246,'Annual distance covered (GB)'!$A$7:$H$7,0))</f>
        <v>5</v>
      </c>
      <c r="N246" s="2">
        <f t="shared" ca="1" si="20"/>
        <v>87738.081480079316</v>
      </c>
      <c r="O246" s="180">
        <f t="shared" ca="1" si="21"/>
        <v>0.53778935000389505</v>
      </c>
      <c r="P246" s="180"/>
      <c r="Q246" s="185"/>
      <c r="R246" s="188"/>
      <c r="S246" s="180"/>
      <c r="T246" s="180"/>
    </row>
    <row r="247" spans="1:20" x14ac:dyDescent="0.25">
      <c r="A247" t="s">
        <v>243</v>
      </c>
      <c r="B247" t="s">
        <v>237</v>
      </c>
      <c r="C247" t="s">
        <v>238</v>
      </c>
      <c r="D247" t="s">
        <v>248</v>
      </c>
      <c r="E247" t="s">
        <v>228</v>
      </c>
      <c r="F247">
        <v>1996</v>
      </c>
      <c r="G247">
        <v>1.1868645257828001E-2</v>
      </c>
      <c r="H247" t="s">
        <v>240</v>
      </c>
      <c r="I247" t="s">
        <v>241</v>
      </c>
      <c r="J247" t="s">
        <v>242</v>
      </c>
      <c r="K247" s="183">
        <f ca="1">VLOOKUP(F247,
    OFFSET(INDIRECT(ADDRESS(MATCH(J247,'Vehicle numbers'!$A$5:$A$162,0),1,1,1,$L$6)),4,1,COUNTIF('Vehicle numbers'!$A$5:$A$162,J247),4),
    MATCH(K$8,'Vehicle numbers'!$B$4:$D$4,0))*1000</f>
        <v>157638</v>
      </c>
      <c r="L247" s="183">
        <f ca="1">VLOOKUP(F247,
    OFFSET(INDIRECT(ADDRESS(MATCH(J247,'Vehicle numbers'!$A$5:$A$162,0),1,1,1,$L$6)),4,1,COUNTIF('Vehicle numbers'!$A$5:$A$162,J247),4),
    MATCH(L$8,'Vehicle numbers'!$B$4:$D$4,0))*1000</f>
        <v>163145.81439636886</v>
      </c>
      <c r="M247" s="184">
        <f>VLOOKUP(F247,'Annual distance covered (GB)'!$A$8:$H$33,MATCH(J247,'Annual distance covered (GB)'!$A$7:$H$7,0))</f>
        <v>5</v>
      </c>
      <c r="N247" s="2">
        <f t="shared" ca="1" si="20"/>
        <v>61416.657036055723</v>
      </c>
      <c r="O247" s="180">
        <f t="shared" ca="1" si="21"/>
        <v>0.37645254500272779</v>
      </c>
      <c r="P247" s="180"/>
      <c r="Q247" s="185"/>
      <c r="R247" s="186"/>
      <c r="S247" s="180"/>
      <c r="T247" s="180"/>
    </row>
    <row r="248" spans="1:20" x14ac:dyDescent="0.25">
      <c r="A248" t="s">
        <v>244</v>
      </c>
      <c r="B248" t="s">
        <v>237</v>
      </c>
      <c r="C248" t="s">
        <v>238</v>
      </c>
      <c r="D248" t="s">
        <v>248</v>
      </c>
      <c r="E248" t="s">
        <v>228</v>
      </c>
      <c r="F248">
        <v>1996</v>
      </c>
      <c r="G248">
        <v>1.6716401771588701E-3</v>
      </c>
      <c r="H248" t="s">
        <v>240</v>
      </c>
      <c r="I248" t="s">
        <v>241</v>
      </c>
      <c r="J248" t="s">
        <v>242</v>
      </c>
      <c r="K248" s="183">
        <f ca="1">VLOOKUP(F248,
    OFFSET(INDIRECT(ADDRESS(MATCH(J248,'Vehicle numbers'!$A$5:$A$162,0),1,1,1,$L$6)),4,1,COUNTIF('Vehicle numbers'!$A$5:$A$162,J248),4),
    MATCH(K$8,'Vehicle numbers'!$B$4:$D$4,0))*1000</f>
        <v>157638</v>
      </c>
      <c r="L248" s="183">
        <f ca="1">VLOOKUP(F248,
    OFFSET(INDIRECT(ADDRESS(MATCH(J248,'Vehicle numbers'!$A$5:$A$162,0),1,1,1,$L$6)),4,1,COUNTIF('Vehicle numbers'!$A$5:$A$162,J248),4),
    MATCH(L$8,'Vehicle numbers'!$B$4:$D$4,0))*1000</f>
        <v>163145.81439636886</v>
      </c>
      <c r="M248" s="184">
        <f>VLOOKUP(F248,'Annual distance covered (GB)'!$A$8:$H$33,MATCH(J248,'Annual distance covered (GB)'!$A$7:$H$7,0))</f>
        <v>5</v>
      </c>
      <c r="N248" s="2">
        <f t="shared" ca="1" si="20"/>
        <v>8650.2333853599448</v>
      </c>
      <c r="O248" s="180">
        <f t="shared" ca="1" si="21"/>
        <v>5.3021485211651703E-2</v>
      </c>
      <c r="P248" s="180"/>
      <c r="Q248" s="185"/>
      <c r="R248" s="186"/>
      <c r="S248" s="180"/>
      <c r="T248" s="180"/>
    </row>
    <row r="249" spans="1:20" x14ac:dyDescent="0.25">
      <c r="A249" t="s">
        <v>246</v>
      </c>
      <c r="B249" t="s">
        <v>237</v>
      </c>
      <c r="C249" t="s">
        <v>238</v>
      </c>
      <c r="D249" t="s">
        <v>248</v>
      </c>
      <c r="E249" t="s">
        <v>228</v>
      </c>
      <c r="F249">
        <v>1996</v>
      </c>
      <c r="G249">
        <v>1.3373121417270999E-3</v>
      </c>
      <c r="H249" t="s">
        <v>240</v>
      </c>
      <c r="I249" t="s">
        <v>241</v>
      </c>
      <c r="J249" t="s">
        <v>242</v>
      </c>
      <c r="K249" s="183">
        <f ca="1">VLOOKUP(F249,
    OFFSET(INDIRECT(ADDRESS(MATCH(J249,'Vehicle numbers'!$A$5:$A$162,0),1,1,1,$L$6)),4,1,COUNTIF('Vehicle numbers'!$A$5:$A$162,J249),4),
    MATCH(K$8,'Vehicle numbers'!$B$4:$D$4,0))*1000</f>
        <v>157638</v>
      </c>
      <c r="L249" s="183">
        <f ca="1">VLOOKUP(F249,
    OFFSET(INDIRECT(ADDRESS(MATCH(J249,'Vehicle numbers'!$A$5:$A$162,0),1,1,1,$L$6)),4,1,COUNTIF('Vehicle numbers'!$A$5:$A$162,J249),4),
    MATCH(L$8,'Vehicle numbers'!$B$4:$D$4,0))*1000</f>
        <v>163145.81439636886</v>
      </c>
      <c r="M249" s="184">
        <f>VLOOKUP(F249,'Annual distance covered (GB)'!$A$8:$H$33,MATCH(J249,'Annual distance covered (GB)'!$A$7:$H$7,0))</f>
        <v>5</v>
      </c>
      <c r="N249" s="2">
        <f t="shared" ca="1" si="20"/>
        <v>6920.1867082879753</v>
      </c>
      <c r="O249" s="180">
        <f t="shared" ca="1" si="21"/>
        <v>4.2417188169321482E-2</v>
      </c>
      <c r="P249" s="180"/>
      <c r="Q249" s="185"/>
      <c r="R249" s="186"/>
      <c r="S249" s="180"/>
      <c r="T249" s="180"/>
    </row>
    <row r="250" spans="1:20" x14ac:dyDescent="0.25">
      <c r="A250" t="s">
        <v>236</v>
      </c>
      <c r="B250" t="s">
        <v>237</v>
      </c>
      <c r="C250" t="s">
        <v>238</v>
      </c>
      <c r="D250" t="s">
        <v>249</v>
      </c>
      <c r="E250" t="s">
        <v>229</v>
      </c>
      <c r="F250">
        <v>1996</v>
      </c>
      <c r="G250">
        <v>5.3595000000000101E-2</v>
      </c>
      <c r="H250" t="s">
        <v>240</v>
      </c>
      <c r="I250" t="s">
        <v>241</v>
      </c>
      <c r="J250" t="s">
        <v>242</v>
      </c>
      <c r="K250" s="183">
        <f ca="1">VLOOKUP(F250,
    OFFSET(INDIRECT(ADDRESS(MATCH(J250,'Vehicle numbers'!$A$5:$A$162,0),1,1,1,$L$6)),4,1,COUNTIF('Vehicle numbers'!$A$5:$A$162,J250),4),
    MATCH(K$8,'Vehicle numbers'!$B$4:$D$4,0))*1000</f>
        <v>157638</v>
      </c>
      <c r="L250" s="183">
        <f ca="1">VLOOKUP(F250,
    OFFSET(INDIRECT(ADDRESS(MATCH(J250,'Vehicle numbers'!$A$5:$A$162,0),1,1,1,$L$6)),4,1,COUNTIF('Vehicle numbers'!$A$5:$A$162,J250),4),
    MATCH(L$8,'Vehicle numbers'!$B$4:$D$4,0))*1000</f>
        <v>163145.81439636886</v>
      </c>
      <c r="M250" s="184">
        <f>VLOOKUP(F250,'Annual distance covered (GB)'!$A$8:$H$33,MATCH(J250,'Annual distance covered (GB)'!$A$7:$H$7,0))</f>
        <v>5</v>
      </c>
      <c r="N250" s="2">
        <f t="shared" ca="1" si="20"/>
        <v>277337.94905331853</v>
      </c>
      <c r="O250" s="180">
        <f t="shared" ca="1" si="21"/>
        <v>1.6999391009781937</v>
      </c>
      <c r="P250" s="180"/>
      <c r="Q250" s="185"/>
      <c r="R250" s="186"/>
      <c r="S250" s="180"/>
      <c r="T250" s="180"/>
    </row>
    <row r="251" spans="1:20" x14ac:dyDescent="0.25">
      <c r="A251" t="s">
        <v>243</v>
      </c>
      <c r="B251" t="s">
        <v>237</v>
      </c>
      <c r="C251" t="s">
        <v>238</v>
      </c>
      <c r="D251" t="s">
        <v>249</v>
      </c>
      <c r="E251" t="s">
        <v>229</v>
      </c>
      <c r="F251">
        <v>1996</v>
      </c>
      <c r="G251">
        <v>2.1437999999999999E-2</v>
      </c>
      <c r="H251" t="s">
        <v>240</v>
      </c>
      <c r="I251" t="s">
        <v>241</v>
      </c>
      <c r="J251" t="s">
        <v>242</v>
      </c>
      <c r="K251" s="183">
        <f ca="1">VLOOKUP(F251,
    OFFSET(INDIRECT(ADDRESS(MATCH(J251,'Vehicle numbers'!$A$5:$A$162,0),1,1,1,$L$6)),4,1,COUNTIF('Vehicle numbers'!$A$5:$A$162,J251),4),
    MATCH(K$8,'Vehicle numbers'!$B$4:$D$4,0))*1000</f>
        <v>157638</v>
      </c>
      <c r="L251" s="183">
        <f ca="1">VLOOKUP(F251,
    OFFSET(INDIRECT(ADDRESS(MATCH(J251,'Vehicle numbers'!$A$5:$A$162,0),1,1,1,$L$6)),4,1,COUNTIF('Vehicle numbers'!$A$5:$A$162,J251),4),
    MATCH(L$8,'Vehicle numbers'!$B$4:$D$4,0))*1000</f>
        <v>163145.81439636886</v>
      </c>
      <c r="M251" s="184">
        <f>VLOOKUP(F251,'Annual distance covered (GB)'!$A$8:$H$33,MATCH(J251,'Annual distance covered (GB)'!$A$7:$H$7,0))</f>
        <v>5</v>
      </c>
      <c r="N251" s="2">
        <f t="shared" ca="1" si="20"/>
        <v>110935.1796213272</v>
      </c>
      <c r="O251" s="180">
        <f t="shared" ca="1" si="21"/>
        <v>0.67997564039127623</v>
      </c>
      <c r="P251" s="180"/>
      <c r="Q251" s="185"/>
      <c r="R251" s="187"/>
      <c r="S251" s="180"/>
      <c r="T251" s="180"/>
    </row>
    <row r="252" spans="1:20" x14ac:dyDescent="0.25">
      <c r="A252" t="s">
        <v>244</v>
      </c>
      <c r="B252" t="s">
        <v>237</v>
      </c>
      <c r="C252" t="s">
        <v>238</v>
      </c>
      <c r="D252" t="s">
        <v>249</v>
      </c>
      <c r="E252" t="s">
        <v>229</v>
      </c>
      <c r="F252">
        <v>1996</v>
      </c>
      <c r="G252">
        <v>5.3594999999999997E-3</v>
      </c>
      <c r="H252" t="s">
        <v>240</v>
      </c>
      <c r="I252" t="s">
        <v>241</v>
      </c>
      <c r="J252" t="s">
        <v>242</v>
      </c>
      <c r="K252" s="183">
        <f ca="1">VLOOKUP(F252,
    OFFSET(INDIRECT(ADDRESS(MATCH(J252,'Vehicle numbers'!$A$5:$A$162,0),1,1,1,$L$6)),4,1,COUNTIF('Vehicle numbers'!$A$5:$A$162,J252),4),
    MATCH(K$8,'Vehicle numbers'!$B$4:$D$4,0))*1000</f>
        <v>157638</v>
      </c>
      <c r="L252" s="183">
        <f ca="1">VLOOKUP(F252,
    OFFSET(INDIRECT(ADDRESS(MATCH(J252,'Vehicle numbers'!$A$5:$A$162,0),1,1,1,$L$6)),4,1,COUNTIF('Vehicle numbers'!$A$5:$A$162,J252),4),
    MATCH(L$8,'Vehicle numbers'!$B$4:$D$4,0))*1000</f>
        <v>163145.81439636886</v>
      </c>
      <c r="M252" s="184">
        <f>VLOOKUP(F252,'Annual distance covered (GB)'!$A$8:$H$33,MATCH(J252,'Annual distance covered (GB)'!$A$7:$H$7,0))</f>
        <v>5</v>
      </c>
      <c r="N252" s="2">
        <f t="shared" ca="1" si="20"/>
        <v>27733.794905331801</v>
      </c>
      <c r="O252" s="180">
        <f t="shared" ca="1" si="21"/>
        <v>0.16999391009781906</v>
      </c>
      <c r="P252" s="180"/>
      <c r="Q252" s="185"/>
      <c r="R252" s="188"/>
      <c r="S252" s="180"/>
      <c r="T252" s="180"/>
    </row>
    <row r="253" spans="1:20" x14ac:dyDescent="0.25">
      <c r="A253" t="s">
        <v>246</v>
      </c>
      <c r="B253" t="s">
        <v>237</v>
      </c>
      <c r="C253" t="s">
        <v>238</v>
      </c>
      <c r="D253" t="s">
        <v>249</v>
      </c>
      <c r="E253" t="s">
        <v>229</v>
      </c>
      <c r="F253">
        <v>1996</v>
      </c>
      <c r="G253">
        <v>4.2875999999999999E-3</v>
      </c>
      <c r="H253" t="s">
        <v>240</v>
      </c>
      <c r="I253" t="s">
        <v>241</v>
      </c>
      <c r="J253" t="s">
        <v>242</v>
      </c>
      <c r="K253" s="183">
        <f ca="1">VLOOKUP(F253,
    OFFSET(INDIRECT(ADDRESS(MATCH(J253,'Vehicle numbers'!$A$5:$A$162,0),1,1,1,$L$6)),4,1,COUNTIF('Vehicle numbers'!$A$5:$A$162,J253),4),
    MATCH(K$8,'Vehicle numbers'!$B$4:$D$4,0))*1000</f>
        <v>157638</v>
      </c>
      <c r="L253" s="183">
        <f ca="1">VLOOKUP(F253,
    OFFSET(INDIRECT(ADDRESS(MATCH(J253,'Vehicle numbers'!$A$5:$A$162,0),1,1,1,$L$6)),4,1,COUNTIF('Vehicle numbers'!$A$5:$A$162,J253),4),
    MATCH(L$8,'Vehicle numbers'!$B$4:$D$4,0))*1000</f>
        <v>163145.81439636886</v>
      </c>
      <c r="M253" s="184">
        <f>VLOOKUP(F253,'Annual distance covered (GB)'!$A$8:$H$33,MATCH(J253,'Annual distance covered (GB)'!$A$7:$H$7,0))</f>
        <v>5</v>
      </c>
      <c r="N253" s="2">
        <f t="shared" ca="1" si="20"/>
        <v>22187.035924265441</v>
      </c>
      <c r="O253" s="180">
        <f t="shared" ca="1" si="21"/>
        <v>0.13599512807825523</v>
      </c>
      <c r="P253" s="180"/>
      <c r="Q253" s="185"/>
      <c r="R253" s="186"/>
      <c r="S253" s="180"/>
      <c r="T253" s="180"/>
    </row>
    <row r="254" spans="1:20" x14ac:dyDescent="0.25">
      <c r="A254" t="s">
        <v>236</v>
      </c>
      <c r="B254" t="s">
        <v>237</v>
      </c>
      <c r="C254" t="s">
        <v>238</v>
      </c>
      <c r="D254" t="s">
        <v>249</v>
      </c>
      <c r="E254" t="s">
        <v>228</v>
      </c>
      <c r="F254">
        <v>1996</v>
      </c>
      <c r="G254">
        <v>2.1562200648721799E-2</v>
      </c>
      <c r="H254" t="s">
        <v>240</v>
      </c>
      <c r="I254" t="s">
        <v>241</v>
      </c>
      <c r="J254" t="s">
        <v>242</v>
      </c>
      <c r="K254" s="183">
        <f ca="1">VLOOKUP(F254,
    OFFSET(INDIRECT(ADDRESS(MATCH(J254,'Vehicle numbers'!$A$5:$A$162,0),1,1,1,$L$6)),4,1,COUNTIF('Vehicle numbers'!$A$5:$A$162,J254),4),
    MATCH(K$8,'Vehicle numbers'!$B$4:$D$4,0))*1000</f>
        <v>157638</v>
      </c>
      <c r="L254" s="183">
        <f ca="1">VLOOKUP(F254,
    OFFSET(INDIRECT(ADDRESS(MATCH(J254,'Vehicle numbers'!$A$5:$A$162,0),1,1,1,$L$6)),4,1,COUNTIF('Vehicle numbers'!$A$5:$A$162,J254),4),
    MATCH(L$8,'Vehicle numbers'!$B$4:$D$4,0))*1000</f>
        <v>163145.81439636886</v>
      </c>
      <c r="M254" s="184">
        <f>VLOOKUP(F254,'Annual distance covered (GB)'!$A$8:$H$33,MATCH(J254,'Annual distance covered (GB)'!$A$7:$H$7,0))</f>
        <v>5</v>
      </c>
      <c r="N254" s="2">
        <f t="shared" ca="1" si="20"/>
        <v>111577.88049244569</v>
      </c>
      <c r="O254" s="180">
        <f t="shared" ca="1" si="21"/>
        <v>0.68391506644088984</v>
      </c>
      <c r="P254" s="180"/>
      <c r="Q254" s="185"/>
      <c r="R254" s="186"/>
      <c r="S254" s="180"/>
      <c r="T254" s="180"/>
    </row>
    <row r="255" spans="1:20" x14ac:dyDescent="0.25">
      <c r="A255" t="s">
        <v>243</v>
      </c>
      <c r="B255" t="s">
        <v>237</v>
      </c>
      <c r="C255" t="s">
        <v>238</v>
      </c>
      <c r="D255" t="s">
        <v>249</v>
      </c>
      <c r="E255" t="s">
        <v>228</v>
      </c>
      <c r="F255">
        <v>1996</v>
      </c>
      <c r="G255">
        <v>1.5093540454105299E-2</v>
      </c>
      <c r="H255" t="s">
        <v>240</v>
      </c>
      <c r="I255" t="s">
        <v>241</v>
      </c>
      <c r="J255" t="s">
        <v>242</v>
      </c>
      <c r="K255" s="183">
        <f ca="1">VLOOKUP(F255,
    OFFSET(INDIRECT(ADDRESS(MATCH(J255,'Vehicle numbers'!$A$5:$A$162,0),1,1,1,$L$6)),4,1,COUNTIF('Vehicle numbers'!$A$5:$A$162,J255),4),
    MATCH(K$8,'Vehicle numbers'!$B$4:$D$4,0))*1000</f>
        <v>157638</v>
      </c>
      <c r="L255" s="183">
        <f ca="1">VLOOKUP(F255,
    OFFSET(INDIRECT(ADDRESS(MATCH(J255,'Vehicle numbers'!$A$5:$A$162,0),1,1,1,$L$6)),4,1,COUNTIF('Vehicle numbers'!$A$5:$A$162,J255),4),
    MATCH(L$8,'Vehicle numbers'!$B$4:$D$4,0))*1000</f>
        <v>163145.81439636886</v>
      </c>
      <c r="M255" s="184">
        <f>VLOOKUP(F255,'Annual distance covered (GB)'!$A$8:$H$33,MATCH(J255,'Annual distance covered (GB)'!$A$7:$H$7,0))</f>
        <v>5</v>
      </c>
      <c r="N255" s="2">
        <f t="shared" ca="1" si="20"/>
        <v>78104.516344712189</v>
      </c>
      <c r="O255" s="180">
        <f t="shared" ca="1" si="21"/>
        <v>0.47874054650862413</v>
      </c>
      <c r="P255" s="180"/>
      <c r="Q255" s="185"/>
      <c r="R255" s="186"/>
      <c r="S255" s="180"/>
      <c r="T255" s="180"/>
    </row>
    <row r="256" spans="1:20" x14ac:dyDescent="0.25">
      <c r="A256" t="s">
        <v>244</v>
      </c>
      <c r="B256" t="s">
        <v>237</v>
      </c>
      <c r="C256" t="s">
        <v>238</v>
      </c>
      <c r="D256" t="s">
        <v>249</v>
      </c>
      <c r="E256" t="s">
        <v>228</v>
      </c>
      <c r="F256">
        <v>1996</v>
      </c>
      <c r="G256">
        <v>2.1258507681838402E-3</v>
      </c>
      <c r="H256" t="s">
        <v>240</v>
      </c>
      <c r="I256" t="s">
        <v>241</v>
      </c>
      <c r="J256" t="s">
        <v>242</v>
      </c>
      <c r="K256" s="183">
        <f ca="1">VLOOKUP(F256,
    OFFSET(INDIRECT(ADDRESS(MATCH(J256,'Vehicle numbers'!$A$5:$A$162,0),1,1,1,$L$6)),4,1,COUNTIF('Vehicle numbers'!$A$5:$A$162,J256),4),
    MATCH(K$8,'Vehicle numbers'!$B$4:$D$4,0))*1000</f>
        <v>157638</v>
      </c>
      <c r="L256" s="183">
        <f ca="1">VLOOKUP(F256,
    OFFSET(INDIRECT(ADDRESS(MATCH(J256,'Vehicle numbers'!$A$5:$A$162,0),1,1,1,$L$6)),4,1,COUNTIF('Vehicle numbers'!$A$5:$A$162,J256),4),
    MATCH(L$8,'Vehicle numbers'!$B$4:$D$4,0))*1000</f>
        <v>163145.81439636886</v>
      </c>
      <c r="M256" s="184">
        <f>VLOOKUP(F256,'Annual distance covered (GB)'!$A$8:$H$33,MATCH(J256,'Annual distance covered (GB)'!$A$7:$H$7,0))</f>
        <v>5</v>
      </c>
      <c r="N256" s="2">
        <f t="shared" ca="1" si="20"/>
        <v>11000.636104889016</v>
      </c>
      <c r="O256" s="180">
        <f t="shared" ca="1" si="21"/>
        <v>6.7428245987130001E-2</v>
      </c>
      <c r="P256" s="180"/>
      <c r="Q256" s="185"/>
      <c r="R256" s="186"/>
      <c r="S256" s="180"/>
      <c r="T256" s="180"/>
    </row>
    <row r="257" spans="1:20" x14ac:dyDescent="0.25">
      <c r="A257" t="s">
        <v>246</v>
      </c>
      <c r="B257" t="s">
        <v>237</v>
      </c>
      <c r="C257" t="s">
        <v>238</v>
      </c>
      <c r="D257" t="s">
        <v>249</v>
      </c>
      <c r="E257" t="s">
        <v>228</v>
      </c>
      <c r="F257">
        <v>1996</v>
      </c>
      <c r="G257">
        <v>1.7006806145470699E-3</v>
      </c>
      <c r="H257" t="s">
        <v>240</v>
      </c>
      <c r="I257" t="s">
        <v>241</v>
      </c>
      <c r="J257" t="s">
        <v>242</v>
      </c>
      <c r="K257" s="183">
        <f ca="1">VLOOKUP(F257,
    OFFSET(INDIRECT(ADDRESS(MATCH(J257,'Vehicle numbers'!$A$5:$A$162,0),1,1,1,$L$6)),4,1,COUNTIF('Vehicle numbers'!$A$5:$A$162,J257),4),
    MATCH(K$8,'Vehicle numbers'!$B$4:$D$4,0))*1000</f>
        <v>157638</v>
      </c>
      <c r="L257" s="183">
        <f ca="1">VLOOKUP(F257,
    OFFSET(INDIRECT(ADDRESS(MATCH(J257,'Vehicle numbers'!$A$5:$A$162,0),1,1,1,$L$6)),4,1,COUNTIF('Vehicle numbers'!$A$5:$A$162,J257),4),
    MATCH(L$8,'Vehicle numbers'!$B$4:$D$4,0))*1000</f>
        <v>163145.81439636886</v>
      </c>
      <c r="M257" s="184">
        <f>VLOOKUP(F257,'Annual distance covered (GB)'!$A$8:$H$33,MATCH(J257,'Annual distance covered (GB)'!$A$7:$H$7,0))</f>
        <v>5</v>
      </c>
      <c r="N257" s="2">
        <f t="shared" ca="1" si="20"/>
        <v>8800.5088839112013</v>
      </c>
      <c r="O257" s="180">
        <f t="shared" ca="1" si="21"/>
        <v>5.3942596789703937E-2</v>
      </c>
      <c r="P257" s="180"/>
      <c r="Q257" s="185"/>
      <c r="R257" s="187"/>
      <c r="S257" s="180"/>
      <c r="T257" s="180"/>
    </row>
    <row r="258" spans="1:20" x14ac:dyDescent="0.25">
      <c r="A258" t="s">
        <v>236</v>
      </c>
      <c r="B258" t="s">
        <v>237</v>
      </c>
      <c r="C258" t="s">
        <v>238</v>
      </c>
      <c r="D258" t="s">
        <v>250</v>
      </c>
      <c r="E258" t="s">
        <v>229</v>
      </c>
      <c r="F258">
        <v>1996</v>
      </c>
      <c r="G258">
        <v>1.3600000000000001E-3</v>
      </c>
      <c r="H258" t="s">
        <v>240</v>
      </c>
      <c r="I258" t="s">
        <v>241</v>
      </c>
      <c r="J258" t="s">
        <v>2</v>
      </c>
      <c r="K258" s="183">
        <f ca="1">VLOOKUP(F258,
    OFFSET(INDIRECT(ADDRESS(MATCH(J258,'Vehicle numbers'!$A$5:$A$162,0),1,1,1,$L$6)),4,1,COUNTIF('Vehicle numbers'!$A$5:$A$162,J258),4),
    MATCH(K$8,'Vehicle numbers'!$B$4:$D$4,0))*1000</f>
        <v>22237538</v>
      </c>
      <c r="L258" s="183">
        <f ca="1">VLOOKUP(F258,
    OFFSET(INDIRECT(ADDRESS(MATCH(J258,'Vehicle numbers'!$A$5:$A$162,0),1,1,1,$L$6)),4,1,COUNTIF('Vehicle numbers'!$A$5:$A$162,J258),4),
    MATCH(L$8,'Vehicle numbers'!$B$4:$D$4,0))*1000</f>
        <v>22920953.104830965</v>
      </c>
      <c r="M258" s="184">
        <f>VLOOKUP(F258,'Annual distance covered (GB)'!$A$8:$H$33,MATCH(J258,'Annual distance covered (GB)'!$A$7:$H$7,0))</f>
        <v>359.9</v>
      </c>
      <c r="N258" s="2">
        <f t="shared" ca="1" si="20"/>
        <v>504506.45168107114</v>
      </c>
      <c r="O258" s="180">
        <f t="shared" ca="1" si="21"/>
        <v>2.2010709998561889E-2</v>
      </c>
      <c r="P258" s="180"/>
      <c r="Q258" s="185"/>
      <c r="R258" s="186"/>
      <c r="S258" s="180"/>
      <c r="T258" s="180"/>
    </row>
    <row r="259" spans="1:20" x14ac:dyDescent="0.25">
      <c r="A259" t="s">
        <v>243</v>
      </c>
      <c r="B259" t="s">
        <v>237</v>
      </c>
      <c r="C259" t="s">
        <v>238</v>
      </c>
      <c r="D259" t="s">
        <v>250</v>
      </c>
      <c r="E259" t="s">
        <v>229</v>
      </c>
      <c r="F259">
        <v>1996</v>
      </c>
      <c r="G259">
        <v>5.44E-4</v>
      </c>
      <c r="H259" t="s">
        <v>240</v>
      </c>
      <c r="I259" t="s">
        <v>241</v>
      </c>
      <c r="J259" t="s">
        <v>2</v>
      </c>
      <c r="K259" s="183">
        <f ca="1">VLOOKUP(F259,
    OFFSET(INDIRECT(ADDRESS(MATCH(J259,'Vehicle numbers'!$A$5:$A$162,0),1,1,1,$L$6)),4,1,COUNTIF('Vehicle numbers'!$A$5:$A$162,J259),4),
    MATCH(K$8,'Vehicle numbers'!$B$4:$D$4,0))*1000</f>
        <v>22237538</v>
      </c>
      <c r="L259" s="183">
        <f ca="1">VLOOKUP(F259,
    OFFSET(INDIRECT(ADDRESS(MATCH(J259,'Vehicle numbers'!$A$5:$A$162,0),1,1,1,$L$6)),4,1,COUNTIF('Vehicle numbers'!$A$5:$A$162,J259),4),
    MATCH(L$8,'Vehicle numbers'!$B$4:$D$4,0))*1000</f>
        <v>22920953.104830965</v>
      </c>
      <c r="M259" s="184">
        <f>VLOOKUP(F259,'Annual distance covered (GB)'!$A$8:$H$33,MATCH(J259,'Annual distance covered (GB)'!$A$7:$H$7,0))</f>
        <v>359.9</v>
      </c>
      <c r="N259" s="2">
        <f t="shared" ca="1" si="20"/>
        <v>201802.58067242842</v>
      </c>
      <c r="O259" s="180">
        <f t="shared" ca="1" si="21"/>
        <v>8.8042839994247543E-3</v>
      </c>
      <c r="P259" s="180"/>
      <c r="Q259" s="185"/>
      <c r="R259" s="186"/>
      <c r="S259" s="180"/>
      <c r="T259" s="180"/>
    </row>
    <row r="260" spans="1:20" x14ac:dyDescent="0.25">
      <c r="A260" t="s">
        <v>244</v>
      </c>
      <c r="B260" t="s">
        <v>237</v>
      </c>
      <c r="C260" t="s">
        <v>238</v>
      </c>
      <c r="D260" t="s">
        <v>250</v>
      </c>
      <c r="E260" t="s">
        <v>229</v>
      </c>
      <c r="F260">
        <v>1996</v>
      </c>
      <c r="G260">
        <v>1.36E-4</v>
      </c>
      <c r="H260" t="s">
        <v>240</v>
      </c>
      <c r="I260" t="s">
        <v>241</v>
      </c>
      <c r="J260" t="s">
        <v>2</v>
      </c>
      <c r="K260" s="183">
        <f ca="1">VLOOKUP(F260,
    OFFSET(INDIRECT(ADDRESS(MATCH(J260,'Vehicle numbers'!$A$5:$A$162,0),1,1,1,$L$6)),4,1,COUNTIF('Vehicle numbers'!$A$5:$A$162,J260),4),
    MATCH(K$8,'Vehicle numbers'!$B$4:$D$4,0))*1000</f>
        <v>22237538</v>
      </c>
      <c r="L260" s="183">
        <f ca="1">VLOOKUP(F260,
    OFFSET(INDIRECT(ADDRESS(MATCH(J260,'Vehicle numbers'!$A$5:$A$162,0),1,1,1,$L$6)),4,1,COUNTIF('Vehicle numbers'!$A$5:$A$162,J260),4),
    MATCH(L$8,'Vehicle numbers'!$B$4:$D$4,0))*1000</f>
        <v>22920953.104830965</v>
      </c>
      <c r="M260" s="184">
        <f>VLOOKUP(F260,'Annual distance covered (GB)'!$A$8:$H$33,MATCH(J260,'Annual distance covered (GB)'!$A$7:$H$7,0))</f>
        <v>359.9</v>
      </c>
      <c r="N260" s="2">
        <f t="shared" ca="1" si="20"/>
        <v>50450.645168107105</v>
      </c>
      <c r="O260" s="180">
        <f t="shared" ca="1" si="21"/>
        <v>2.2010709998561886E-3</v>
      </c>
      <c r="P260" s="180"/>
      <c r="Q260" s="185"/>
      <c r="R260" s="187"/>
      <c r="S260" s="180"/>
      <c r="T260" s="180"/>
    </row>
    <row r="261" spans="1:20" x14ac:dyDescent="0.25">
      <c r="A261" t="s">
        <v>246</v>
      </c>
      <c r="B261" t="s">
        <v>237</v>
      </c>
      <c r="C261" t="s">
        <v>238</v>
      </c>
      <c r="D261" t="s">
        <v>250</v>
      </c>
      <c r="E261" t="s">
        <v>229</v>
      </c>
      <c r="F261">
        <v>1996</v>
      </c>
      <c r="G261">
        <v>1.088E-4</v>
      </c>
      <c r="H261" t="s">
        <v>240</v>
      </c>
      <c r="I261" t="s">
        <v>241</v>
      </c>
      <c r="J261" t="s">
        <v>2</v>
      </c>
      <c r="K261" s="183">
        <f ca="1">VLOOKUP(F261,
    OFFSET(INDIRECT(ADDRESS(MATCH(J261,'Vehicle numbers'!$A$5:$A$162,0),1,1,1,$L$6)),4,1,COUNTIF('Vehicle numbers'!$A$5:$A$162,J261),4),
    MATCH(K$8,'Vehicle numbers'!$B$4:$D$4,0))*1000</f>
        <v>22237538</v>
      </c>
      <c r="L261" s="183">
        <f ca="1">VLOOKUP(F261,
    OFFSET(INDIRECT(ADDRESS(MATCH(J261,'Vehicle numbers'!$A$5:$A$162,0),1,1,1,$L$6)),4,1,COUNTIF('Vehicle numbers'!$A$5:$A$162,J261),4),
    MATCH(L$8,'Vehicle numbers'!$B$4:$D$4,0))*1000</f>
        <v>22920953.104830965</v>
      </c>
      <c r="M261" s="184">
        <f>VLOOKUP(F261,'Annual distance covered (GB)'!$A$8:$H$33,MATCH(J261,'Annual distance covered (GB)'!$A$7:$H$7,0))</f>
        <v>359.9</v>
      </c>
      <c r="N261" s="2">
        <f t="shared" ca="1" si="20"/>
        <v>40360.516134485682</v>
      </c>
      <c r="O261" s="180">
        <f t="shared" ca="1" si="21"/>
        <v>1.7608567998849509E-3</v>
      </c>
      <c r="P261" s="180"/>
      <c r="Q261" s="185"/>
      <c r="R261" s="188"/>
      <c r="S261" s="180"/>
      <c r="T261" s="180"/>
    </row>
    <row r="262" spans="1:20" x14ac:dyDescent="0.25">
      <c r="A262" t="s">
        <v>236</v>
      </c>
      <c r="B262" t="s">
        <v>237</v>
      </c>
      <c r="C262" t="s">
        <v>238</v>
      </c>
      <c r="D262" t="s">
        <v>250</v>
      </c>
      <c r="E262" t="s">
        <v>228</v>
      </c>
      <c r="F262">
        <v>1996</v>
      </c>
      <c r="G262">
        <v>5.7910000000000001E-3</v>
      </c>
      <c r="H262" t="s">
        <v>240</v>
      </c>
      <c r="I262" t="s">
        <v>241</v>
      </c>
      <c r="J262" t="s">
        <v>2</v>
      </c>
      <c r="K262" s="183">
        <f ca="1">VLOOKUP(F262,
    OFFSET(INDIRECT(ADDRESS(MATCH(J262,'Vehicle numbers'!$A$5:$A$162,0),1,1,1,$L$6)),4,1,COUNTIF('Vehicle numbers'!$A$5:$A$162,J262),4),
    MATCH(K$8,'Vehicle numbers'!$B$4:$D$4,0))*1000</f>
        <v>22237538</v>
      </c>
      <c r="L262" s="183">
        <f ca="1">VLOOKUP(F262,
    OFFSET(INDIRECT(ADDRESS(MATCH(J262,'Vehicle numbers'!$A$5:$A$162,0),1,1,1,$L$6)),4,1,COUNTIF('Vehicle numbers'!$A$5:$A$162,J262),4),
    MATCH(L$8,'Vehicle numbers'!$B$4:$D$4,0))*1000</f>
        <v>22920953.104830965</v>
      </c>
      <c r="M262" s="184">
        <f>VLOOKUP(F262,'Annual distance covered (GB)'!$A$8:$H$33,MATCH(J262,'Annual distance covered (GB)'!$A$7:$H$7,0))</f>
        <v>359.9</v>
      </c>
      <c r="N262" s="2">
        <f t="shared" ca="1" si="20"/>
        <v>2148232.9865331487</v>
      </c>
      <c r="O262" s="180">
        <f t="shared" ca="1" si="21"/>
        <v>9.3723545295346961E-2</v>
      </c>
      <c r="P262" s="180"/>
      <c r="Q262" s="185"/>
      <c r="R262" s="186"/>
      <c r="S262" s="180"/>
      <c r="T262" s="180"/>
    </row>
    <row r="263" spans="1:20" x14ac:dyDescent="0.25">
      <c r="A263" t="s">
        <v>243</v>
      </c>
      <c r="B263" t="s">
        <v>237</v>
      </c>
      <c r="C263" t="s">
        <v>238</v>
      </c>
      <c r="D263" t="s">
        <v>250</v>
      </c>
      <c r="E263" t="s">
        <v>228</v>
      </c>
      <c r="F263">
        <v>1996</v>
      </c>
      <c r="G263">
        <v>4.0537000000000004E-3</v>
      </c>
      <c r="H263" t="s">
        <v>240</v>
      </c>
      <c r="I263" t="s">
        <v>241</v>
      </c>
      <c r="J263" t="s">
        <v>2</v>
      </c>
      <c r="K263" s="183">
        <f ca="1">VLOOKUP(F263,
    OFFSET(INDIRECT(ADDRESS(MATCH(J263,'Vehicle numbers'!$A$5:$A$162,0),1,1,1,$L$6)),4,1,COUNTIF('Vehicle numbers'!$A$5:$A$162,J263),4),
    MATCH(K$8,'Vehicle numbers'!$B$4:$D$4,0))*1000</f>
        <v>22237538</v>
      </c>
      <c r="L263" s="183">
        <f ca="1">VLOOKUP(F263,
    OFFSET(INDIRECT(ADDRESS(MATCH(J263,'Vehicle numbers'!$A$5:$A$162,0),1,1,1,$L$6)),4,1,COUNTIF('Vehicle numbers'!$A$5:$A$162,J263),4),
    MATCH(L$8,'Vehicle numbers'!$B$4:$D$4,0))*1000</f>
        <v>22920953.104830965</v>
      </c>
      <c r="M263" s="184">
        <f>VLOOKUP(F263,'Annual distance covered (GB)'!$A$8:$H$33,MATCH(J263,'Annual distance covered (GB)'!$A$7:$H$7,0))</f>
        <v>359.9</v>
      </c>
      <c r="N263" s="2">
        <f t="shared" ca="1" si="20"/>
        <v>1503763.0905732044</v>
      </c>
      <c r="O263" s="180">
        <f t="shared" ca="1" si="21"/>
        <v>6.5606481706742895E-2</v>
      </c>
      <c r="P263" s="180"/>
      <c r="Q263" s="185"/>
      <c r="R263" s="186"/>
      <c r="S263" s="180"/>
      <c r="T263" s="180"/>
    </row>
    <row r="264" spans="1:20" x14ac:dyDescent="0.25">
      <c r="A264" t="s">
        <v>244</v>
      </c>
      <c r="B264" t="s">
        <v>237</v>
      </c>
      <c r="C264" t="s">
        <v>238</v>
      </c>
      <c r="D264" t="s">
        <v>250</v>
      </c>
      <c r="E264" t="s">
        <v>228</v>
      </c>
      <c r="F264">
        <v>1996</v>
      </c>
      <c r="G264">
        <v>5.7094366197182997E-4</v>
      </c>
      <c r="H264" t="s">
        <v>240</v>
      </c>
      <c r="I264" t="s">
        <v>241</v>
      </c>
      <c r="J264" t="s">
        <v>2</v>
      </c>
      <c r="K264" s="183">
        <f ca="1">VLOOKUP(F264,
    OFFSET(INDIRECT(ADDRESS(MATCH(J264,'Vehicle numbers'!$A$5:$A$162,0),1,1,1,$L$6)),4,1,COUNTIF('Vehicle numbers'!$A$5:$A$162,J264),4),
    MATCH(K$8,'Vehicle numbers'!$B$4:$D$4,0))*1000</f>
        <v>22237538</v>
      </c>
      <c r="L264" s="183">
        <f ca="1">VLOOKUP(F264,
    OFFSET(INDIRECT(ADDRESS(MATCH(J264,'Vehicle numbers'!$A$5:$A$162,0),1,1,1,$L$6)),4,1,COUNTIF('Vehicle numbers'!$A$5:$A$162,J264),4),
    MATCH(L$8,'Vehicle numbers'!$B$4:$D$4,0))*1000</f>
        <v>22920953.104830965</v>
      </c>
      <c r="M264" s="184">
        <f>VLOOKUP(F264,'Annual distance covered (GB)'!$A$8:$H$33,MATCH(J264,'Annual distance covered (GB)'!$A$7:$H$7,0))</f>
        <v>359.9</v>
      </c>
      <c r="N264" s="2">
        <f t="shared" ca="1" si="20"/>
        <v>211797.61839059179</v>
      </c>
      <c r="O264" s="180">
        <f t="shared" ca="1" si="21"/>
        <v>9.2403495361609543E-3</v>
      </c>
      <c r="P264" s="180"/>
      <c r="Q264" s="185"/>
      <c r="R264" s="186"/>
      <c r="S264" s="180"/>
      <c r="T264" s="180"/>
    </row>
    <row r="265" spans="1:20" x14ac:dyDescent="0.25">
      <c r="A265" t="s">
        <v>246</v>
      </c>
      <c r="B265" t="s">
        <v>237</v>
      </c>
      <c r="C265" t="s">
        <v>238</v>
      </c>
      <c r="D265" t="s">
        <v>250</v>
      </c>
      <c r="E265" t="s">
        <v>228</v>
      </c>
      <c r="F265">
        <v>1996</v>
      </c>
      <c r="G265">
        <v>4.5675492957746402E-4</v>
      </c>
      <c r="H265" t="s">
        <v>240</v>
      </c>
      <c r="I265" t="s">
        <v>241</v>
      </c>
      <c r="J265" t="s">
        <v>2</v>
      </c>
      <c r="K265" s="183">
        <f ca="1">VLOOKUP(F265,
    OFFSET(INDIRECT(ADDRESS(MATCH(J265,'Vehicle numbers'!$A$5:$A$162,0),1,1,1,$L$6)),4,1,COUNTIF('Vehicle numbers'!$A$5:$A$162,J265),4),
    MATCH(K$8,'Vehicle numbers'!$B$4:$D$4,0))*1000</f>
        <v>22237538</v>
      </c>
      <c r="L265" s="183">
        <f ca="1">VLOOKUP(F265,
    OFFSET(INDIRECT(ADDRESS(MATCH(J265,'Vehicle numbers'!$A$5:$A$162,0),1,1,1,$L$6)),4,1,COUNTIF('Vehicle numbers'!$A$5:$A$162,J265),4),
    MATCH(L$8,'Vehicle numbers'!$B$4:$D$4,0))*1000</f>
        <v>22920953.104830965</v>
      </c>
      <c r="M265" s="184">
        <f>VLOOKUP(F265,'Annual distance covered (GB)'!$A$8:$H$33,MATCH(J265,'Annual distance covered (GB)'!$A$7:$H$7,0))</f>
        <v>359.9</v>
      </c>
      <c r="N265" s="2">
        <f t="shared" ca="1" si="20"/>
        <v>169438.09471247345</v>
      </c>
      <c r="O265" s="180">
        <f t="shared" ca="1" si="21"/>
        <v>7.392279628928764E-3</v>
      </c>
      <c r="P265" s="180"/>
      <c r="Q265" s="185"/>
      <c r="R265" s="186"/>
      <c r="S265" s="180"/>
      <c r="T265" s="180"/>
    </row>
    <row r="266" spans="1:20" x14ac:dyDescent="0.25">
      <c r="A266" t="s">
        <v>236</v>
      </c>
      <c r="B266" t="s">
        <v>237</v>
      </c>
      <c r="C266" t="s">
        <v>238</v>
      </c>
      <c r="D266" t="s">
        <v>255</v>
      </c>
      <c r="E266" t="s">
        <v>229</v>
      </c>
      <c r="F266">
        <v>1996</v>
      </c>
      <c r="G266">
        <v>5.5269999999999903E-3</v>
      </c>
      <c r="H266" t="s">
        <v>240</v>
      </c>
      <c r="I266" t="s">
        <v>241</v>
      </c>
      <c r="J266" t="s">
        <v>2</v>
      </c>
      <c r="K266" s="183">
        <f ca="1">VLOOKUP(F266,
    OFFSET(INDIRECT(ADDRESS(MATCH(J266,'Vehicle numbers'!$A$5:$A$162,0),1,1,1,$L$6)),4,1,COUNTIF('Vehicle numbers'!$A$5:$A$162,J266),4),
    MATCH(K$8,'Vehicle numbers'!$B$4:$D$4,0))*1000</f>
        <v>22237538</v>
      </c>
      <c r="L266" s="183">
        <f ca="1">VLOOKUP(F266,
    OFFSET(INDIRECT(ADDRESS(MATCH(J266,'Vehicle numbers'!$A$5:$A$162,0),1,1,1,$L$6)),4,1,COUNTIF('Vehicle numbers'!$A$5:$A$162,J266),4),
    MATCH(L$8,'Vehicle numbers'!$B$4:$D$4,0))*1000</f>
        <v>22920953.104830965</v>
      </c>
      <c r="M266" s="184">
        <f>VLOOKUP(F266,'Annual distance covered (GB)'!$A$8:$H$33,MATCH(J266,'Annual distance covered (GB)'!$A$7:$H$7,0))</f>
        <v>359.9</v>
      </c>
      <c r="N266" s="2">
        <f t="shared" ca="1" si="20"/>
        <v>2050299.3812068198</v>
      </c>
      <c r="O266" s="180">
        <f t="shared" ca="1" si="21"/>
        <v>8.9450878060331862E-2</v>
      </c>
      <c r="P266" s="180"/>
      <c r="Q266" s="185"/>
      <c r="R266" s="186"/>
      <c r="S266" s="180"/>
      <c r="T266" s="180"/>
    </row>
    <row r="267" spans="1:20" x14ac:dyDescent="0.25">
      <c r="A267" t="s">
        <v>243</v>
      </c>
      <c r="B267" t="s">
        <v>237</v>
      </c>
      <c r="C267" t="s">
        <v>238</v>
      </c>
      <c r="D267" t="s">
        <v>255</v>
      </c>
      <c r="E267" t="s">
        <v>229</v>
      </c>
      <c r="F267">
        <v>1996</v>
      </c>
      <c r="G267">
        <v>2.2108000000000002E-3</v>
      </c>
      <c r="H267" t="s">
        <v>240</v>
      </c>
      <c r="I267" t="s">
        <v>241</v>
      </c>
      <c r="J267" t="s">
        <v>2</v>
      </c>
      <c r="K267" s="183">
        <f ca="1">VLOOKUP(F267,
    OFFSET(INDIRECT(ADDRESS(MATCH(J267,'Vehicle numbers'!$A$5:$A$162,0),1,1,1,$L$6)),4,1,COUNTIF('Vehicle numbers'!$A$5:$A$162,J267),4),
    MATCH(K$8,'Vehicle numbers'!$B$4:$D$4,0))*1000</f>
        <v>22237538</v>
      </c>
      <c r="L267" s="183">
        <f ca="1">VLOOKUP(F267,
    OFFSET(INDIRECT(ADDRESS(MATCH(J267,'Vehicle numbers'!$A$5:$A$162,0),1,1,1,$L$6)),4,1,COUNTIF('Vehicle numbers'!$A$5:$A$162,J267),4),
    MATCH(L$8,'Vehicle numbers'!$B$4:$D$4,0))*1000</f>
        <v>22920953.104830965</v>
      </c>
      <c r="M267" s="184">
        <f>VLOOKUP(F267,'Annual distance covered (GB)'!$A$8:$H$33,MATCH(J267,'Annual distance covered (GB)'!$A$7:$H$7,0))</f>
        <v>359.9</v>
      </c>
      <c r="N267" s="2">
        <f t="shared" ref="N267:N330" ca="1" si="22">M267*G267*1000000*(L267/K267)</f>
        <v>820119.7524827295</v>
      </c>
      <c r="O267" s="180">
        <f t="shared" ref="O267:O330" ca="1" si="23">N267/L267</f>
        <v>3.5780351224132818E-2</v>
      </c>
      <c r="P267" s="180"/>
      <c r="Q267" s="185"/>
      <c r="R267" s="186"/>
      <c r="S267" s="180"/>
      <c r="T267" s="180"/>
    </row>
    <row r="268" spans="1:20" x14ac:dyDescent="0.25">
      <c r="A268" t="s">
        <v>244</v>
      </c>
      <c r="B268" t="s">
        <v>237</v>
      </c>
      <c r="C268" t="s">
        <v>238</v>
      </c>
      <c r="D268" t="s">
        <v>255</v>
      </c>
      <c r="E268" t="s">
        <v>229</v>
      </c>
      <c r="F268">
        <v>1996</v>
      </c>
      <c r="G268">
        <v>5.5270000000000004E-4</v>
      </c>
      <c r="H268" t="s">
        <v>240</v>
      </c>
      <c r="I268" t="s">
        <v>241</v>
      </c>
      <c r="J268" t="s">
        <v>2</v>
      </c>
      <c r="K268" s="183">
        <f ca="1">VLOOKUP(F268,
    OFFSET(INDIRECT(ADDRESS(MATCH(J268,'Vehicle numbers'!$A$5:$A$162,0),1,1,1,$L$6)),4,1,COUNTIF('Vehicle numbers'!$A$5:$A$162,J268),4),
    MATCH(K$8,'Vehicle numbers'!$B$4:$D$4,0))*1000</f>
        <v>22237538</v>
      </c>
      <c r="L268" s="183">
        <f ca="1">VLOOKUP(F268,
    OFFSET(INDIRECT(ADDRESS(MATCH(J268,'Vehicle numbers'!$A$5:$A$162,0),1,1,1,$L$6)),4,1,COUNTIF('Vehicle numbers'!$A$5:$A$162,J268),4),
    MATCH(L$8,'Vehicle numbers'!$B$4:$D$4,0))*1000</f>
        <v>22920953.104830965</v>
      </c>
      <c r="M268" s="184">
        <f>VLOOKUP(F268,'Annual distance covered (GB)'!$A$8:$H$33,MATCH(J268,'Annual distance covered (GB)'!$A$7:$H$7,0))</f>
        <v>359.9</v>
      </c>
      <c r="N268" s="2">
        <f t="shared" ca="1" si="22"/>
        <v>205029.93812068237</v>
      </c>
      <c r="O268" s="180">
        <f t="shared" ca="1" si="23"/>
        <v>8.9450878060332046E-3</v>
      </c>
      <c r="P268" s="180"/>
      <c r="Q268" s="185"/>
      <c r="R268" s="187"/>
      <c r="S268" s="180"/>
      <c r="T268" s="180"/>
    </row>
    <row r="269" spans="1:20" x14ac:dyDescent="0.25">
      <c r="A269" t="s">
        <v>246</v>
      </c>
      <c r="B269" t="s">
        <v>237</v>
      </c>
      <c r="C269" t="s">
        <v>238</v>
      </c>
      <c r="D269" t="s">
        <v>255</v>
      </c>
      <c r="E269" t="s">
        <v>229</v>
      </c>
      <c r="F269">
        <v>1996</v>
      </c>
      <c r="G269">
        <v>4.4215999999999998E-4</v>
      </c>
      <c r="H269" t="s">
        <v>240</v>
      </c>
      <c r="I269" t="s">
        <v>241</v>
      </c>
      <c r="J269" t="s">
        <v>2</v>
      </c>
      <c r="K269" s="183">
        <f ca="1">VLOOKUP(F269,
    OFFSET(INDIRECT(ADDRESS(MATCH(J269,'Vehicle numbers'!$A$5:$A$162,0),1,1,1,$L$6)),4,1,COUNTIF('Vehicle numbers'!$A$5:$A$162,J269),4),
    MATCH(K$8,'Vehicle numbers'!$B$4:$D$4,0))*1000</f>
        <v>22237538</v>
      </c>
      <c r="L269" s="183">
        <f ca="1">VLOOKUP(F269,
    OFFSET(INDIRECT(ADDRESS(MATCH(J269,'Vehicle numbers'!$A$5:$A$162,0),1,1,1,$L$6)),4,1,COUNTIF('Vehicle numbers'!$A$5:$A$162,J269),4),
    MATCH(L$8,'Vehicle numbers'!$B$4:$D$4,0))*1000</f>
        <v>22920953.104830965</v>
      </c>
      <c r="M269" s="184">
        <f>VLOOKUP(F269,'Annual distance covered (GB)'!$A$8:$H$33,MATCH(J269,'Annual distance covered (GB)'!$A$7:$H$7,0))</f>
        <v>359.9</v>
      </c>
      <c r="N269" s="2">
        <f t="shared" ca="1" si="22"/>
        <v>164023.95049654588</v>
      </c>
      <c r="O269" s="180">
        <f t="shared" ca="1" si="23"/>
        <v>7.1560702448265623E-3</v>
      </c>
      <c r="P269" s="180"/>
      <c r="Q269" s="185"/>
      <c r="R269" s="188"/>
      <c r="S269" s="180"/>
      <c r="T269" s="180"/>
    </row>
    <row r="270" spans="1:20" x14ac:dyDescent="0.25">
      <c r="A270" t="s">
        <v>236</v>
      </c>
      <c r="B270" t="s">
        <v>237</v>
      </c>
      <c r="C270" t="s">
        <v>238</v>
      </c>
      <c r="D270" t="s">
        <v>255</v>
      </c>
      <c r="E270" t="s">
        <v>228</v>
      </c>
      <c r="F270">
        <v>1996</v>
      </c>
      <c r="G270">
        <v>6.7999999999999901E-3</v>
      </c>
      <c r="H270" t="s">
        <v>240</v>
      </c>
      <c r="I270" t="s">
        <v>241</v>
      </c>
      <c r="J270" t="s">
        <v>2</v>
      </c>
      <c r="K270" s="183">
        <f ca="1">VLOOKUP(F270,
    OFFSET(INDIRECT(ADDRESS(MATCH(J270,'Vehicle numbers'!$A$5:$A$162,0),1,1,1,$L$6)),4,1,COUNTIF('Vehicle numbers'!$A$5:$A$162,J270),4),
    MATCH(K$8,'Vehicle numbers'!$B$4:$D$4,0))*1000</f>
        <v>22237538</v>
      </c>
      <c r="L270" s="183">
        <f ca="1">VLOOKUP(F270,
    OFFSET(INDIRECT(ADDRESS(MATCH(J270,'Vehicle numbers'!$A$5:$A$162,0),1,1,1,$L$6)),4,1,COUNTIF('Vehicle numbers'!$A$5:$A$162,J270),4),
    MATCH(L$8,'Vehicle numbers'!$B$4:$D$4,0))*1000</f>
        <v>22920953.104830965</v>
      </c>
      <c r="M270" s="184">
        <f>VLOOKUP(F270,'Annual distance covered (GB)'!$A$8:$H$33,MATCH(J270,'Annual distance covered (GB)'!$A$7:$H$7,0))</f>
        <v>359.9</v>
      </c>
      <c r="N270" s="2">
        <f t="shared" ca="1" si="22"/>
        <v>2522532.2584053515</v>
      </c>
      <c r="O270" s="180">
        <f t="shared" ca="1" si="23"/>
        <v>0.11005354999280927</v>
      </c>
      <c r="P270" s="180"/>
      <c r="Q270" s="185"/>
      <c r="R270" s="186"/>
      <c r="S270" s="180"/>
      <c r="T270" s="180"/>
    </row>
    <row r="271" spans="1:20" x14ac:dyDescent="0.25">
      <c r="A271" t="s">
        <v>243</v>
      </c>
      <c r="B271" t="s">
        <v>237</v>
      </c>
      <c r="C271" t="s">
        <v>238</v>
      </c>
      <c r="D271" t="s">
        <v>255</v>
      </c>
      <c r="E271" t="s">
        <v>228</v>
      </c>
      <c r="F271">
        <v>1996</v>
      </c>
      <c r="G271">
        <v>4.7599999999999899E-3</v>
      </c>
      <c r="H271" t="s">
        <v>240</v>
      </c>
      <c r="I271" t="s">
        <v>241</v>
      </c>
      <c r="J271" t="s">
        <v>2</v>
      </c>
      <c r="K271" s="183">
        <f ca="1">VLOOKUP(F271,
    OFFSET(INDIRECT(ADDRESS(MATCH(J271,'Vehicle numbers'!$A$5:$A$162,0),1,1,1,$L$6)),4,1,COUNTIF('Vehicle numbers'!$A$5:$A$162,J271),4),
    MATCH(K$8,'Vehicle numbers'!$B$4:$D$4,0))*1000</f>
        <v>22237538</v>
      </c>
      <c r="L271" s="183">
        <f ca="1">VLOOKUP(F271,
    OFFSET(INDIRECT(ADDRESS(MATCH(J271,'Vehicle numbers'!$A$5:$A$162,0),1,1,1,$L$6)),4,1,COUNTIF('Vehicle numbers'!$A$5:$A$162,J271),4),
    MATCH(L$8,'Vehicle numbers'!$B$4:$D$4,0))*1000</f>
        <v>22920953.104830965</v>
      </c>
      <c r="M271" s="184">
        <f>VLOOKUP(F271,'Annual distance covered (GB)'!$A$8:$H$33,MATCH(J271,'Annual distance covered (GB)'!$A$7:$H$7,0))</f>
        <v>359.9</v>
      </c>
      <c r="N271" s="2">
        <f t="shared" ca="1" si="22"/>
        <v>1765772.5808837451</v>
      </c>
      <c r="O271" s="180">
        <f t="shared" ca="1" si="23"/>
        <v>7.7037484994966446E-2</v>
      </c>
      <c r="P271" s="180"/>
      <c r="Q271" s="185"/>
      <c r="R271" s="186"/>
      <c r="S271" s="180"/>
      <c r="T271" s="180"/>
    </row>
    <row r="272" spans="1:20" x14ac:dyDescent="0.25">
      <c r="A272" t="s">
        <v>244</v>
      </c>
      <c r="B272" t="s">
        <v>237</v>
      </c>
      <c r="C272" t="s">
        <v>238</v>
      </c>
      <c r="D272" t="s">
        <v>255</v>
      </c>
      <c r="E272" t="s">
        <v>228</v>
      </c>
      <c r="F272">
        <v>1996</v>
      </c>
      <c r="G272">
        <v>6.7042253521126501E-4</v>
      </c>
      <c r="H272" t="s">
        <v>240</v>
      </c>
      <c r="I272" t="s">
        <v>241</v>
      </c>
      <c r="J272" t="s">
        <v>2</v>
      </c>
      <c r="K272" s="183">
        <f ca="1">VLOOKUP(F272,
    OFFSET(INDIRECT(ADDRESS(MATCH(J272,'Vehicle numbers'!$A$5:$A$162,0),1,1,1,$L$6)),4,1,COUNTIF('Vehicle numbers'!$A$5:$A$162,J272),4),
    MATCH(K$8,'Vehicle numbers'!$B$4:$D$4,0))*1000</f>
        <v>22237538</v>
      </c>
      <c r="L272" s="183">
        <f ca="1">VLOOKUP(F272,
    OFFSET(INDIRECT(ADDRESS(MATCH(J272,'Vehicle numbers'!$A$5:$A$162,0),1,1,1,$L$6)),4,1,COUNTIF('Vehicle numbers'!$A$5:$A$162,J272),4),
    MATCH(L$8,'Vehicle numbers'!$B$4:$D$4,0))*1000</f>
        <v>22920953.104830965</v>
      </c>
      <c r="M272" s="184">
        <f>VLOOKUP(F272,'Annual distance covered (GB)'!$A$8:$H$33,MATCH(J272,'Annual distance covered (GB)'!$A$7:$H$7,0))</f>
        <v>359.9</v>
      </c>
      <c r="N272" s="2">
        <f t="shared" ca="1" si="22"/>
        <v>248700.36350475237</v>
      </c>
      <c r="O272" s="180">
        <f t="shared" ca="1" si="23"/>
        <v>1.0850349999291029E-2</v>
      </c>
      <c r="P272" s="180"/>
      <c r="Q272" s="185"/>
      <c r="R272" s="186"/>
      <c r="S272" s="180"/>
      <c r="T272" s="180"/>
    </row>
    <row r="273" spans="1:20" x14ac:dyDescent="0.25">
      <c r="A273" t="s">
        <v>246</v>
      </c>
      <c r="B273" t="s">
        <v>237</v>
      </c>
      <c r="C273" t="s">
        <v>238</v>
      </c>
      <c r="D273" t="s">
        <v>255</v>
      </c>
      <c r="E273" t="s">
        <v>228</v>
      </c>
      <c r="F273">
        <v>1996</v>
      </c>
      <c r="G273">
        <v>5.3633802816901196E-4</v>
      </c>
      <c r="H273" t="s">
        <v>240</v>
      </c>
      <c r="I273" t="s">
        <v>241</v>
      </c>
      <c r="J273" t="s">
        <v>2</v>
      </c>
      <c r="K273" s="183">
        <f ca="1">VLOOKUP(F273,
    OFFSET(INDIRECT(ADDRESS(MATCH(J273,'Vehicle numbers'!$A$5:$A$162,0),1,1,1,$L$6)),4,1,COUNTIF('Vehicle numbers'!$A$5:$A$162,J273),4),
    MATCH(K$8,'Vehicle numbers'!$B$4:$D$4,0))*1000</f>
        <v>22237538</v>
      </c>
      <c r="L273" s="183">
        <f ca="1">VLOOKUP(F273,
    OFFSET(INDIRECT(ADDRESS(MATCH(J273,'Vehicle numbers'!$A$5:$A$162,0),1,1,1,$L$6)),4,1,COUNTIF('Vehicle numbers'!$A$5:$A$162,J273),4),
    MATCH(L$8,'Vehicle numbers'!$B$4:$D$4,0))*1000</f>
        <v>22920953.104830965</v>
      </c>
      <c r="M273" s="184">
        <f>VLOOKUP(F273,'Annual distance covered (GB)'!$A$8:$H$33,MATCH(J273,'Annual distance covered (GB)'!$A$7:$H$7,0))</f>
        <v>359.9</v>
      </c>
      <c r="N273" s="2">
        <f t="shared" ca="1" si="22"/>
        <v>198960.29080380188</v>
      </c>
      <c r="O273" s="180">
        <f t="shared" ca="1" si="23"/>
        <v>8.680279999432822E-3</v>
      </c>
      <c r="P273" s="180"/>
      <c r="Q273" s="185"/>
      <c r="R273" s="186"/>
      <c r="S273" s="180"/>
      <c r="T273" s="180"/>
    </row>
    <row r="274" spans="1:20" x14ac:dyDescent="0.25">
      <c r="A274" t="s">
        <v>236</v>
      </c>
      <c r="B274" t="s">
        <v>237</v>
      </c>
      <c r="C274" t="s">
        <v>238</v>
      </c>
      <c r="D274" t="s">
        <v>256</v>
      </c>
      <c r="E274" t="s">
        <v>229</v>
      </c>
      <c r="F274">
        <v>1996</v>
      </c>
      <c r="G274">
        <v>1.1707463628799399E-2</v>
      </c>
      <c r="H274" t="s">
        <v>240</v>
      </c>
      <c r="I274" t="s">
        <v>241</v>
      </c>
      <c r="J274" t="s">
        <v>2</v>
      </c>
      <c r="K274" s="183">
        <f ca="1">VLOOKUP(F274,
    OFFSET(INDIRECT(ADDRESS(MATCH(J274,'Vehicle numbers'!$A$5:$A$162,0),1,1,1,$L$6)),4,1,COUNTIF('Vehicle numbers'!$A$5:$A$162,J274),4),
    MATCH(K$8,'Vehicle numbers'!$B$4:$D$4,0))*1000</f>
        <v>22237538</v>
      </c>
      <c r="L274" s="183">
        <f ca="1">VLOOKUP(F274,
    OFFSET(INDIRECT(ADDRESS(MATCH(J274,'Vehicle numbers'!$A$5:$A$162,0),1,1,1,$L$6)),4,1,COUNTIF('Vehicle numbers'!$A$5:$A$162,J274),4),
    MATCH(L$8,'Vehicle numbers'!$B$4:$D$4,0))*1000</f>
        <v>22920953.104830965</v>
      </c>
      <c r="M274" s="184">
        <f>VLOOKUP(F274,'Annual distance covered (GB)'!$A$8:$H$33,MATCH(J274,'Annual distance covered (GB)'!$A$7:$H$7,0))</f>
        <v>359.9</v>
      </c>
      <c r="N274" s="2">
        <f t="shared" ca="1" si="22"/>
        <v>4343008.0393755743</v>
      </c>
      <c r="O274" s="180">
        <f t="shared" ca="1" si="23"/>
        <v>0.18947763731780484</v>
      </c>
      <c r="P274" s="180"/>
      <c r="Q274" s="185"/>
      <c r="R274" s="187"/>
      <c r="S274" s="180"/>
      <c r="T274" s="180"/>
    </row>
    <row r="275" spans="1:20" x14ac:dyDescent="0.25">
      <c r="A275" t="s">
        <v>243</v>
      </c>
      <c r="B275" t="s">
        <v>237</v>
      </c>
      <c r="C275" t="s">
        <v>238</v>
      </c>
      <c r="D275" t="s">
        <v>256</v>
      </c>
      <c r="E275" t="s">
        <v>229</v>
      </c>
      <c r="F275">
        <v>1996</v>
      </c>
      <c r="G275">
        <v>4.6829854515197597E-3</v>
      </c>
      <c r="H275" t="s">
        <v>240</v>
      </c>
      <c r="I275" t="s">
        <v>241</v>
      </c>
      <c r="J275" t="s">
        <v>2</v>
      </c>
      <c r="K275" s="183">
        <f ca="1">VLOOKUP(F275,
    OFFSET(INDIRECT(ADDRESS(MATCH(J275,'Vehicle numbers'!$A$5:$A$162,0),1,1,1,$L$6)),4,1,COUNTIF('Vehicle numbers'!$A$5:$A$162,J275),4),
    MATCH(K$8,'Vehicle numbers'!$B$4:$D$4,0))*1000</f>
        <v>22237538</v>
      </c>
      <c r="L275" s="183">
        <f ca="1">VLOOKUP(F275,
    OFFSET(INDIRECT(ADDRESS(MATCH(J275,'Vehicle numbers'!$A$5:$A$162,0),1,1,1,$L$6)),4,1,COUNTIF('Vehicle numbers'!$A$5:$A$162,J275),4),
    MATCH(L$8,'Vehicle numbers'!$B$4:$D$4,0))*1000</f>
        <v>22920953.104830965</v>
      </c>
      <c r="M275" s="184">
        <f>VLOOKUP(F275,'Annual distance covered (GB)'!$A$8:$H$33,MATCH(J275,'Annual distance covered (GB)'!$A$7:$H$7,0))</f>
        <v>359.9</v>
      </c>
      <c r="N275" s="2">
        <f t="shared" ca="1" si="22"/>
        <v>1737203.2157502298</v>
      </c>
      <c r="O275" s="180">
        <f t="shared" ca="1" si="23"/>
        <v>7.5791054927121931E-2</v>
      </c>
      <c r="P275" s="180"/>
      <c r="Q275" s="185"/>
      <c r="R275" s="188"/>
      <c r="S275" s="180"/>
      <c r="T275" s="180"/>
    </row>
    <row r="276" spans="1:20" x14ac:dyDescent="0.25">
      <c r="A276" t="s">
        <v>244</v>
      </c>
      <c r="B276" t="s">
        <v>237</v>
      </c>
      <c r="C276" t="s">
        <v>238</v>
      </c>
      <c r="D276" t="s">
        <v>256</v>
      </c>
      <c r="E276" t="s">
        <v>229</v>
      </c>
      <c r="F276">
        <v>1996</v>
      </c>
      <c r="G276">
        <v>1.1707463628799399E-3</v>
      </c>
      <c r="H276" t="s">
        <v>240</v>
      </c>
      <c r="I276" t="s">
        <v>241</v>
      </c>
      <c r="J276" t="s">
        <v>2</v>
      </c>
      <c r="K276" s="183">
        <f ca="1">VLOOKUP(F276,
    OFFSET(INDIRECT(ADDRESS(MATCH(J276,'Vehicle numbers'!$A$5:$A$162,0),1,1,1,$L$6)),4,1,COUNTIF('Vehicle numbers'!$A$5:$A$162,J276),4),
    MATCH(K$8,'Vehicle numbers'!$B$4:$D$4,0))*1000</f>
        <v>22237538</v>
      </c>
      <c r="L276" s="183">
        <f ca="1">VLOOKUP(F276,
    OFFSET(INDIRECT(ADDRESS(MATCH(J276,'Vehicle numbers'!$A$5:$A$162,0),1,1,1,$L$6)),4,1,COUNTIF('Vehicle numbers'!$A$5:$A$162,J276),4),
    MATCH(L$8,'Vehicle numbers'!$B$4:$D$4,0))*1000</f>
        <v>22920953.104830965</v>
      </c>
      <c r="M276" s="184">
        <f>VLOOKUP(F276,'Annual distance covered (GB)'!$A$8:$H$33,MATCH(J276,'Annual distance covered (GB)'!$A$7:$H$7,0))</f>
        <v>359.9</v>
      </c>
      <c r="N276" s="2">
        <f t="shared" ca="1" si="22"/>
        <v>434300.80393755744</v>
      </c>
      <c r="O276" s="180">
        <f t="shared" ca="1" si="23"/>
        <v>1.8947763731780483E-2</v>
      </c>
      <c r="P276" s="180"/>
      <c r="Q276" s="185"/>
      <c r="R276" s="186"/>
      <c r="S276" s="180"/>
      <c r="T276" s="180"/>
    </row>
    <row r="277" spans="1:20" x14ac:dyDescent="0.25">
      <c r="A277" t="s">
        <v>246</v>
      </c>
      <c r="B277" t="s">
        <v>237</v>
      </c>
      <c r="C277" t="s">
        <v>238</v>
      </c>
      <c r="D277" t="s">
        <v>256</v>
      </c>
      <c r="E277" t="s">
        <v>229</v>
      </c>
      <c r="F277">
        <v>1996</v>
      </c>
      <c r="G277">
        <v>9.3659709030395198E-4</v>
      </c>
      <c r="H277" t="s">
        <v>240</v>
      </c>
      <c r="I277" t="s">
        <v>241</v>
      </c>
      <c r="J277" t="s">
        <v>2</v>
      </c>
      <c r="K277" s="183">
        <f ca="1">VLOOKUP(F277,
    OFFSET(INDIRECT(ADDRESS(MATCH(J277,'Vehicle numbers'!$A$5:$A$162,0),1,1,1,$L$6)),4,1,COUNTIF('Vehicle numbers'!$A$5:$A$162,J277),4),
    MATCH(K$8,'Vehicle numbers'!$B$4:$D$4,0))*1000</f>
        <v>22237538</v>
      </c>
      <c r="L277" s="183">
        <f ca="1">VLOOKUP(F277,
    OFFSET(INDIRECT(ADDRESS(MATCH(J277,'Vehicle numbers'!$A$5:$A$162,0),1,1,1,$L$6)),4,1,COUNTIF('Vehicle numbers'!$A$5:$A$162,J277),4),
    MATCH(L$8,'Vehicle numbers'!$B$4:$D$4,0))*1000</f>
        <v>22920953.104830965</v>
      </c>
      <c r="M277" s="184">
        <f>VLOOKUP(F277,'Annual distance covered (GB)'!$A$8:$H$33,MATCH(J277,'Annual distance covered (GB)'!$A$7:$H$7,0))</f>
        <v>359.9</v>
      </c>
      <c r="N277" s="2">
        <f t="shared" ca="1" si="22"/>
        <v>347440.64315004594</v>
      </c>
      <c r="O277" s="180">
        <f t="shared" ca="1" si="23"/>
        <v>1.5158210985424386E-2</v>
      </c>
      <c r="P277" s="180"/>
      <c r="Q277" s="185"/>
      <c r="R277" s="186"/>
      <c r="S277" s="180"/>
      <c r="T277" s="180"/>
    </row>
    <row r="278" spans="1:20" x14ac:dyDescent="0.25">
      <c r="A278" t="s">
        <v>236</v>
      </c>
      <c r="B278" t="s">
        <v>237</v>
      </c>
      <c r="C278" t="s">
        <v>238</v>
      </c>
      <c r="D278" t="s">
        <v>256</v>
      </c>
      <c r="E278" t="s">
        <v>228</v>
      </c>
      <c r="F278">
        <v>1996</v>
      </c>
      <c r="G278">
        <v>8.7610353750170594E-3</v>
      </c>
      <c r="H278" t="s">
        <v>240</v>
      </c>
      <c r="I278" t="s">
        <v>241</v>
      </c>
      <c r="J278" t="s">
        <v>2</v>
      </c>
      <c r="K278" s="183">
        <f ca="1">VLOOKUP(F278,
    OFFSET(INDIRECT(ADDRESS(MATCH(J278,'Vehicle numbers'!$A$5:$A$162,0),1,1,1,$L$6)),4,1,COUNTIF('Vehicle numbers'!$A$5:$A$162,J278),4),
    MATCH(K$8,'Vehicle numbers'!$B$4:$D$4,0))*1000</f>
        <v>22237538</v>
      </c>
      <c r="L278" s="183">
        <f ca="1">VLOOKUP(F278,
    OFFSET(INDIRECT(ADDRESS(MATCH(J278,'Vehicle numbers'!$A$5:$A$162,0),1,1,1,$L$6)),4,1,COUNTIF('Vehicle numbers'!$A$5:$A$162,J278),4),
    MATCH(L$8,'Vehicle numbers'!$B$4:$D$4,0))*1000</f>
        <v>22920953.104830965</v>
      </c>
      <c r="M278" s="184">
        <f>VLOOKUP(F278,'Annual distance covered (GB)'!$A$8:$H$33,MATCH(J278,'Annual distance covered (GB)'!$A$7:$H$7,0))</f>
        <v>359.9</v>
      </c>
      <c r="N278" s="2">
        <f t="shared" ca="1" si="22"/>
        <v>3249999.1691927928</v>
      </c>
      <c r="O278" s="180">
        <f t="shared" ca="1" si="23"/>
        <v>0.14179162421076646</v>
      </c>
      <c r="P278" s="180"/>
      <c r="Q278" s="185"/>
      <c r="R278" s="186"/>
      <c r="S278" s="180"/>
      <c r="T278" s="180"/>
    </row>
    <row r="279" spans="1:20" x14ac:dyDescent="0.25">
      <c r="A279" t="s">
        <v>243</v>
      </c>
      <c r="B279" t="s">
        <v>237</v>
      </c>
      <c r="C279" t="s">
        <v>238</v>
      </c>
      <c r="D279" t="s">
        <v>256</v>
      </c>
      <c r="E279" t="s">
        <v>228</v>
      </c>
      <c r="F279">
        <v>1996</v>
      </c>
      <c r="G279">
        <v>6.1327247625119399E-3</v>
      </c>
      <c r="H279" t="s">
        <v>240</v>
      </c>
      <c r="I279" t="s">
        <v>241</v>
      </c>
      <c r="J279" t="s">
        <v>2</v>
      </c>
      <c r="K279" s="183">
        <f ca="1">VLOOKUP(F279,
    OFFSET(INDIRECT(ADDRESS(MATCH(J279,'Vehicle numbers'!$A$5:$A$162,0),1,1,1,$L$6)),4,1,COUNTIF('Vehicle numbers'!$A$5:$A$162,J279),4),
    MATCH(K$8,'Vehicle numbers'!$B$4:$D$4,0))*1000</f>
        <v>22237538</v>
      </c>
      <c r="L279" s="183">
        <f ca="1">VLOOKUP(F279,
    OFFSET(INDIRECT(ADDRESS(MATCH(J279,'Vehicle numbers'!$A$5:$A$162,0),1,1,1,$L$6)),4,1,COUNTIF('Vehicle numbers'!$A$5:$A$162,J279),4),
    MATCH(L$8,'Vehicle numbers'!$B$4:$D$4,0))*1000</f>
        <v>22920953.104830965</v>
      </c>
      <c r="M279" s="184">
        <f>VLOOKUP(F279,'Annual distance covered (GB)'!$A$8:$H$33,MATCH(J279,'Annual distance covered (GB)'!$A$7:$H$7,0))</f>
        <v>359.9</v>
      </c>
      <c r="N279" s="2">
        <f t="shared" ca="1" si="22"/>
        <v>2274999.4184349542</v>
      </c>
      <c r="O279" s="180">
        <f t="shared" ca="1" si="23"/>
        <v>9.9254136947536487E-2</v>
      </c>
      <c r="P279" s="180"/>
      <c r="Q279" s="185"/>
      <c r="R279" s="186"/>
      <c r="S279" s="180"/>
      <c r="T279" s="180"/>
    </row>
    <row r="280" spans="1:20" x14ac:dyDescent="0.25">
      <c r="A280" t="s">
        <v>244</v>
      </c>
      <c r="B280" t="s">
        <v>237</v>
      </c>
      <c r="C280" t="s">
        <v>238</v>
      </c>
      <c r="D280" t="s">
        <v>256</v>
      </c>
      <c r="E280" t="s">
        <v>228</v>
      </c>
      <c r="F280">
        <v>1996</v>
      </c>
      <c r="G280">
        <v>8.6376405105801799E-4</v>
      </c>
      <c r="H280" t="s">
        <v>240</v>
      </c>
      <c r="I280" t="s">
        <v>241</v>
      </c>
      <c r="J280" t="s">
        <v>2</v>
      </c>
      <c r="K280" s="183">
        <f ca="1">VLOOKUP(F280,
    OFFSET(INDIRECT(ADDRESS(MATCH(J280,'Vehicle numbers'!$A$5:$A$162,0),1,1,1,$L$6)),4,1,COUNTIF('Vehicle numbers'!$A$5:$A$162,J280),4),
    MATCH(K$8,'Vehicle numbers'!$B$4:$D$4,0))*1000</f>
        <v>22237538</v>
      </c>
      <c r="L280" s="183">
        <f ca="1">VLOOKUP(F280,
    OFFSET(INDIRECT(ADDRESS(MATCH(J280,'Vehicle numbers'!$A$5:$A$162,0),1,1,1,$L$6)),4,1,COUNTIF('Vehicle numbers'!$A$5:$A$162,J280),4),
    MATCH(L$8,'Vehicle numbers'!$B$4:$D$4,0))*1000</f>
        <v>22920953.104830965</v>
      </c>
      <c r="M280" s="184">
        <f>VLOOKUP(F280,'Annual distance covered (GB)'!$A$8:$H$33,MATCH(J280,'Annual distance covered (GB)'!$A$7:$H$7,0))</f>
        <v>359.9</v>
      </c>
      <c r="N280" s="2">
        <f t="shared" ca="1" si="22"/>
        <v>320422.45330069715</v>
      </c>
      <c r="O280" s="180">
        <f t="shared" ca="1" si="23"/>
        <v>1.3979455908103703E-2</v>
      </c>
      <c r="P280" s="180"/>
      <c r="Q280" s="185"/>
      <c r="R280" s="187"/>
      <c r="S280" s="180"/>
      <c r="T280" s="180"/>
    </row>
    <row r="281" spans="1:20" x14ac:dyDescent="0.25">
      <c r="A281" t="s">
        <v>246</v>
      </c>
      <c r="B281" t="s">
        <v>237</v>
      </c>
      <c r="C281" t="s">
        <v>238</v>
      </c>
      <c r="D281" t="s">
        <v>256</v>
      </c>
      <c r="E281" t="s">
        <v>228</v>
      </c>
      <c r="F281">
        <v>1996</v>
      </c>
      <c r="G281">
        <v>6.9101124084641502E-4</v>
      </c>
      <c r="H281" t="s">
        <v>240</v>
      </c>
      <c r="I281" t="s">
        <v>241</v>
      </c>
      <c r="J281" t="s">
        <v>2</v>
      </c>
      <c r="K281" s="183">
        <f ca="1">VLOOKUP(F281,
    OFFSET(INDIRECT(ADDRESS(MATCH(J281,'Vehicle numbers'!$A$5:$A$162,0),1,1,1,$L$6)),4,1,COUNTIF('Vehicle numbers'!$A$5:$A$162,J281),4),
    MATCH(K$8,'Vehicle numbers'!$B$4:$D$4,0))*1000</f>
        <v>22237538</v>
      </c>
      <c r="L281" s="183">
        <f ca="1">VLOOKUP(F281,
    OFFSET(INDIRECT(ADDRESS(MATCH(J281,'Vehicle numbers'!$A$5:$A$162,0),1,1,1,$L$6)),4,1,COUNTIF('Vehicle numbers'!$A$5:$A$162,J281),4),
    MATCH(L$8,'Vehicle numbers'!$B$4:$D$4,0))*1000</f>
        <v>22920953.104830965</v>
      </c>
      <c r="M281" s="184">
        <f>VLOOKUP(F281,'Annual distance covered (GB)'!$A$8:$H$33,MATCH(J281,'Annual distance covered (GB)'!$A$7:$H$7,0))</f>
        <v>359.9</v>
      </c>
      <c r="N281" s="2">
        <f t="shared" ca="1" si="22"/>
        <v>256337.96264055796</v>
      </c>
      <c r="O281" s="180">
        <f t="shared" ca="1" si="23"/>
        <v>1.1183564726482973E-2</v>
      </c>
      <c r="P281" s="180"/>
      <c r="Q281" s="185"/>
      <c r="R281" s="186"/>
      <c r="S281" s="180"/>
      <c r="T281" s="180"/>
    </row>
    <row r="282" spans="1:20" x14ac:dyDescent="0.25">
      <c r="A282" t="s">
        <v>236</v>
      </c>
      <c r="B282" t="s">
        <v>237</v>
      </c>
      <c r="C282" t="s">
        <v>238</v>
      </c>
      <c r="D282" t="s">
        <v>257</v>
      </c>
      <c r="E282" t="s">
        <v>229</v>
      </c>
      <c r="F282">
        <v>1996</v>
      </c>
      <c r="G282">
        <v>2.1210000000000001E-3</v>
      </c>
      <c r="H282" t="s">
        <v>240</v>
      </c>
      <c r="I282" t="s">
        <v>241</v>
      </c>
      <c r="J282" t="s">
        <v>188</v>
      </c>
      <c r="K282" s="183">
        <f ca="1">VLOOKUP(F282,
    OFFSET(INDIRECT(ADDRESS(MATCH(J282,'Vehicle numbers'!$A$5:$A$162,0),1,1,1,$L$6)),4,1,COUNTIF('Vehicle numbers'!$A$5:$A$162,J282),4),
    MATCH(K$8,'Vehicle numbers'!$B$4:$D$4,0))*1000</f>
        <v>2173878</v>
      </c>
      <c r="L282" s="183">
        <f ca="1">VLOOKUP(F282,
    OFFSET(INDIRECT(ADDRESS(MATCH(J282,'Vehicle numbers'!$A$5:$A$162,0),1,1,1,$L$6)),4,1,COUNTIF('Vehicle numbers'!$A$5:$A$162,J282),4),
    MATCH(L$8,'Vehicle numbers'!$B$4:$D$4,0))*1000</f>
        <v>2236258.6987063172</v>
      </c>
      <c r="M282" s="184">
        <f>VLOOKUP(F282,'Annual distance covered (GB)'!$A$8:$H$33,MATCH(J282,'Annual distance covered (GB)'!$A$7:$H$7,0))</f>
        <v>46.2</v>
      </c>
      <c r="N282" s="2">
        <f t="shared" ca="1" si="22"/>
        <v>100802.08601309356</v>
      </c>
      <c r="O282" s="180">
        <f t="shared" ca="1" si="23"/>
        <v>4.5076218628644305E-2</v>
      </c>
      <c r="P282" s="180"/>
      <c r="Q282" s="185"/>
      <c r="R282" s="186"/>
      <c r="S282" s="180"/>
      <c r="T282" s="180"/>
    </row>
    <row r="283" spans="1:20" x14ac:dyDescent="0.25">
      <c r="A283" t="s">
        <v>243</v>
      </c>
      <c r="B283" t="s">
        <v>237</v>
      </c>
      <c r="C283" t="s">
        <v>238</v>
      </c>
      <c r="D283" t="s">
        <v>257</v>
      </c>
      <c r="E283" t="s">
        <v>229</v>
      </c>
      <c r="F283">
        <v>1996</v>
      </c>
      <c r="G283">
        <v>8.4840000000000002E-4</v>
      </c>
      <c r="H283" t="s">
        <v>240</v>
      </c>
      <c r="I283" t="s">
        <v>241</v>
      </c>
      <c r="J283" t="s">
        <v>188</v>
      </c>
      <c r="K283" s="183">
        <f ca="1">VLOOKUP(F283,
    OFFSET(INDIRECT(ADDRESS(MATCH(J283,'Vehicle numbers'!$A$5:$A$162,0),1,1,1,$L$6)),4,1,COUNTIF('Vehicle numbers'!$A$5:$A$162,J283),4),
    MATCH(K$8,'Vehicle numbers'!$B$4:$D$4,0))*1000</f>
        <v>2173878</v>
      </c>
      <c r="L283" s="183">
        <f ca="1">VLOOKUP(F283,
    OFFSET(INDIRECT(ADDRESS(MATCH(J283,'Vehicle numbers'!$A$5:$A$162,0),1,1,1,$L$6)),4,1,COUNTIF('Vehicle numbers'!$A$5:$A$162,J283),4),
    MATCH(L$8,'Vehicle numbers'!$B$4:$D$4,0))*1000</f>
        <v>2236258.6987063172</v>
      </c>
      <c r="M283" s="184">
        <f>VLOOKUP(F283,'Annual distance covered (GB)'!$A$8:$H$33,MATCH(J283,'Annual distance covered (GB)'!$A$7:$H$7,0))</f>
        <v>46.2</v>
      </c>
      <c r="N283" s="2">
        <f t="shared" ca="1" si="22"/>
        <v>40320.834405237416</v>
      </c>
      <c r="O283" s="180">
        <f t="shared" ca="1" si="23"/>
        <v>1.8030487451457716E-2</v>
      </c>
      <c r="P283" s="180"/>
      <c r="Q283" s="185"/>
      <c r="R283" s="187"/>
      <c r="S283" s="180"/>
      <c r="T283" s="180"/>
    </row>
    <row r="284" spans="1:20" x14ac:dyDescent="0.25">
      <c r="A284" t="s">
        <v>244</v>
      </c>
      <c r="B284" t="s">
        <v>237</v>
      </c>
      <c r="C284" t="s">
        <v>238</v>
      </c>
      <c r="D284" t="s">
        <v>257</v>
      </c>
      <c r="E284" t="s">
        <v>229</v>
      </c>
      <c r="F284">
        <v>1996</v>
      </c>
      <c r="G284">
        <v>2.1210000000000001E-4</v>
      </c>
      <c r="H284" t="s">
        <v>240</v>
      </c>
      <c r="I284" t="s">
        <v>241</v>
      </c>
      <c r="J284" t="s">
        <v>188</v>
      </c>
      <c r="K284" s="183">
        <f ca="1">VLOOKUP(F284,
    OFFSET(INDIRECT(ADDRESS(MATCH(J284,'Vehicle numbers'!$A$5:$A$162,0),1,1,1,$L$6)),4,1,COUNTIF('Vehicle numbers'!$A$5:$A$162,J284),4),
    MATCH(K$8,'Vehicle numbers'!$B$4:$D$4,0))*1000</f>
        <v>2173878</v>
      </c>
      <c r="L284" s="183">
        <f ca="1">VLOOKUP(F284,
    OFFSET(INDIRECT(ADDRESS(MATCH(J284,'Vehicle numbers'!$A$5:$A$162,0),1,1,1,$L$6)),4,1,COUNTIF('Vehicle numbers'!$A$5:$A$162,J284),4),
    MATCH(L$8,'Vehicle numbers'!$B$4:$D$4,0))*1000</f>
        <v>2236258.6987063172</v>
      </c>
      <c r="M284" s="184">
        <f>VLOOKUP(F284,'Annual distance covered (GB)'!$A$8:$H$33,MATCH(J284,'Annual distance covered (GB)'!$A$7:$H$7,0))</f>
        <v>46.2</v>
      </c>
      <c r="N284" s="2">
        <f t="shared" ca="1" si="22"/>
        <v>10080.208601309354</v>
      </c>
      <c r="O284" s="180">
        <f t="shared" ca="1" si="23"/>
        <v>4.5076218628644291E-3</v>
      </c>
      <c r="P284" s="180"/>
      <c r="Q284" s="185"/>
      <c r="R284" s="188"/>
      <c r="S284" s="180"/>
      <c r="T284" s="180"/>
    </row>
    <row r="285" spans="1:20" x14ac:dyDescent="0.25">
      <c r="A285" t="s">
        <v>246</v>
      </c>
      <c r="B285" t="s">
        <v>237</v>
      </c>
      <c r="C285" t="s">
        <v>238</v>
      </c>
      <c r="D285" t="s">
        <v>257</v>
      </c>
      <c r="E285" t="s">
        <v>229</v>
      </c>
      <c r="F285">
        <v>1996</v>
      </c>
      <c r="G285">
        <v>1.6967999999999999E-4</v>
      </c>
      <c r="H285" t="s">
        <v>240</v>
      </c>
      <c r="I285" t="s">
        <v>241</v>
      </c>
      <c r="J285" t="s">
        <v>188</v>
      </c>
      <c r="K285" s="183">
        <f ca="1">VLOOKUP(F285,
    OFFSET(INDIRECT(ADDRESS(MATCH(J285,'Vehicle numbers'!$A$5:$A$162,0),1,1,1,$L$6)),4,1,COUNTIF('Vehicle numbers'!$A$5:$A$162,J285),4),
    MATCH(K$8,'Vehicle numbers'!$B$4:$D$4,0))*1000</f>
        <v>2173878</v>
      </c>
      <c r="L285" s="183">
        <f ca="1">VLOOKUP(F285,
    OFFSET(INDIRECT(ADDRESS(MATCH(J285,'Vehicle numbers'!$A$5:$A$162,0),1,1,1,$L$6)),4,1,COUNTIF('Vehicle numbers'!$A$5:$A$162,J285),4),
    MATCH(L$8,'Vehicle numbers'!$B$4:$D$4,0))*1000</f>
        <v>2236258.6987063172</v>
      </c>
      <c r="M285" s="184">
        <f>VLOOKUP(F285,'Annual distance covered (GB)'!$A$8:$H$33,MATCH(J285,'Annual distance covered (GB)'!$A$7:$H$7,0))</f>
        <v>46.2</v>
      </c>
      <c r="N285" s="2">
        <f t="shared" ca="1" si="22"/>
        <v>8064.166881047483</v>
      </c>
      <c r="O285" s="180">
        <f t="shared" ca="1" si="23"/>
        <v>3.6060974902915434E-3</v>
      </c>
      <c r="P285" s="180"/>
      <c r="Q285" s="185"/>
      <c r="R285" s="186"/>
      <c r="S285" s="180"/>
      <c r="T285" s="180"/>
    </row>
    <row r="286" spans="1:20" x14ac:dyDescent="0.25">
      <c r="A286" t="s">
        <v>236</v>
      </c>
      <c r="B286" t="s">
        <v>237</v>
      </c>
      <c r="C286" t="s">
        <v>238</v>
      </c>
      <c r="D286" t="s">
        <v>257</v>
      </c>
      <c r="E286" t="s">
        <v>228</v>
      </c>
      <c r="F286">
        <v>1996</v>
      </c>
      <c r="G286">
        <v>9.1459999999999996E-3</v>
      </c>
      <c r="H286" t="s">
        <v>240</v>
      </c>
      <c r="I286" t="s">
        <v>241</v>
      </c>
      <c r="J286" t="s">
        <v>188</v>
      </c>
      <c r="K286" s="183">
        <f ca="1">VLOOKUP(F286,
    OFFSET(INDIRECT(ADDRESS(MATCH(J286,'Vehicle numbers'!$A$5:$A$162,0),1,1,1,$L$6)),4,1,COUNTIF('Vehicle numbers'!$A$5:$A$162,J286),4),
    MATCH(K$8,'Vehicle numbers'!$B$4:$D$4,0))*1000</f>
        <v>2173878</v>
      </c>
      <c r="L286" s="183">
        <f ca="1">VLOOKUP(F286,
    OFFSET(INDIRECT(ADDRESS(MATCH(J286,'Vehicle numbers'!$A$5:$A$162,0),1,1,1,$L$6)),4,1,COUNTIF('Vehicle numbers'!$A$5:$A$162,J286),4),
    MATCH(L$8,'Vehicle numbers'!$B$4:$D$4,0))*1000</f>
        <v>2236258.6987063172</v>
      </c>
      <c r="M286" s="184">
        <f>VLOOKUP(F286,'Annual distance covered (GB)'!$A$8:$H$33,MATCH(J286,'Annual distance covered (GB)'!$A$7:$H$7,0))</f>
        <v>46.2</v>
      </c>
      <c r="N286" s="2">
        <f t="shared" ca="1" si="22"/>
        <v>434670.38127098238</v>
      </c>
      <c r="O286" s="180">
        <f t="shared" ca="1" si="23"/>
        <v>0.19437392530767597</v>
      </c>
      <c r="P286" s="180"/>
      <c r="Q286" s="185"/>
      <c r="R286" s="186"/>
      <c r="S286" s="180"/>
      <c r="T286" s="180"/>
    </row>
    <row r="287" spans="1:20" x14ac:dyDescent="0.25">
      <c r="A287" t="s">
        <v>243</v>
      </c>
      <c r="B287" t="s">
        <v>237</v>
      </c>
      <c r="C287" t="s">
        <v>238</v>
      </c>
      <c r="D287" t="s">
        <v>257</v>
      </c>
      <c r="E287" t="s">
        <v>228</v>
      </c>
      <c r="F287">
        <v>1996</v>
      </c>
      <c r="G287">
        <v>6.4022000000000003E-3</v>
      </c>
      <c r="H287" t="s">
        <v>240</v>
      </c>
      <c r="I287" t="s">
        <v>241</v>
      </c>
      <c r="J287" t="s">
        <v>188</v>
      </c>
      <c r="K287" s="183">
        <f ca="1">VLOOKUP(F287,
    OFFSET(INDIRECT(ADDRESS(MATCH(J287,'Vehicle numbers'!$A$5:$A$162,0),1,1,1,$L$6)),4,1,COUNTIF('Vehicle numbers'!$A$5:$A$162,J287),4),
    MATCH(K$8,'Vehicle numbers'!$B$4:$D$4,0))*1000</f>
        <v>2173878</v>
      </c>
      <c r="L287" s="183">
        <f ca="1">VLOOKUP(F287,
    OFFSET(INDIRECT(ADDRESS(MATCH(J287,'Vehicle numbers'!$A$5:$A$162,0),1,1,1,$L$6)),4,1,COUNTIF('Vehicle numbers'!$A$5:$A$162,J287),4),
    MATCH(L$8,'Vehicle numbers'!$B$4:$D$4,0))*1000</f>
        <v>2236258.6987063172</v>
      </c>
      <c r="M287" s="184">
        <f>VLOOKUP(F287,'Annual distance covered (GB)'!$A$8:$H$33,MATCH(J287,'Annual distance covered (GB)'!$A$7:$H$7,0))</f>
        <v>46.2</v>
      </c>
      <c r="N287" s="2">
        <f t="shared" ca="1" si="22"/>
        <v>304269.26688968763</v>
      </c>
      <c r="O287" s="180">
        <f t="shared" ca="1" si="23"/>
        <v>0.13606174771537316</v>
      </c>
      <c r="P287" s="180"/>
      <c r="Q287" s="185"/>
      <c r="R287" s="186"/>
      <c r="S287" s="180"/>
      <c r="T287" s="180"/>
    </row>
    <row r="288" spans="1:20" x14ac:dyDescent="0.25">
      <c r="A288" t="s">
        <v>244</v>
      </c>
      <c r="B288" t="s">
        <v>237</v>
      </c>
      <c r="C288" t="s">
        <v>238</v>
      </c>
      <c r="D288" t="s">
        <v>257</v>
      </c>
      <c r="E288" t="s">
        <v>228</v>
      </c>
      <c r="F288">
        <v>1996</v>
      </c>
      <c r="G288">
        <v>9.0171830985915399E-4</v>
      </c>
      <c r="H288" t="s">
        <v>240</v>
      </c>
      <c r="I288" t="s">
        <v>241</v>
      </c>
      <c r="J288" t="s">
        <v>188</v>
      </c>
      <c r="K288" s="183">
        <f ca="1">VLOOKUP(F288,
    OFFSET(INDIRECT(ADDRESS(MATCH(J288,'Vehicle numbers'!$A$5:$A$162,0),1,1,1,$L$6)),4,1,COUNTIF('Vehicle numbers'!$A$5:$A$162,J288),4),
    MATCH(K$8,'Vehicle numbers'!$B$4:$D$4,0))*1000</f>
        <v>2173878</v>
      </c>
      <c r="L288" s="183">
        <f ca="1">VLOOKUP(F288,
    OFFSET(INDIRECT(ADDRESS(MATCH(J288,'Vehicle numbers'!$A$5:$A$162,0),1,1,1,$L$6)),4,1,COUNTIF('Vehicle numbers'!$A$5:$A$162,J288),4),
    MATCH(L$8,'Vehicle numbers'!$B$4:$D$4,0))*1000</f>
        <v>2236258.6987063172</v>
      </c>
      <c r="M288" s="184">
        <f>VLOOKUP(F288,'Annual distance covered (GB)'!$A$8:$H$33,MATCH(J288,'Annual distance covered (GB)'!$A$7:$H$7,0))</f>
        <v>46.2</v>
      </c>
      <c r="N288" s="2">
        <f t="shared" ca="1" si="22"/>
        <v>42854.826322491172</v>
      </c>
      <c r="O288" s="180">
        <f t="shared" ca="1" si="23"/>
        <v>1.9163626438784935E-2</v>
      </c>
      <c r="P288" s="180"/>
      <c r="Q288" s="185"/>
      <c r="R288" s="186"/>
      <c r="S288" s="180"/>
      <c r="T288" s="180"/>
    </row>
    <row r="289" spans="1:20" x14ac:dyDescent="0.25">
      <c r="A289" t="s">
        <v>246</v>
      </c>
      <c r="B289" t="s">
        <v>237</v>
      </c>
      <c r="C289" t="s">
        <v>238</v>
      </c>
      <c r="D289" t="s">
        <v>257</v>
      </c>
      <c r="E289" t="s">
        <v>228</v>
      </c>
      <c r="F289">
        <v>1996</v>
      </c>
      <c r="G289">
        <v>7.21374647887323E-4</v>
      </c>
      <c r="H289" t="s">
        <v>240</v>
      </c>
      <c r="I289" t="s">
        <v>241</v>
      </c>
      <c r="J289" t="s">
        <v>188</v>
      </c>
      <c r="K289" s="183">
        <f ca="1">VLOOKUP(F289,
    OFFSET(INDIRECT(ADDRESS(MATCH(J289,'Vehicle numbers'!$A$5:$A$162,0),1,1,1,$L$6)),4,1,COUNTIF('Vehicle numbers'!$A$5:$A$162,J289),4),
    MATCH(K$8,'Vehicle numbers'!$B$4:$D$4,0))*1000</f>
        <v>2173878</v>
      </c>
      <c r="L289" s="183">
        <f ca="1">VLOOKUP(F289,
    OFFSET(INDIRECT(ADDRESS(MATCH(J289,'Vehicle numbers'!$A$5:$A$162,0),1,1,1,$L$6)),4,1,COUNTIF('Vehicle numbers'!$A$5:$A$162,J289),4),
    MATCH(L$8,'Vehicle numbers'!$B$4:$D$4,0))*1000</f>
        <v>2236258.6987063172</v>
      </c>
      <c r="M289" s="184">
        <f>VLOOKUP(F289,'Annual distance covered (GB)'!$A$8:$H$33,MATCH(J289,'Annual distance covered (GB)'!$A$7:$H$7,0))</f>
        <v>46.2</v>
      </c>
      <c r="N289" s="2">
        <f t="shared" ca="1" si="22"/>
        <v>34283.86105799293</v>
      </c>
      <c r="O289" s="180">
        <f t="shared" ca="1" si="23"/>
        <v>1.5330901151027943E-2</v>
      </c>
      <c r="P289" s="180"/>
      <c r="Q289" s="185"/>
      <c r="R289" s="187"/>
      <c r="S289" s="180"/>
      <c r="T289" s="180"/>
    </row>
    <row r="290" spans="1:20" x14ac:dyDescent="0.25">
      <c r="A290" t="s">
        <v>236</v>
      </c>
      <c r="B290" t="s">
        <v>237</v>
      </c>
      <c r="C290" t="s">
        <v>238</v>
      </c>
      <c r="D290" t="s">
        <v>258</v>
      </c>
      <c r="E290" t="s">
        <v>229</v>
      </c>
      <c r="F290">
        <v>1996</v>
      </c>
      <c r="G290">
        <v>8.6220000000000099E-3</v>
      </c>
      <c r="H290" t="s">
        <v>240</v>
      </c>
      <c r="I290" t="s">
        <v>241</v>
      </c>
      <c r="J290" t="s">
        <v>188</v>
      </c>
      <c r="K290" s="183">
        <f ca="1">VLOOKUP(F290,
    OFFSET(INDIRECT(ADDRESS(MATCH(J290,'Vehicle numbers'!$A$5:$A$162,0),1,1,1,$L$6)),4,1,COUNTIF('Vehicle numbers'!$A$5:$A$162,J290),4),
    MATCH(K$8,'Vehicle numbers'!$B$4:$D$4,0))*1000</f>
        <v>2173878</v>
      </c>
      <c r="L290" s="183">
        <f ca="1">VLOOKUP(F290,
    OFFSET(INDIRECT(ADDRESS(MATCH(J290,'Vehicle numbers'!$A$5:$A$162,0),1,1,1,$L$6)),4,1,COUNTIF('Vehicle numbers'!$A$5:$A$162,J290),4),
    MATCH(L$8,'Vehicle numbers'!$B$4:$D$4,0))*1000</f>
        <v>2236258.6987063172</v>
      </c>
      <c r="M290" s="184">
        <f>VLOOKUP(F290,'Annual distance covered (GB)'!$A$8:$H$33,MATCH(J290,'Annual distance covered (GB)'!$A$7:$H$7,0))</f>
        <v>46.2</v>
      </c>
      <c r="N290" s="2">
        <f t="shared" ca="1" si="22"/>
        <v>409766.89561758301</v>
      </c>
      <c r="O290" s="180">
        <f t="shared" ca="1" si="23"/>
        <v>0.18323769779168861</v>
      </c>
      <c r="P290" s="180"/>
      <c r="Q290" s="185"/>
      <c r="R290" s="188"/>
      <c r="S290" s="180"/>
      <c r="T290" s="180"/>
    </row>
    <row r="291" spans="1:20" x14ac:dyDescent="0.25">
      <c r="A291" t="s">
        <v>243</v>
      </c>
      <c r="B291" t="s">
        <v>237</v>
      </c>
      <c r="C291" t="s">
        <v>238</v>
      </c>
      <c r="D291" t="s">
        <v>258</v>
      </c>
      <c r="E291" t="s">
        <v>229</v>
      </c>
      <c r="F291">
        <v>1996</v>
      </c>
      <c r="G291">
        <v>3.4488000000000001E-3</v>
      </c>
      <c r="H291" t="s">
        <v>240</v>
      </c>
      <c r="I291" t="s">
        <v>241</v>
      </c>
      <c r="J291" t="s">
        <v>188</v>
      </c>
      <c r="K291" s="183">
        <f ca="1">VLOOKUP(F291,
    OFFSET(INDIRECT(ADDRESS(MATCH(J291,'Vehicle numbers'!$A$5:$A$162,0),1,1,1,$L$6)),4,1,COUNTIF('Vehicle numbers'!$A$5:$A$162,J291),4),
    MATCH(K$8,'Vehicle numbers'!$B$4:$D$4,0))*1000</f>
        <v>2173878</v>
      </c>
      <c r="L291" s="183">
        <f ca="1">VLOOKUP(F291,
    OFFSET(INDIRECT(ADDRESS(MATCH(J291,'Vehicle numbers'!$A$5:$A$162,0),1,1,1,$L$6)),4,1,COUNTIF('Vehicle numbers'!$A$5:$A$162,J291),4),
    MATCH(L$8,'Vehicle numbers'!$B$4:$D$4,0))*1000</f>
        <v>2236258.6987063172</v>
      </c>
      <c r="M291" s="184">
        <f>VLOOKUP(F291,'Annual distance covered (GB)'!$A$8:$H$33,MATCH(J291,'Annual distance covered (GB)'!$A$7:$H$7,0))</f>
        <v>46.2</v>
      </c>
      <c r="N291" s="2">
        <f t="shared" ca="1" si="22"/>
        <v>163906.75824703305</v>
      </c>
      <c r="O291" s="180">
        <f t="shared" ca="1" si="23"/>
        <v>7.3295079116675377E-2</v>
      </c>
      <c r="P291" s="180"/>
      <c r="Q291" s="185"/>
      <c r="R291" s="186"/>
      <c r="S291" s="180"/>
      <c r="T291" s="180"/>
    </row>
    <row r="292" spans="1:20" x14ac:dyDescent="0.25">
      <c r="A292" t="s">
        <v>244</v>
      </c>
      <c r="B292" t="s">
        <v>237</v>
      </c>
      <c r="C292" t="s">
        <v>238</v>
      </c>
      <c r="D292" t="s">
        <v>258</v>
      </c>
      <c r="E292" t="s">
        <v>229</v>
      </c>
      <c r="F292">
        <v>1996</v>
      </c>
      <c r="G292">
        <v>8.6220000000000003E-4</v>
      </c>
      <c r="H292" t="s">
        <v>240</v>
      </c>
      <c r="I292" t="s">
        <v>241</v>
      </c>
      <c r="J292" t="s">
        <v>188</v>
      </c>
      <c r="K292" s="183">
        <f ca="1">VLOOKUP(F292,
    OFFSET(INDIRECT(ADDRESS(MATCH(J292,'Vehicle numbers'!$A$5:$A$162,0),1,1,1,$L$6)),4,1,COUNTIF('Vehicle numbers'!$A$5:$A$162,J292),4),
    MATCH(K$8,'Vehicle numbers'!$B$4:$D$4,0))*1000</f>
        <v>2173878</v>
      </c>
      <c r="L292" s="183">
        <f ca="1">VLOOKUP(F292,
    OFFSET(INDIRECT(ADDRESS(MATCH(J292,'Vehicle numbers'!$A$5:$A$162,0),1,1,1,$L$6)),4,1,COUNTIF('Vehicle numbers'!$A$5:$A$162,J292),4),
    MATCH(L$8,'Vehicle numbers'!$B$4:$D$4,0))*1000</f>
        <v>2236258.6987063172</v>
      </c>
      <c r="M292" s="184">
        <f>VLOOKUP(F292,'Annual distance covered (GB)'!$A$8:$H$33,MATCH(J292,'Annual distance covered (GB)'!$A$7:$H$7,0))</f>
        <v>46.2</v>
      </c>
      <c r="N292" s="2">
        <f t="shared" ca="1" si="22"/>
        <v>40976.689561758263</v>
      </c>
      <c r="O292" s="180">
        <f t="shared" ca="1" si="23"/>
        <v>1.8323769779168844E-2</v>
      </c>
      <c r="P292" s="180"/>
      <c r="Q292" s="185"/>
      <c r="R292" s="186"/>
      <c r="S292" s="180"/>
      <c r="T292" s="180"/>
    </row>
    <row r="293" spans="1:20" x14ac:dyDescent="0.25">
      <c r="A293" t="s">
        <v>246</v>
      </c>
      <c r="B293" t="s">
        <v>237</v>
      </c>
      <c r="C293" t="s">
        <v>238</v>
      </c>
      <c r="D293" t="s">
        <v>258</v>
      </c>
      <c r="E293" t="s">
        <v>229</v>
      </c>
      <c r="F293">
        <v>1996</v>
      </c>
      <c r="G293">
        <v>6.8975999999999998E-4</v>
      </c>
      <c r="H293" t="s">
        <v>240</v>
      </c>
      <c r="I293" t="s">
        <v>241</v>
      </c>
      <c r="J293" t="s">
        <v>188</v>
      </c>
      <c r="K293" s="183">
        <f ca="1">VLOOKUP(F293,
    OFFSET(INDIRECT(ADDRESS(MATCH(J293,'Vehicle numbers'!$A$5:$A$162,0),1,1,1,$L$6)),4,1,COUNTIF('Vehicle numbers'!$A$5:$A$162,J293),4),
    MATCH(K$8,'Vehicle numbers'!$B$4:$D$4,0))*1000</f>
        <v>2173878</v>
      </c>
      <c r="L293" s="183">
        <f ca="1">VLOOKUP(F293,
    OFFSET(INDIRECT(ADDRESS(MATCH(J293,'Vehicle numbers'!$A$5:$A$162,0),1,1,1,$L$6)),4,1,COUNTIF('Vehicle numbers'!$A$5:$A$162,J293),4),
    MATCH(L$8,'Vehicle numbers'!$B$4:$D$4,0))*1000</f>
        <v>2236258.6987063172</v>
      </c>
      <c r="M293" s="184">
        <f>VLOOKUP(F293,'Annual distance covered (GB)'!$A$8:$H$33,MATCH(J293,'Annual distance covered (GB)'!$A$7:$H$7,0))</f>
        <v>46.2</v>
      </c>
      <c r="N293" s="2">
        <f t="shared" ca="1" si="22"/>
        <v>32781.351649406606</v>
      </c>
      <c r="O293" s="180">
        <f t="shared" ca="1" si="23"/>
        <v>1.4659015823335075E-2</v>
      </c>
      <c r="P293" s="180"/>
      <c r="Q293" s="185"/>
      <c r="R293" s="186"/>
      <c r="S293" s="180"/>
      <c r="T293" s="180"/>
    </row>
    <row r="294" spans="1:20" x14ac:dyDescent="0.25">
      <c r="A294" t="s">
        <v>236</v>
      </c>
      <c r="B294" t="s">
        <v>237</v>
      </c>
      <c r="C294" t="s">
        <v>238</v>
      </c>
      <c r="D294" t="s">
        <v>258</v>
      </c>
      <c r="E294" t="s">
        <v>228</v>
      </c>
      <c r="F294">
        <v>1996</v>
      </c>
      <c r="G294">
        <v>1.0741000000000001E-2</v>
      </c>
      <c r="H294" t="s">
        <v>240</v>
      </c>
      <c r="I294" t="s">
        <v>241</v>
      </c>
      <c r="J294" t="s">
        <v>188</v>
      </c>
      <c r="K294" s="183">
        <f ca="1">VLOOKUP(F294,
    OFFSET(INDIRECT(ADDRESS(MATCH(J294,'Vehicle numbers'!$A$5:$A$162,0),1,1,1,$L$6)),4,1,COUNTIF('Vehicle numbers'!$A$5:$A$162,J294),4),
    MATCH(K$8,'Vehicle numbers'!$B$4:$D$4,0))*1000</f>
        <v>2173878</v>
      </c>
      <c r="L294" s="183">
        <f ca="1">VLOOKUP(F294,
    OFFSET(INDIRECT(ADDRESS(MATCH(J294,'Vehicle numbers'!$A$5:$A$162,0),1,1,1,$L$6)),4,1,COUNTIF('Vehicle numbers'!$A$5:$A$162,J294),4),
    MATCH(L$8,'Vehicle numbers'!$B$4:$D$4,0))*1000</f>
        <v>2236258.6987063172</v>
      </c>
      <c r="M294" s="184">
        <f>VLOOKUP(F294,'Annual distance covered (GB)'!$A$8:$H$33,MATCH(J294,'Annual distance covered (GB)'!$A$7:$H$7,0))</f>
        <v>46.2</v>
      </c>
      <c r="N294" s="2">
        <f t="shared" ca="1" si="22"/>
        <v>510473.93015871663</v>
      </c>
      <c r="O294" s="180">
        <f t="shared" ca="1" si="23"/>
        <v>0.22827141173515722</v>
      </c>
      <c r="P294" s="180"/>
      <c r="Q294" s="185"/>
      <c r="R294" s="186"/>
      <c r="S294" s="180"/>
      <c r="T294" s="180"/>
    </row>
    <row r="295" spans="1:20" x14ac:dyDescent="0.25">
      <c r="A295" t="s">
        <v>243</v>
      </c>
      <c r="B295" t="s">
        <v>237</v>
      </c>
      <c r="C295" t="s">
        <v>238</v>
      </c>
      <c r="D295" t="s">
        <v>258</v>
      </c>
      <c r="E295" t="s">
        <v>228</v>
      </c>
      <c r="F295">
        <v>1996</v>
      </c>
      <c r="G295">
        <v>7.5186999999999997E-3</v>
      </c>
      <c r="H295" t="s">
        <v>240</v>
      </c>
      <c r="I295" t="s">
        <v>241</v>
      </c>
      <c r="J295" t="s">
        <v>188</v>
      </c>
      <c r="K295" s="183">
        <f ca="1">VLOOKUP(F295,
    OFFSET(INDIRECT(ADDRESS(MATCH(J295,'Vehicle numbers'!$A$5:$A$162,0),1,1,1,$L$6)),4,1,COUNTIF('Vehicle numbers'!$A$5:$A$162,J295),4),
    MATCH(K$8,'Vehicle numbers'!$B$4:$D$4,0))*1000</f>
        <v>2173878</v>
      </c>
      <c r="L295" s="183">
        <f ca="1">VLOOKUP(F295,
    OFFSET(INDIRECT(ADDRESS(MATCH(J295,'Vehicle numbers'!$A$5:$A$162,0),1,1,1,$L$6)),4,1,COUNTIF('Vehicle numbers'!$A$5:$A$162,J295),4),
    MATCH(L$8,'Vehicle numbers'!$B$4:$D$4,0))*1000</f>
        <v>2236258.6987063172</v>
      </c>
      <c r="M295" s="184">
        <f>VLOOKUP(F295,'Annual distance covered (GB)'!$A$8:$H$33,MATCH(J295,'Annual distance covered (GB)'!$A$7:$H$7,0))</f>
        <v>46.2</v>
      </c>
      <c r="N295" s="2">
        <f t="shared" ca="1" si="22"/>
        <v>357331.75111110159</v>
      </c>
      <c r="O295" s="180">
        <f t="shared" ca="1" si="23"/>
        <v>0.15978998821461002</v>
      </c>
      <c r="P295" s="180"/>
      <c r="Q295" s="185"/>
      <c r="R295" s="187"/>
      <c r="S295" s="180"/>
      <c r="T295" s="180"/>
    </row>
    <row r="296" spans="1:20" x14ac:dyDescent="0.25">
      <c r="A296" t="s">
        <v>244</v>
      </c>
      <c r="B296" t="s">
        <v>237</v>
      </c>
      <c r="C296" t="s">
        <v>238</v>
      </c>
      <c r="D296" t="s">
        <v>258</v>
      </c>
      <c r="E296" t="s">
        <v>228</v>
      </c>
      <c r="F296">
        <v>1996</v>
      </c>
      <c r="G296">
        <v>1.05897183098591E-3</v>
      </c>
      <c r="H296" t="s">
        <v>240</v>
      </c>
      <c r="I296" t="s">
        <v>241</v>
      </c>
      <c r="J296" t="s">
        <v>188</v>
      </c>
      <c r="K296" s="183">
        <f ca="1">VLOOKUP(F296,
    OFFSET(INDIRECT(ADDRESS(MATCH(J296,'Vehicle numbers'!$A$5:$A$162,0),1,1,1,$L$6)),4,1,COUNTIF('Vehicle numbers'!$A$5:$A$162,J296),4),
    MATCH(K$8,'Vehicle numbers'!$B$4:$D$4,0))*1000</f>
        <v>2173878</v>
      </c>
      <c r="L296" s="183">
        <f ca="1">VLOOKUP(F296,
    OFFSET(INDIRECT(ADDRESS(MATCH(J296,'Vehicle numbers'!$A$5:$A$162,0),1,1,1,$L$6)),4,1,COUNTIF('Vehicle numbers'!$A$5:$A$162,J296),4),
    MATCH(L$8,'Vehicle numbers'!$B$4:$D$4,0))*1000</f>
        <v>2236258.6987063172</v>
      </c>
      <c r="M296" s="184">
        <f>VLOOKUP(F296,'Annual distance covered (GB)'!$A$8:$H$33,MATCH(J296,'Annual distance covered (GB)'!$A$7:$H$7,0))</f>
        <v>46.2</v>
      </c>
      <c r="N296" s="2">
        <f t="shared" ca="1" si="22"/>
        <v>50328.415649450661</v>
      </c>
      <c r="O296" s="180">
        <f t="shared" ca="1" si="23"/>
        <v>2.2505632142902701E-2</v>
      </c>
      <c r="P296" s="180"/>
      <c r="Q296" s="185"/>
      <c r="R296" s="186"/>
      <c r="S296" s="180"/>
      <c r="T296" s="180"/>
    </row>
    <row r="297" spans="1:20" x14ac:dyDescent="0.25">
      <c r="A297" t="s">
        <v>246</v>
      </c>
      <c r="B297" t="s">
        <v>237</v>
      </c>
      <c r="C297" t="s">
        <v>238</v>
      </c>
      <c r="D297" t="s">
        <v>258</v>
      </c>
      <c r="E297" t="s">
        <v>228</v>
      </c>
      <c r="F297">
        <v>1996</v>
      </c>
      <c r="G297">
        <v>8.47177464788731E-4</v>
      </c>
      <c r="H297" t="s">
        <v>240</v>
      </c>
      <c r="I297" t="s">
        <v>241</v>
      </c>
      <c r="J297" t="s">
        <v>188</v>
      </c>
      <c r="K297" s="183">
        <f ca="1">VLOOKUP(F297,
    OFFSET(INDIRECT(ADDRESS(MATCH(J297,'Vehicle numbers'!$A$5:$A$162,0),1,1,1,$L$6)),4,1,COUNTIF('Vehicle numbers'!$A$5:$A$162,J297),4),
    MATCH(K$8,'Vehicle numbers'!$B$4:$D$4,0))*1000</f>
        <v>2173878</v>
      </c>
      <c r="L297" s="183">
        <f ca="1">VLOOKUP(F297,
    OFFSET(INDIRECT(ADDRESS(MATCH(J297,'Vehicle numbers'!$A$5:$A$162,0),1,1,1,$L$6)),4,1,COUNTIF('Vehicle numbers'!$A$5:$A$162,J297),4),
    MATCH(L$8,'Vehicle numbers'!$B$4:$D$4,0))*1000</f>
        <v>2236258.6987063172</v>
      </c>
      <c r="M297" s="184">
        <f>VLOOKUP(F297,'Annual distance covered (GB)'!$A$8:$H$33,MATCH(J297,'Annual distance covered (GB)'!$A$7:$H$7,0))</f>
        <v>46.2</v>
      </c>
      <c r="N297" s="2">
        <f t="shared" ca="1" si="22"/>
        <v>40262.732519560675</v>
      </c>
      <c r="O297" s="180">
        <f t="shared" ca="1" si="23"/>
        <v>1.8004505714322227E-2</v>
      </c>
      <c r="P297" s="180"/>
      <c r="Q297" s="185"/>
      <c r="R297" s="186"/>
      <c r="S297" s="180"/>
      <c r="T297" s="180"/>
    </row>
    <row r="298" spans="1:20" x14ac:dyDescent="0.25">
      <c r="A298" t="s">
        <v>236</v>
      </c>
      <c r="B298" t="s">
        <v>237</v>
      </c>
      <c r="C298" t="s">
        <v>238</v>
      </c>
      <c r="D298" t="s">
        <v>259</v>
      </c>
      <c r="E298" t="s">
        <v>229</v>
      </c>
      <c r="F298">
        <v>1996</v>
      </c>
      <c r="G298">
        <v>1.8218999999999999E-2</v>
      </c>
      <c r="H298" t="s">
        <v>240</v>
      </c>
      <c r="I298" t="s">
        <v>241</v>
      </c>
      <c r="J298" t="s">
        <v>188</v>
      </c>
      <c r="K298" s="183">
        <f ca="1">VLOOKUP(F298,
    OFFSET(INDIRECT(ADDRESS(MATCH(J298,'Vehicle numbers'!$A$5:$A$162,0),1,1,1,$L$6)),4,1,COUNTIF('Vehicle numbers'!$A$5:$A$162,J298),4),
    MATCH(K$8,'Vehicle numbers'!$B$4:$D$4,0))*1000</f>
        <v>2173878</v>
      </c>
      <c r="L298" s="183">
        <f ca="1">VLOOKUP(F298,
    OFFSET(INDIRECT(ADDRESS(MATCH(J298,'Vehicle numbers'!$A$5:$A$162,0),1,1,1,$L$6)),4,1,COUNTIF('Vehicle numbers'!$A$5:$A$162,J298),4),
    MATCH(L$8,'Vehicle numbers'!$B$4:$D$4,0))*1000</f>
        <v>2236258.6987063172</v>
      </c>
      <c r="M298" s="184">
        <f>VLOOKUP(F298,'Annual distance covered (GB)'!$A$8:$H$33,MATCH(J298,'Annual distance covered (GB)'!$A$7:$H$7,0))</f>
        <v>46.2</v>
      </c>
      <c r="N298" s="2">
        <f t="shared" ca="1" si="22"/>
        <v>865871.3838154414</v>
      </c>
      <c r="O298" s="180">
        <f t="shared" ca="1" si="23"/>
        <v>0.38719642960644524</v>
      </c>
      <c r="P298" s="180"/>
      <c r="Q298" s="185"/>
      <c r="R298" s="187"/>
      <c r="S298" s="180"/>
      <c r="T298" s="180"/>
    </row>
    <row r="299" spans="1:20" x14ac:dyDescent="0.25">
      <c r="A299" t="s">
        <v>243</v>
      </c>
      <c r="B299" t="s">
        <v>237</v>
      </c>
      <c r="C299" t="s">
        <v>238</v>
      </c>
      <c r="D299" t="s">
        <v>259</v>
      </c>
      <c r="E299" t="s">
        <v>229</v>
      </c>
      <c r="F299">
        <v>1996</v>
      </c>
      <c r="G299">
        <v>7.2876E-3</v>
      </c>
      <c r="H299" t="s">
        <v>240</v>
      </c>
      <c r="I299" t="s">
        <v>241</v>
      </c>
      <c r="J299" t="s">
        <v>188</v>
      </c>
      <c r="K299" s="183">
        <f ca="1">VLOOKUP(F299,
    OFFSET(INDIRECT(ADDRESS(MATCH(J299,'Vehicle numbers'!$A$5:$A$162,0),1,1,1,$L$6)),4,1,COUNTIF('Vehicle numbers'!$A$5:$A$162,J299),4),
    MATCH(K$8,'Vehicle numbers'!$B$4:$D$4,0))*1000</f>
        <v>2173878</v>
      </c>
      <c r="L299" s="183">
        <f ca="1">VLOOKUP(F299,
    OFFSET(INDIRECT(ADDRESS(MATCH(J299,'Vehicle numbers'!$A$5:$A$162,0),1,1,1,$L$6)),4,1,COUNTIF('Vehicle numbers'!$A$5:$A$162,J299),4),
    MATCH(L$8,'Vehicle numbers'!$B$4:$D$4,0))*1000</f>
        <v>2236258.6987063172</v>
      </c>
      <c r="M299" s="184">
        <f>VLOOKUP(F299,'Annual distance covered (GB)'!$A$8:$H$33,MATCH(J299,'Annual distance covered (GB)'!$A$7:$H$7,0))</f>
        <v>46.2</v>
      </c>
      <c r="N299" s="2">
        <f t="shared" ca="1" si="22"/>
        <v>346348.55352617655</v>
      </c>
      <c r="O299" s="180">
        <f t="shared" ca="1" si="23"/>
        <v>0.15487857184257808</v>
      </c>
      <c r="P299" s="180"/>
      <c r="Q299" s="185"/>
      <c r="R299" s="188"/>
      <c r="S299" s="180"/>
      <c r="T299" s="180"/>
    </row>
    <row r="300" spans="1:20" x14ac:dyDescent="0.25">
      <c r="A300" t="s">
        <v>244</v>
      </c>
      <c r="B300" t="s">
        <v>237</v>
      </c>
      <c r="C300" t="s">
        <v>238</v>
      </c>
      <c r="D300" t="s">
        <v>259</v>
      </c>
      <c r="E300" t="s">
        <v>229</v>
      </c>
      <c r="F300">
        <v>1996</v>
      </c>
      <c r="G300">
        <v>1.8219E-3</v>
      </c>
      <c r="H300" t="s">
        <v>240</v>
      </c>
      <c r="I300" t="s">
        <v>241</v>
      </c>
      <c r="J300" t="s">
        <v>188</v>
      </c>
      <c r="K300" s="183">
        <f ca="1">VLOOKUP(F300,
    OFFSET(INDIRECT(ADDRESS(MATCH(J300,'Vehicle numbers'!$A$5:$A$162,0),1,1,1,$L$6)),4,1,COUNTIF('Vehicle numbers'!$A$5:$A$162,J300),4),
    MATCH(K$8,'Vehicle numbers'!$B$4:$D$4,0))*1000</f>
        <v>2173878</v>
      </c>
      <c r="L300" s="183">
        <f ca="1">VLOOKUP(F300,
    OFFSET(INDIRECT(ADDRESS(MATCH(J300,'Vehicle numbers'!$A$5:$A$162,0),1,1,1,$L$6)),4,1,COUNTIF('Vehicle numbers'!$A$5:$A$162,J300),4),
    MATCH(L$8,'Vehicle numbers'!$B$4:$D$4,0))*1000</f>
        <v>2236258.6987063172</v>
      </c>
      <c r="M300" s="184">
        <f>VLOOKUP(F300,'Annual distance covered (GB)'!$A$8:$H$33,MATCH(J300,'Annual distance covered (GB)'!$A$7:$H$7,0))</f>
        <v>46.2</v>
      </c>
      <c r="N300" s="2">
        <f t="shared" ca="1" si="22"/>
        <v>86587.138381544137</v>
      </c>
      <c r="O300" s="180">
        <f t="shared" ca="1" si="23"/>
        <v>3.8719642960644521E-2</v>
      </c>
      <c r="P300" s="180"/>
      <c r="Q300" s="185"/>
      <c r="R300" s="186"/>
      <c r="S300" s="180"/>
      <c r="T300" s="180"/>
    </row>
    <row r="301" spans="1:20" x14ac:dyDescent="0.25">
      <c r="A301" t="s">
        <v>246</v>
      </c>
      <c r="B301" t="s">
        <v>237</v>
      </c>
      <c r="C301" t="s">
        <v>238</v>
      </c>
      <c r="D301" t="s">
        <v>259</v>
      </c>
      <c r="E301" t="s">
        <v>229</v>
      </c>
      <c r="F301">
        <v>1996</v>
      </c>
      <c r="G301">
        <v>1.4575199999999999E-3</v>
      </c>
      <c r="H301" t="s">
        <v>240</v>
      </c>
      <c r="I301" t="s">
        <v>241</v>
      </c>
      <c r="J301" t="s">
        <v>188</v>
      </c>
      <c r="K301" s="183">
        <f ca="1">VLOOKUP(F301,
    OFFSET(INDIRECT(ADDRESS(MATCH(J301,'Vehicle numbers'!$A$5:$A$162,0),1,1,1,$L$6)),4,1,COUNTIF('Vehicle numbers'!$A$5:$A$162,J301),4),
    MATCH(K$8,'Vehicle numbers'!$B$4:$D$4,0))*1000</f>
        <v>2173878</v>
      </c>
      <c r="L301" s="183">
        <f ca="1">VLOOKUP(F301,
    OFFSET(INDIRECT(ADDRESS(MATCH(J301,'Vehicle numbers'!$A$5:$A$162,0),1,1,1,$L$6)),4,1,COUNTIF('Vehicle numbers'!$A$5:$A$162,J301),4),
    MATCH(L$8,'Vehicle numbers'!$B$4:$D$4,0))*1000</f>
        <v>2236258.6987063172</v>
      </c>
      <c r="M301" s="184">
        <f>VLOOKUP(F301,'Annual distance covered (GB)'!$A$8:$H$33,MATCH(J301,'Annual distance covered (GB)'!$A$7:$H$7,0))</f>
        <v>46.2</v>
      </c>
      <c r="N301" s="2">
        <f t="shared" ca="1" si="22"/>
        <v>69269.710705235324</v>
      </c>
      <c r="O301" s="180">
        <f t="shared" ca="1" si="23"/>
        <v>3.0975714368515626E-2</v>
      </c>
      <c r="P301" s="180"/>
      <c r="Q301" s="185"/>
      <c r="R301" s="186"/>
      <c r="S301" s="180"/>
      <c r="T301" s="180"/>
    </row>
    <row r="302" spans="1:20" x14ac:dyDescent="0.25">
      <c r="A302" t="s">
        <v>236</v>
      </c>
      <c r="B302" t="s">
        <v>237</v>
      </c>
      <c r="C302" t="s">
        <v>238</v>
      </c>
      <c r="D302" t="s">
        <v>259</v>
      </c>
      <c r="E302" t="s">
        <v>228</v>
      </c>
      <c r="F302">
        <v>1996</v>
      </c>
      <c r="G302">
        <v>1.3802E-2</v>
      </c>
      <c r="H302" t="s">
        <v>240</v>
      </c>
      <c r="I302" t="s">
        <v>241</v>
      </c>
      <c r="J302" t="s">
        <v>188</v>
      </c>
      <c r="K302" s="183">
        <f ca="1">VLOOKUP(F302,
    OFFSET(INDIRECT(ADDRESS(MATCH(J302,'Vehicle numbers'!$A$5:$A$162,0),1,1,1,$L$6)),4,1,COUNTIF('Vehicle numbers'!$A$5:$A$162,J302),4),
    MATCH(K$8,'Vehicle numbers'!$B$4:$D$4,0))*1000</f>
        <v>2173878</v>
      </c>
      <c r="L302" s="183">
        <f ca="1">VLOOKUP(F302,
    OFFSET(INDIRECT(ADDRESS(MATCH(J302,'Vehicle numbers'!$A$5:$A$162,0),1,1,1,$L$6)),4,1,COUNTIF('Vehicle numbers'!$A$5:$A$162,J302),4),
    MATCH(L$8,'Vehicle numbers'!$B$4:$D$4,0))*1000</f>
        <v>2236258.6987063172</v>
      </c>
      <c r="M302" s="184">
        <f>VLOOKUP(F302,'Annual distance covered (GB)'!$A$8:$H$33,MATCH(J302,'Annual distance covered (GB)'!$A$7:$H$7,0))</f>
        <v>46.2</v>
      </c>
      <c r="N302" s="2">
        <f t="shared" ca="1" si="22"/>
        <v>655950.20799279446</v>
      </c>
      <c r="O302" s="180">
        <f t="shared" ca="1" si="23"/>
        <v>0.2933248323962982</v>
      </c>
      <c r="P302" s="180"/>
      <c r="Q302" s="185"/>
      <c r="R302" s="186"/>
      <c r="S302" s="180"/>
      <c r="T302" s="180"/>
    </row>
    <row r="303" spans="1:20" x14ac:dyDescent="0.25">
      <c r="A303" t="s">
        <v>243</v>
      </c>
      <c r="B303" t="s">
        <v>237</v>
      </c>
      <c r="C303" t="s">
        <v>238</v>
      </c>
      <c r="D303" t="s">
        <v>259</v>
      </c>
      <c r="E303" t="s">
        <v>228</v>
      </c>
      <c r="F303">
        <v>1996</v>
      </c>
      <c r="G303">
        <v>9.6614000000000005E-3</v>
      </c>
      <c r="H303" t="s">
        <v>240</v>
      </c>
      <c r="I303" t="s">
        <v>241</v>
      </c>
      <c r="J303" t="s">
        <v>188</v>
      </c>
      <c r="K303" s="183">
        <f ca="1">VLOOKUP(F303,
    OFFSET(INDIRECT(ADDRESS(MATCH(J303,'Vehicle numbers'!$A$5:$A$162,0),1,1,1,$L$6)),4,1,COUNTIF('Vehicle numbers'!$A$5:$A$162,J303),4),
    MATCH(K$8,'Vehicle numbers'!$B$4:$D$4,0))*1000</f>
        <v>2173878</v>
      </c>
      <c r="L303" s="183">
        <f ca="1">VLOOKUP(F303,
    OFFSET(INDIRECT(ADDRESS(MATCH(J303,'Vehicle numbers'!$A$5:$A$162,0),1,1,1,$L$6)),4,1,COUNTIF('Vehicle numbers'!$A$5:$A$162,J303),4),
    MATCH(L$8,'Vehicle numbers'!$B$4:$D$4,0))*1000</f>
        <v>2236258.6987063172</v>
      </c>
      <c r="M303" s="184">
        <f>VLOOKUP(F303,'Annual distance covered (GB)'!$A$8:$H$33,MATCH(J303,'Annual distance covered (GB)'!$A$7:$H$7,0))</f>
        <v>46.2</v>
      </c>
      <c r="N303" s="2">
        <f t="shared" ca="1" si="22"/>
        <v>459165.14559495618</v>
      </c>
      <c r="O303" s="180">
        <f t="shared" ca="1" si="23"/>
        <v>0.20532738267740877</v>
      </c>
      <c r="P303" s="180"/>
      <c r="Q303" s="185"/>
      <c r="R303" s="186"/>
      <c r="S303" s="180"/>
      <c r="T303" s="180"/>
    </row>
    <row r="304" spans="1:20" x14ac:dyDescent="0.25">
      <c r="A304" t="s">
        <v>244</v>
      </c>
      <c r="B304" t="s">
        <v>237</v>
      </c>
      <c r="C304" t="s">
        <v>238</v>
      </c>
      <c r="D304" t="s">
        <v>259</v>
      </c>
      <c r="E304" t="s">
        <v>228</v>
      </c>
      <c r="F304">
        <v>1996</v>
      </c>
      <c r="G304">
        <v>1.3607605633802801E-3</v>
      </c>
      <c r="H304" t="s">
        <v>240</v>
      </c>
      <c r="I304" t="s">
        <v>241</v>
      </c>
      <c r="J304" t="s">
        <v>188</v>
      </c>
      <c r="K304" s="183">
        <f ca="1">VLOOKUP(F304,
    OFFSET(INDIRECT(ADDRESS(MATCH(J304,'Vehicle numbers'!$A$5:$A$162,0),1,1,1,$L$6)),4,1,COUNTIF('Vehicle numbers'!$A$5:$A$162,J304),4),
    MATCH(K$8,'Vehicle numbers'!$B$4:$D$4,0))*1000</f>
        <v>2173878</v>
      </c>
      <c r="L304" s="183">
        <f ca="1">VLOOKUP(F304,
    OFFSET(INDIRECT(ADDRESS(MATCH(J304,'Vehicle numbers'!$A$5:$A$162,0),1,1,1,$L$6)),4,1,COUNTIF('Vehicle numbers'!$A$5:$A$162,J304),4),
    MATCH(L$8,'Vehicle numbers'!$B$4:$D$4,0))*1000</f>
        <v>2236258.6987063172</v>
      </c>
      <c r="M304" s="184">
        <f>VLOOKUP(F304,'Annual distance covered (GB)'!$A$8:$H$33,MATCH(J304,'Annual distance covered (GB)'!$A$7:$H$7,0))</f>
        <v>46.2</v>
      </c>
      <c r="N304" s="2">
        <f t="shared" ca="1" si="22"/>
        <v>64671.147266895154</v>
      </c>
      <c r="O304" s="180">
        <f t="shared" ca="1" si="23"/>
        <v>2.8919349672874441E-2</v>
      </c>
      <c r="P304" s="180"/>
      <c r="Q304" s="185"/>
      <c r="R304" s="187"/>
      <c r="S304" s="180"/>
      <c r="T304" s="180"/>
    </row>
    <row r="305" spans="1:20" x14ac:dyDescent="0.25">
      <c r="A305" t="s">
        <v>246</v>
      </c>
      <c r="B305" t="s">
        <v>237</v>
      </c>
      <c r="C305" t="s">
        <v>238</v>
      </c>
      <c r="D305" t="s">
        <v>259</v>
      </c>
      <c r="E305" t="s">
        <v>228</v>
      </c>
      <c r="F305">
        <v>1996</v>
      </c>
      <c r="G305">
        <v>1.0886084507042201E-3</v>
      </c>
      <c r="H305" t="s">
        <v>240</v>
      </c>
      <c r="I305" t="s">
        <v>241</v>
      </c>
      <c r="J305" t="s">
        <v>188</v>
      </c>
      <c r="K305" s="183">
        <f ca="1">VLOOKUP(F305,
    OFFSET(INDIRECT(ADDRESS(MATCH(J305,'Vehicle numbers'!$A$5:$A$162,0),1,1,1,$L$6)),4,1,COUNTIF('Vehicle numbers'!$A$5:$A$162,J305),4),
    MATCH(K$8,'Vehicle numbers'!$B$4:$D$4,0))*1000</f>
        <v>2173878</v>
      </c>
      <c r="L305" s="183">
        <f ca="1">VLOOKUP(F305,
    OFFSET(INDIRECT(ADDRESS(MATCH(J305,'Vehicle numbers'!$A$5:$A$162,0),1,1,1,$L$6)),4,1,COUNTIF('Vehicle numbers'!$A$5:$A$162,J305),4),
    MATCH(L$8,'Vehicle numbers'!$B$4:$D$4,0))*1000</f>
        <v>2236258.6987063172</v>
      </c>
      <c r="M305" s="184">
        <f>VLOOKUP(F305,'Annual distance covered (GB)'!$A$8:$H$33,MATCH(J305,'Annual distance covered (GB)'!$A$7:$H$7,0))</f>
        <v>46.2</v>
      </c>
      <c r="N305" s="2">
        <f t="shared" ca="1" si="22"/>
        <v>51736.917813515938</v>
      </c>
      <c r="O305" s="180">
        <f t="shared" ca="1" si="23"/>
        <v>2.3135479738299467E-2</v>
      </c>
      <c r="P305" s="180"/>
      <c r="Q305" s="185"/>
      <c r="R305" s="188"/>
      <c r="S305" s="180"/>
      <c r="T305" s="180"/>
    </row>
    <row r="306" spans="1:20" x14ac:dyDescent="0.25">
      <c r="A306" t="s">
        <v>236</v>
      </c>
      <c r="B306" t="s">
        <v>237</v>
      </c>
      <c r="C306" t="s">
        <v>238</v>
      </c>
      <c r="D306" t="s">
        <v>260</v>
      </c>
      <c r="E306" t="s">
        <v>229</v>
      </c>
      <c r="F306">
        <v>1996</v>
      </c>
      <c r="G306">
        <v>5.8399999999999997E-3</v>
      </c>
      <c r="H306" t="s">
        <v>240</v>
      </c>
      <c r="I306" t="s">
        <v>241</v>
      </c>
      <c r="J306" t="s">
        <v>3</v>
      </c>
      <c r="K306" s="183">
        <f ca="1">VLOOKUP(F306,
    OFFSET(INDIRECT(ADDRESS(MATCH(J306,'Vehicle numbers'!$A$5:$A$162,0),1,1,1,$L$6)),4,1,COUNTIF('Vehicle numbers'!$A$5:$A$162,J306),4),
    MATCH(K$8,'Vehicle numbers'!$B$4:$D$4,0))*1000</f>
        <v>738756</v>
      </c>
      <c r="L306" s="183">
        <f ca="1">VLOOKUP(F306,
    OFFSET(INDIRECT(ADDRESS(MATCH(J306,'Vehicle numbers'!$A$5:$A$162,0),1,1,1,$L$6)),4,1,COUNTIF('Vehicle numbers'!$A$5:$A$162,J306),4),
    MATCH(L$8,'Vehicle numbers'!$B$4:$D$4,0))*1000</f>
        <v>752331.51287056133</v>
      </c>
      <c r="M306" s="184">
        <f>VLOOKUP(F306,'Annual distance covered (GB)'!$A$8:$H$33,MATCH(J306,'Annual distance covered (GB)'!$A$7:$H$7,0))</f>
        <v>3.8</v>
      </c>
      <c r="N306" s="2">
        <f t="shared" ca="1" si="22"/>
        <v>22599.804175700086</v>
      </c>
      <c r="O306" s="180">
        <f t="shared" ca="1" si="23"/>
        <v>3.0039688340940708E-2</v>
      </c>
      <c r="P306" s="180"/>
      <c r="Q306" s="185"/>
      <c r="R306" s="186"/>
      <c r="S306" s="180"/>
      <c r="T306" s="180"/>
    </row>
    <row r="307" spans="1:20" x14ac:dyDescent="0.25">
      <c r="A307" t="s">
        <v>243</v>
      </c>
      <c r="B307" t="s">
        <v>237</v>
      </c>
      <c r="C307" t="s">
        <v>238</v>
      </c>
      <c r="D307" t="s">
        <v>260</v>
      </c>
      <c r="E307" t="s">
        <v>229</v>
      </c>
      <c r="F307">
        <v>1996</v>
      </c>
      <c r="G307">
        <v>2.336E-3</v>
      </c>
      <c r="H307" t="s">
        <v>240</v>
      </c>
      <c r="I307" t="s">
        <v>241</v>
      </c>
      <c r="J307" t="s">
        <v>3</v>
      </c>
      <c r="K307" s="183">
        <f ca="1">VLOOKUP(F307,
    OFFSET(INDIRECT(ADDRESS(MATCH(J307,'Vehicle numbers'!$A$5:$A$162,0),1,1,1,$L$6)),4,1,COUNTIF('Vehicle numbers'!$A$5:$A$162,J307),4),
    MATCH(K$8,'Vehicle numbers'!$B$4:$D$4,0))*1000</f>
        <v>738756</v>
      </c>
      <c r="L307" s="183">
        <f ca="1">VLOOKUP(F307,
    OFFSET(INDIRECT(ADDRESS(MATCH(J307,'Vehicle numbers'!$A$5:$A$162,0),1,1,1,$L$6)),4,1,COUNTIF('Vehicle numbers'!$A$5:$A$162,J307),4),
    MATCH(L$8,'Vehicle numbers'!$B$4:$D$4,0))*1000</f>
        <v>752331.51287056133</v>
      </c>
      <c r="M307" s="184">
        <f>VLOOKUP(F307,'Annual distance covered (GB)'!$A$8:$H$33,MATCH(J307,'Annual distance covered (GB)'!$A$7:$H$7,0))</f>
        <v>3.8</v>
      </c>
      <c r="N307" s="2">
        <f t="shared" ca="1" si="22"/>
        <v>9039.921670280035</v>
      </c>
      <c r="O307" s="180">
        <f t="shared" ca="1" si="23"/>
        <v>1.2015875336376285E-2</v>
      </c>
      <c r="P307" s="180"/>
      <c r="Q307" s="185"/>
      <c r="R307" s="186"/>
      <c r="S307" s="180"/>
      <c r="T307" s="180"/>
    </row>
    <row r="308" spans="1:20" x14ac:dyDescent="0.25">
      <c r="A308" t="s">
        <v>244</v>
      </c>
      <c r="B308" t="s">
        <v>237</v>
      </c>
      <c r="C308" t="s">
        <v>238</v>
      </c>
      <c r="D308" t="s">
        <v>260</v>
      </c>
      <c r="E308" t="s">
        <v>229</v>
      </c>
      <c r="F308">
        <v>1996</v>
      </c>
      <c r="G308">
        <v>5.8399999999999999E-4</v>
      </c>
      <c r="H308" t="s">
        <v>240</v>
      </c>
      <c r="I308" t="s">
        <v>241</v>
      </c>
      <c r="J308" t="s">
        <v>3</v>
      </c>
      <c r="K308" s="183">
        <f ca="1">VLOOKUP(F308,
    OFFSET(INDIRECT(ADDRESS(MATCH(J308,'Vehicle numbers'!$A$5:$A$162,0),1,1,1,$L$6)),4,1,COUNTIF('Vehicle numbers'!$A$5:$A$162,J308),4),
    MATCH(K$8,'Vehicle numbers'!$B$4:$D$4,0))*1000</f>
        <v>738756</v>
      </c>
      <c r="L308" s="183">
        <f ca="1">VLOOKUP(F308,
    OFFSET(INDIRECT(ADDRESS(MATCH(J308,'Vehicle numbers'!$A$5:$A$162,0),1,1,1,$L$6)),4,1,COUNTIF('Vehicle numbers'!$A$5:$A$162,J308),4),
    MATCH(L$8,'Vehicle numbers'!$B$4:$D$4,0))*1000</f>
        <v>752331.51287056133</v>
      </c>
      <c r="M308" s="184">
        <f>VLOOKUP(F308,'Annual distance covered (GB)'!$A$8:$H$33,MATCH(J308,'Annual distance covered (GB)'!$A$7:$H$7,0))</f>
        <v>3.8</v>
      </c>
      <c r="N308" s="2">
        <f t="shared" ca="1" si="22"/>
        <v>2259.9804175700087</v>
      </c>
      <c r="O308" s="180">
        <f t="shared" ca="1" si="23"/>
        <v>3.0039688340940712E-3</v>
      </c>
      <c r="P308" s="180"/>
      <c r="Q308" s="185"/>
      <c r="R308" s="186"/>
      <c r="S308" s="180"/>
      <c r="T308" s="180"/>
    </row>
    <row r="309" spans="1:20" x14ac:dyDescent="0.25">
      <c r="A309" t="s">
        <v>246</v>
      </c>
      <c r="B309" t="s">
        <v>237</v>
      </c>
      <c r="C309" t="s">
        <v>238</v>
      </c>
      <c r="D309" t="s">
        <v>260</v>
      </c>
      <c r="E309" t="s">
        <v>229</v>
      </c>
      <c r="F309">
        <v>1996</v>
      </c>
      <c r="G309">
        <v>4.6720000000000003E-4</v>
      </c>
      <c r="H309" t="s">
        <v>240</v>
      </c>
      <c r="I309" t="s">
        <v>241</v>
      </c>
      <c r="J309" t="s">
        <v>3</v>
      </c>
      <c r="K309" s="183">
        <f ca="1">VLOOKUP(F309,
    OFFSET(INDIRECT(ADDRESS(MATCH(J309,'Vehicle numbers'!$A$5:$A$162,0),1,1,1,$L$6)),4,1,COUNTIF('Vehicle numbers'!$A$5:$A$162,J309),4),
    MATCH(K$8,'Vehicle numbers'!$B$4:$D$4,0))*1000</f>
        <v>738756</v>
      </c>
      <c r="L309" s="183">
        <f ca="1">VLOOKUP(F309,
    OFFSET(INDIRECT(ADDRESS(MATCH(J309,'Vehicle numbers'!$A$5:$A$162,0),1,1,1,$L$6)),4,1,COUNTIF('Vehicle numbers'!$A$5:$A$162,J309),4),
    MATCH(L$8,'Vehicle numbers'!$B$4:$D$4,0))*1000</f>
        <v>752331.51287056133</v>
      </c>
      <c r="M309" s="184">
        <f>VLOOKUP(F309,'Annual distance covered (GB)'!$A$8:$H$33,MATCH(J309,'Annual distance covered (GB)'!$A$7:$H$7,0))</f>
        <v>3.8</v>
      </c>
      <c r="N309" s="2">
        <f t="shared" ca="1" si="22"/>
        <v>1807.9843340560071</v>
      </c>
      <c r="O309" s="180">
        <f t="shared" ca="1" si="23"/>
        <v>2.403175067275257E-3</v>
      </c>
      <c r="P309" s="180"/>
      <c r="Q309" s="185"/>
      <c r="R309" s="186"/>
      <c r="S309" s="180"/>
      <c r="T309" s="180"/>
    </row>
    <row r="310" spans="1:20" x14ac:dyDescent="0.25">
      <c r="A310" t="s">
        <v>236</v>
      </c>
      <c r="B310" t="s">
        <v>237</v>
      </c>
      <c r="C310" t="s">
        <v>238</v>
      </c>
      <c r="D310" t="s">
        <v>260</v>
      </c>
      <c r="E310" t="s">
        <v>228</v>
      </c>
      <c r="F310">
        <v>1996</v>
      </c>
      <c r="G310">
        <v>3.7569999999999999E-3</v>
      </c>
      <c r="H310" t="s">
        <v>240</v>
      </c>
      <c r="I310" t="s">
        <v>241</v>
      </c>
      <c r="J310" t="s">
        <v>3</v>
      </c>
      <c r="K310" s="183">
        <f ca="1">VLOOKUP(F310,
    OFFSET(INDIRECT(ADDRESS(MATCH(J310,'Vehicle numbers'!$A$5:$A$162,0),1,1,1,$L$6)),4,1,COUNTIF('Vehicle numbers'!$A$5:$A$162,J310),4),
    MATCH(K$8,'Vehicle numbers'!$B$4:$D$4,0))*1000</f>
        <v>738756</v>
      </c>
      <c r="L310" s="183">
        <f ca="1">VLOOKUP(F310,
    OFFSET(INDIRECT(ADDRESS(MATCH(J310,'Vehicle numbers'!$A$5:$A$162,0),1,1,1,$L$6)),4,1,COUNTIF('Vehicle numbers'!$A$5:$A$162,J310),4),
    MATCH(L$8,'Vehicle numbers'!$B$4:$D$4,0))*1000</f>
        <v>752331.51287056133</v>
      </c>
      <c r="M310" s="184">
        <f>VLOOKUP(F310,'Annual distance covered (GB)'!$A$8:$H$33,MATCH(J310,'Annual distance covered (GB)'!$A$7:$H$7,0))</f>
        <v>3.8</v>
      </c>
      <c r="N310" s="2">
        <f t="shared" ca="1" si="22"/>
        <v>14538.94936440158</v>
      </c>
      <c r="O310" s="180">
        <f t="shared" ca="1" si="23"/>
        <v>1.9325189913855179E-2</v>
      </c>
      <c r="P310" s="180"/>
      <c r="Q310" s="185"/>
      <c r="R310" s="187"/>
      <c r="S310" s="180"/>
      <c r="T310" s="180"/>
    </row>
    <row r="311" spans="1:20" x14ac:dyDescent="0.25">
      <c r="A311" t="s">
        <v>243</v>
      </c>
      <c r="B311" t="s">
        <v>237</v>
      </c>
      <c r="C311" t="s">
        <v>238</v>
      </c>
      <c r="D311" t="s">
        <v>260</v>
      </c>
      <c r="E311" t="s">
        <v>228</v>
      </c>
      <c r="F311">
        <v>1996</v>
      </c>
      <c r="G311">
        <v>2.6299000000000001E-3</v>
      </c>
      <c r="H311" t="s">
        <v>240</v>
      </c>
      <c r="I311" t="s">
        <v>241</v>
      </c>
      <c r="J311" t="s">
        <v>3</v>
      </c>
      <c r="K311" s="183">
        <f ca="1">VLOOKUP(F311,
    OFFSET(INDIRECT(ADDRESS(MATCH(J311,'Vehicle numbers'!$A$5:$A$162,0),1,1,1,$L$6)),4,1,COUNTIF('Vehicle numbers'!$A$5:$A$162,J311),4),
    MATCH(K$8,'Vehicle numbers'!$B$4:$D$4,0))*1000</f>
        <v>738756</v>
      </c>
      <c r="L311" s="183">
        <f ca="1">VLOOKUP(F311,
    OFFSET(INDIRECT(ADDRESS(MATCH(J311,'Vehicle numbers'!$A$5:$A$162,0),1,1,1,$L$6)),4,1,COUNTIF('Vehicle numbers'!$A$5:$A$162,J311),4),
    MATCH(L$8,'Vehicle numbers'!$B$4:$D$4,0))*1000</f>
        <v>752331.51287056133</v>
      </c>
      <c r="M311" s="184">
        <f>VLOOKUP(F311,'Annual distance covered (GB)'!$A$8:$H$33,MATCH(J311,'Annual distance covered (GB)'!$A$7:$H$7,0))</f>
        <v>3.8</v>
      </c>
      <c r="N311" s="2">
        <f t="shared" ca="1" si="22"/>
        <v>10177.264555081108</v>
      </c>
      <c r="O311" s="180">
        <f t="shared" ca="1" si="23"/>
        <v>1.3527632939698629E-2</v>
      </c>
      <c r="P311" s="180"/>
      <c r="Q311" s="185"/>
      <c r="R311" s="186"/>
      <c r="S311" s="180"/>
      <c r="T311" s="180"/>
    </row>
    <row r="312" spans="1:20" x14ac:dyDescent="0.25">
      <c r="A312" t="s">
        <v>244</v>
      </c>
      <c r="B312" t="s">
        <v>237</v>
      </c>
      <c r="C312" t="s">
        <v>238</v>
      </c>
      <c r="D312" t="s">
        <v>260</v>
      </c>
      <c r="E312" t="s">
        <v>228</v>
      </c>
      <c r="F312">
        <v>1996</v>
      </c>
      <c r="G312">
        <v>3.7040845070422499E-4</v>
      </c>
      <c r="H312" t="s">
        <v>240</v>
      </c>
      <c r="I312" t="s">
        <v>241</v>
      </c>
      <c r="J312" t="s">
        <v>3</v>
      </c>
      <c r="K312" s="183">
        <f ca="1">VLOOKUP(F312,
    OFFSET(INDIRECT(ADDRESS(MATCH(J312,'Vehicle numbers'!$A$5:$A$162,0),1,1,1,$L$6)),4,1,COUNTIF('Vehicle numbers'!$A$5:$A$162,J312),4),
    MATCH(K$8,'Vehicle numbers'!$B$4:$D$4,0))*1000</f>
        <v>738756</v>
      </c>
      <c r="L312" s="183">
        <f ca="1">VLOOKUP(F312,
    OFFSET(INDIRECT(ADDRESS(MATCH(J312,'Vehicle numbers'!$A$5:$A$162,0),1,1,1,$L$6)),4,1,COUNTIF('Vehicle numbers'!$A$5:$A$162,J312),4),
    MATCH(L$8,'Vehicle numbers'!$B$4:$D$4,0))*1000</f>
        <v>752331.51287056133</v>
      </c>
      <c r="M312" s="184">
        <f>VLOOKUP(F312,'Annual distance covered (GB)'!$A$8:$H$33,MATCH(J312,'Annual distance covered (GB)'!$A$7:$H$7,0))</f>
        <v>3.8</v>
      </c>
      <c r="N312" s="2">
        <f t="shared" ca="1" si="22"/>
        <v>1433.4175429691686</v>
      </c>
      <c r="O312" s="180">
        <f t="shared" ca="1" si="23"/>
        <v>1.9053004140420582E-3</v>
      </c>
      <c r="P312" s="180"/>
      <c r="Q312" s="185"/>
      <c r="R312" s="186"/>
      <c r="S312" s="180"/>
      <c r="T312" s="180"/>
    </row>
    <row r="313" spans="1:20" x14ac:dyDescent="0.25">
      <c r="A313" t="s">
        <v>246</v>
      </c>
      <c r="B313" t="s">
        <v>237</v>
      </c>
      <c r="C313" t="s">
        <v>238</v>
      </c>
      <c r="D313" t="s">
        <v>260</v>
      </c>
      <c r="E313" t="s">
        <v>228</v>
      </c>
      <c r="F313">
        <v>1996</v>
      </c>
      <c r="G313">
        <v>2.9632676056337998E-4</v>
      </c>
      <c r="H313" t="s">
        <v>240</v>
      </c>
      <c r="I313" t="s">
        <v>241</v>
      </c>
      <c r="J313" t="s">
        <v>3</v>
      </c>
      <c r="K313" s="183">
        <f ca="1">VLOOKUP(F313,
    OFFSET(INDIRECT(ADDRESS(MATCH(J313,'Vehicle numbers'!$A$5:$A$162,0),1,1,1,$L$6)),4,1,COUNTIF('Vehicle numbers'!$A$5:$A$162,J313),4),
    MATCH(K$8,'Vehicle numbers'!$B$4:$D$4,0))*1000</f>
        <v>738756</v>
      </c>
      <c r="L313" s="183">
        <f ca="1">VLOOKUP(F313,
    OFFSET(INDIRECT(ADDRESS(MATCH(J313,'Vehicle numbers'!$A$5:$A$162,0),1,1,1,$L$6)),4,1,COUNTIF('Vehicle numbers'!$A$5:$A$162,J313),4),
    MATCH(L$8,'Vehicle numbers'!$B$4:$D$4,0))*1000</f>
        <v>752331.51287056133</v>
      </c>
      <c r="M313" s="184">
        <f>VLOOKUP(F313,'Annual distance covered (GB)'!$A$8:$H$33,MATCH(J313,'Annual distance covered (GB)'!$A$7:$H$7,0))</f>
        <v>3.8</v>
      </c>
      <c r="N313" s="2">
        <f t="shared" ca="1" si="22"/>
        <v>1146.7340343753349</v>
      </c>
      <c r="O313" s="180">
        <f t="shared" ca="1" si="23"/>
        <v>1.5242403312336467E-3</v>
      </c>
      <c r="P313" s="180"/>
      <c r="Q313" s="185"/>
      <c r="R313" s="187"/>
      <c r="S313" s="180"/>
      <c r="T313" s="180"/>
    </row>
    <row r="314" spans="1:20" x14ac:dyDescent="0.25">
      <c r="A314" t="s">
        <v>236</v>
      </c>
      <c r="B314" t="s">
        <v>237</v>
      </c>
      <c r="C314" t="s">
        <v>238</v>
      </c>
      <c r="D314" t="s">
        <v>261</v>
      </c>
      <c r="E314" t="s">
        <v>229</v>
      </c>
      <c r="F314">
        <v>1996</v>
      </c>
      <c r="G314">
        <v>5.8399999999999997E-3</v>
      </c>
      <c r="H314" t="s">
        <v>240</v>
      </c>
      <c r="I314" t="s">
        <v>241</v>
      </c>
      <c r="J314" t="s">
        <v>3</v>
      </c>
      <c r="K314" s="183">
        <f ca="1">VLOOKUP(F314,
    OFFSET(INDIRECT(ADDRESS(MATCH(J314,'Vehicle numbers'!$A$5:$A$162,0),1,1,1,$L$6)),4,1,COUNTIF('Vehicle numbers'!$A$5:$A$162,J314),4),
    MATCH(K$8,'Vehicle numbers'!$B$4:$D$4,0))*1000</f>
        <v>738756</v>
      </c>
      <c r="L314" s="183">
        <f ca="1">VLOOKUP(F314,
    OFFSET(INDIRECT(ADDRESS(MATCH(J314,'Vehicle numbers'!$A$5:$A$162,0),1,1,1,$L$6)),4,1,COUNTIF('Vehicle numbers'!$A$5:$A$162,J314),4),
    MATCH(L$8,'Vehicle numbers'!$B$4:$D$4,0))*1000</f>
        <v>752331.51287056133</v>
      </c>
      <c r="M314" s="184">
        <f>VLOOKUP(F314,'Annual distance covered (GB)'!$A$8:$H$33,MATCH(J314,'Annual distance covered (GB)'!$A$7:$H$7,0))</f>
        <v>3.8</v>
      </c>
      <c r="N314" s="2">
        <f t="shared" ca="1" si="22"/>
        <v>22599.804175700086</v>
      </c>
      <c r="O314" s="180">
        <f t="shared" ca="1" si="23"/>
        <v>3.0039688340940708E-2</v>
      </c>
      <c r="P314" s="180"/>
      <c r="Q314" s="185"/>
      <c r="R314" s="188"/>
      <c r="S314" s="180"/>
      <c r="T314" s="180"/>
    </row>
    <row r="315" spans="1:20" x14ac:dyDescent="0.25">
      <c r="A315" t="s">
        <v>243</v>
      </c>
      <c r="B315" t="s">
        <v>237</v>
      </c>
      <c r="C315" t="s">
        <v>238</v>
      </c>
      <c r="D315" t="s">
        <v>261</v>
      </c>
      <c r="E315" t="s">
        <v>229</v>
      </c>
      <c r="F315">
        <v>1996</v>
      </c>
      <c r="G315">
        <v>2.336E-3</v>
      </c>
      <c r="H315" t="s">
        <v>240</v>
      </c>
      <c r="I315" t="s">
        <v>241</v>
      </c>
      <c r="J315" t="s">
        <v>3</v>
      </c>
      <c r="K315" s="183">
        <f ca="1">VLOOKUP(F315,
    OFFSET(INDIRECT(ADDRESS(MATCH(J315,'Vehicle numbers'!$A$5:$A$162,0),1,1,1,$L$6)),4,1,COUNTIF('Vehicle numbers'!$A$5:$A$162,J315),4),
    MATCH(K$8,'Vehicle numbers'!$B$4:$D$4,0))*1000</f>
        <v>738756</v>
      </c>
      <c r="L315" s="183">
        <f ca="1">VLOOKUP(F315,
    OFFSET(INDIRECT(ADDRESS(MATCH(J315,'Vehicle numbers'!$A$5:$A$162,0),1,1,1,$L$6)),4,1,COUNTIF('Vehicle numbers'!$A$5:$A$162,J315),4),
    MATCH(L$8,'Vehicle numbers'!$B$4:$D$4,0))*1000</f>
        <v>752331.51287056133</v>
      </c>
      <c r="M315" s="184">
        <f>VLOOKUP(F315,'Annual distance covered (GB)'!$A$8:$H$33,MATCH(J315,'Annual distance covered (GB)'!$A$7:$H$7,0))</f>
        <v>3.8</v>
      </c>
      <c r="N315" s="2">
        <f t="shared" ca="1" si="22"/>
        <v>9039.921670280035</v>
      </c>
      <c r="O315" s="180">
        <f t="shared" ca="1" si="23"/>
        <v>1.2015875336376285E-2</v>
      </c>
      <c r="P315" s="180"/>
      <c r="Q315" s="185"/>
      <c r="R315" s="186"/>
      <c r="S315" s="180"/>
      <c r="T315" s="180"/>
    </row>
    <row r="316" spans="1:20" x14ac:dyDescent="0.25">
      <c r="A316" t="s">
        <v>244</v>
      </c>
      <c r="B316" t="s">
        <v>237</v>
      </c>
      <c r="C316" t="s">
        <v>238</v>
      </c>
      <c r="D316" t="s">
        <v>261</v>
      </c>
      <c r="E316" t="s">
        <v>229</v>
      </c>
      <c r="F316">
        <v>1996</v>
      </c>
      <c r="G316">
        <v>5.8399999999999999E-4</v>
      </c>
      <c r="H316" t="s">
        <v>240</v>
      </c>
      <c r="I316" t="s">
        <v>241</v>
      </c>
      <c r="J316" t="s">
        <v>3</v>
      </c>
      <c r="K316" s="183">
        <f ca="1">VLOOKUP(F316,
    OFFSET(INDIRECT(ADDRESS(MATCH(J316,'Vehicle numbers'!$A$5:$A$162,0),1,1,1,$L$6)),4,1,COUNTIF('Vehicle numbers'!$A$5:$A$162,J316),4),
    MATCH(K$8,'Vehicle numbers'!$B$4:$D$4,0))*1000</f>
        <v>738756</v>
      </c>
      <c r="L316" s="183">
        <f ca="1">VLOOKUP(F316,
    OFFSET(INDIRECT(ADDRESS(MATCH(J316,'Vehicle numbers'!$A$5:$A$162,0),1,1,1,$L$6)),4,1,COUNTIF('Vehicle numbers'!$A$5:$A$162,J316),4),
    MATCH(L$8,'Vehicle numbers'!$B$4:$D$4,0))*1000</f>
        <v>752331.51287056133</v>
      </c>
      <c r="M316" s="184">
        <f>VLOOKUP(F316,'Annual distance covered (GB)'!$A$8:$H$33,MATCH(J316,'Annual distance covered (GB)'!$A$7:$H$7,0))</f>
        <v>3.8</v>
      </c>
      <c r="N316" s="2">
        <f t="shared" ca="1" si="22"/>
        <v>2259.9804175700087</v>
      </c>
      <c r="O316" s="180">
        <f t="shared" ca="1" si="23"/>
        <v>3.0039688340940712E-3</v>
      </c>
      <c r="P316" s="180"/>
      <c r="Q316" s="185"/>
      <c r="R316" s="186"/>
      <c r="S316" s="180"/>
      <c r="T316" s="180"/>
    </row>
    <row r="317" spans="1:20" x14ac:dyDescent="0.25">
      <c r="A317" t="s">
        <v>246</v>
      </c>
      <c r="B317" t="s">
        <v>237</v>
      </c>
      <c r="C317" t="s">
        <v>238</v>
      </c>
      <c r="D317" t="s">
        <v>261</v>
      </c>
      <c r="E317" t="s">
        <v>229</v>
      </c>
      <c r="F317">
        <v>1996</v>
      </c>
      <c r="G317">
        <v>4.6720000000000003E-4</v>
      </c>
      <c r="H317" t="s">
        <v>240</v>
      </c>
      <c r="I317" t="s">
        <v>241</v>
      </c>
      <c r="J317" t="s">
        <v>3</v>
      </c>
      <c r="K317" s="183">
        <f ca="1">VLOOKUP(F317,
    OFFSET(INDIRECT(ADDRESS(MATCH(J317,'Vehicle numbers'!$A$5:$A$162,0),1,1,1,$L$6)),4,1,COUNTIF('Vehicle numbers'!$A$5:$A$162,J317),4),
    MATCH(K$8,'Vehicle numbers'!$B$4:$D$4,0))*1000</f>
        <v>738756</v>
      </c>
      <c r="L317" s="183">
        <f ca="1">VLOOKUP(F317,
    OFFSET(INDIRECT(ADDRESS(MATCH(J317,'Vehicle numbers'!$A$5:$A$162,0),1,1,1,$L$6)),4,1,COUNTIF('Vehicle numbers'!$A$5:$A$162,J317),4),
    MATCH(L$8,'Vehicle numbers'!$B$4:$D$4,0))*1000</f>
        <v>752331.51287056133</v>
      </c>
      <c r="M317" s="184">
        <f>VLOOKUP(F317,'Annual distance covered (GB)'!$A$8:$H$33,MATCH(J317,'Annual distance covered (GB)'!$A$7:$H$7,0))</f>
        <v>3.8</v>
      </c>
      <c r="N317" s="2">
        <f t="shared" ca="1" si="22"/>
        <v>1807.9843340560071</v>
      </c>
      <c r="O317" s="180">
        <f t="shared" ca="1" si="23"/>
        <v>2.403175067275257E-3</v>
      </c>
      <c r="P317" s="180"/>
      <c r="Q317" s="185"/>
      <c r="R317" s="186"/>
      <c r="S317" s="180"/>
      <c r="T317" s="180"/>
    </row>
    <row r="318" spans="1:20" x14ac:dyDescent="0.25">
      <c r="A318" t="s">
        <v>236</v>
      </c>
      <c r="B318" t="s">
        <v>237</v>
      </c>
      <c r="C318" t="s">
        <v>238</v>
      </c>
      <c r="D318" t="s">
        <v>261</v>
      </c>
      <c r="E318" t="s">
        <v>228</v>
      </c>
      <c r="F318">
        <v>1996</v>
      </c>
      <c r="G318">
        <v>3.7569999999999999E-3</v>
      </c>
      <c r="H318" t="s">
        <v>240</v>
      </c>
      <c r="I318" t="s">
        <v>241</v>
      </c>
      <c r="J318" t="s">
        <v>3</v>
      </c>
      <c r="K318" s="183">
        <f ca="1">VLOOKUP(F318,
    OFFSET(INDIRECT(ADDRESS(MATCH(J318,'Vehicle numbers'!$A$5:$A$162,0),1,1,1,$L$6)),4,1,COUNTIF('Vehicle numbers'!$A$5:$A$162,J318),4),
    MATCH(K$8,'Vehicle numbers'!$B$4:$D$4,0))*1000</f>
        <v>738756</v>
      </c>
      <c r="L318" s="183">
        <f ca="1">VLOOKUP(F318,
    OFFSET(INDIRECT(ADDRESS(MATCH(J318,'Vehicle numbers'!$A$5:$A$162,0),1,1,1,$L$6)),4,1,COUNTIF('Vehicle numbers'!$A$5:$A$162,J318),4),
    MATCH(L$8,'Vehicle numbers'!$B$4:$D$4,0))*1000</f>
        <v>752331.51287056133</v>
      </c>
      <c r="M318" s="184">
        <f>VLOOKUP(F318,'Annual distance covered (GB)'!$A$8:$H$33,MATCH(J318,'Annual distance covered (GB)'!$A$7:$H$7,0))</f>
        <v>3.8</v>
      </c>
      <c r="N318" s="2">
        <f t="shared" ca="1" si="22"/>
        <v>14538.94936440158</v>
      </c>
      <c r="O318" s="180">
        <f t="shared" ca="1" si="23"/>
        <v>1.9325189913855179E-2</v>
      </c>
      <c r="P318" s="180"/>
      <c r="Q318" s="185"/>
      <c r="R318" s="186"/>
      <c r="S318" s="180"/>
      <c r="T318" s="180"/>
    </row>
    <row r="319" spans="1:20" x14ac:dyDescent="0.25">
      <c r="A319" t="s">
        <v>243</v>
      </c>
      <c r="B319" t="s">
        <v>237</v>
      </c>
      <c r="C319" t="s">
        <v>238</v>
      </c>
      <c r="D319" t="s">
        <v>261</v>
      </c>
      <c r="E319" t="s">
        <v>228</v>
      </c>
      <c r="F319">
        <v>1996</v>
      </c>
      <c r="G319">
        <v>2.6299000000000001E-3</v>
      </c>
      <c r="H319" t="s">
        <v>240</v>
      </c>
      <c r="I319" t="s">
        <v>241</v>
      </c>
      <c r="J319" t="s">
        <v>3</v>
      </c>
      <c r="K319" s="183">
        <f ca="1">VLOOKUP(F319,
    OFFSET(INDIRECT(ADDRESS(MATCH(J319,'Vehicle numbers'!$A$5:$A$162,0),1,1,1,$L$6)),4,1,COUNTIF('Vehicle numbers'!$A$5:$A$162,J319),4),
    MATCH(K$8,'Vehicle numbers'!$B$4:$D$4,0))*1000</f>
        <v>738756</v>
      </c>
      <c r="L319" s="183">
        <f ca="1">VLOOKUP(F319,
    OFFSET(INDIRECT(ADDRESS(MATCH(J319,'Vehicle numbers'!$A$5:$A$162,0),1,1,1,$L$6)),4,1,COUNTIF('Vehicle numbers'!$A$5:$A$162,J319),4),
    MATCH(L$8,'Vehicle numbers'!$B$4:$D$4,0))*1000</f>
        <v>752331.51287056133</v>
      </c>
      <c r="M319" s="184">
        <f>VLOOKUP(F319,'Annual distance covered (GB)'!$A$8:$H$33,MATCH(J319,'Annual distance covered (GB)'!$A$7:$H$7,0))</f>
        <v>3.8</v>
      </c>
      <c r="N319" s="2">
        <f t="shared" ca="1" si="22"/>
        <v>10177.264555081108</v>
      </c>
      <c r="O319" s="180">
        <f t="shared" ca="1" si="23"/>
        <v>1.3527632939698629E-2</v>
      </c>
      <c r="P319" s="180"/>
      <c r="Q319" s="185"/>
      <c r="R319" s="187"/>
      <c r="S319" s="180"/>
      <c r="T319" s="180"/>
    </row>
    <row r="320" spans="1:20" x14ac:dyDescent="0.25">
      <c r="A320" t="s">
        <v>244</v>
      </c>
      <c r="B320" t="s">
        <v>237</v>
      </c>
      <c r="C320" t="s">
        <v>238</v>
      </c>
      <c r="D320" t="s">
        <v>261</v>
      </c>
      <c r="E320" t="s">
        <v>228</v>
      </c>
      <c r="F320">
        <v>1996</v>
      </c>
      <c r="G320">
        <v>3.7040845070422499E-4</v>
      </c>
      <c r="H320" t="s">
        <v>240</v>
      </c>
      <c r="I320" t="s">
        <v>241</v>
      </c>
      <c r="J320" t="s">
        <v>3</v>
      </c>
      <c r="K320" s="183">
        <f ca="1">VLOOKUP(F320,
    OFFSET(INDIRECT(ADDRESS(MATCH(J320,'Vehicle numbers'!$A$5:$A$162,0),1,1,1,$L$6)),4,1,COUNTIF('Vehicle numbers'!$A$5:$A$162,J320),4),
    MATCH(K$8,'Vehicle numbers'!$B$4:$D$4,0))*1000</f>
        <v>738756</v>
      </c>
      <c r="L320" s="183">
        <f ca="1">VLOOKUP(F320,
    OFFSET(INDIRECT(ADDRESS(MATCH(J320,'Vehicle numbers'!$A$5:$A$162,0),1,1,1,$L$6)),4,1,COUNTIF('Vehicle numbers'!$A$5:$A$162,J320),4),
    MATCH(L$8,'Vehicle numbers'!$B$4:$D$4,0))*1000</f>
        <v>752331.51287056133</v>
      </c>
      <c r="M320" s="184">
        <f>VLOOKUP(F320,'Annual distance covered (GB)'!$A$8:$H$33,MATCH(J320,'Annual distance covered (GB)'!$A$7:$H$7,0))</f>
        <v>3.8</v>
      </c>
      <c r="N320" s="2">
        <f t="shared" ca="1" si="22"/>
        <v>1433.4175429691686</v>
      </c>
      <c r="O320" s="180">
        <f t="shared" ca="1" si="23"/>
        <v>1.9053004140420582E-3</v>
      </c>
      <c r="P320" s="180"/>
      <c r="Q320" s="185"/>
      <c r="R320" s="188"/>
      <c r="S320" s="180"/>
      <c r="T320" s="180"/>
    </row>
    <row r="321" spans="1:20" x14ac:dyDescent="0.25">
      <c r="A321" t="s">
        <v>246</v>
      </c>
      <c r="B321" t="s">
        <v>237</v>
      </c>
      <c r="C321" t="s">
        <v>238</v>
      </c>
      <c r="D321" t="s">
        <v>261</v>
      </c>
      <c r="E321" t="s">
        <v>228</v>
      </c>
      <c r="F321">
        <v>1996</v>
      </c>
      <c r="G321">
        <v>2.9632676056337998E-4</v>
      </c>
      <c r="H321" t="s">
        <v>240</v>
      </c>
      <c r="I321" t="s">
        <v>241</v>
      </c>
      <c r="J321" t="s">
        <v>3</v>
      </c>
      <c r="K321" s="183">
        <f ca="1">VLOOKUP(F321,
    OFFSET(INDIRECT(ADDRESS(MATCH(J321,'Vehicle numbers'!$A$5:$A$162,0),1,1,1,$L$6)),4,1,COUNTIF('Vehicle numbers'!$A$5:$A$162,J321),4),
    MATCH(K$8,'Vehicle numbers'!$B$4:$D$4,0))*1000</f>
        <v>738756</v>
      </c>
      <c r="L321" s="183">
        <f ca="1">VLOOKUP(F321,
    OFFSET(INDIRECT(ADDRESS(MATCH(J321,'Vehicle numbers'!$A$5:$A$162,0),1,1,1,$L$6)),4,1,COUNTIF('Vehicle numbers'!$A$5:$A$162,J321),4),
    MATCH(L$8,'Vehicle numbers'!$B$4:$D$4,0))*1000</f>
        <v>752331.51287056133</v>
      </c>
      <c r="M321" s="184">
        <f>VLOOKUP(F321,'Annual distance covered (GB)'!$A$8:$H$33,MATCH(J321,'Annual distance covered (GB)'!$A$7:$H$7,0))</f>
        <v>3.8</v>
      </c>
      <c r="N321" s="2">
        <f t="shared" ca="1" si="22"/>
        <v>1146.7340343753349</v>
      </c>
      <c r="O321" s="180">
        <f t="shared" ca="1" si="23"/>
        <v>1.5242403312336467E-3</v>
      </c>
      <c r="P321" s="180"/>
      <c r="Q321" s="185"/>
      <c r="R321" s="186"/>
      <c r="S321" s="180"/>
      <c r="T321" s="180"/>
    </row>
    <row r="322" spans="1:20" x14ac:dyDescent="0.25">
      <c r="A322" t="s">
        <v>236</v>
      </c>
      <c r="B322" t="s">
        <v>237</v>
      </c>
      <c r="C322" t="s">
        <v>238</v>
      </c>
      <c r="D322" t="s">
        <v>262</v>
      </c>
      <c r="E322" t="s">
        <v>229</v>
      </c>
      <c r="F322">
        <v>1996</v>
      </c>
      <c r="G322">
        <v>6.8000000000000005E-4</v>
      </c>
      <c r="H322" t="s">
        <v>240</v>
      </c>
      <c r="I322" t="s">
        <v>241</v>
      </c>
      <c r="J322" t="s">
        <v>3</v>
      </c>
      <c r="K322" s="183">
        <f ca="1">VLOOKUP(F322,
    OFFSET(INDIRECT(ADDRESS(MATCH(J322,'Vehicle numbers'!$A$5:$A$162,0),1,1,1,$L$6)),4,1,COUNTIF('Vehicle numbers'!$A$5:$A$162,J322),4),
    MATCH(K$8,'Vehicle numbers'!$B$4:$D$4,0))*1000</f>
        <v>738756</v>
      </c>
      <c r="L322" s="183">
        <f ca="1">VLOOKUP(F322,
    OFFSET(INDIRECT(ADDRESS(MATCH(J322,'Vehicle numbers'!$A$5:$A$162,0),1,1,1,$L$6)),4,1,COUNTIF('Vehicle numbers'!$A$5:$A$162,J322),4),
    MATCH(L$8,'Vehicle numbers'!$B$4:$D$4,0))*1000</f>
        <v>752331.51287056133</v>
      </c>
      <c r="M322" s="184">
        <f>VLOOKUP(F322,'Annual distance covered (GB)'!$A$8:$H$33,MATCH(J322,'Annual distance covered (GB)'!$A$7:$H$7,0))</f>
        <v>3.8</v>
      </c>
      <c r="N322" s="2">
        <f t="shared" ca="1" si="22"/>
        <v>2631.4840478554897</v>
      </c>
      <c r="O322" s="180">
        <f t="shared" ca="1" si="23"/>
        <v>3.4977719301095347E-3</v>
      </c>
      <c r="P322" s="180"/>
      <c r="Q322" s="185"/>
      <c r="R322" s="186"/>
      <c r="S322" s="180"/>
      <c r="T322" s="180"/>
    </row>
    <row r="323" spans="1:20" x14ac:dyDescent="0.25">
      <c r="A323" t="s">
        <v>243</v>
      </c>
      <c r="B323" t="s">
        <v>237</v>
      </c>
      <c r="C323" t="s">
        <v>238</v>
      </c>
      <c r="D323" t="s">
        <v>262</v>
      </c>
      <c r="E323" t="s">
        <v>229</v>
      </c>
      <c r="F323">
        <v>1996</v>
      </c>
      <c r="G323">
        <v>2.72E-4</v>
      </c>
      <c r="H323" t="s">
        <v>240</v>
      </c>
      <c r="I323" t="s">
        <v>241</v>
      </c>
      <c r="J323" t="s">
        <v>3</v>
      </c>
      <c r="K323" s="183">
        <f ca="1">VLOOKUP(F323,
    OFFSET(INDIRECT(ADDRESS(MATCH(J323,'Vehicle numbers'!$A$5:$A$162,0),1,1,1,$L$6)),4,1,COUNTIF('Vehicle numbers'!$A$5:$A$162,J323),4),
    MATCH(K$8,'Vehicle numbers'!$B$4:$D$4,0))*1000</f>
        <v>738756</v>
      </c>
      <c r="L323" s="183">
        <f ca="1">VLOOKUP(F323,
    OFFSET(INDIRECT(ADDRESS(MATCH(J323,'Vehicle numbers'!$A$5:$A$162,0),1,1,1,$L$6)),4,1,COUNTIF('Vehicle numbers'!$A$5:$A$162,J323),4),
    MATCH(L$8,'Vehicle numbers'!$B$4:$D$4,0))*1000</f>
        <v>752331.51287056133</v>
      </c>
      <c r="M323" s="184">
        <f>VLOOKUP(F323,'Annual distance covered (GB)'!$A$8:$H$33,MATCH(J323,'Annual distance covered (GB)'!$A$7:$H$7,0))</f>
        <v>3.8</v>
      </c>
      <c r="N323" s="2">
        <f t="shared" ca="1" si="22"/>
        <v>1052.5936191421958</v>
      </c>
      <c r="O323" s="180">
        <f t="shared" ca="1" si="23"/>
        <v>1.3991087720438139E-3</v>
      </c>
      <c r="P323" s="180"/>
      <c r="Q323" s="185"/>
      <c r="R323" s="186"/>
      <c r="S323" s="180"/>
      <c r="T323" s="180"/>
    </row>
    <row r="324" spans="1:20" x14ac:dyDescent="0.25">
      <c r="A324" t="s">
        <v>244</v>
      </c>
      <c r="B324" t="s">
        <v>237</v>
      </c>
      <c r="C324" t="s">
        <v>238</v>
      </c>
      <c r="D324" t="s">
        <v>262</v>
      </c>
      <c r="E324" t="s">
        <v>229</v>
      </c>
      <c r="F324">
        <v>1996</v>
      </c>
      <c r="G324" s="189">
        <v>6.7999999999999999E-5</v>
      </c>
      <c r="H324" t="s">
        <v>240</v>
      </c>
      <c r="I324" t="s">
        <v>241</v>
      </c>
      <c r="J324" t="s">
        <v>3</v>
      </c>
      <c r="K324" s="183">
        <f ca="1">VLOOKUP(F324,
    OFFSET(INDIRECT(ADDRESS(MATCH(J324,'Vehicle numbers'!$A$5:$A$162,0),1,1,1,$L$6)),4,1,COUNTIF('Vehicle numbers'!$A$5:$A$162,J324),4),
    MATCH(K$8,'Vehicle numbers'!$B$4:$D$4,0))*1000</f>
        <v>738756</v>
      </c>
      <c r="L324" s="183">
        <f ca="1">VLOOKUP(F324,
    OFFSET(INDIRECT(ADDRESS(MATCH(J324,'Vehicle numbers'!$A$5:$A$162,0),1,1,1,$L$6)),4,1,COUNTIF('Vehicle numbers'!$A$5:$A$162,J324),4),
    MATCH(L$8,'Vehicle numbers'!$B$4:$D$4,0))*1000</f>
        <v>752331.51287056133</v>
      </c>
      <c r="M324" s="184">
        <f>VLOOKUP(F324,'Annual distance covered (GB)'!$A$8:$H$33,MATCH(J324,'Annual distance covered (GB)'!$A$7:$H$7,0))</f>
        <v>3.8</v>
      </c>
      <c r="N324" s="2">
        <f t="shared" ca="1" si="22"/>
        <v>263.14840478554896</v>
      </c>
      <c r="O324" s="180">
        <f t="shared" ca="1" si="23"/>
        <v>3.4977719301095347E-4</v>
      </c>
      <c r="P324" s="180"/>
      <c r="Q324" s="185"/>
      <c r="R324" s="186"/>
      <c r="S324" s="180"/>
      <c r="T324" s="180"/>
    </row>
    <row r="325" spans="1:20" x14ac:dyDescent="0.25">
      <c r="A325" t="s">
        <v>246</v>
      </c>
      <c r="B325" t="s">
        <v>237</v>
      </c>
      <c r="C325" t="s">
        <v>238</v>
      </c>
      <c r="D325" t="s">
        <v>262</v>
      </c>
      <c r="E325" t="s">
        <v>229</v>
      </c>
      <c r="F325">
        <v>1996</v>
      </c>
      <c r="G325" s="189">
        <v>5.4400000000000001E-5</v>
      </c>
      <c r="H325" t="s">
        <v>240</v>
      </c>
      <c r="I325" t="s">
        <v>241</v>
      </c>
      <c r="J325" t="s">
        <v>3</v>
      </c>
      <c r="K325" s="183">
        <f ca="1">VLOOKUP(F325,
    OFFSET(INDIRECT(ADDRESS(MATCH(J325,'Vehicle numbers'!$A$5:$A$162,0),1,1,1,$L$6)),4,1,COUNTIF('Vehicle numbers'!$A$5:$A$162,J325),4),
    MATCH(K$8,'Vehicle numbers'!$B$4:$D$4,0))*1000</f>
        <v>738756</v>
      </c>
      <c r="L325" s="183">
        <f ca="1">VLOOKUP(F325,
    OFFSET(INDIRECT(ADDRESS(MATCH(J325,'Vehicle numbers'!$A$5:$A$162,0),1,1,1,$L$6)),4,1,COUNTIF('Vehicle numbers'!$A$5:$A$162,J325),4),
    MATCH(L$8,'Vehicle numbers'!$B$4:$D$4,0))*1000</f>
        <v>752331.51287056133</v>
      </c>
      <c r="M325" s="184">
        <f>VLOOKUP(F325,'Annual distance covered (GB)'!$A$8:$H$33,MATCH(J325,'Annual distance covered (GB)'!$A$7:$H$7,0))</f>
        <v>3.8</v>
      </c>
      <c r="N325" s="2">
        <f t="shared" ca="1" si="22"/>
        <v>210.51872382843919</v>
      </c>
      <c r="O325" s="180">
        <f t="shared" ca="1" si="23"/>
        <v>2.7982175440876281E-4</v>
      </c>
      <c r="P325" s="180"/>
      <c r="Q325" s="185"/>
      <c r="R325" s="187"/>
      <c r="S325" s="180"/>
      <c r="T325" s="180"/>
    </row>
    <row r="326" spans="1:20" x14ac:dyDescent="0.25">
      <c r="A326" t="s">
        <v>236</v>
      </c>
      <c r="B326" t="s">
        <v>237</v>
      </c>
      <c r="C326" t="s">
        <v>238</v>
      </c>
      <c r="D326" t="s">
        <v>262</v>
      </c>
      <c r="E326" t="s">
        <v>228</v>
      </c>
      <c r="F326">
        <v>1996</v>
      </c>
      <c r="G326">
        <v>2.49E-3</v>
      </c>
      <c r="H326" t="s">
        <v>240</v>
      </c>
      <c r="I326" t="s">
        <v>241</v>
      </c>
      <c r="J326" t="s">
        <v>3</v>
      </c>
      <c r="K326" s="183">
        <f ca="1">VLOOKUP(F326,
    OFFSET(INDIRECT(ADDRESS(MATCH(J326,'Vehicle numbers'!$A$5:$A$162,0),1,1,1,$L$6)),4,1,COUNTIF('Vehicle numbers'!$A$5:$A$162,J326),4),
    MATCH(K$8,'Vehicle numbers'!$B$4:$D$4,0))*1000</f>
        <v>738756</v>
      </c>
      <c r="L326" s="183">
        <f ca="1">VLOOKUP(F326,
    OFFSET(INDIRECT(ADDRESS(MATCH(J326,'Vehicle numbers'!$A$5:$A$162,0),1,1,1,$L$6)),4,1,COUNTIF('Vehicle numbers'!$A$5:$A$162,J326),4),
    MATCH(L$8,'Vehicle numbers'!$B$4:$D$4,0))*1000</f>
        <v>752331.51287056133</v>
      </c>
      <c r="M326" s="184">
        <f>VLOOKUP(F326,'Annual distance covered (GB)'!$A$8:$H$33,MATCH(J326,'Annual distance covered (GB)'!$A$7:$H$7,0))</f>
        <v>3.8</v>
      </c>
      <c r="N326" s="2">
        <f t="shared" ca="1" si="22"/>
        <v>9635.8754105296612</v>
      </c>
      <c r="O326" s="180">
        <f t="shared" ca="1" si="23"/>
        <v>1.2808017802901091E-2</v>
      </c>
      <c r="P326" s="180"/>
      <c r="Q326" s="185"/>
      <c r="R326" s="186"/>
      <c r="S326" s="180"/>
      <c r="T326" s="180"/>
    </row>
    <row r="327" spans="1:20" x14ac:dyDescent="0.25">
      <c r="A327" t="s">
        <v>243</v>
      </c>
      <c r="B327" t="s">
        <v>237</v>
      </c>
      <c r="C327" t="s">
        <v>238</v>
      </c>
      <c r="D327" t="s">
        <v>262</v>
      </c>
      <c r="E327" t="s">
        <v>228</v>
      </c>
      <c r="F327">
        <v>1996</v>
      </c>
      <c r="G327">
        <v>1.743E-3</v>
      </c>
      <c r="H327" t="s">
        <v>240</v>
      </c>
      <c r="I327" t="s">
        <v>241</v>
      </c>
      <c r="J327" t="s">
        <v>3</v>
      </c>
      <c r="K327" s="183">
        <f ca="1">VLOOKUP(F327,
    OFFSET(INDIRECT(ADDRESS(MATCH(J327,'Vehicle numbers'!$A$5:$A$162,0),1,1,1,$L$6)),4,1,COUNTIF('Vehicle numbers'!$A$5:$A$162,J327),4),
    MATCH(K$8,'Vehicle numbers'!$B$4:$D$4,0))*1000</f>
        <v>738756</v>
      </c>
      <c r="L327" s="183">
        <f ca="1">VLOOKUP(F327,
    OFFSET(INDIRECT(ADDRESS(MATCH(J327,'Vehicle numbers'!$A$5:$A$162,0),1,1,1,$L$6)),4,1,COUNTIF('Vehicle numbers'!$A$5:$A$162,J327),4),
    MATCH(L$8,'Vehicle numbers'!$B$4:$D$4,0))*1000</f>
        <v>752331.51287056133</v>
      </c>
      <c r="M327" s="184">
        <f>VLOOKUP(F327,'Annual distance covered (GB)'!$A$8:$H$33,MATCH(J327,'Annual distance covered (GB)'!$A$7:$H$7,0))</f>
        <v>3.8</v>
      </c>
      <c r="N327" s="2">
        <f t="shared" ca="1" si="22"/>
        <v>6745.1127873707628</v>
      </c>
      <c r="O327" s="180">
        <f t="shared" ca="1" si="23"/>
        <v>8.9656124620307639E-3</v>
      </c>
      <c r="P327" s="180"/>
      <c r="Q327" s="185"/>
      <c r="R327" s="186"/>
      <c r="S327" s="180"/>
      <c r="T327" s="180"/>
    </row>
    <row r="328" spans="1:20" x14ac:dyDescent="0.25">
      <c r="A328" t="s">
        <v>244</v>
      </c>
      <c r="B328" t="s">
        <v>237</v>
      </c>
      <c r="C328" t="s">
        <v>238</v>
      </c>
      <c r="D328" t="s">
        <v>262</v>
      </c>
      <c r="E328" t="s">
        <v>228</v>
      </c>
      <c r="F328">
        <v>1996</v>
      </c>
      <c r="G328">
        <v>2.4549295774647798E-4</v>
      </c>
      <c r="H328" t="s">
        <v>240</v>
      </c>
      <c r="I328" t="s">
        <v>241</v>
      </c>
      <c r="J328" t="s">
        <v>3</v>
      </c>
      <c r="K328" s="183">
        <f ca="1">VLOOKUP(F328,
    OFFSET(INDIRECT(ADDRESS(MATCH(J328,'Vehicle numbers'!$A$5:$A$162,0),1,1,1,$L$6)),4,1,COUNTIF('Vehicle numbers'!$A$5:$A$162,J328),4),
    MATCH(K$8,'Vehicle numbers'!$B$4:$D$4,0))*1000</f>
        <v>738756</v>
      </c>
      <c r="L328" s="183">
        <f ca="1">VLOOKUP(F328,
    OFFSET(INDIRECT(ADDRESS(MATCH(J328,'Vehicle numbers'!$A$5:$A$162,0),1,1,1,$L$6)),4,1,COUNTIF('Vehicle numbers'!$A$5:$A$162,J328),4),
    MATCH(L$8,'Vehicle numbers'!$B$4:$D$4,0))*1000</f>
        <v>752331.51287056133</v>
      </c>
      <c r="M328" s="184">
        <f>VLOOKUP(F328,'Annual distance covered (GB)'!$A$8:$H$33,MATCH(J328,'Annual distance covered (GB)'!$A$7:$H$7,0))</f>
        <v>3.8</v>
      </c>
      <c r="N328" s="2">
        <f t="shared" ca="1" si="22"/>
        <v>950.01588554517434</v>
      </c>
      <c r="O328" s="180">
        <f t="shared" ca="1" si="23"/>
        <v>1.2627623185958775E-3</v>
      </c>
      <c r="P328" s="180"/>
      <c r="Q328" s="185"/>
      <c r="R328" s="187"/>
      <c r="S328" s="180"/>
      <c r="T328" s="180"/>
    </row>
    <row r="329" spans="1:20" x14ac:dyDescent="0.25">
      <c r="A329" t="s">
        <v>246</v>
      </c>
      <c r="B329" t="s">
        <v>237</v>
      </c>
      <c r="C329" t="s">
        <v>238</v>
      </c>
      <c r="D329" t="s">
        <v>262</v>
      </c>
      <c r="E329" t="s">
        <v>228</v>
      </c>
      <c r="F329">
        <v>1996</v>
      </c>
      <c r="G329">
        <v>1.96394366197183E-4</v>
      </c>
      <c r="H329" t="s">
        <v>240</v>
      </c>
      <c r="I329" t="s">
        <v>241</v>
      </c>
      <c r="J329" t="s">
        <v>3</v>
      </c>
      <c r="K329" s="183">
        <f ca="1">VLOOKUP(F329,
    OFFSET(INDIRECT(ADDRESS(MATCH(J329,'Vehicle numbers'!$A$5:$A$162,0),1,1,1,$L$6)),4,1,COUNTIF('Vehicle numbers'!$A$5:$A$162,J329),4),
    MATCH(K$8,'Vehicle numbers'!$B$4:$D$4,0))*1000</f>
        <v>738756</v>
      </c>
      <c r="L329" s="183">
        <f ca="1">VLOOKUP(F329,
    OFFSET(INDIRECT(ADDRESS(MATCH(J329,'Vehicle numbers'!$A$5:$A$162,0),1,1,1,$L$6)),4,1,COUNTIF('Vehicle numbers'!$A$5:$A$162,J329),4),
    MATCH(L$8,'Vehicle numbers'!$B$4:$D$4,0))*1000</f>
        <v>752331.51287056133</v>
      </c>
      <c r="M329" s="184">
        <f>VLOOKUP(F329,'Annual distance covered (GB)'!$A$8:$H$33,MATCH(J329,'Annual distance covered (GB)'!$A$7:$H$7,0))</f>
        <v>3.8</v>
      </c>
      <c r="N329" s="2">
        <f t="shared" ca="1" si="22"/>
        <v>760.01270843614191</v>
      </c>
      <c r="O329" s="180">
        <f t="shared" ca="1" si="23"/>
        <v>1.0102098548767052E-3</v>
      </c>
      <c r="P329" s="180"/>
      <c r="Q329" s="185"/>
      <c r="R329" s="188"/>
      <c r="S329" s="180"/>
      <c r="T329" s="180"/>
    </row>
    <row r="330" spans="1:20" x14ac:dyDescent="0.25">
      <c r="A330" t="s">
        <v>236</v>
      </c>
      <c r="B330" t="s">
        <v>237</v>
      </c>
      <c r="C330" t="s">
        <v>238</v>
      </c>
      <c r="D330" t="s">
        <v>263</v>
      </c>
      <c r="E330" t="s">
        <v>229</v>
      </c>
      <c r="F330">
        <v>1996</v>
      </c>
      <c r="G330">
        <v>2.764E-3</v>
      </c>
      <c r="H330" t="s">
        <v>240</v>
      </c>
      <c r="I330" t="s">
        <v>241</v>
      </c>
      <c r="J330" t="s">
        <v>3</v>
      </c>
      <c r="K330" s="183">
        <f ca="1">VLOOKUP(F330,
    OFFSET(INDIRECT(ADDRESS(MATCH(J330,'Vehicle numbers'!$A$5:$A$162,0),1,1,1,$L$6)),4,1,COUNTIF('Vehicle numbers'!$A$5:$A$162,J330),4),
    MATCH(K$8,'Vehicle numbers'!$B$4:$D$4,0))*1000</f>
        <v>738756</v>
      </c>
      <c r="L330" s="183">
        <f ca="1">VLOOKUP(F330,
    OFFSET(INDIRECT(ADDRESS(MATCH(J330,'Vehicle numbers'!$A$5:$A$162,0),1,1,1,$L$6)),4,1,COUNTIF('Vehicle numbers'!$A$5:$A$162,J330),4),
    MATCH(L$8,'Vehicle numbers'!$B$4:$D$4,0))*1000</f>
        <v>752331.51287056133</v>
      </c>
      <c r="M330" s="184">
        <f>VLOOKUP(F330,'Annual distance covered (GB)'!$A$8:$H$33,MATCH(J330,'Annual distance covered (GB)'!$A$7:$H$7,0))</f>
        <v>3.8</v>
      </c>
      <c r="N330" s="2">
        <f t="shared" ca="1" si="22"/>
        <v>10696.208688636138</v>
      </c>
      <c r="O330" s="180">
        <f t="shared" ca="1" si="23"/>
        <v>1.4217414139445227E-2</v>
      </c>
      <c r="P330" s="180"/>
      <c r="Q330" s="185"/>
      <c r="R330" s="186"/>
      <c r="S330" s="180"/>
      <c r="T330" s="180"/>
    </row>
    <row r="331" spans="1:20" x14ac:dyDescent="0.25">
      <c r="A331" t="s">
        <v>243</v>
      </c>
      <c r="B331" t="s">
        <v>237</v>
      </c>
      <c r="C331" t="s">
        <v>238</v>
      </c>
      <c r="D331" t="s">
        <v>263</v>
      </c>
      <c r="E331" t="s">
        <v>229</v>
      </c>
      <c r="F331">
        <v>1996</v>
      </c>
      <c r="G331">
        <v>1.1056E-3</v>
      </c>
      <c r="H331" t="s">
        <v>240</v>
      </c>
      <c r="I331" t="s">
        <v>241</v>
      </c>
      <c r="J331" t="s">
        <v>3</v>
      </c>
      <c r="K331" s="183">
        <f ca="1">VLOOKUP(F331,
    OFFSET(INDIRECT(ADDRESS(MATCH(J331,'Vehicle numbers'!$A$5:$A$162,0),1,1,1,$L$6)),4,1,COUNTIF('Vehicle numbers'!$A$5:$A$162,J331),4),
    MATCH(K$8,'Vehicle numbers'!$B$4:$D$4,0))*1000</f>
        <v>738756</v>
      </c>
      <c r="L331" s="183">
        <f ca="1">VLOOKUP(F331,
    OFFSET(INDIRECT(ADDRESS(MATCH(J331,'Vehicle numbers'!$A$5:$A$162,0),1,1,1,$L$6)),4,1,COUNTIF('Vehicle numbers'!$A$5:$A$162,J331),4),
    MATCH(L$8,'Vehicle numbers'!$B$4:$D$4,0))*1000</f>
        <v>752331.51287056133</v>
      </c>
      <c r="M331" s="184">
        <f>VLOOKUP(F331,'Annual distance covered (GB)'!$A$8:$H$33,MATCH(J331,'Annual distance covered (GB)'!$A$7:$H$7,0))</f>
        <v>3.8</v>
      </c>
      <c r="N331" s="2">
        <f t="shared" ref="N331:N394" ca="1" si="24">M331*G331*1000000*(L331/K331)</f>
        <v>4278.4834754544554</v>
      </c>
      <c r="O331" s="180">
        <f t="shared" ref="O331:O394" ca="1" si="25">N331/L331</f>
        <v>5.6869656557780911E-3</v>
      </c>
      <c r="P331" s="180"/>
      <c r="Q331" s="185"/>
      <c r="R331" s="186"/>
      <c r="S331" s="180"/>
      <c r="T331" s="180"/>
    </row>
    <row r="332" spans="1:20" x14ac:dyDescent="0.25">
      <c r="A332" t="s">
        <v>244</v>
      </c>
      <c r="B332" t="s">
        <v>237</v>
      </c>
      <c r="C332" t="s">
        <v>238</v>
      </c>
      <c r="D332" t="s">
        <v>263</v>
      </c>
      <c r="E332" t="s">
        <v>229</v>
      </c>
      <c r="F332">
        <v>1996</v>
      </c>
      <c r="G332">
        <v>2.764E-4</v>
      </c>
      <c r="H332" t="s">
        <v>240</v>
      </c>
      <c r="I332" t="s">
        <v>241</v>
      </c>
      <c r="J332" t="s">
        <v>3</v>
      </c>
      <c r="K332" s="183">
        <f ca="1">VLOOKUP(F332,
    OFFSET(INDIRECT(ADDRESS(MATCH(J332,'Vehicle numbers'!$A$5:$A$162,0),1,1,1,$L$6)),4,1,COUNTIF('Vehicle numbers'!$A$5:$A$162,J332),4),
    MATCH(K$8,'Vehicle numbers'!$B$4:$D$4,0))*1000</f>
        <v>738756</v>
      </c>
      <c r="L332" s="183">
        <f ca="1">VLOOKUP(F332,
    OFFSET(INDIRECT(ADDRESS(MATCH(J332,'Vehicle numbers'!$A$5:$A$162,0),1,1,1,$L$6)),4,1,COUNTIF('Vehicle numbers'!$A$5:$A$162,J332),4),
    MATCH(L$8,'Vehicle numbers'!$B$4:$D$4,0))*1000</f>
        <v>752331.51287056133</v>
      </c>
      <c r="M332" s="184">
        <f>VLOOKUP(F332,'Annual distance covered (GB)'!$A$8:$H$33,MATCH(J332,'Annual distance covered (GB)'!$A$7:$H$7,0))</f>
        <v>3.8</v>
      </c>
      <c r="N332" s="2">
        <f t="shared" ca="1" si="24"/>
        <v>1069.6208688636139</v>
      </c>
      <c r="O332" s="180">
        <f t="shared" ca="1" si="25"/>
        <v>1.4217414139445228E-3</v>
      </c>
      <c r="P332" s="180"/>
      <c r="Q332" s="185"/>
      <c r="R332" s="186"/>
      <c r="S332" s="180"/>
      <c r="T332" s="180"/>
    </row>
    <row r="333" spans="1:20" x14ac:dyDescent="0.25">
      <c r="A333" t="s">
        <v>246</v>
      </c>
      <c r="B333" t="s">
        <v>237</v>
      </c>
      <c r="C333" t="s">
        <v>238</v>
      </c>
      <c r="D333" t="s">
        <v>263</v>
      </c>
      <c r="E333" t="s">
        <v>229</v>
      </c>
      <c r="F333">
        <v>1996</v>
      </c>
      <c r="G333">
        <v>2.2112E-4</v>
      </c>
      <c r="H333" t="s">
        <v>240</v>
      </c>
      <c r="I333" t="s">
        <v>241</v>
      </c>
      <c r="J333" t="s">
        <v>3</v>
      </c>
      <c r="K333" s="183">
        <f ca="1">VLOOKUP(F333,
    OFFSET(INDIRECT(ADDRESS(MATCH(J333,'Vehicle numbers'!$A$5:$A$162,0),1,1,1,$L$6)),4,1,COUNTIF('Vehicle numbers'!$A$5:$A$162,J333),4),
    MATCH(K$8,'Vehicle numbers'!$B$4:$D$4,0))*1000</f>
        <v>738756</v>
      </c>
      <c r="L333" s="183">
        <f ca="1">VLOOKUP(F333,
    OFFSET(INDIRECT(ADDRESS(MATCH(J333,'Vehicle numbers'!$A$5:$A$162,0),1,1,1,$L$6)),4,1,COUNTIF('Vehicle numbers'!$A$5:$A$162,J333),4),
    MATCH(L$8,'Vehicle numbers'!$B$4:$D$4,0))*1000</f>
        <v>752331.51287056133</v>
      </c>
      <c r="M333" s="184">
        <f>VLOOKUP(F333,'Annual distance covered (GB)'!$A$8:$H$33,MATCH(J333,'Annual distance covered (GB)'!$A$7:$H$7,0))</f>
        <v>3.8</v>
      </c>
      <c r="N333" s="2">
        <f t="shared" ca="1" si="24"/>
        <v>855.69669509089101</v>
      </c>
      <c r="O333" s="180">
        <f t="shared" ca="1" si="25"/>
        <v>1.1373931311556183E-3</v>
      </c>
      <c r="P333" s="180"/>
      <c r="Q333" s="185"/>
      <c r="R333" s="186"/>
      <c r="S333" s="180"/>
      <c r="T333" s="180"/>
    </row>
    <row r="334" spans="1:20" x14ac:dyDescent="0.25">
      <c r="A334" t="s">
        <v>236</v>
      </c>
      <c r="B334" t="s">
        <v>237</v>
      </c>
      <c r="C334" t="s">
        <v>238</v>
      </c>
      <c r="D334" t="s">
        <v>263</v>
      </c>
      <c r="E334" t="s">
        <v>228</v>
      </c>
      <c r="F334">
        <v>1996</v>
      </c>
      <c r="G334">
        <v>2.9239999999999999E-3</v>
      </c>
      <c r="H334" t="s">
        <v>240</v>
      </c>
      <c r="I334" t="s">
        <v>241</v>
      </c>
      <c r="J334" t="s">
        <v>3</v>
      </c>
      <c r="K334" s="183">
        <f ca="1">VLOOKUP(F334,
    OFFSET(INDIRECT(ADDRESS(MATCH(J334,'Vehicle numbers'!$A$5:$A$162,0),1,1,1,$L$6)),4,1,COUNTIF('Vehicle numbers'!$A$5:$A$162,J334),4),
    MATCH(K$8,'Vehicle numbers'!$B$4:$D$4,0))*1000</f>
        <v>738756</v>
      </c>
      <c r="L334" s="183">
        <f ca="1">VLOOKUP(F334,
    OFFSET(INDIRECT(ADDRESS(MATCH(J334,'Vehicle numbers'!$A$5:$A$162,0),1,1,1,$L$6)),4,1,COUNTIF('Vehicle numbers'!$A$5:$A$162,J334),4),
    MATCH(L$8,'Vehicle numbers'!$B$4:$D$4,0))*1000</f>
        <v>752331.51287056133</v>
      </c>
      <c r="M334" s="184">
        <f>VLOOKUP(F334,'Annual distance covered (GB)'!$A$8:$H$33,MATCH(J334,'Annual distance covered (GB)'!$A$7:$H$7,0))</f>
        <v>3.8</v>
      </c>
      <c r="N334" s="2">
        <f t="shared" ca="1" si="24"/>
        <v>11315.381405778608</v>
      </c>
      <c r="O334" s="180">
        <f t="shared" ca="1" si="25"/>
        <v>1.5040419299471003E-2</v>
      </c>
      <c r="P334" s="180"/>
      <c r="Q334" s="185"/>
      <c r="R334" s="187"/>
      <c r="S334" s="180"/>
      <c r="T334" s="180"/>
    </row>
    <row r="335" spans="1:20" x14ac:dyDescent="0.25">
      <c r="A335" t="s">
        <v>243</v>
      </c>
      <c r="B335" t="s">
        <v>237</v>
      </c>
      <c r="C335" t="s">
        <v>238</v>
      </c>
      <c r="D335" t="s">
        <v>263</v>
      </c>
      <c r="E335" t="s">
        <v>228</v>
      </c>
      <c r="F335">
        <v>1996</v>
      </c>
      <c r="G335">
        <v>2.0468000000000001E-3</v>
      </c>
      <c r="H335" t="s">
        <v>240</v>
      </c>
      <c r="I335" t="s">
        <v>241</v>
      </c>
      <c r="J335" t="s">
        <v>3</v>
      </c>
      <c r="K335" s="183">
        <f ca="1">VLOOKUP(F335,
    OFFSET(INDIRECT(ADDRESS(MATCH(J335,'Vehicle numbers'!$A$5:$A$162,0),1,1,1,$L$6)),4,1,COUNTIF('Vehicle numbers'!$A$5:$A$162,J335),4),
    MATCH(K$8,'Vehicle numbers'!$B$4:$D$4,0))*1000</f>
        <v>738756</v>
      </c>
      <c r="L335" s="183">
        <f ca="1">VLOOKUP(F335,
    OFFSET(INDIRECT(ADDRESS(MATCH(J335,'Vehicle numbers'!$A$5:$A$162,0),1,1,1,$L$6)),4,1,COUNTIF('Vehicle numbers'!$A$5:$A$162,J335),4),
    MATCH(L$8,'Vehicle numbers'!$B$4:$D$4,0))*1000</f>
        <v>752331.51287056133</v>
      </c>
      <c r="M335" s="184">
        <f>VLOOKUP(F335,'Annual distance covered (GB)'!$A$8:$H$33,MATCH(J335,'Annual distance covered (GB)'!$A$7:$H$7,0))</f>
        <v>3.8</v>
      </c>
      <c r="N335" s="2">
        <f t="shared" ca="1" si="24"/>
        <v>7920.7669840450253</v>
      </c>
      <c r="O335" s="180">
        <f t="shared" ca="1" si="25"/>
        <v>1.0528293509629702E-2</v>
      </c>
      <c r="P335" s="180"/>
      <c r="Q335" s="185"/>
      <c r="R335" s="188"/>
      <c r="S335" s="180"/>
      <c r="T335" s="180"/>
    </row>
    <row r="336" spans="1:20" x14ac:dyDescent="0.25">
      <c r="A336" t="s">
        <v>244</v>
      </c>
      <c r="B336" t="s">
        <v>237</v>
      </c>
      <c r="C336" t="s">
        <v>238</v>
      </c>
      <c r="D336" t="s">
        <v>263</v>
      </c>
      <c r="E336" t="s">
        <v>228</v>
      </c>
      <c r="F336">
        <v>1996</v>
      </c>
      <c r="G336">
        <v>2.8828169014084501E-4</v>
      </c>
      <c r="H336" t="s">
        <v>240</v>
      </c>
      <c r="I336" t="s">
        <v>241</v>
      </c>
      <c r="J336" t="s">
        <v>3</v>
      </c>
      <c r="K336" s="183">
        <f ca="1">VLOOKUP(F336,
    OFFSET(INDIRECT(ADDRESS(MATCH(J336,'Vehicle numbers'!$A$5:$A$162,0),1,1,1,$L$6)),4,1,COUNTIF('Vehicle numbers'!$A$5:$A$162,J336),4),
    MATCH(K$8,'Vehicle numbers'!$B$4:$D$4,0))*1000</f>
        <v>738756</v>
      </c>
      <c r="L336" s="183">
        <f ca="1">VLOOKUP(F336,
    OFFSET(INDIRECT(ADDRESS(MATCH(J336,'Vehicle numbers'!$A$5:$A$162,0),1,1,1,$L$6)),4,1,COUNTIF('Vehicle numbers'!$A$5:$A$162,J336),4),
    MATCH(L$8,'Vehicle numbers'!$B$4:$D$4,0))*1000</f>
        <v>752331.51287056133</v>
      </c>
      <c r="M336" s="184">
        <f>VLOOKUP(F336,'Annual distance covered (GB)'!$A$8:$H$33,MATCH(J336,'Annual distance covered (GB)'!$A$7:$H$7,0))</f>
        <v>3.8</v>
      </c>
      <c r="N336" s="2">
        <f t="shared" ca="1" si="24"/>
        <v>1115.6009836683129</v>
      </c>
      <c r="O336" s="180">
        <f t="shared" ca="1" si="25"/>
        <v>1.482858240792915E-3</v>
      </c>
      <c r="P336" s="180"/>
      <c r="Q336" s="185"/>
      <c r="R336" s="186"/>
      <c r="S336" s="180"/>
      <c r="T336" s="180"/>
    </row>
    <row r="337" spans="1:20" x14ac:dyDescent="0.25">
      <c r="A337" t="s">
        <v>246</v>
      </c>
      <c r="B337" t="s">
        <v>237</v>
      </c>
      <c r="C337" t="s">
        <v>238</v>
      </c>
      <c r="D337" t="s">
        <v>263</v>
      </c>
      <c r="E337" t="s">
        <v>228</v>
      </c>
      <c r="F337">
        <v>1996</v>
      </c>
      <c r="G337">
        <v>2.3062535211267599E-4</v>
      </c>
      <c r="H337" t="s">
        <v>240</v>
      </c>
      <c r="I337" t="s">
        <v>241</v>
      </c>
      <c r="J337" t="s">
        <v>3</v>
      </c>
      <c r="K337" s="183">
        <f ca="1">VLOOKUP(F337,
    OFFSET(INDIRECT(ADDRESS(MATCH(J337,'Vehicle numbers'!$A$5:$A$162,0),1,1,1,$L$6)),4,1,COUNTIF('Vehicle numbers'!$A$5:$A$162,J337),4),
    MATCH(K$8,'Vehicle numbers'!$B$4:$D$4,0))*1000</f>
        <v>738756</v>
      </c>
      <c r="L337" s="183">
        <f ca="1">VLOOKUP(F337,
    OFFSET(INDIRECT(ADDRESS(MATCH(J337,'Vehicle numbers'!$A$5:$A$162,0),1,1,1,$L$6)),4,1,COUNTIF('Vehicle numbers'!$A$5:$A$162,J337),4),
    MATCH(L$8,'Vehicle numbers'!$B$4:$D$4,0))*1000</f>
        <v>752331.51287056133</v>
      </c>
      <c r="M337" s="184">
        <f>VLOOKUP(F337,'Annual distance covered (GB)'!$A$8:$H$33,MATCH(J337,'Annual distance covered (GB)'!$A$7:$H$7,0))</f>
        <v>3.8</v>
      </c>
      <c r="N337" s="2">
        <f t="shared" ca="1" si="24"/>
        <v>892.48078693465038</v>
      </c>
      <c r="O337" s="180">
        <f t="shared" ca="1" si="25"/>
        <v>1.1862865926343322E-3</v>
      </c>
      <c r="P337" s="180"/>
      <c r="Q337" s="185"/>
      <c r="R337" s="186"/>
      <c r="S337" s="180"/>
      <c r="T337" s="180"/>
    </row>
    <row r="338" spans="1:20" x14ac:dyDescent="0.25">
      <c r="A338" t="s">
        <v>236</v>
      </c>
      <c r="B338" t="s">
        <v>237</v>
      </c>
      <c r="C338" t="s">
        <v>238</v>
      </c>
      <c r="D338" t="s">
        <v>264</v>
      </c>
      <c r="E338" t="s">
        <v>229</v>
      </c>
      <c r="F338">
        <v>1996</v>
      </c>
      <c r="G338">
        <v>5.8399999999999902E-3</v>
      </c>
      <c r="H338" t="s">
        <v>240</v>
      </c>
      <c r="I338" t="s">
        <v>241</v>
      </c>
      <c r="J338" t="s">
        <v>3</v>
      </c>
      <c r="K338" s="183">
        <f ca="1">VLOOKUP(F338,
    OFFSET(INDIRECT(ADDRESS(MATCH(J338,'Vehicle numbers'!$A$5:$A$162,0),1,1,1,$L$6)),4,1,COUNTIF('Vehicle numbers'!$A$5:$A$162,J338),4),
    MATCH(K$8,'Vehicle numbers'!$B$4:$D$4,0))*1000</f>
        <v>738756</v>
      </c>
      <c r="L338" s="183">
        <f ca="1">VLOOKUP(F338,
    OFFSET(INDIRECT(ADDRESS(MATCH(J338,'Vehicle numbers'!$A$5:$A$162,0),1,1,1,$L$6)),4,1,COUNTIF('Vehicle numbers'!$A$5:$A$162,J338),4),
    MATCH(L$8,'Vehicle numbers'!$B$4:$D$4,0))*1000</f>
        <v>752331.51287056133</v>
      </c>
      <c r="M338" s="184">
        <f>VLOOKUP(F338,'Annual distance covered (GB)'!$A$8:$H$33,MATCH(J338,'Annual distance covered (GB)'!$A$7:$H$7,0))</f>
        <v>3.8</v>
      </c>
      <c r="N338" s="2">
        <f t="shared" ca="1" si="24"/>
        <v>22599.80417570005</v>
      </c>
      <c r="O338" s="180">
        <f t="shared" ca="1" si="25"/>
        <v>3.003968834094066E-2</v>
      </c>
      <c r="P338" s="180"/>
      <c r="Q338" s="185"/>
      <c r="R338" s="186"/>
      <c r="S338" s="180"/>
      <c r="T338" s="180"/>
    </row>
    <row r="339" spans="1:20" x14ac:dyDescent="0.25">
      <c r="A339" t="s">
        <v>243</v>
      </c>
      <c r="B339" t="s">
        <v>237</v>
      </c>
      <c r="C339" t="s">
        <v>238</v>
      </c>
      <c r="D339" t="s">
        <v>264</v>
      </c>
      <c r="E339" t="s">
        <v>229</v>
      </c>
      <c r="F339">
        <v>1996</v>
      </c>
      <c r="G339">
        <v>2.336E-3</v>
      </c>
      <c r="H339" t="s">
        <v>240</v>
      </c>
      <c r="I339" t="s">
        <v>241</v>
      </c>
      <c r="J339" t="s">
        <v>3</v>
      </c>
      <c r="K339" s="183">
        <f ca="1">VLOOKUP(F339,
    OFFSET(INDIRECT(ADDRESS(MATCH(J339,'Vehicle numbers'!$A$5:$A$162,0),1,1,1,$L$6)),4,1,COUNTIF('Vehicle numbers'!$A$5:$A$162,J339),4),
    MATCH(K$8,'Vehicle numbers'!$B$4:$D$4,0))*1000</f>
        <v>738756</v>
      </c>
      <c r="L339" s="183">
        <f ca="1">VLOOKUP(F339,
    OFFSET(INDIRECT(ADDRESS(MATCH(J339,'Vehicle numbers'!$A$5:$A$162,0),1,1,1,$L$6)),4,1,COUNTIF('Vehicle numbers'!$A$5:$A$162,J339),4),
    MATCH(L$8,'Vehicle numbers'!$B$4:$D$4,0))*1000</f>
        <v>752331.51287056133</v>
      </c>
      <c r="M339" s="184">
        <f>VLOOKUP(F339,'Annual distance covered (GB)'!$A$8:$H$33,MATCH(J339,'Annual distance covered (GB)'!$A$7:$H$7,0))</f>
        <v>3.8</v>
      </c>
      <c r="N339" s="2">
        <f t="shared" ca="1" si="24"/>
        <v>9039.921670280035</v>
      </c>
      <c r="O339" s="180">
        <f t="shared" ca="1" si="25"/>
        <v>1.2015875336376285E-2</v>
      </c>
      <c r="P339" s="180"/>
      <c r="Q339" s="185"/>
      <c r="R339" s="186"/>
      <c r="S339" s="180"/>
      <c r="T339" s="180"/>
    </row>
    <row r="340" spans="1:20" x14ac:dyDescent="0.25">
      <c r="A340" t="s">
        <v>244</v>
      </c>
      <c r="B340" t="s">
        <v>237</v>
      </c>
      <c r="C340" t="s">
        <v>238</v>
      </c>
      <c r="D340" t="s">
        <v>264</v>
      </c>
      <c r="E340" t="s">
        <v>229</v>
      </c>
      <c r="F340">
        <v>1996</v>
      </c>
      <c r="G340">
        <v>5.8399999999999999E-4</v>
      </c>
      <c r="H340" t="s">
        <v>240</v>
      </c>
      <c r="I340" t="s">
        <v>241</v>
      </c>
      <c r="J340" t="s">
        <v>3</v>
      </c>
      <c r="K340" s="183">
        <f ca="1">VLOOKUP(F340,
    OFFSET(INDIRECT(ADDRESS(MATCH(J340,'Vehicle numbers'!$A$5:$A$162,0),1,1,1,$L$6)),4,1,COUNTIF('Vehicle numbers'!$A$5:$A$162,J340),4),
    MATCH(K$8,'Vehicle numbers'!$B$4:$D$4,0))*1000</f>
        <v>738756</v>
      </c>
      <c r="L340" s="183">
        <f ca="1">VLOOKUP(F340,
    OFFSET(INDIRECT(ADDRESS(MATCH(J340,'Vehicle numbers'!$A$5:$A$162,0),1,1,1,$L$6)),4,1,COUNTIF('Vehicle numbers'!$A$5:$A$162,J340),4),
    MATCH(L$8,'Vehicle numbers'!$B$4:$D$4,0))*1000</f>
        <v>752331.51287056133</v>
      </c>
      <c r="M340" s="184">
        <f>VLOOKUP(F340,'Annual distance covered (GB)'!$A$8:$H$33,MATCH(J340,'Annual distance covered (GB)'!$A$7:$H$7,0))</f>
        <v>3.8</v>
      </c>
      <c r="N340" s="2">
        <f t="shared" ca="1" si="24"/>
        <v>2259.9804175700087</v>
      </c>
      <c r="O340" s="180">
        <f t="shared" ca="1" si="25"/>
        <v>3.0039688340940712E-3</v>
      </c>
      <c r="P340" s="180"/>
      <c r="Q340" s="185"/>
      <c r="R340" s="187"/>
      <c r="S340" s="180"/>
      <c r="T340" s="180"/>
    </row>
    <row r="341" spans="1:20" x14ac:dyDescent="0.25">
      <c r="A341" t="s">
        <v>246</v>
      </c>
      <c r="B341" t="s">
        <v>237</v>
      </c>
      <c r="C341" t="s">
        <v>238</v>
      </c>
      <c r="D341" t="s">
        <v>264</v>
      </c>
      <c r="E341" t="s">
        <v>229</v>
      </c>
      <c r="F341">
        <v>1996</v>
      </c>
      <c r="G341">
        <v>4.6720000000000003E-4</v>
      </c>
      <c r="H341" t="s">
        <v>240</v>
      </c>
      <c r="I341" t="s">
        <v>241</v>
      </c>
      <c r="J341" t="s">
        <v>3</v>
      </c>
      <c r="K341" s="183">
        <f ca="1">VLOOKUP(F341,
    OFFSET(INDIRECT(ADDRESS(MATCH(J341,'Vehicle numbers'!$A$5:$A$162,0),1,1,1,$L$6)),4,1,COUNTIF('Vehicle numbers'!$A$5:$A$162,J341),4),
    MATCH(K$8,'Vehicle numbers'!$B$4:$D$4,0))*1000</f>
        <v>738756</v>
      </c>
      <c r="L341" s="183">
        <f ca="1">VLOOKUP(F341,
    OFFSET(INDIRECT(ADDRESS(MATCH(J341,'Vehicle numbers'!$A$5:$A$162,0),1,1,1,$L$6)),4,1,COUNTIF('Vehicle numbers'!$A$5:$A$162,J341),4),
    MATCH(L$8,'Vehicle numbers'!$B$4:$D$4,0))*1000</f>
        <v>752331.51287056133</v>
      </c>
      <c r="M341" s="184">
        <f>VLOOKUP(F341,'Annual distance covered (GB)'!$A$8:$H$33,MATCH(J341,'Annual distance covered (GB)'!$A$7:$H$7,0))</f>
        <v>3.8</v>
      </c>
      <c r="N341" s="2">
        <f t="shared" ca="1" si="24"/>
        <v>1807.9843340560071</v>
      </c>
      <c r="O341" s="180">
        <f t="shared" ca="1" si="25"/>
        <v>2.403175067275257E-3</v>
      </c>
      <c r="P341" s="180"/>
      <c r="Q341" s="185"/>
      <c r="R341" s="186"/>
      <c r="S341" s="180"/>
      <c r="T341" s="180"/>
    </row>
    <row r="342" spans="1:20" x14ac:dyDescent="0.25">
      <c r="A342" t="s">
        <v>236</v>
      </c>
      <c r="B342" t="s">
        <v>237</v>
      </c>
      <c r="C342" t="s">
        <v>238</v>
      </c>
      <c r="D342" t="s">
        <v>264</v>
      </c>
      <c r="E342" t="s">
        <v>228</v>
      </c>
      <c r="F342">
        <v>1996</v>
      </c>
      <c r="G342">
        <v>3.7569999999999899E-3</v>
      </c>
      <c r="H342" t="s">
        <v>240</v>
      </c>
      <c r="I342" t="s">
        <v>241</v>
      </c>
      <c r="J342" t="s">
        <v>3</v>
      </c>
      <c r="K342" s="183">
        <f ca="1">VLOOKUP(F342,
    OFFSET(INDIRECT(ADDRESS(MATCH(J342,'Vehicle numbers'!$A$5:$A$162,0),1,1,1,$L$6)),4,1,COUNTIF('Vehicle numbers'!$A$5:$A$162,J342),4),
    MATCH(K$8,'Vehicle numbers'!$B$4:$D$4,0))*1000</f>
        <v>738756</v>
      </c>
      <c r="L342" s="183">
        <f ca="1">VLOOKUP(F342,
    OFFSET(INDIRECT(ADDRESS(MATCH(J342,'Vehicle numbers'!$A$5:$A$162,0),1,1,1,$L$6)),4,1,COUNTIF('Vehicle numbers'!$A$5:$A$162,J342),4),
    MATCH(L$8,'Vehicle numbers'!$B$4:$D$4,0))*1000</f>
        <v>752331.51287056133</v>
      </c>
      <c r="M342" s="184">
        <f>VLOOKUP(F342,'Annual distance covered (GB)'!$A$8:$H$33,MATCH(J342,'Annual distance covered (GB)'!$A$7:$H$7,0))</f>
        <v>3.8</v>
      </c>
      <c r="N342" s="2">
        <f t="shared" ca="1" si="24"/>
        <v>14538.949364401542</v>
      </c>
      <c r="O342" s="180">
        <f t="shared" ca="1" si="25"/>
        <v>1.932518991385513E-2</v>
      </c>
      <c r="P342" s="180"/>
      <c r="Q342" s="185"/>
      <c r="R342" s="186"/>
      <c r="S342" s="180"/>
      <c r="T342" s="180"/>
    </row>
    <row r="343" spans="1:20" x14ac:dyDescent="0.25">
      <c r="A343" t="s">
        <v>243</v>
      </c>
      <c r="B343" t="s">
        <v>237</v>
      </c>
      <c r="C343" t="s">
        <v>238</v>
      </c>
      <c r="D343" t="s">
        <v>264</v>
      </c>
      <c r="E343" t="s">
        <v>228</v>
      </c>
      <c r="F343">
        <v>1996</v>
      </c>
      <c r="G343">
        <v>2.6298999999999901E-3</v>
      </c>
      <c r="H343" t="s">
        <v>240</v>
      </c>
      <c r="I343" t="s">
        <v>241</v>
      </c>
      <c r="J343" t="s">
        <v>3</v>
      </c>
      <c r="K343" s="183">
        <f ca="1">VLOOKUP(F343,
    OFFSET(INDIRECT(ADDRESS(MATCH(J343,'Vehicle numbers'!$A$5:$A$162,0),1,1,1,$L$6)),4,1,COUNTIF('Vehicle numbers'!$A$5:$A$162,J343),4),
    MATCH(K$8,'Vehicle numbers'!$B$4:$D$4,0))*1000</f>
        <v>738756</v>
      </c>
      <c r="L343" s="183">
        <f ca="1">VLOOKUP(F343,
    OFFSET(INDIRECT(ADDRESS(MATCH(J343,'Vehicle numbers'!$A$5:$A$162,0),1,1,1,$L$6)),4,1,COUNTIF('Vehicle numbers'!$A$5:$A$162,J343),4),
    MATCH(L$8,'Vehicle numbers'!$B$4:$D$4,0))*1000</f>
        <v>752331.51287056133</v>
      </c>
      <c r="M343" s="184">
        <f>VLOOKUP(F343,'Annual distance covered (GB)'!$A$8:$H$33,MATCH(J343,'Annual distance covered (GB)'!$A$7:$H$7,0))</f>
        <v>3.8</v>
      </c>
      <c r="N343" s="2">
        <f t="shared" ca="1" si="24"/>
        <v>10177.264555081068</v>
      </c>
      <c r="O343" s="180">
        <f t="shared" ca="1" si="25"/>
        <v>1.3527632939698575E-2</v>
      </c>
      <c r="P343" s="180"/>
      <c r="Q343" s="185"/>
      <c r="R343" s="180"/>
      <c r="S343" s="180"/>
      <c r="T343" s="180"/>
    </row>
    <row r="344" spans="1:20" x14ac:dyDescent="0.25">
      <c r="A344" t="s">
        <v>244</v>
      </c>
      <c r="B344" t="s">
        <v>237</v>
      </c>
      <c r="C344" t="s">
        <v>238</v>
      </c>
      <c r="D344" t="s">
        <v>264</v>
      </c>
      <c r="E344" t="s">
        <v>228</v>
      </c>
      <c r="F344">
        <v>1996</v>
      </c>
      <c r="G344">
        <v>3.7040845070422299E-4</v>
      </c>
      <c r="H344" t="s">
        <v>240</v>
      </c>
      <c r="I344" t="s">
        <v>241</v>
      </c>
      <c r="J344" t="s">
        <v>3</v>
      </c>
      <c r="K344" s="183">
        <f ca="1">VLOOKUP(F344,
    OFFSET(INDIRECT(ADDRESS(MATCH(J344,'Vehicle numbers'!$A$5:$A$162,0),1,1,1,$L$6)),4,1,COUNTIF('Vehicle numbers'!$A$5:$A$162,J344),4),
    MATCH(K$8,'Vehicle numbers'!$B$4:$D$4,0))*1000</f>
        <v>738756</v>
      </c>
      <c r="L344" s="183">
        <f ca="1">VLOOKUP(F344,
    OFFSET(INDIRECT(ADDRESS(MATCH(J344,'Vehicle numbers'!$A$5:$A$162,0),1,1,1,$L$6)),4,1,COUNTIF('Vehicle numbers'!$A$5:$A$162,J344),4),
    MATCH(L$8,'Vehicle numbers'!$B$4:$D$4,0))*1000</f>
        <v>752331.51287056133</v>
      </c>
      <c r="M344" s="184">
        <f>VLOOKUP(F344,'Annual distance covered (GB)'!$A$8:$H$33,MATCH(J344,'Annual distance covered (GB)'!$A$7:$H$7,0))</f>
        <v>3.8</v>
      </c>
      <c r="N344" s="2">
        <f t="shared" ca="1" si="24"/>
        <v>1433.4175429691609</v>
      </c>
      <c r="O344" s="180">
        <f t="shared" ca="1" si="25"/>
        <v>1.905300414042048E-3</v>
      </c>
      <c r="P344" s="180"/>
      <c r="Q344" s="185"/>
      <c r="R344" s="180"/>
      <c r="S344" s="180"/>
      <c r="T344" s="180"/>
    </row>
    <row r="345" spans="1:20" x14ac:dyDescent="0.25">
      <c r="A345" t="s">
        <v>246</v>
      </c>
      <c r="B345" t="s">
        <v>237</v>
      </c>
      <c r="C345" t="s">
        <v>238</v>
      </c>
      <c r="D345" t="s">
        <v>264</v>
      </c>
      <c r="E345" t="s">
        <v>228</v>
      </c>
      <c r="F345">
        <v>1996</v>
      </c>
      <c r="G345">
        <v>2.9632676056337901E-4</v>
      </c>
      <c r="H345" t="s">
        <v>240</v>
      </c>
      <c r="I345" t="s">
        <v>241</v>
      </c>
      <c r="J345" t="s">
        <v>3</v>
      </c>
      <c r="K345" s="183">
        <f ca="1">VLOOKUP(F345,
    OFFSET(INDIRECT(ADDRESS(MATCH(J345,'Vehicle numbers'!$A$5:$A$162,0),1,1,1,$L$6)),4,1,COUNTIF('Vehicle numbers'!$A$5:$A$162,J345),4),
    MATCH(K$8,'Vehicle numbers'!$B$4:$D$4,0))*1000</f>
        <v>738756</v>
      </c>
      <c r="L345" s="183">
        <f ca="1">VLOOKUP(F345,
    OFFSET(INDIRECT(ADDRESS(MATCH(J345,'Vehicle numbers'!$A$5:$A$162,0),1,1,1,$L$6)),4,1,COUNTIF('Vehicle numbers'!$A$5:$A$162,J345),4),
    MATCH(L$8,'Vehicle numbers'!$B$4:$D$4,0))*1000</f>
        <v>752331.51287056133</v>
      </c>
      <c r="M345" s="184">
        <f>VLOOKUP(F345,'Annual distance covered (GB)'!$A$8:$H$33,MATCH(J345,'Annual distance covered (GB)'!$A$7:$H$7,0))</f>
        <v>3.8</v>
      </c>
      <c r="N345" s="2">
        <f t="shared" ca="1" si="24"/>
        <v>1146.7340343753312</v>
      </c>
      <c r="O345" s="180">
        <f t="shared" ca="1" si="25"/>
        <v>1.5242403312336417E-3</v>
      </c>
      <c r="P345" s="180"/>
      <c r="Q345" s="185"/>
      <c r="R345" s="180"/>
      <c r="S345" s="180"/>
      <c r="T345" s="180"/>
    </row>
    <row r="346" spans="1:20" x14ac:dyDescent="0.25">
      <c r="A346" t="s">
        <v>236</v>
      </c>
      <c r="B346" t="s">
        <v>237</v>
      </c>
      <c r="C346" t="s">
        <v>238</v>
      </c>
      <c r="D346" t="s">
        <v>239</v>
      </c>
      <c r="E346" t="s">
        <v>229</v>
      </c>
      <c r="F346">
        <v>1997</v>
      </c>
      <c r="G346">
        <v>8.4410000000000006E-3</v>
      </c>
      <c r="H346" t="s">
        <v>240</v>
      </c>
      <c r="I346" t="s">
        <v>241</v>
      </c>
      <c r="J346" t="s">
        <v>242</v>
      </c>
      <c r="K346" s="183">
        <f ca="1">VLOOKUP(F346,
    OFFSET(INDIRECT(ADDRESS(MATCH(J346,'Vehicle numbers'!$A$5:$A$162,0),1,1,1,$L$6)),4,1,COUNTIF('Vehicle numbers'!$A$5:$A$162,J346),4),
    MATCH(K$8,'Vehicle numbers'!$B$4:$D$4,0))*1000</f>
        <v>160721</v>
      </c>
      <c r="L346" s="183">
        <f ca="1">VLOOKUP(F346,
    OFFSET(INDIRECT(ADDRESS(MATCH(J346,'Vehicle numbers'!$A$5:$A$162,0),1,1,1,$L$6)),4,1,COUNTIF('Vehicle numbers'!$A$5:$A$162,J346),4),
    MATCH(L$8,'Vehicle numbers'!$B$4:$D$4,0))*1000</f>
        <v>166336.53329526386</v>
      </c>
      <c r="M346" s="184">
        <f>VLOOKUP(F346,'Annual distance covered (GB)'!$A$8:$H$33,MATCH(J346,'Annual distance covered (GB)'!$A$7:$H$7,0))</f>
        <v>5.2</v>
      </c>
      <c r="N346" s="2">
        <f t="shared" ca="1" si="24"/>
        <v>45426.812446635326</v>
      </c>
      <c r="O346" s="180">
        <f t="shared" ca="1" si="25"/>
        <v>0.27310183485667711</v>
      </c>
      <c r="P346" s="180"/>
      <c r="Q346" s="185"/>
      <c r="R346" s="180"/>
      <c r="S346" s="180"/>
      <c r="T346" s="180"/>
    </row>
    <row r="347" spans="1:20" x14ac:dyDescent="0.25">
      <c r="A347" t="s">
        <v>243</v>
      </c>
      <c r="B347" t="s">
        <v>237</v>
      </c>
      <c r="C347" t="s">
        <v>238</v>
      </c>
      <c r="D347" t="s">
        <v>239</v>
      </c>
      <c r="E347" t="s">
        <v>229</v>
      </c>
      <c r="F347">
        <v>1997</v>
      </c>
      <c r="G347">
        <v>3.3763999999999999E-3</v>
      </c>
      <c r="H347" t="s">
        <v>240</v>
      </c>
      <c r="I347" t="s">
        <v>241</v>
      </c>
      <c r="J347" t="s">
        <v>242</v>
      </c>
      <c r="K347" s="183">
        <f ca="1">VLOOKUP(F347,
    OFFSET(INDIRECT(ADDRESS(MATCH(J347,'Vehicle numbers'!$A$5:$A$162,0),1,1,1,$L$6)),4,1,COUNTIF('Vehicle numbers'!$A$5:$A$162,J347),4),
    MATCH(K$8,'Vehicle numbers'!$B$4:$D$4,0))*1000</f>
        <v>160721</v>
      </c>
      <c r="L347" s="183">
        <f ca="1">VLOOKUP(F347,
    OFFSET(INDIRECT(ADDRESS(MATCH(J347,'Vehicle numbers'!$A$5:$A$162,0),1,1,1,$L$6)),4,1,COUNTIF('Vehicle numbers'!$A$5:$A$162,J347),4),
    MATCH(L$8,'Vehicle numbers'!$B$4:$D$4,0))*1000</f>
        <v>166336.53329526386</v>
      </c>
      <c r="M347" s="184">
        <f>VLOOKUP(F347,'Annual distance covered (GB)'!$A$8:$H$33,MATCH(J347,'Annual distance covered (GB)'!$A$7:$H$7,0))</f>
        <v>5.2</v>
      </c>
      <c r="N347" s="2">
        <f t="shared" ca="1" si="24"/>
        <v>18170.724978654132</v>
      </c>
      <c r="O347" s="180">
        <f t="shared" ca="1" si="25"/>
        <v>0.10924073394267086</v>
      </c>
      <c r="P347" s="180"/>
      <c r="Q347" s="185"/>
      <c r="R347" s="180"/>
      <c r="S347" s="180"/>
      <c r="T347" s="180"/>
    </row>
    <row r="348" spans="1:20" x14ac:dyDescent="0.25">
      <c r="A348" t="s">
        <v>244</v>
      </c>
      <c r="B348" t="s">
        <v>237</v>
      </c>
      <c r="C348" t="s">
        <v>238</v>
      </c>
      <c r="D348" t="s">
        <v>239</v>
      </c>
      <c r="E348" t="s">
        <v>229</v>
      </c>
      <c r="F348">
        <v>1997</v>
      </c>
      <c r="G348">
        <v>8.4409999999999997E-4</v>
      </c>
      <c r="H348" t="s">
        <v>240</v>
      </c>
      <c r="I348" t="s">
        <v>241</v>
      </c>
      <c r="J348" t="s">
        <v>242</v>
      </c>
      <c r="K348" s="183">
        <f ca="1">VLOOKUP(F348,
    OFFSET(INDIRECT(ADDRESS(MATCH(J348,'Vehicle numbers'!$A$5:$A$162,0),1,1,1,$L$6)),4,1,COUNTIF('Vehicle numbers'!$A$5:$A$162,J348),4),
    MATCH(K$8,'Vehicle numbers'!$B$4:$D$4,0))*1000</f>
        <v>160721</v>
      </c>
      <c r="L348" s="183">
        <f ca="1">VLOOKUP(F348,
    OFFSET(INDIRECT(ADDRESS(MATCH(J348,'Vehicle numbers'!$A$5:$A$162,0),1,1,1,$L$6)),4,1,COUNTIF('Vehicle numbers'!$A$5:$A$162,J348),4),
    MATCH(L$8,'Vehicle numbers'!$B$4:$D$4,0))*1000</f>
        <v>166336.53329526386</v>
      </c>
      <c r="M348" s="184">
        <f>VLOOKUP(F348,'Annual distance covered (GB)'!$A$8:$H$33,MATCH(J348,'Annual distance covered (GB)'!$A$7:$H$7,0))</f>
        <v>5.2</v>
      </c>
      <c r="N348" s="2">
        <f t="shared" ca="1" si="24"/>
        <v>4542.6812446635331</v>
      </c>
      <c r="O348" s="180">
        <f t="shared" ca="1" si="25"/>
        <v>2.7310183485667716E-2</v>
      </c>
      <c r="P348" s="180"/>
      <c r="Q348" s="185"/>
      <c r="R348" s="180"/>
      <c r="S348" s="180"/>
      <c r="T348" s="180"/>
    </row>
    <row r="349" spans="1:20" x14ac:dyDescent="0.25">
      <c r="A349" t="s">
        <v>246</v>
      </c>
      <c r="B349" t="s">
        <v>237</v>
      </c>
      <c r="C349" t="s">
        <v>238</v>
      </c>
      <c r="D349" t="s">
        <v>239</v>
      </c>
      <c r="E349" t="s">
        <v>229</v>
      </c>
      <c r="F349">
        <v>1997</v>
      </c>
      <c r="G349">
        <v>6.7528E-4</v>
      </c>
      <c r="H349" t="s">
        <v>240</v>
      </c>
      <c r="I349" t="s">
        <v>241</v>
      </c>
      <c r="J349" t="s">
        <v>242</v>
      </c>
      <c r="K349" s="183">
        <f ca="1">VLOOKUP(F349,
    OFFSET(INDIRECT(ADDRESS(MATCH(J349,'Vehicle numbers'!$A$5:$A$162,0),1,1,1,$L$6)),4,1,COUNTIF('Vehicle numbers'!$A$5:$A$162,J349),4),
    MATCH(K$8,'Vehicle numbers'!$B$4:$D$4,0))*1000</f>
        <v>160721</v>
      </c>
      <c r="L349" s="183">
        <f ca="1">VLOOKUP(F349,
    OFFSET(INDIRECT(ADDRESS(MATCH(J349,'Vehicle numbers'!$A$5:$A$162,0),1,1,1,$L$6)),4,1,COUNTIF('Vehicle numbers'!$A$5:$A$162,J349),4),
    MATCH(L$8,'Vehicle numbers'!$B$4:$D$4,0))*1000</f>
        <v>166336.53329526386</v>
      </c>
      <c r="M349" s="184">
        <f>VLOOKUP(F349,'Annual distance covered (GB)'!$A$8:$H$33,MATCH(J349,'Annual distance covered (GB)'!$A$7:$H$7,0))</f>
        <v>5.2</v>
      </c>
      <c r="N349" s="2">
        <f t="shared" ca="1" si="24"/>
        <v>3634.1449957308259</v>
      </c>
      <c r="O349" s="180">
        <f t="shared" ca="1" si="25"/>
        <v>2.1848146788534171E-2</v>
      </c>
      <c r="P349" s="180"/>
      <c r="Q349" s="185"/>
      <c r="R349" s="180"/>
      <c r="S349" s="180"/>
      <c r="T349" s="180"/>
    </row>
    <row r="350" spans="1:20" x14ac:dyDescent="0.25">
      <c r="A350" t="s">
        <v>236</v>
      </c>
      <c r="B350" t="s">
        <v>237</v>
      </c>
      <c r="C350" t="s">
        <v>238</v>
      </c>
      <c r="D350" t="s">
        <v>239</v>
      </c>
      <c r="E350" t="s">
        <v>228</v>
      </c>
      <c r="F350">
        <v>1997</v>
      </c>
      <c r="G350">
        <v>1.39232E-2</v>
      </c>
      <c r="H350" t="s">
        <v>240</v>
      </c>
      <c r="I350" t="s">
        <v>241</v>
      </c>
      <c r="J350" t="s">
        <v>242</v>
      </c>
      <c r="K350" s="183">
        <f ca="1">VLOOKUP(F350,
    OFFSET(INDIRECT(ADDRESS(MATCH(J350,'Vehicle numbers'!$A$5:$A$162,0),1,1,1,$L$6)),4,1,COUNTIF('Vehicle numbers'!$A$5:$A$162,J350),4),
    MATCH(K$8,'Vehicle numbers'!$B$4:$D$4,0))*1000</f>
        <v>160721</v>
      </c>
      <c r="L350" s="183">
        <f ca="1">VLOOKUP(F350,
    OFFSET(INDIRECT(ADDRESS(MATCH(J350,'Vehicle numbers'!$A$5:$A$162,0),1,1,1,$L$6)),4,1,COUNTIF('Vehicle numbers'!$A$5:$A$162,J350),4),
    MATCH(L$8,'Vehicle numbers'!$B$4:$D$4,0))*1000</f>
        <v>166336.53329526386</v>
      </c>
      <c r="M350" s="184">
        <f>VLOOKUP(F350,'Annual distance covered (GB)'!$A$8:$H$33,MATCH(J350,'Annual distance covered (GB)'!$A$7:$H$7,0))</f>
        <v>5.2</v>
      </c>
      <c r="N350" s="2">
        <f t="shared" ca="1" si="24"/>
        <v>74930.292033762933</v>
      </c>
      <c r="O350" s="180">
        <f t="shared" ca="1" si="25"/>
        <v>0.45047405130630097</v>
      </c>
      <c r="P350" s="180"/>
      <c r="Q350" s="185"/>
      <c r="R350" s="180"/>
      <c r="S350" s="180"/>
      <c r="T350" s="180"/>
    </row>
    <row r="351" spans="1:20" x14ac:dyDescent="0.25">
      <c r="A351" t="s">
        <v>243</v>
      </c>
      <c r="B351" t="s">
        <v>237</v>
      </c>
      <c r="C351" t="s">
        <v>238</v>
      </c>
      <c r="D351" t="s">
        <v>239</v>
      </c>
      <c r="E351" t="s">
        <v>228</v>
      </c>
      <c r="F351">
        <v>1997</v>
      </c>
      <c r="G351">
        <v>9.7462399999999998E-3</v>
      </c>
      <c r="H351" t="s">
        <v>240</v>
      </c>
      <c r="I351" t="s">
        <v>241</v>
      </c>
      <c r="J351" t="s">
        <v>242</v>
      </c>
      <c r="K351" s="183">
        <f ca="1">VLOOKUP(F351,
    OFFSET(INDIRECT(ADDRESS(MATCH(J351,'Vehicle numbers'!$A$5:$A$162,0),1,1,1,$L$6)),4,1,COUNTIF('Vehicle numbers'!$A$5:$A$162,J351),4),
    MATCH(K$8,'Vehicle numbers'!$B$4:$D$4,0))*1000</f>
        <v>160721</v>
      </c>
      <c r="L351" s="183">
        <f ca="1">VLOOKUP(F351,
    OFFSET(INDIRECT(ADDRESS(MATCH(J351,'Vehicle numbers'!$A$5:$A$162,0),1,1,1,$L$6)),4,1,COUNTIF('Vehicle numbers'!$A$5:$A$162,J351),4),
    MATCH(L$8,'Vehicle numbers'!$B$4:$D$4,0))*1000</f>
        <v>166336.53329526386</v>
      </c>
      <c r="M351" s="184">
        <f>VLOOKUP(F351,'Annual distance covered (GB)'!$A$8:$H$33,MATCH(J351,'Annual distance covered (GB)'!$A$7:$H$7,0))</f>
        <v>5.2</v>
      </c>
      <c r="N351" s="2">
        <f t="shared" ca="1" si="24"/>
        <v>52451.204423634059</v>
      </c>
      <c r="O351" s="180">
        <f t="shared" ca="1" si="25"/>
        <v>0.31533183591441072</v>
      </c>
      <c r="P351" s="180"/>
      <c r="Q351" s="185"/>
      <c r="R351" s="180"/>
      <c r="S351" s="180"/>
      <c r="T351" s="180"/>
    </row>
    <row r="352" spans="1:20" x14ac:dyDescent="0.25">
      <c r="A352" t="s">
        <v>244</v>
      </c>
      <c r="B352" t="s">
        <v>237</v>
      </c>
      <c r="C352" t="s">
        <v>238</v>
      </c>
      <c r="D352" t="s">
        <v>239</v>
      </c>
      <c r="E352" t="s">
        <v>228</v>
      </c>
      <c r="F352">
        <v>1997</v>
      </c>
      <c r="G352">
        <v>1.3727098591549301E-3</v>
      </c>
      <c r="H352" t="s">
        <v>240</v>
      </c>
      <c r="I352" t="s">
        <v>241</v>
      </c>
      <c r="J352" t="s">
        <v>242</v>
      </c>
      <c r="K352" s="183">
        <f ca="1">VLOOKUP(F352,
    OFFSET(INDIRECT(ADDRESS(MATCH(J352,'Vehicle numbers'!$A$5:$A$162,0),1,1,1,$L$6)),4,1,COUNTIF('Vehicle numbers'!$A$5:$A$162,J352),4),
    MATCH(K$8,'Vehicle numbers'!$B$4:$D$4,0))*1000</f>
        <v>160721</v>
      </c>
      <c r="L352" s="183">
        <f ca="1">VLOOKUP(F352,
    OFFSET(INDIRECT(ADDRESS(MATCH(J352,'Vehicle numbers'!$A$5:$A$162,0),1,1,1,$L$6)),4,1,COUNTIF('Vehicle numbers'!$A$5:$A$162,J352),4),
    MATCH(L$8,'Vehicle numbers'!$B$4:$D$4,0))*1000</f>
        <v>166336.53329526386</v>
      </c>
      <c r="M352" s="184">
        <f>VLOOKUP(F352,'Annual distance covered (GB)'!$A$8:$H$33,MATCH(J352,'Annual distance covered (GB)'!$A$7:$H$7,0))</f>
        <v>5.2</v>
      </c>
      <c r="N352" s="2">
        <f t="shared" ca="1" si="24"/>
        <v>7387.4935807935317</v>
      </c>
      <c r="O352" s="180">
        <f t="shared" ca="1" si="25"/>
        <v>4.4412934635832513E-2</v>
      </c>
      <c r="P352" s="180"/>
      <c r="Q352" s="185"/>
      <c r="R352" s="180"/>
      <c r="S352" s="180"/>
      <c r="T352" s="180"/>
    </row>
    <row r="353" spans="1:20" x14ac:dyDescent="0.25">
      <c r="A353" t="s">
        <v>246</v>
      </c>
      <c r="B353" t="s">
        <v>237</v>
      </c>
      <c r="C353" t="s">
        <v>238</v>
      </c>
      <c r="D353" t="s">
        <v>239</v>
      </c>
      <c r="E353" t="s">
        <v>228</v>
      </c>
      <c r="F353">
        <v>1997</v>
      </c>
      <c r="G353">
        <v>1.09816788732394E-3</v>
      </c>
      <c r="H353" t="s">
        <v>240</v>
      </c>
      <c r="I353" t="s">
        <v>241</v>
      </c>
      <c r="J353" t="s">
        <v>242</v>
      </c>
      <c r="K353" s="183">
        <f ca="1">VLOOKUP(F353,
    OFFSET(INDIRECT(ADDRESS(MATCH(J353,'Vehicle numbers'!$A$5:$A$162,0),1,1,1,$L$6)),4,1,COUNTIF('Vehicle numbers'!$A$5:$A$162,J353),4),
    MATCH(K$8,'Vehicle numbers'!$B$4:$D$4,0))*1000</f>
        <v>160721</v>
      </c>
      <c r="L353" s="183">
        <f ca="1">VLOOKUP(F353,
    OFFSET(INDIRECT(ADDRESS(MATCH(J353,'Vehicle numbers'!$A$5:$A$162,0),1,1,1,$L$6)),4,1,COUNTIF('Vehicle numbers'!$A$5:$A$162,J353),4),
    MATCH(L$8,'Vehicle numbers'!$B$4:$D$4,0))*1000</f>
        <v>166336.53329526386</v>
      </c>
      <c r="M353" s="184">
        <f>VLOOKUP(F353,'Annual distance covered (GB)'!$A$8:$H$33,MATCH(J353,'Annual distance covered (GB)'!$A$7:$H$7,0))</f>
        <v>5.2</v>
      </c>
      <c r="N353" s="2">
        <f t="shared" ca="1" si="24"/>
        <v>5909.994864634803</v>
      </c>
      <c r="O353" s="180">
        <f t="shared" ca="1" si="25"/>
        <v>3.5530347708665873E-2</v>
      </c>
      <c r="P353" s="180"/>
      <c r="Q353" s="185"/>
      <c r="R353" s="180"/>
      <c r="S353" s="180"/>
      <c r="T353" s="180"/>
    </row>
    <row r="354" spans="1:20" x14ac:dyDescent="0.25">
      <c r="A354" t="s">
        <v>236</v>
      </c>
      <c r="B354" t="s">
        <v>237</v>
      </c>
      <c r="C354" t="s">
        <v>238</v>
      </c>
      <c r="D354" t="s">
        <v>248</v>
      </c>
      <c r="E354" t="s">
        <v>229</v>
      </c>
      <c r="F354">
        <v>1997</v>
      </c>
      <c r="G354">
        <v>2.71429999999999E-2</v>
      </c>
      <c r="H354" t="s">
        <v>240</v>
      </c>
      <c r="I354" t="s">
        <v>241</v>
      </c>
      <c r="J354" t="s">
        <v>242</v>
      </c>
      <c r="K354" s="183">
        <f ca="1">VLOOKUP(F354,
    OFFSET(INDIRECT(ADDRESS(MATCH(J354,'Vehicle numbers'!$A$5:$A$162,0),1,1,1,$L$6)),4,1,COUNTIF('Vehicle numbers'!$A$5:$A$162,J354),4),
    MATCH(K$8,'Vehicle numbers'!$B$4:$D$4,0))*1000</f>
        <v>160721</v>
      </c>
      <c r="L354" s="183">
        <f ca="1">VLOOKUP(F354,
    OFFSET(INDIRECT(ADDRESS(MATCH(J354,'Vehicle numbers'!$A$5:$A$162,0),1,1,1,$L$6)),4,1,COUNTIF('Vehicle numbers'!$A$5:$A$162,J354),4),
    MATCH(L$8,'Vehicle numbers'!$B$4:$D$4,0))*1000</f>
        <v>166336.53329526386</v>
      </c>
      <c r="M354" s="184">
        <f>VLOOKUP(F354,'Annual distance covered (GB)'!$A$8:$H$33,MATCH(J354,'Annual distance covered (GB)'!$A$7:$H$7,0))</f>
        <v>5.2</v>
      </c>
      <c r="N354" s="2">
        <f t="shared" ca="1" si="24"/>
        <v>146075.10605840755</v>
      </c>
      <c r="O354" s="180">
        <f t="shared" ca="1" si="25"/>
        <v>0.87819015561127356</v>
      </c>
      <c r="P354" s="180"/>
      <c r="Q354" s="185"/>
      <c r="R354" s="180"/>
      <c r="S354" s="180"/>
      <c r="T354" s="180"/>
    </row>
    <row r="355" spans="1:20" x14ac:dyDescent="0.25">
      <c r="A355" t="s">
        <v>243</v>
      </c>
      <c r="B355" t="s">
        <v>237</v>
      </c>
      <c r="C355" t="s">
        <v>238</v>
      </c>
      <c r="D355" t="s">
        <v>248</v>
      </c>
      <c r="E355" t="s">
        <v>229</v>
      </c>
      <c r="F355">
        <v>1997</v>
      </c>
      <c r="G355">
        <v>1.0857199999999999E-2</v>
      </c>
      <c r="H355" t="s">
        <v>240</v>
      </c>
      <c r="I355" t="s">
        <v>241</v>
      </c>
      <c r="J355" t="s">
        <v>242</v>
      </c>
      <c r="K355" s="183">
        <f ca="1">VLOOKUP(F355,
    OFFSET(INDIRECT(ADDRESS(MATCH(J355,'Vehicle numbers'!$A$5:$A$162,0),1,1,1,$L$6)),4,1,COUNTIF('Vehicle numbers'!$A$5:$A$162,J355),4),
    MATCH(K$8,'Vehicle numbers'!$B$4:$D$4,0))*1000</f>
        <v>160721</v>
      </c>
      <c r="L355" s="183">
        <f ca="1">VLOOKUP(F355,
    OFFSET(INDIRECT(ADDRESS(MATCH(J355,'Vehicle numbers'!$A$5:$A$162,0),1,1,1,$L$6)),4,1,COUNTIF('Vehicle numbers'!$A$5:$A$162,J355),4),
    MATCH(L$8,'Vehicle numbers'!$B$4:$D$4,0))*1000</f>
        <v>166336.53329526386</v>
      </c>
      <c r="M355" s="184">
        <f>VLOOKUP(F355,'Annual distance covered (GB)'!$A$8:$H$33,MATCH(J355,'Annual distance covered (GB)'!$A$7:$H$7,0))</f>
        <v>5.2</v>
      </c>
      <c r="N355" s="2">
        <f t="shared" ca="1" si="24"/>
        <v>58430.042423363229</v>
      </c>
      <c r="O355" s="180">
        <f t="shared" ca="1" si="25"/>
        <v>0.35127606224451069</v>
      </c>
      <c r="P355" s="180"/>
      <c r="Q355" s="185"/>
      <c r="R355" s="180"/>
      <c r="S355" s="180"/>
      <c r="T355" s="180"/>
    </row>
    <row r="356" spans="1:20" x14ac:dyDescent="0.25">
      <c r="A356" t="s">
        <v>244</v>
      </c>
      <c r="B356" t="s">
        <v>237</v>
      </c>
      <c r="C356" t="s">
        <v>238</v>
      </c>
      <c r="D356" t="s">
        <v>248</v>
      </c>
      <c r="E356" t="s">
        <v>229</v>
      </c>
      <c r="F356">
        <v>1997</v>
      </c>
      <c r="G356">
        <v>2.7142999999999998E-3</v>
      </c>
      <c r="H356" t="s">
        <v>240</v>
      </c>
      <c r="I356" t="s">
        <v>241</v>
      </c>
      <c r="J356" t="s">
        <v>242</v>
      </c>
      <c r="K356" s="183">
        <f ca="1">VLOOKUP(F356,
    OFFSET(INDIRECT(ADDRESS(MATCH(J356,'Vehicle numbers'!$A$5:$A$162,0),1,1,1,$L$6)),4,1,COUNTIF('Vehicle numbers'!$A$5:$A$162,J356),4),
    MATCH(K$8,'Vehicle numbers'!$B$4:$D$4,0))*1000</f>
        <v>160721</v>
      </c>
      <c r="L356" s="183">
        <f ca="1">VLOOKUP(F356,
    OFFSET(INDIRECT(ADDRESS(MATCH(J356,'Vehicle numbers'!$A$5:$A$162,0),1,1,1,$L$6)),4,1,COUNTIF('Vehicle numbers'!$A$5:$A$162,J356),4),
    MATCH(L$8,'Vehicle numbers'!$B$4:$D$4,0))*1000</f>
        <v>166336.53329526386</v>
      </c>
      <c r="M356" s="184">
        <f>VLOOKUP(F356,'Annual distance covered (GB)'!$A$8:$H$33,MATCH(J356,'Annual distance covered (GB)'!$A$7:$H$7,0))</f>
        <v>5.2</v>
      </c>
      <c r="N356" s="2">
        <f t="shared" ca="1" si="24"/>
        <v>14607.510605840807</v>
      </c>
      <c r="O356" s="180">
        <f t="shared" ca="1" si="25"/>
        <v>8.7819015561127672E-2</v>
      </c>
      <c r="P356" s="180"/>
      <c r="Q356" s="185"/>
      <c r="R356" s="180"/>
      <c r="S356" s="180"/>
      <c r="T356" s="180"/>
    </row>
    <row r="357" spans="1:20" x14ac:dyDescent="0.25">
      <c r="A357" t="s">
        <v>246</v>
      </c>
      <c r="B357" t="s">
        <v>237</v>
      </c>
      <c r="C357" t="s">
        <v>238</v>
      </c>
      <c r="D357" t="s">
        <v>248</v>
      </c>
      <c r="E357" t="s">
        <v>229</v>
      </c>
      <c r="F357">
        <v>1997</v>
      </c>
      <c r="G357">
        <v>2.1714400000000002E-3</v>
      </c>
      <c r="H357" t="s">
        <v>240</v>
      </c>
      <c r="I357" t="s">
        <v>241</v>
      </c>
      <c r="J357" t="s">
        <v>242</v>
      </c>
      <c r="K357" s="183">
        <f ca="1">VLOOKUP(F357,
    OFFSET(INDIRECT(ADDRESS(MATCH(J357,'Vehicle numbers'!$A$5:$A$162,0),1,1,1,$L$6)),4,1,COUNTIF('Vehicle numbers'!$A$5:$A$162,J357),4),
    MATCH(K$8,'Vehicle numbers'!$B$4:$D$4,0))*1000</f>
        <v>160721</v>
      </c>
      <c r="L357" s="183">
        <f ca="1">VLOOKUP(F357,
    OFFSET(INDIRECT(ADDRESS(MATCH(J357,'Vehicle numbers'!$A$5:$A$162,0),1,1,1,$L$6)),4,1,COUNTIF('Vehicle numbers'!$A$5:$A$162,J357),4),
    MATCH(L$8,'Vehicle numbers'!$B$4:$D$4,0))*1000</f>
        <v>166336.53329526386</v>
      </c>
      <c r="M357" s="184">
        <f>VLOOKUP(F357,'Annual distance covered (GB)'!$A$8:$H$33,MATCH(J357,'Annual distance covered (GB)'!$A$7:$H$7,0))</f>
        <v>5.2</v>
      </c>
      <c r="N357" s="2">
        <f t="shared" ca="1" si="24"/>
        <v>11686.008484672648</v>
      </c>
      <c r="O357" s="180">
        <f t="shared" ca="1" si="25"/>
        <v>7.0255212448902149E-2</v>
      </c>
      <c r="P357" s="180"/>
      <c r="Q357" s="185"/>
      <c r="R357" s="180"/>
      <c r="S357" s="180"/>
      <c r="T357" s="180"/>
    </row>
    <row r="358" spans="1:20" x14ac:dyDescent="0.25">
      <c r="A358" t="s">
        <v>236</v>
      </c>
      <c r="B358" t="s">
        <v>237</v>
      </c>
      <c r="C358" t="s">
        <v>238</v>
      </c>
      <c r="D358" t="s">
        <v>248</v>
      </c>
      <c r="E358" t="s">
        <v>228</v>
      </c>
      <c r="F358">
        <v>1997</v>
      </c>
      <c r="G358">
        <v>1.69552075111827E-2</v>
      </c>
      <c r="H358" t="s">
        <v>240</v>
      </c>
      <c r="I358" t="s">
        <v>241</v>
      </c>
      <c r="J358" t="s">
        <v>242</v>
      </c>
      <c r="K358" s="183">
        <f ca="1">VLOOKUP(F358,
    OFFSET(INDIRECT(ADDRESS(MATCH(J358,'Vehicle numbers'!$A$5:$A$162,0),1,1,1,$L$6)),4,1,COUNTIF('Vehicle numbers'!$A$5:$A$162,J358),4),
    MATCH(K$8,'Vehicle numbers'!$B$4:$D$4,0))*1000</f>
        <v>160721</v>
      </c>
      <c r="L358" s="183">
        <f ca="1">VLOOKUP(F358,
    OFFSET(INDIRECT(ADDRESS(MATCH(J358,'Vehicle numbers'!$A$5:$A$162,0),1,1,1,$L$6)),4,1,COUNTIF('Vehicle numbers'!$A$5:$A$162,J358),4),
    MATCH(L$8,'Vehicle numbers'!$B$4:$D$4,0))*1000</f>
        <v>166336.53329526386</v>
      </c>
      <c r="M358" s="184">
        <f>VLOOKUP(F358,'Annual distance covered (GB)'!$A$8:$H$33,MATCH(J358,'Annual distance covered (GB)'!$A$7:$H$7,0))</f>
        <v>5.2</v>
      </c>
      <c r="N358" s="2">
        <f t="shared" ca="1" si="24"/>
        <v>91247.60473928196</v>
      </c>
      <c r="O358" s="180">
        <f t="shared" ca="1" si="25"/>
        <v>0.54857224045488795</v>
      </c>
      <c r="P358" s="180"/>
      <c r="Q358" s="185"/>
      <c r="R358" s="180"/>
      <c r="S358" s="180"/>
      <c r="T358" s="180"/>
    </row>
    <row r="359" spans="1:20" x14ac:dyDescent="0.25">
      <c r="A359" t="s">
        <v>243</v>
      </c>
      <c r="B359" t="s">
        <v>237</v>
      </c>
      <c r="C359" t="s">
        <v>238</v>
      </c>
      <c r="D359" t="s">
        <v>248</v>
      </c>
      <c r="E359" t="s">
        <v>228</v>
      </c>
      <c r="F359">
        <v>1997</v>
      </c>
      <c r="G359">
        <v>1.18686452578279E-2</v>
      </c>
      <c r="H359" t="s">
        <v>240</v>
      </c>
      <c r="I359" t="s">
        <v>241</v>
      </c>
      <c r="J359" t="s">
        <v>242</v>
      </c>
      <c r="K359" s="183">
        <f ca="1">VLOOKUP(F359,
    OFFSET(INDIRECT(ADDRESS(MATCH(J359,'Vehicle numbers'!$A$5:$A$162,0),1,1,1,$L$6)),4,1,COUNTIF('Vehicle numbers'!$A$5:$A$162,J359),4),
    MATCH(K$8,'Vehicle numbers'!$B$4:$D$4,0))*1000</f>
        <v>160721</v>
      </c>
      <c r="L359" s="183">
        <f ca="1">VLOOKUP(F359,
    OFFSET(INDIRECT(ADDRESS(MATCH(J359,'Vehicle numbers'!$A$5:$A$162,0),1,1,1,$L$6)),4,1,COUNTIF('Vehicle numbers'!$A$5:$A$162,J359),4),
    MATCH(L$8,'Vehicle numbers'!$B$4:$D$4,0))*1000</f>
        <v>166336.53329526386</v>
      </c>
      <c r="M359" s="184">
        <f>VLOOKUP(F359,'Annual distance covered (GB)'!$A$8:$H$33,MATCH(J359,'Annual distance covered (GB)'!$A$7:$H$7,0))</f>
        <v>5.2</v>
      </c>
      <c r="N359" s="2">
        <f t="shared" ca="1" si="24"/>
        <v>63873.32331749743</v>
      </c>
      <c r="O359" s="180">
        <f t="shared" ca="1" si="25"/>
        <v>0.38400056831842194</v>
      </c>
      <c r="P359" s="180"/>
      <c r="Q359" s="185"/>
      <c r="R359" s="180"/>
      <c r="S359" s="180"/>
      <c r="T359" s="180"/>
    </row>
    <row r="360" spans="1:20" x14ac:dyDescent="0.25">
      <c r="A360" t="s">
        <v>244</v>
      </c>
      <c r="B360" t="s">
        <v>237</v>
      </c>
      <c r="C360" t="s">
        <v>238</v>
      </c>
      <c r="D360" t="s">
        <v>248</v>
      </c>
      <c r="E360" t="s">
        <v>228</v>
      </c>
      <c r="F360">
        <v>1997</v>
      </c>
      <c r="G360">
        <v>1.6716401771588599E-3</v>
      </c>
      <c r="H360" t="s">
        <v>240</v>
      </c>
      <c r="I360" t="s">
        <v>241</v>
      </c>
      <c r="J360" t="s">
        <v>242</v>
      </c>
      <c r="K360" s="183">
        <f ca="1">VLOOKUP(F360,
    OFFSET(INDIRECT(ADDRESS(MATCH(J360,'Vehicle numbers'!$A$5:$A$162,0),1,1,1,$L$6)),4,1,COUNTIF('Vehicle numbers'!$A$5:$A$162,J360),4),
    MATCH(K$8,'Vehicle numbers'!$B$4:$D$4,0))*1000</f>
        <v>160721</v>
      </c>
      <c r="L360" s="183">
        <f ca="1">VLOOKUP(F360,
    OFFSET(INDIRECT(ADDRESS(MATCH(J360,'Vehicle numbers'!$A$5:$A$162,0),1,1,1,$L$6)),4,1,COUNTIF('Vehicle numbers'!$A$5:$A$162,J360),4),
    MATCH(L$8,'Vehicle numbers'!$B$4:$D$4,0))*1000</f>
        <v>166336.53329526386</v>
      </c>
      <c r="M360" s="184">
        <f>VLOOKUP(F360,'Annual distance covered (GB)'!$A$8:$H$33,MATCH(J360,'Annual distance covered (GB)'!$A$7:$H$7,0))</f>
        <v>5.2</v>
      </c>
      <c r="N360" s="2">
        <f t="shared" ca="1" si="24"/>
        <v>8996.2427207742894</v>
      </c>
      <c r="O360" s="180">
        <f t="shared" ca="1" si="25"/>
        <v>5.4084587087101697E-2</v>
      </c>
      <c r="P360" s="180"/>
      <c r="Q360" s="185"/>
      <c r="R360" s="180"/>
      <c r="S360" s="180"/>
      <c r="T360" s="180"/>
    </row>
    <row r="361" spans="1:20" x14ac:dyDescent="0.25">
      <c r="A361" t="s">
        <v>246</v>
      </c>
      <c r="B361" t="s">
        <v>237</v>
      </c>
      <c r="C361" t="s">
        <v>238</v>
      </c>
      <c r="D361" t="s">
        <v>248</v>
      </c>
      <c r="E361" t="s">
        <v>228</v>
      </c>
      <c r="F361">
        <v>1997</v>
      </c>
      <c r="G361">
        <v>1.3373121417270899E-3</v>
      </c>
      <c r="H361" t="s">
        <v>240</v>
      </c>
      <c r="I361" t="s">
        <v>241</v>
      </c>
      <c r="J361" t="s">
        <v>242</v>
      </c>
      <c r="K361" s="183">
        <f ca="1">VLOOKUP(F361,
    OFFSET(INDIRECT(ADDRESS(MATCH(J361,'Vehicle numbers'!$A$5:$A$162,0),1,1,1,$L$6)),4,1,COUNTIF('Vehicle numbers'!$A$5:$A$162,J361),4),
    MATCH(K$8,'Vehicle numbers'!$B$4:$D$4,0))*1000</f>
        <v>160721</v>
      </c>
      <c r="L361" s="183">
        <f ca="1">VLOOKUP(F361,
    OFFSET(INDIRECT(ADDRESS(MATCH(J361,'Vehicle numbers'!$A$5:$A$162,0),1,1,1,$L$6)),4,1,COUNTIF('Vehicle numbers'!$A$5:$A$162,J361),4),
    MATCH(L$8,'Vehicle numbers'!$B$4:$D$4,0))*1000</f>
        <v>166336.53329526386</v>
      </c>
      <c r="M361" s="184">
        <f>VLOOKUP(F361,'Annual distance covered (GB)'!$A$8:$H$33,MATCH(J361,'Annual distance covered (GB)'!$A$7:$H$7,0))</f>
        <v>5.2</v>
      </c>
      <c r="N361" s="2">
        <f t="shared" ca="1" si="24"/>
        <v>7196.9941766194424</v>
      </c>
      <c r="O361" s="180">
        <f t="shared" ca="1" si="25"/>
        <v>4.3267669669681423E-2</v>
      </c>
      <c r="P361" s="180"/>
      <c r="Q361" s="185"/>
      <c r="R361" s="180"/>
      <c r="S361" s="180"/>
      <c r="T361" s="180"/>
    </row>
    <row r="362" spans="1:20" x14ac:dyDescent="0.25">
      <c r="A362" t="s">
        <v>236</v>
      </c>
      <c r="B362" t="s">
        <v>237</v>
      </c>
      <c r="C362" t="s">
        <v>238</v>
      </c>
      <c r="D362" t="s">
        <v>249</v>
      </c>
      <c r="E362" t="s">
        <v>229</v>
      </c>
      <c r="F362">
        <v>1997</v>
      </c>
      <c r="G362">
        <v>5.3595000000000101E-2</v>
      </c>
      <c r="H362" t="s">
        <v>240</v>
      </c>
      <c r="I362" t="s">
        <v>241</v>
      </c>
      <c r="J362" t="s">
        <v>242</v>
      </c>
      <c r="K362" s="183">
        <f ca="1">VLOOKUP(F362,
    OFFSET(INDIRECT(ADDRESS(MATCH(J362,'Vehicle numbers'!$A$5:$A$162,0),1,1,1,$L$6)),4,1,COUNTIF('Vehicle numbers'!$A$5:$A$162,J362),4),
    MATCH(K$8,'Vehicle numbers'!$B$4:$D$4,0))*1000</f>
        <v>160721</v>
      </c>
      <c r="L362" s="183">
        <f ca="1">VLOOKUP(F362,
    OFFSET(INDIRECT(ADDRESS(MATCH(J362,'Vehicle numbers'!$A$5:$A$162,0),1,1,1,$L$6)),4,1,COUNTIF('Vehicle numbers'!$A$5:$A$162,J362),4),
    MATCH(L$8,'Vehicle numbers'!$B$4:$D$4,0))*1000</f>
        <v>166336.53329526386</v>
      </c>
      <c r="M362" s="184">
        <f>VLOOKUP(F362,'Annual distance covered (GB)'!$A$8:$H$33,MATCH(J362,'Annual distance covered (GB)'!$A$7:$H$7,0))</f>
        <v>5.2</v>
      </c>
      <c r="N362" s="2">
        <f t="shared" ca="1" si="24"/>
        <v>288431.46701545134</v>
      </c>
      <c r="O362" s="180">
        <f t="shared" ca="1" si="25"/>
        <v>1.7340235563492048</v>
      </c>
      <c r="P362" s="180"/>
      <c r="Q362" s="185"/>
      <c r="R362" s="180"/>
      <c r="S362" s="180"/>
      <c r="T362" s="180"/>
    </row>
    <row r="363" spans="1:20" x14ac:dyDescent="0.25">
      <c r="A363" t="s">
        <v>243</v>
      </c>
      <c r="B363" t="s">
        <v>237</v>
      </c>
      <c r="C363" t="s">
        <v>238</v>
      </c>
      <c r="D363" t="s">
        <v>249</v>
      </c>
      <c r="E363" t="s">
        <v>229</v>
      </c>
      <c r="F363">
        <v>1997</v>
      </c>
      <c r="G363">
        <v>2.1437999999999999E-2</v>
      </c>
      <c r="H363" t="s">
        <v>240</v>
      </c>
      <c r="I363" t="s">
        <v>241</v>
      </c>
      <c r="J363" t="s">
        <v>242</v>
      </c>
      <c r="K363" s="183">
        <f ca="1">VLOOKUP(F363,
    OFFSET(INDIRECT(ADDRESS(MATCH(J363,'Vehicle numbers'!$A$5:$A$162,0),1,1,1,$L$6)),4,1,COUNTIF('Vehicle numbers'!$A$5:$A$162,J363),4),
    MATCH(K$8,'Vehicle numbers'!$B$4:$D$4,0))*1000</f>
        <v>160721</v>
      </c>
      <c r="L363" s="183">
        <f ca="1">VLOOKUP(F363,
    OFFSET(INDIRECT(ADDRESS(MATCH(J363,'Vehicle numbers'!$A$5:$A$162,0),1,1,1,$L$6)),4,1,COUNTIF('Vehicle numbers'!$A$5:$A$162,J363),4),
    MATCH(L$8,'Vehicle numbers'!$B$4:$D$4,0))*1000</f>
        <v>166336.53329526386</v>
      </c>
      <c r="M363" s="184">
        <f>VLOOKUP(F363,'Annual distance covered (GB)'!$A$8:$H$33,MATCH(J363,'Annual distance covered (GB)'!$A$7:$H$7,0))</f>
        <v>5.2</v>
      </c>
      <c r="N363" s="2">
        <f t="shared" ca="1" si="24"/>
        <v>115372.5868061803</v>
      </c>
      <c r="O363" s="180">
        <f t="shared" ca="1" si="25"/>
        <v>0.6936094225396805</v>
      </c>
      <c r="P363" s="180"/>
      <c r="Q363" s="185"/>
      <c r="R363" s="180"/>
      <c r="S363" s="180"/>
      <c r="T363" s="180"/>
    </row>
    <row r="364" spans="1:20" x14ac:dyDescent="0.25">
      <c r="A364" t="s">
        <v>244</v>
      </c>
      <c r="B364" t="s">
        <v>237</v>
      </c>
      <c r="C364" t="s">
        <v>238</v>
      </c>
      <c r="D364" t="s">
        <v>249</v>
      </c>
      <c r="E364" t="s">
        <v>229</v>
      </c>
      <c r="F364">
        <v>1997</v>
      </c>
      <c r="G364">
        <v>5.3594999999999997E-3</v>
      </c>
      <c r="H364" t="s">
        <v>240</v>
      </c>
      <c r="I364" t="s">
        <v>241</v>
      </c>
      <c r="J364" t="s">
        <v>242</v>
      </c>
      <c r="K364" s="183">
        <f ca="1">VLOOKUP(F364,
    OFFSET(INDIRECT(ADDRESS(MATCH(J364,'Vehicle numbers'!$A$5:$A$162,0),1,1,1,$L$6)),4,1,COUNTIF('Vehicle numbers'!$A$5:$A$162,J364),4),
    MATCH(K$8,'Vehicle numbers'!$B$4:$D$4,0))*1000</f>
        <v>160721</v>
      </c>
      <c r="L364" s="183">
        <f ca="1">VLOOKUP(F364,
    OFFSET(INDIRECT(ADDRESS(MATCH(J364,'Vehicle numbers'!$A$5:$A$162,0),1,1,1,$L$6)),4,1,COUNTIF('Vehicle numbers'!$A$5:$A$162,J364),4),
    MATCH(L$8,'Vehicle numbers'!$B$4:$D$4,0))*1000</f>
        <v>166336.53329526386</v>
      </c>
      <c r="M364" s="184">
        <f>VLOOKUP(F364,'Annual distance covered (GB)'!$A$8:$H$33,MATCH(J364,'Annual distance covered (GB)'!$A$7:$H$7,0))</f>
        <v>5.2</v>
      </c>
      <c r="N364" s="2">
        <f t="shared" ca="1" si="24"/>
        <v>28843.146701545076</v>
      </c>
      <c r="O364" s="180">
        <f t="shared" ca="1" si="25"/>
        <v>0.17340235563492012</v>
      </c>
      <c r="P364" s="180"/>
      <c r="Q364" s="185"/>
      <c r="R364" s="180"/>
      <c r="S364" s="180"/>
      <c r="T364" s="180"/>
    </row>
    <row r="365" spans="1:20" x14ac:dyDescent="0.25">
      <c r="A365" t="s">
        <v>246</v>
      </c>
      <c r="B365" t="s">
        <v>237</v>
      </c>
      <c r="C365" t="s">
        <v>238</v>
      </c>
      <c r="D365" t="s">
        <v>249</v>
      </c>
      <c r="E365" t="s">
        <v>229</v>
      </c>
      <c r="F365">
        <v>1997</v>
      </c>
      <c r="G365">
        <v>4.2875999999999999E-3</v>
      </c>
      <c r="H365" t="s">
        <v>240</v>
      </c>
      <c r="I365" t="s">
        <v>241</v>
      </c>
      <c r="J365" t="s">
        <v>242</v>
      </c>
      <c r="K365" s="183">
        <f ca="1">VLOOKUP(F365,
    OFFSET(INDIRECT(ADDRESS(MATCH(J365,'Vehicle numbers'!$A$5:$A$162,0),1,1,1,$L$6)),4,1,COUNTIF('Vehicle numbers'!$A$5:$A$162,J365),4),
    MATCH(K$8,'Vehicle numbers'!$B$4:$D$4,0))*1000</f>
        <v>160721</v>
      </c>
      <c r="L365" s="183">
        <f ca="1">VLOOKUP(F365,
    OFFSET(INDIRECT(ADDRESS(MATCH(J365,'Vehicle numbers'!$A$5:$A$162,0),1,1,1,$L$6)),4,1,COUNTIF('Vehicle numbers'!$A$5:$A$162,J365),4),
    MATCH(L$8,'Vehicle numbers'!$B$4:$D$4,0))*1000</f>
        <v>166336.53329526386</v>
      </c>
      <c r="M365" s="184">
        <f>VLOOKUP(F365,'Annual distance covered (GB)'!$A$8:$H$33,MATCH(J365,'Annual distance covered (GB)'!$A$7:$H$7,0))</f>
        <v>5.2</v>
      </c>
      <c r="N365" s="2">
        <f t="shared" ca="1" si="24"/>
        <v>23074.517361236063</v>
      </c>
      <c r="O365" s="180">
        <f t="shared" ca="1" si="25"/>
        <v>0.13872188450793613</v>
      </c>
      <c r="P365" s="180"/>
      <c r="Q365" s="185"/>
      <c r="R365" s="180"/>
      <c r="S365" s="180"/>
      <c r="T365" s="180"/>
    </row>
    <row r="366" spans="1:20" x14ac:dyDescent="0.25">
      <c r="A366" t="s">
        <v>236</v>
      </c>
      <c r="B366" t="s">
        <v>237</v>
      </c>
      <c r="C366" t="s">
        <v>238</v>
      </c>
      <c r="D366" t="s">
        <v>249</v>
      </c>
      <c r="E366" t="s">
        <v>228</v>
      </c>
      <c r="F366">
        <v>1997</v>
      </c>
      <c r="G366">
        <v>2.1562200648721899E-2</v>
      </c>
      <c r="H366" t="s">
        <v>240</v>
      </c>
      <c r="I366" t="s">
        <v>241</v>
      </c>
      <c r="J366" t="s">
        <v>242</v>
      </c>
      <c r="K366" s="183">
        <f ca="1">VLOOKUP(F366,
    OFFSET(INDIRECT(ADDRESS(MATCH(J366,'Vehicle numbers'!$A$5:$A$162,0),1,1,1,$L$6)),4,1,COUNTIF('Vehicle numbers'!$A$5:$A$162,J366),4),
    MATCH(K$8,'Vehicle numbers'!$B$4:$D$4,0))*1000</f>
        <v>160721</v>
      </c>
      <c r="L366" s="183">
        <f ca="1">VLOOKUP(F366,
    OFFSET(INDIRECT(ADDRESS(MATCH(J366,'Vehicle numbers'!$A$5:$A$162,0),1,1,1,$L$6)),4,1,COUNTIF('Vehicle numbers'!$A$5:$A$162,J366),4),
    MATCH(L$8,'Vehicle numbers'!$B$4:$D$4,0))*1000</f>
        <v>166336.53329526386</v>
      </c>
      <c r="M366" s="184">
        <f>VLOOKUP(F366,'Annual distance covered (GB)'!$A$8:$H$33,MATCH(J366,'Annual distance covered (GB)'!$A$7:$H$7,0))</f>
        <v>5.2</v>
      </c>
      <c r="N366" s="2">
        <f t="shared" ca="1" si="24"/>
        <v>116040.99571214408</v>
      </c>
      <c r="O366" s="180">
        <f t="shared" ca="1" si="25"/>
        <v>0.69762783564906816</v>
      </c>
      <c r="P366" s="180"/>
      <c r="Q366" s="185"/>
      <c r="R366" s="180"/>
      <c r="S366" s="180"/>
      <c r="T366" s="180"/>
    </row>
    <row r="367" spans="1:20" x14ac:dyDescent="0.25">
      <c r="A367" t="s">
        <v>243</v>
      </c>
      <c r="B367" t="s">
        <v>237</v>
      </c>
      <c r="C367" t="s">
        <v>238</v>
      </c>
      <c r="D367" t="s">
        <v>249</v>
      </c>
      <c r="E367" t="s">
        <v>228</v>
      </c>
      <c r="F367">
        <v>1997</v>
      </c>
      <c r="G367">
        <v>1.5093540454105299E-2</v>
      </c>
      <c r="H367" t="s">
        <v>240</v>
      </c>
      <c r="I367" t="s">
        <v>241</v>
      </c>
      <c r="J367" t="s">
        <v>242</v>
      </c>
      <c r="K367" s="183">
        <f ca="1">VLOOKUP(F367,
    OFFSET(INDIRECT(ADDRESS(MATCH(J367,'Vehicle numbers'!$A$5:$A$162,0),1,1,1,$L$6)),4,1,COUNTIF('Vehicle numbers'!$A$5:$A$162,J367),4),
    MATCH(K$8,'Vehicle numbers'!$B$4:$D$4,0))*1000</f>
        <v>160721</v>
      </c>
      <c r="L367" s="183">
        <f ca="1">VLOOKUP(F367,
    OFFSET(INDIRECT(ADDRESS(MATCH(J367,'Vehicle numbers'!$A$5:$A$162,0),1,1,1,$L$6)),4,1,COUNTIF('Vehicle numbers'!$A$5:$A$162,J367),4),
    MATCH(L$8,'Vehicle numbers'!$B$4:$D$4,0))*1000</f>
        <v>166336.53329526386</v>
      </c>
      <c r="M367" s="184">
        <f>VLOOKUP(F367,'Annual distance covered (GB)'!$A$8:$H$33,MATCH(J367,'Annual distance covered (GB)'!$A$7:$H$7,0))</f>
        <v>5.2</v>
      </c>
      <c r="N367" s="2">
        <f t="shared" ca="1" si="24"/>
        <v>81228.696998500702</v>
      </c>
      <c r="O367" s="180">
        <f t="shared" ca="1" si="25"/>
        <v>0.48833948495434676</v>
      </c>
      <c r="P367" s="180"/>
      <c r="Q367" s="185"/>
      <c r="R367" s="180"/>
      <c r="S367" s="180"/>
      <c r="T367" s="180"/>
    </row>
    <row r="368" spans="1:20" x14ac:dyDescent="0.25">
      <c r="A368" t="s">
        <v>244</v>
      </c>
      <c r="B368" t="s">
        <v>237</v>
      </c>
      <c r="C368" t="s">
        <v>238</v>
      </c>
      <c r="D368" t="s">
        <v>249</v>
      </c>
      <c r="E368" t="s">
        <v>228</v>
      </c>
      <c r="F368">
        <v>1997</v>
      </c>
      <c r="G368">
        <v>2.1258507681838402E-3</v>
      </c>
      <c r="H368" t="s">
        <v>240</v>
      </c>
      <c r="I368" t="s">
        <v>241</v>
      </c>
      <c r="J368" t="s">
        <v>242</v>
      </c>
      <c r="K368" s="183">
        <f ca="1">VLOOKUP(F368,
    OFFSET(INDIRECT(ADDRESS(MATCH(J368,'Vehicle numbers'!$A$5:$A$162,0),1,1,1,$L$6)),4,1,COUNTIF('Vehicle numbers'!$A$5:$A$162,J368),4),
    MATCH(K$8,'Vehicle numbers'!$B$4:$D$4,0))*1000</f>
        <v>160721</v>
      </c>
      <c r="L368" s="183">
        <f ca="1">VLOOKUP(F368,
    OFFSET(INDIRECT(ADDRESS(MATCH(J368,'Vehicle numbers'!$A$5:$A$162,0),1,1,1,$L$6)),4,1,COUNTIF('Vehicle numbers'!$A$5:$A$162,J368),4),
    MATCH(L$8,'Vehicle numbers'!$B$4:$D$4,0))*1000</f>
        <v>166336.53329526386</v>
      </c>
      <c r="M368" s="184">
        <f>VLOOKUP(F368,'Annual distance covered (GB)'!$A$8:$H$33,MATCH(J368,'Annual distance covered (GB)'!$A$7:$H$7,0))</f>
        <v>5.2</v>
      </c>
      <c r="N368" s="2">
        <f t="shared" ca="1" si="24"/>
        <v>11440.66154908458</v>
      </c>
      <c r="O368" s="180">
        <f t="shared" ca="1" si="25"/>
        <v>6.8780209148499388E-2</v>
      </c>
      <c r="P368" s="180"/>
      <c r="Q368" s="185"/>
      <c r="R368" s="180"/>
      <c r="S368" s="180"/>
      <c r="T368" s="180"/>
    </row>
    <row r="369" spans="1:20" x14ac:dyDescent="0.25">
      <c r="A369" t="s">
        <v>246</v>
      </c>
      <c r="B369" t="s">
        <v>237</v>
      </c>
      <c r="C369" t="s">
        <v>238</v>
      </c>
      <c r="D369" t="s">
        <v>249</v>
      </c>
      <c r="E369" t="s">
        <v>228</v>
      </c>
      <c r="F369">
        <v>1997</v>
      </c>
      <c r="G369">
        <v>1.7006806145470699E-3</v>
      </c>
      <c r="H369" t="s">
        <v>240</v>
      </c>
      <c r="I369" t="s">
        <v>241</v>
      </c>
      <c r="J369" t="s">
        <v>242</v>
      </c>
      <c r="K369" s="183">
        <f ca="1">VLOOKUP(F369,
    OFFSET(INDIRECT(ADDRESS(MATCH(J369,'Vehicle numbers'!$A$5:$A$162,0),1,1,1,$L$6)),4,1,COUNTIF('Vehicle numbers'!$A$5:$A$162,J369),4),
    MATCH(K$8,'Vehicle numbers'!$B$4:$D$4,0))*1000</f>
        <v>160721</v>
      </c>
      <c r="L369" s="183">
        <f ca="1">VLOOKUP(F369,
    OFFSET(INDIRECT(ADDRESS(MATCH(J369,'Vehicle numbers'!$A$5:$A$162,0),1,1,1,$L$6)),4,1,COUNTIF('Vehicle numbers'!$A$5:$A$162,J369),4),
    MATCH(L$8,'Vehicle numbers'!$B$4:$D$4,0))*1000</f>
        <v>166336.53329526386</v>
      </c>
      <c r="M369" s="184">
        <f>VLOOKUP(F369,'Annual distance covered (GB)'!$A$8:$H$33,MATCH(J369,'Annual distance covered (GB)'!$A$7:$H$7,0))</f>
        <v>5.2</v>
      </c>
      <c r="N369" s="2">
        <f t="shared" ca="1" si="24"/>
        <v>9152.5292392676511</v>
      </c>
      <c r="O369" s="180">
        <f t="shared" ca="1" si="25"/>
        <v>5.502416731879943E-2</v>
      </c>
      <c r="P369" s="180"/>
      <c r="Q369" s="185"/>
      <c r="R369" s="180"/>
      <c r="S369" s="180"/>
      <c r="T369" s="180"/>
    </row>
    <row r="370" spans="1:20" x14ac:dyDescent="0.25">
      <c r="A370" t="s">
        <v>236</v>
      </c>
      <c r="B370" t="s">
        <v>237</v>
      </c>
      <c r="C370" t="s">
        <v>238</v>
      </c>
      <c r="D370" t="s">
        <v>250</v>
      </c>
      <c r="E370" t="s">
        <v>229</v>
      </c>
      <c r="F370">
        <v>1997</v>
      </c>
      <c r="G370">
        <v>1.3600000000000001E-3</v>
      </c>
      <c r="H370" t="s">
        <v>240</v>
      </c>
      <c r="I370" t="s">
        <v>241</v>
      </c>
      <c r="J370" t="s">
        <v>2</v>
      </c>
      <c r="K370" s="183">
        <f ca="1">VLOOKUP(F370,
    OFFSET(INDIRECT(ADDRESS(MATCH(J370,'Vehicle numbers'!$A$5:$A$162,0),1,1,1,$L$6)),4,1,COUNTIF('Vehicle numbers'!$A$5:$A$162,J370),4),
    MATCH(K$8,'Vehicle numbers'!$B$4:$D$4,0))*1000</f>
        <v>22831698</v>
      </c>
      <c r="L370" s="183">
        <f ca="1">VLOOKUP(F370,
    OFFSET(INDIRECT(ADDRESS(MATCH(J370,'Vehicle numbers'!$A$5:$A$162,0),1,1,1,$L$6)),4,1,COUNTIF('Vehicle numbers'!$A$5:$A$162,J370),4),
    MATCH(L$8,'Vehicle numbers'!$B$4:$D$4,0))*1000</f>
        <v>23533373.126182534</v>
      </c>
      <c r="M370" s="184">
        <f>VLOOKUP(F370,'Annual distance covered (GB)'!$A$8:$H$33,MATCH(J370,'Annual distance covered (GB)'!$A$7:$H$7,0))</f>
        <v>365.8</v>
      </c>
      <c r="N370" s="2">
        <f t="shared" ca="1" si="24"/>
        <v>512777.04924961331</v>
      </c>
      <c r="O370" s="180">
        <f t="shared" ca="1" si="25"/>
        <v>2.1789356183670616E-2</v>
      </c>
      <c r="P370" s="180"/>
      <c r="Q370" s="185"/>
      <c r="R370" s="180"/>
      <c r="S370" s="180"/>
      <c r="T370" s="180"/>
    </row>
    <row r="371" spans="1:20" x14ac:dyDescent="0.25">
      <c r="A371" t="s">
        <v>243</v>
      </c>
      <c r="B371" t="s">
        <v>237</v>
      </c>
      <c r="C371" t="s">
        <v>238</v>
      </c>
      <c r="D371" t="s">
        <v>250</v>
      </c>
      <c r="E371" t="s">
        <v>229</v>
      </c>
      <c r="F371">
        <v>1997</v>
      </c>
      <c r="G371">
        <v>5.44E-4</v>
      </c>
      <c r="H371" t="s">
        <v>240</v>
      </c>
      <c r="I371" t="s">
        <v>241</v>
      </c>
      <c r="J371" t="s">
        <v>2</v>
      </c>
      <c r="K371" s="183">
        <f ca="1">VLOOKUP(F371,
    OFFSET(INDIRECT(ADDRESS(MATCH(J371,'Vehicle numbers'!$A$5:$A$162,0),1,1,1,$L$6)),4,1,COUNTIF('Vehicle numbers'!$A$5:$A$162,J371),4),
    MATCH(K$8,'Vehicle numbers'!$B$4:$D$4,0))*1000</f>
        <v>22831698</v>
      </c>
      <c r="L371" s="183">
        <f ca="1">VLOOKUP(F371,
    OFFSET(INDIRECT(ADDRESS(MATCH(J371,'Vehicle numbers'!$A$5:$A$162,0),1,1,1,$L$6)),4,1,COUNTIF('Vehicle numbers'!$A$5:$A$162,J371),4),
    MATCH(L$8,'Vehicle numbers'!$B$4:$D$4,0))*1000</f>
        <v>23533373.126182534</v>
      </c>
      <c r="M371" s="184">
        <f>VLOOKUP(F371,'Annual distance covered (GB)'!$A$8:$H$33,MATCH(J371,'Annual distance covered (GB)'!$A$7:$H$7,0))</f>
        <v>365.8</v>
      </c>
      <c r="N371" s="2">
        <f t="shared" ca="1" si="24"/>
        <v>205110.81969984531</v>
      </c>
      <c r="O371" s="180">
        <f t="shared" ca="1" si="25"/>
        <v>8.7157424734682458E-3</v>
      </c>
      <c r="P371" s="180"/>
      <c r="Q371" s="185"/>
      <c r="R371" s="180"/>
      <c r="S371" s="180"/>
      <c r="T371" s="180"/>
    </row>
    <row r="372" spans="1:20" x14ac:dyDescent="0.25">
      <c r="A372" t="s">
        <v>244</v>
      </c>
      <c r="B372" t="s">
        <v>237</v>
      </c>
      <c r="C372" t="s">
        <v>238</v>
      </c>
      <c r="D372" t="s">
        <v>250</v>
      </c>
      <c r="E372" t="s">
        <v>229</v>
      </c>
      <c r="F372">
        <v>1997</v>
      </c>
      <c r="G372">
        <v>1.36E-4</v>
      </c>
      <c r="H372" t="s">
        <v>240</v>
      </c>
      <c r="I372" t="s">
        <v>241</v>
      </c>
      <c r="J372" t="s">
        <v>2</v>
      </c>
      <c r="K372" s="183">
        <f ca="1">VLOOKUP(F372,
    OFFSET(INDIRECT(ADDRESS(MATCH(J372,'Vehicle numbers'!$A$5:$A$162,0),1,1,1,$L$6)),4,1,COUNTIF('Vehicle numbers'!$A$5:$A$162,J372),4),
    MATCH(K$8,'Vehicle numbers'!$B$4:$D$4,0))*1000</f>
        <v>22831698</v>
      </c>
      <c r="L372" s="183">
        <f ca="1">VLOOKUP(F372,
    OFFSET(INDIRECT(ADDRESS(MATCH(J372,'Vehicle numbers'!$A$5:$A$162,0),1,1,1,$L$6)),4,1,COUNTIF('Vehicle numbers'!$A$5:$A$162,J372),4),
    MATCH(L$8,'Vehicle numbers'!$B$4:$D$4,0))*1000</f>
        <v>23533373.126182534</v>
      </c>
      <c r="M372" s="184">
        <f>VLOOKUP(F372,'Annual distance covered (GB)'!$A$8:$H$33,MATCH(J372,'Annual distance covered (GB)'!$A$7:$H$7,0))</f>
        <v>365.8</v>
      </c>
      <c r="N372" s="2">
        <f t="shared" ca="1" si="24"/>
        <v>51277.704924961326</v>
      </c>
      <c r="O372" s="180">
        <f t="shared" ca="1" si="25"/>
        <v>2.1789356183670614E-3</v>
      </c>
      <c r="P372" s="180"/>
      <c r="Q372" s="185"/>
      <c r="R372" s="180"/>
      <c r="S372" s="180"/>
      <c r="T372" s="180"/>
    </row>
    <row r="373" spans="1:20" x14ac:dyDescent="0.25">
      <c r="A373" t="s">
        <v>246</v>
      </c>
      <c r="B373" t="s">
        <v>237</v>
      </c>
      <c r="C373" t="s">
        <v>238</v>
      </c>
      <c r="D373" t="s">
        <v>250</v>
      </c>
      <c r="E373" t="s">
        <v>229</v>
      </c>
      <c r="F373">
        <v>1997</v>
      </c>
      <c r="G373">
        <v>1.088E-4</v>
      </c>
      <c r="H373" t="s">
        <v>240</v>
      </c>
      <c r="I373" t="s">
        <v>241</v>
      </c>
      <c r="J373" t="s">
        <v>2</v>
      </c>
      <c r="K373" s="183">
        <f ca="1">VLOOKUP(F373,
    OFFSET(INDIRECT(ADDRESS(MATCH(J373,'Vehicle numbers'!$A$5:$A$162,0),1,1,1,$L$6)),4,1,COUNTIF('Vehicle numbers'!$A$5:$A$162,J373),4),
    MATCH(K$8,'Vehicle numbers'!$B$4:$D$4,0))*1000</f>
        <v>22831698</v>
      </c>
      <c r="L373" s="183">
        <f ca="1">VLOOKUP(F373,
    OFFSET(INDIRECT(ADDRESS(MATCH(J373,'Vehicle numbers'!$A$5:$A$162,0),1,1,1,$L$6)),4,1,COUNTIF('Vehicle numbers'!$A$5:$A$162,J373),4),
    MATCH(L$8,'Vehicle numbers'!$B$4:$D$4,0))*1000</f>
        <v>23533373.126182534</v>
      </c>
      <c r="M373" s="184">
        <f>VLOOKUP(F373,'Annual distance covered (GB)'!$A$8:$H$33,MATCH(J373,'Annual distance covered (GB)'!$A$7:$H$7,0))</f>
        <v>365.8</v>
      </c>
      <c r="N373" s="2">
        <f t="shared" ca="1" si="24"/>
        <v>41022.163939969061</v>
      </c>
      <c r="O373" s="180">
        <f t="shared" ca="1" si="25"/>
        <v>1.7431484946936492E-3</v>
      </c>
      <c r="P373" s="180"/>
      <c r="Q373" s="185"/>
      <c r="R373" s="180"/>
      <c r="S373" s="180"/>
      <c r="T373" s="180"/>
    </row>
    <row r="374" spans="1:20" x14ac:dyDescent="0.25">
      <c r="A374" t="s">
        <v>236</v>
      </c>
      <c r="B374" t="s">
        <v>237</v>
      </c>
      <c r="C374" t="s">
        <v>238</v>
      </c>
      <c r="D374" t="s">
        <v>250</v>
      </c>
      <c r="E374" t="s">
        <v>228</v>
      </c>
      <c r="F374">
        <v>1997</v>
      </c>
      <c r="G374">
        <v>5.7910000000000001E-3</v>
      </c>
      <c r="H374" t="s">
        <v>240</v>
      </c>
      <c r="I374" t="s">
        <v>241</v>
      </c>
      <c r="J374" t="s">
        <v>2</v>
      </c>
      <c r="K374" s="183">
        <f ca="1">VLOOKUP(F374,
    OFFSET(INDIRECT(ADDRESS(MATCH(J374,'Vehicle numbers'!$A$5:$A$162,0),1,1,1,$L$6)),4,1,COUNTIF('Vehicle numbers'!$A$5:$A$162,J374),4),
    MATCH(K$8,'Vehicle numbers'!$B$4:$D$4,0))*1000</f>
        <v>22831698</v>
      </c>
      <c r="L374" s="183">
        <f ca="1">VLOOKUP(F374,
    OFFSET(INDIRECT(ADDRESS(MATCH(J374,'Vehicle numbers'!$A$5:$A$162,0),1,1,1,$L$6)),4,1,COUNTIF('Vehicle numbers'!$A$5:$A$162,J374),4),
    MATCH(L$8,'Vehicle numbers'!$B$4:$D$4,0))*1000</f>
        <v>23533373.126182534</v>
      </c>
      <c r="M374" s="184">
        <f>VLOOKUP(F374,'Annual distance covered (GB)'!$A$8:$H$33,MATCH(J374,'Annual distance covered (GB)'!$A$7:$H$7,0))</f>
        <v>365.8</v>
      </c>
      <c r="N374" s="2">
        <f t="shared" ca="1" si="24"/>
        <v>2183449.9207386104</v>
      </c>
      <c r="O374" s="180">
        <f t="shared" ca="1" si="25"/>
        <v>9.2781001220320972E-2</v>
      </c>
      <c r="P374" s="180"/>
      <c r="Q374" s="185"/>
      <c r="R374" s="180"/>
      <c r="S374" s="180"/>
      <c r="T374" s="180"/>
    </row>
    <row r="375" spans="1:20" x14ac:dyDescent="0.25">
      <c r="A375" t="s">
        <v>243</v>
      </c>
      <c r="B375" t="s">
        <v>237</v>
      </c>
      <c r="C375" t="s">
        <v>238</v>
      </c>
      <c r="D375" t="s">
        <v>250</v>
      </c>
      <c r="E375" t="s">
        <v>228</v>
      </c>
      <c r="F375">
        <v>1997</v>
      </c>
      <c r="G375">
        <v>4.0537000000000004E-3</v>
      </c>
      <c r="H375" t="s">
        <v>240</v>
      </c>
      <c r="I375" t="s">
        <v>241</v>
      </c>
      <c r="J375" t="s">
        <v>2</v>
      </c>
      <c r="K375" s="183">
        <f ca="1">VLOOKUP(F375,
    OFFSET(INDIRECT(ADDRESS(MATCH(J375,'Vehicle numbers'!$A$5:$A$162,0),1,1,1,$L$6)),4,1,COUNTIF('Vehicle numbers'!$A$5:$A$162,J375),4),
    MATCH(K$8,'Vehicle numbers'!$B$4:$D$4,0))*1000</f>
        <v>22831698</v>
      </c>
      <c r="L375" s="183">
        <f ca="1">VLOOKUP(F375,
    OFFSET(INDIRECT(ADDRESS(MATCH(J375,'Vehicle numbers'!$A$5:$A$162,0),1,1,1,$L$6)),4,1,COUNTIF('Vehicle numbers'!$A$5:$A$162,J375),4),
    MATCH(L$8,'Vehicle numbers'!$B$4:$D$4,0))*1000</f>
        <v>23533373.126182534</v>
      </c>
      <c r="M375" s="184">
        <f>VLOOKUP(F375,'Annual distance covered (GB)'!$A$8:$H$33,MATCH(J375,'Annual distance covered (GB)'!$A$7:$H$7,0))</f>
        <v>365.8</v>
      </c>
      <c r="N375" s="2">
        <f t="shared" ca="1" si="24"/>
        <v>1528414.9445170276</v>
      </c>
      <c r="O375" s="180">
        <f t="shared" ca="1" si="25"/>
        <v>6.4946700854224687E-2</v>
      </c>
      <c r="P375" s="180"/>
      <c r="Q375" s="185"/>
      <c r="R375" s="180"/>
      <c r="S375" s="180"/>
      <c r="T375" s="180"/>
    </row>
    <row r="376" spans="1:20" x14ac:dyDescent="0.25">
      <c r="A376" t="s">
        <v>244</v>
      </c>
      <c r="B376" t="s">
        <v>237</v>
      </c>
      <c r="C376" t="s">
        <v>238</v>
      </c>
      <c r="D376" t="s">
        <v>250</v>
      </c>
      <c r="E376" t="s">
        <v>228</v>
      </c>
      <c r="F376">
        <v>1997</v>
      </c>
      <c r="G376">
        <v>5.7094366197182997E-4</v>
      </c>
      <c r="H376" t="s">
        <v>240</v>
      </c>
      <c r="I376" t="s">
        <v>241</v>
      </c>
      <c r="J376" t="s">
        <v>2</v>
      </c>
      <c r="K376" s="183">
        <f ca="1">VLOOKUP(F376,
    OFFSET(INDIRECT(ADDRESS(MATCH(J376,'Vehicle numbers'!$A$5:$A$162,0),1,1,1,$L$6)),4,1,COUNTIF('Vehicle numbers'!$A$5:$A$162,J376),4),
    MATCH(K$8,'Vehicle numbers'!$B$4:$D$4,0))*1000</f>
        <v>22831698</v>
      </c>
      <c r="L376" s="183">
        <f ca="1">VLOOKUP(F376,
    OFFSET(INDIRECT(ADDRESS(MATCH(J376,'Vehicle numbers'!$A$5:$A$162,0),1,1,1,$L$6)),4,1,COUNTIF('Vehicle numbers'!$A$5:$A$162,J376),4),
    MATCH(L$8,'Vehicle numbers'!$B$4:$D$4,0))*1000</f>
        <v>23533373.126182534</v>
      </c>
      <c r="M376" s="184">
        <f>VLOOKUP(F376,'Annual distance covered (GB)'!$A$8:$H$33,MATCH(J376,'Annual distance covered (GB)'!$A$7:$H$7,0))</f>
        <v>365.8</v>
      </c>
      <c r="N376" s="2">
        <f t="shared" ca="1" si="24"/>
        <v>215269.7104953556</v>
      </c>
      <c r="O376" s="180">
        <f t="shared" ca="1" si="25"/>
        <v>9.1474226555245883E-3</v>
      </c>
      <c r="P376" s="180"/>
      <c r="Q376" s="185"/>
      <c r="R376" s="180"/>
      <c r="S376" s="180"/>
      <c r="T376" s="180"/>
    </row>
    <row r="377" spans="1:20" x14ac:dyDescent="0.25">
      <c r="A377" t="s">
        <v>246</v>
      </c>
      <c r="B377" t="s">
        <v>237</v>
      </c>
      <c r="C377" t="s">
        <v>238</v>
      </c>
      <c r="D377" t="s">
        <v>250</v>
      </c>
      <c r="E377" t="s">
        <v>228</v>
      </c>
      <c r="F377">
        <v>1997</v>
      </c>
      <c r="G377">
        <v>4.5675492957746402E-4</v>
      </c>
      <c r="H377" t="s">
        <v>240</v>
      </c>
      <c r="I377" t="s">
        <v>241</v>
      </c>
      <c r="J377" t="s">
        <v>2</v>
      </c>
      <c r="K377" s="183">
        <f ca="1">VLOOKUP(F377,
    OFFSET(INDIRECT(ADDRESS(MATCH(J377,'Vehicle numbers'!$A$5:$A$162,0),1,1,1,$L$6)),4,1,COUNTIF('Vehicle numbers'!$A$5:$A$162,J377),4),
    MATCH(K$8,'Vehicle numbers'!$B$4:$D$4,0))*1000</f>
        <v>22831698</v>
      </c>
      <c r="L377" s="183">
        <f ca="1">VLOOKUP(F377,
    OFFSET(INDIRECT(ADDRESS(MATCH(J377,'Vehicle numbers'!$A$5:$A$162,0),1,1,1,$L$6)),4,1,COUNTIF('Vehicle numbers'!$A$5:$A$162,J377),4),
    MATCH(L$8,'Vehicle numbers'!$B$4:$D$4,0))*1000</f>
        <v>23533373.126182534</v>
      </c>
      <c r="M377" s="184">
        <f>VLOOKUP(F377,'Annual distance covered (GB)'!$A$8:$H$33,MATCH(J377,'Annual distance covered (GB)'!$A$7:$H$7,0))</f>
        <v>365.8</v>
      </c>
      <c r="N377" s="2">
        <f t="shared" ca="1" si="24"/>
        <v>172215.76839628449</v>
      </c>
      <c r="O377" s="180">
        <f t="shared" ca="1" si="25"/>
        <v>7.3179381244196703E-3</v>
      </c>
      <c r="P377" s="180"/>
      <c r="Q377" s="185"/>
      <c r="R377" s="180"/>
      <c r="S377" s="180"/>
      <c r="T377" s="180"/>
    </row>
    <row r="378" spans="1:20" x14ac:dyDescent="0.25">
      <c r="A378" t="s">
        <v>236</v>
      </c>
      <c r="B378" t="s">
        <v>237</v>
      </c>
      <c r="C378" t="s">
        <v>238</v>
      </c>
      <c r="D378" t="s">
        <v>255</v>
      </c>
      <c r="E378" t="s">
        <v>229</v>
      </c>
      <c r="F378">
        <v>1997</v>
      </c>
      <c r="G378">
        <v>5.5269999999999903E-3</v>
      </c>
      <c r="H378" t="s">
        <v>240</v>
      </c>
      <c r="I378" t="s">
        <v>241</v>
      </c>
      <c r="J378" t="s">
        <v>2</v>
      </c>
      <c r="K378" s="183">
        <f ca="1">VLOOKUP(F378,
    OFFSET(INDIRECT(ADDRESS(MATCH(J378,'Vehicle numbers'!$A$5:$A$162,0),1,1,1,$L$6)),4,1,COUNTIF('Vehicle numbers'!$A$5:$A$162,J378),4),
    MATCH(K$8,'Vehicle numbers'!$B$4:$D$4,0))*1000</f>
        <v>22831698</v>
      </c>
      <c r="L378" s="183">
        <f ca="1">VLOOKUP(F378,
    OFFSET(INDIRECT(ADDRESS(MATCH(J378,'Vehicle numbers'!$A$5:$A$162,0),1,1,1,$L$6)),4,1,COUNTIF('Vehicle numbers'!$A$5:$A$162,J378),4),
    MATCH(L$8,'Vehicle numbers'!$B$4:$D$4,0))*1000</f>
        <v>23533373.126182534</v>
      </c>
      <c r="M378" s="184">
        <f>VLOOKUP(F378,'Annual distance covered (GB)'!$A$8:$H$33,MATCH(J378,'Annual distance covered (GB)'!$A$7:$H$7,0))</f>
        <v>365.8</v>
      </c>
      <c r="N378" s="2">
        <f t="shared" ca="1" si="24"/>
        <v>2083910.8464725055</v>
      </c>
      <c r="O378" s="180">
        <f t="shared" ca="1" si="25"/>
        <v>8.8551302667020049E-2</v>
      </c>
      <c r="P378" s="180"/>
      <c r="Q378" s="185"/>
      <c r="R378" s="180"/>
      <c r="S378" s="180"/>
      <c r="T378" s="180"/>
    </row>
    <row r="379" spans="1:20" x14ac:dyDescent="0.25">
      <c r="A379" t="s">
        <v>243</v>
      </c>
      <c r="B379" t="s">
        <v>237</v>
      </c>
      <c r="C379" t="s">
        <v>238</v>
      </c>
      <c r="D379" t="s">
        <v>255</v>
      </c>
      <c r="E379" t="s">
        <v>229</v>
      </c>
      <c r="F379">
        <v>1997</v>
      </c>
      <c r="G379">
        <v>2.2108000000000002E-3</v>
      </c>
      <c r="H379" t="s">
        <v>240</v>
      </c>
      <c r="I379" t="s">
        <v>241</v>
      </c>
      <c r="J379" t="s">
        <v>2</v>
      </c>
      <c r="K379" s="183">
        <f ca="1">VLOOKUP(F379,
    OFFSET(INDIRECT(ADDRESS(MATCH(J379,'Vehicle numbers'!$A$5:$A$162,0),1,1,1,$L$6)),4,1,COUNTIF('Vehicle numbers'!$A$5:$A$162,J379),4),
    MATCH(K$8,'Vehicle numbers'!$B$4:$D$4,0))*1000</f>
        <v>22831698</v>
      </c>
      <c r="L379" s="183">
        <f ca="1">VLOOKUP(F379,
    OFFSET(INDIRECT(ADDRESS(MATCH(J379,'Vehicle numbers'!$A$5:$A$162,0),1,1,1,$L$6)),4,1,COUNTIF('Vehicle numbers'!$A$5:$A$162,J379),4),
    MATCH(L$8,'Vehicle numbers'!$B$4:$D$4,0))*1000</f>
        <v>23533373.126182534</v>
      </c>
      <c r="M379" s="184">
        <f>VLOOKUP(F379,'Annual distance covered (GB)'!$A$8:$H$33,MATCH(J379,'Annual distance covered (GB)'!$A$7:$H$7,0))</f>
        <v>365.8</v>
      </c>
      <c r="N379" s="2">
        <f t="shared" ca="1" si="24"/>
        <v>833564.33858900366</v>
      </c>
      <c r="O379" s="180">
        <f t="shared" ca="1" si="25"/>
        <v>3.5420521066808083E-2</v>
      </c>
      <c r="P379" s="180"/>
      <c r="Q379" s="185"/>
      <c r="R379" s="180"/>
      <c r="S379" s="180"/>
      <c r="T379" s="180"/>
    </row>
    <row r="380" spans="1:20" x14ac:dyDescent="0.25">
      <c r="A380" t="s">
        <v>244</v>
      </c>
      <c r="B380" t="s">
        <v>237</v>
      </c>
      <c r="C380" t="s">
        <v>238</v>
      </c>
      <c r="D380" t="s">
        <v>255</v>
      </c>
      <c r="E380" t="s">
        <v>229</v>
      </c>
      <c r="F380">
        <v>1997</v>
      </c>
      <c r="G380">
        <v>5.5270000000000004E-4</v>
      </c>
      <c r="H380" t="s">
        <v>240</v>
      </c>
      <c r="I380" t="s">
        <v>241</v>
      </c>
      <c r="J380" t="s">
        <v>2</v>
      </c>
      <c r="K380" s="183">
        <f ca="1">VLOOKUP(F380,
    OFFSET(INDIRECT(ADDRESS(MATCH(J380,'Vehicle numbers'!$A$5:$A$162,0),1,1,1,$L$6)),4,1,COUNTIF('Vehicle numbers'!$A$5:$A$162,J380),4),
    MATCH(K$8,'Vehicle numbers'!$B$4:$D$4,0))*1000</f>
        <v>22831698</v>
      </c>
      <c r="L380" s="183">
        <f ca="1">VLOOKUP(F380,
    OFFSET(INDIRECT(ADDRESS(MATCH(J380,'Vehicle numbers'!$A$5:$A$162,0),1,1,1,$L$6)),4,1,COUNTIF('Vehicle numbers'!$A$5:$A$162,J380),4),
    MATCH(L$8,'Vehicle numbers'!$B$4:$D$4,0))*1000</f>
        <v>23533373.126182534</v>
      </c>
      <c r="M380" s="184">
        <f>VLOOKUP(F380,'Annual distance covered (GB)'!$A$8:$H$33,MATCH(J380,'Annual distance covered (GB)'!$A$7:$H$7,0))</f>
        <v>365.8</v>
      </c>
      <c r="N380" s="2">
        <f t="shared" ca="1" si="24"/>
        <v>208391.08464725091</v>
      </c>
      <c r="O380" s="180">
        <f t="shared" ca="1" si="25"/>
        <v>8.8551302667020208E-3</v>
      </c>
      <c r="P380" s="180"/>
      <c r="Q380" s="185"/>
      <c r="R380" s="180"/>
      <c r="S380" s="180"/>
      <c r="T380" s="180"/>
    </row>
    <row r="381" spans="1:20" x14ac:dyDescent="0.25">
      <c r="A381" t="s">
        <v>246</v>
      </c>
      <c r="B381" t="s">
        <v>237</v>
      </c>
      <c r="C381" t="s">
        <v>238</v>
      </c>
      <c r="D381" t="s">
        <v>255</v>
      </c>
      <c r="E381" t="s">
        <v>229</v>
      </c>
      <c r="F381">
        <v>1997</v>
      </c>
      <c r="G381">
        <v>4.4215999999999998E-4</v>
      </c>
      <c r="H381" t="s">
        <v>240</v>
      </c>
      <c r="I381" t="s">
        <v>241</v>
      </c>
      <c r="J381" t="s">
        <v>2</v>
      </c>
      <c r="K381" s="183">
        <f ca="1">VLOOKUP(F381,
    OFFSET(INDIRECT(ADDRESS(MATCH(J381,'Vehicle numbers'!$A$5:$A$162,0),1,1,1,$L$6)),4,1,COUNTIF('Vehicle numbers'!$A$5:$A$162,J381),4),
    MATCH(K$8,'Vehicle numbers'!$B$4:$D$4,0))*1000</f>
        <v>22831698</v>
      </c>
      <c r="L381" s="183">
        <f ca="1">VLOOKUP(F381,
    OFFSET(INDIRECT(ADDRESS(MATCH(J381,'Vehicle numbers'!$A$5:$A$162,0),1,1,1,$L$6)),4,1,COUNTIF('Vehicle numbers'!$A$5:$A$162,J381),4),
    MATCH(L$8,'Vehicle numbers'!$B$4:$D$4,0))*1000</f>
        <v>23533373.126182534</v>
      </c>
      <c r="M381" s="184">
        <f>VLOOKUP(F381,'Annual distance covered (GB)'!$A$8:$H$33,MATCH(J381,'Annual distance covered (GB)'!$A$7:$H$7,0))</f>
        <v>365.8</v>
      </c>
      <c r="N381" s="2">
        <f t="shared" ca="1" si="24"/>
        <v>166712.86771780072</v>
      </c>
      <c r="O381" s="180">
        <f t="shared" ca="1" si="25"/>
        <v>7.0841042133616165E-3</v>
      </c>
      <c r="P381" s="180"/>
      <c r="Q381" s="185"/>
      <c r="R381" s="180"/>
      <c r="S381" s="180"/>
      <c r="T381" s="180"/>
    </row>
    <row r="382" spans="1:20" x14ac:dyDescent="0.25">
      <c r="A382" t="s">
        <v>236</v>
      </c>
      <c r="B382" t="s">
        <v>237</v>
      </c>
      <c r="C382" t="s">
        <v>238</v>
      </c>
      <c r="D382" t="s">
        <v>255</v>
      </c>
      <c r="E382" t="s">
        <v>228</v>
      </c>
      <c r="F382">
        <v>1997</v>
      </c>
      <c r="G382">
        <v>6.7999999999999797E-3</v>
      </c>
      <c r="H382" t="s">
        <v>240</v>
      </c>
      <c r="I382" t="s">
        <v>241</v>
      </c>
      <c r="J382" t="s">
        <v>2</v>
      </c>
      <c r="K382" s="183">
        <f ca="1">VLOOKUP(F382,
    OFFSET(INDIRECT(ADDRESS(MATCH(J382,'Vehicle numbers'!$A$5:$A$162,0),1,1,1,$L$6)),4,1,COUNTIF('Vehicle numbers'!$A$5:$A$162,J382),4),
    MATCH(K$8,'Vehicle numbers'!$B$4:$D$4,0))*1000</f>
        <v>22831698</v>
      </c>
      <c r="L382" s="183">
        <f ca="1">VLOOKUP(F382,
    OFFSET(INDIRECT(ADDRESS(MATCH(J382,'Vehicle numbers'!$A$5:$A$162,0),1,1,1,$L$6)),4,1,COUNTIF('Vehicle numbers'!$A$5:$A$162,J382),4),
    MATCH(L$8,'Vehicle numbers'!$B$4:$D$4,0))*1000</f>
        <v>23533373.126182534</v>
      </c>
      <c r="M382" s="184">
        <f>VLOOKUP(F382,'Annual distance covered (GB)'!$A$8:$H$33,MATCH(J382,'Annual distance covered (GB)'!$A$7:$H$7,0))</f>
        <v>365.8</v>
      </c>
      <c r="N382" s="2">
        <f t="shared" ca="1" si="24"/>
        <v>2563885.2462480585</v>
      </c>
      <c r="O382" s="180">
        <f t="shared" ca="1" si="25"/>
        <v>0.10894678091835275</v>
      </c>
      <c r="P382" s="180"/>
      <c r="Q382" s="185"/>
      <c r="R382" s="180"/>
      <c r="S382" s="180"/>
      <c r="T382" s="180"/>
    </row>
    <row r="383" spans="1:20" x14ac:dyDescent="0.25">
      <c r="A383" t="s">
        <v>243</v>
      </c>
      <c r="B383" t="s">
        <v>237</v>
      </c>
      <c r="C383" t="s">
        <v>238</v>
      </c>
      <c r="D383" t="s">
        <v>255</v>
      </c>
      <c r="E383" t="s">
        <v>228</v>
      </c>
      <c r="F383">
        <v>1997</v>
      </c>
      <c r="G383">
        <v>4.7599999999999899E-3</v>
      </c>
      <c r="H383" t="s">
        <v>240</v>
      </c>
      <c r="I383" t="s">
        <v>241</v>
      </c>
      <c r="J383" t="s">
        <v>2</v>
      </c>
      <c r="K383" s="183">
        <f ca="1">VLOOKUP(F383,
    OFFSET(INDIRECT(ADDRESS(MATCH(J383,'Vehicle numbers'!$A$5:$A$162,0),1,1,1,$L$6)),4,1,COUNTIF('Vehicle numbers'!$A$5:$A$162,J383),4),
    MATCH(K$8,'Vehicle numbers'!$B$4:$D$4,0))*1000</f>
        <v>22831698</v>
      </c>
      <c r="L383" s="183">
        <f ca="1">VLOOKUP(F383,
    OFFSET(INDIRECT(ADDRESS(MATCH(J383,'Vehicle numbers'!$A$5:$A$162,0),1,1,1,$L$6)),4,1,COUNTIF('Vehicle numbers'!$A$5:$A$162,J383),4),
    MATCH(L$8,'Vehicle numbers'!$B$4:$D$4,0))*1000</f>
        <v>23533373.126182534</v>
      </c>
      <c r="M383" s="184">
        <f>VLOOKUP(F383,'Annual distance covered (GB)'!$A$8:$H$33,MATCH(J383,'Annual distance covered (GB)'!$A$7:$H$7,0))</f>
        <v>365.8</v>
      </c>
      <c r="N383" s="2">
        <f t="shared" ca="1" si="24"/>
        <v>1794719.6723736427</v>
      </c>
      <c r="O383" s="180">
        <f t="shared" ca="1" si="25"/>
        <v>7.626274664284699E-2</v>
      </c>
      <c r="P383" s="180"/>
      <c r="Q383" s="185"/>
      <c r="R383" s="180"/>
      <c r="S383" s="180"/>
      <c r="T383" s="180"/>
    </row>
    <row r="384" spans="1:20" x14ac:dyDescent="0.25">
      <c r="A384" t="s">
        <v>244</v>
      </c>
      <c r="B384" t="s">
        <v>237</v>
      </c>
      <c r="C384" t="s">
        <v>238</v>
      </c>
      <c r="D384" t="s">
        <v>255</v>
      </c>
      <c r="E384" t="s">
        <v>228</v>
      </c>
      <c r="F384">
        <v>1997</v>
      </c>
      <c r="G384">
        <v>6.7042253521126501E-4</v>
      </c>
      <c r="H384" t="s">
        <v>240</v>
      </c>
      <c r="I384" t="s">
        <v>241</v>
      </c>
      <c r="J384" t="s">
        <v>2</v>
      </c>
      <c r="K384" s="183">
        <f ca="1">VLOOKUP(F384,
    OFFSET(INDIRECT(ADDRESS(MATCH(J384,'Vehicle numbers'!$A$5:$A$162,0),1,1,1,$L$6)),4,1,COUNTIF('Vehicle numbers'!$A$5:$A$162,J384),4),
    MATCH(K$8,'Vehicle numbers'!$B$4:$D$4,0))*1000</f>
        <v>22831698</v>
      </c>
      <c r="L384" s="183">
        <f ca="1">VLOOKUP(F384,
    OFFSET(INDIRECT(ADDRESS(MATCH(J384,'Vehicle numbers'!$A$5:$A$162,0),1,1,1,$L$6)),4,1,COUNTIF('Vehicle numbers'!$A$5:$A$162,J384),4),
    MATCH(L$8,'Vehicle numbers'!$B$4:$D$4,0))*1000</f>
        <v>23533373.126182534</v>
      </c>
      <c r="M384" s="184">
        <f>VLOOKUP(F384,'Annual distance covered (GB)'!$A$8:$H$33,MATCH(J384,'Annual distance covered (GB)'!$A$7:$H$7,0))</f>
        <v>365.8</v>
      </c>
      <c r="N384" s="2">
        <f t="shared" ca="1" si="24"/>
        <v>252777.41864417458</v>
      </c>
      <c r="O384" s="180">
        <f t="shared" ca="1" si="25"/>
        <v>1.0741231921527726E-2</v>
      </c>
      <c r="P384" s="180"/>
      <c r="Q384" s="185"/>
      <c r="R384" s="180"/>
      <c r="S384" s="180"/>
      <c r="T384" s="180"/>
    </row>
    <row r="385" spans="1:20" x14ac:dyDescent="0.25">
      <c r="A385" t="s">
        <v>246</v>
      </c>
      <c r="B385" t="s">
        <v>237</v>
      </c>
      <c r="C385" t="s">
        <v>238</v>
      </c>
      <c r="D385" t="s">
        <v>255</v>
      </c>
      <c r="E385" t="s">
        <v>228</v>
      </c>
      <c r="F385">
        <v>1997</v>
      </c>
      <c r="G385">
        <v>5.3633802816901196E-4</v>
      </c>
      <c r="H385" t="s">
        <v>240</v>
      </c>
      <c r="I385" t="s">
        <v>241</v>
      </c>
      <c r="J385" t="s">
        <v>2</v>
      </c>
      <c r="K385" s="183">
        <f ca="1">VLOOKUP(F385,
    OFFSET(INDIRECT(ADDRESS(MATCH(J385,'Vehicle numbers'!$A$5:$A$162,0),1,1,1,$L$6)),4,1,COUNTIF('Vehicle numbers'!$A$5:$A$162,J385),4),
    MATCH(K$8,'Vehicle numbers'!$B$4:$D$4,0))*1000</f>
        <v>22831698</v>
      </c>
      <c r="L385" s="183">
        <f ca="1">VLOOKUP(F385,
    OFFSET(INDIRECT(ADDRESS(MATCH(J385,'Vehicle numbers'!$A$5:$A$162,0),1,1,1,$L$6)),4,1,COUNTIF('Vehicle numbers'!$A$5:$A$162,J385),4),
    MATCH(L$8,'Vehicle numbers'!$B$4:$D$4,0))*1000</f>
        <v>23533373.126182534</v>
      </c>
      <c r="M385" s="184">
        <f>VLOOKUP(F385,'Annual distance covered (GB)'!$A$8:$H$33,MATCH(J385,'Annual distance covered (GB)'!$A$7:$H$7,0))</f>
        <v>365.8</v>
      </c>
      <c r="N385" s="2">
        <f t="shared" ca="1" si="24"/>
        <v>202221.93491533966</v>
      </c>
      <c r="O385" s="180">
        <f t="shared" ca="1" si="25"/>
        <v>8.5929855372221808E-3</v>
      </c>
      <c r="P385" s="180"/>
      <c r="Q385" s="185"/>
      <c r="R385" s="180"/>
      <c r="S385" s="180"/>
      <c r="T385" s="180"/>
    </row>
    <row r="386" spans="1:20" x14ac:dyDescent="0.25">
      <c r="A386" t="s">
        <v>236</v>
      </c>
      <c r="B386" t="s">
        <v>237</v>
      </c>
      <c r="C386" t="s">
        <v>238</v>
      </c>
      <c r="D386" t="s">
        <v>256</v>
      </c>
      <c r="E386" t="s">
        <v>229</v>
      </c>
      <c r="F386">
        <v>1997</v>
      </c>
      <c r="G386">
        <v>1.1709745365403999E-2</v>
      </c>
      <c r="H386" t="s">
        <v>240</v>
      </c>
      <c r="I386" t="s">
        <v>241</v>
      </c>
      <c r="J386" t="s">
        <v>2</v>
      </c>
      <c r="K386" s="183">
        <f ca="1">VLOOKUP(F386,
    OFFSET(INDIRECT(ADDRESS(MATCH(J386,'Vehicle numbers'!$A$5:$A$162,0),1,1,1,$L$6)),4,1,COUNTIF('Vehicle numbers'!$A$5:$A$162,J386),4),
    MATCH(K$8,'Vehicle numbers'!$B$4:$D$4,0))*1000</f>
        <v>22831698</v>
      </c>
      <c r="L386" s="183">
        <f ca="1">VLOOKUP(F386,
    OFFSET(INDIRECT(ADDRESS(MATCH(J386,'Vehicle numbers'!$A$5:$A$162,0),1,1,1,$L$6)),4,1,COUNTIF('Vehicle numbers'!$A$5:$A$162,J386),4),
    MATCH(L$8,'Vehicle numbers'!$B$4:$D$4,0))*1000</f>
        <v>23533373.126182534</v>
      </c>
      <c r="M386" s="184">
        <f>VLOOKUP(F386,'Annual distance covered (GB)'!$A$8:$H$33,MATCH(J386,'Annual distance covered (GB)'!$A$7:$H$7,0))</f>
        <v>365.8</v>
      </c>
      <c r="N386" s="2">
        <f t="shared" ca="1" si="24"/>
        <v>4415065.2028942639</v>
      </c>
      <c r="O386" s="180">
        <f t="shared" ca="1" si="25"/>
        <v>0.18760868572564265</v>
      </c>
      <c r="P386" s="180"/>
      <c r="Q386" s="185"/>
      <c r="R386" s="180"/>
      <c r="S386" s="180"/>
      <c r="T386" s="180"/>
    </row>
    <row r="387" spans="1:20" x14ac:dyDescent="0.25">
      <c r="A387" t="s">
        <v>243</v>
      </c>
      <c r="B387" t="s">
        <v>237</v>
      </c>
      <c r="C387" t="s">
        <v>238</v>
      </c>
      <c r="D387" t="s">
        <v>256</v>
      </c>
      <c r="E387" t="s">
        <v>229</v>
      </c>
      <c r="F387">
        <v>1997</v>
      </c>
      <c r="G387">
        <v>4.6838981461615999E-3</v>
      </c>
      <c r="H387" t="s">
        <v>240</v>
      </c>
      <c r="I387" t="s">
        <v>241</v>
      </c>
      <c r="J387" t="s">
        <v>2</v>
      </c>
      <c r="K387" s="183">
        <f ca="1">VLOOKUP(F387,
    OFFSET(INDIRECT(ADDRESS(MATCH(J387,'Vehicle numbers'!$A$5:$A$162,0),1,1,1,$L$6)),4,1,COUNTIF('Vehicle numbers'!$A$5:$A$162,J387),4),
    MATCH(K$8,'Vehicle numbers'!$B$4:$D$4,0))*1000</f>
        <v>22831698</v>
      </c>
      <c r="L387" s="183">
        <f ca="1">VLOOKUP(F387,
    OFFSET(INDIRECT(ADDRESS(MATCH(J387,'Vehicle numbers'!$A$5:$A$162,0),1,1,1,$L$6)),4,1,COUNTIF('Vehicle numbers'!$A$5:$A$162,J387),4),
    MATCH(L$8,'Vehicle numbers'!$B$4:$D$4,0))*1000</f>
        <v>23533373.126182534</v>
      </c>
      <c r="M387" s="184">
        <f>VLOOKUP(F387,'Annual distance covered (GB)'!$A$8:$H$33,MATCH(J387,'Annual distance covered (GB)'!$A$7:$H$7,0))</f>
        <v>365.8</v>
      </c>
      <c r="N387" s="2">
        <f t="shared" ca="1" si="24"/>
        <v>1766026.0811577053</v>
      </c>
      <c r="O387" s="180">
        <f t="shared" ca="1" si="25"/>
        <v>7.5043474290257053E-2</v>
      </c>
      <c r="P387" s="180"/>
      <c r="Q387" s="185"/>
      <c r="R387" s="180"/>
      <c r="S387" s="180"/>
      <c r="T387" s="180"/>
    </row>
    <row r="388" spans="1:20" x14ac:dyDescent="0.25">
      <c r="A388" t="s">
        <v>244</v>
      </c>
      <c r="B388" t="s">
        <v>237</v>
      </c>
      <c r="C388" t="s">
        <v>238</v>
      </c>
      <c r="D388" t="s">
        <v>256</v>
      </c>
      <c r="E388" t="s">
        <v>229</v>
      </c>
      <c r="F388">
        <v>1997</v>
      </c>
      <c r="G388">
        <v>1.1709745365404E-3</v>
      </c>
      <c r="H388" t="s">
        <v>240</v>
      </c>
      <c r="I388" t="s">
        <v>241</v>
      </c>
      <c r="J388" t="s">
        <v>2</v>
      </c>
      <c r="K388" s="183">
        <f ca="1">VLOOKUP(F388,
    OFFSET(INDIRECT(ADDRESS(MATCH(J388,'Vehicle numbers'!$A$5:$A$162,0),1,1,1,$L$6)),4,1,COUNTIF('Vehicle numbers'!$A$5:$A$162,J388),4),
    MATCH(K$8,'Vehicle numbers'!$B$4:$D$4,0))*1000</f>
        <v>22831698</v>
      </c>
      <c r="L388" s="183">
        <f ca="1">VLOOKUP(F388,
    OFFSET(INDIRECT(ADDRESS(MATCH(J388,'Vehicle numbers'!$A$5:$A$162,0),1,1,1,$L$6)),4,1,COUNTIF('Vehicle numbers'!$A$5:$A$162,J388),4),
    MATCH(L$8,'Vehicle numbers'!$B$4:$D$4,0))*1000</f>
        <v>23533373.126182534</v>
      </c>
      <c r="M388" s="184">
        <f>VLOOKUP(F388,'Annual distance covered (GB)'!$A$8:$H$33,MATCH(J388,'Annual distance covered (GB)'!$A$7:$H$7,0))</f>
        <v>365.8</v>
      </c>
      <c r="N388" s="2">
        <f t="shared" ca="1" si="24"/>
        <v>441506.52028942632</v>
      </c>
      <c r="O388" s="180">
        <f t="shared" ca="1" si="25"/>
        <v>1.8760868572564263E-2</v>
      </c>
      <c r="P388" s="180"/>
      <c r="Q388" s="185"/>
      <c r="R388" s="180"/>
      <c r="S388" s="180"/>
      <c r="T388" s="180"/>
    </row>
    <row r="389" spans="1:20" x14ac:dyDescent="0.25">
      <c r="A389" t="s">
        <v>246</v>
      </c>
      <c r="B389" t="s">
        <v>237</v>
      </c>
      <c r="C389" t="s">
        <v>238</v>
      </c>
      <c r="D389" t="s">
        <v>256</v>
      </c>
      <c r="E389" t="s">
        <v>229</v>
      </c>
      <c r="F389">
        <v>1997</v>
      </c>
      <c r="G389">
        <v>9.3677962923232E-4</v>
      </c>
      <c r="H389" t="s">
        <v>240</v>
      </c>
      <c r="I389" t="s">
        <v>241</v>
      </c>
      <c r="J389" t="s">
        <v>2</v>
      </c>
      <c r="K389" s="183">
        <f ca="1">VLOOKUP(F389,
    OFFSET(INDIRECT(ADDRESS(MATCH(J389,'Vehicle numbers'!$A$5:$A$162,0),1,1,1,$L$6)),4,1,COUNTIF('Vehicle numbers'!$A$5:$A$162,J389),4),
    MATCH(K$8,'Vehicle numbers'!$B$4:$D$4,0))*1000</f>
        <v>22831698</v>
      </c>
      <c r="L389" s="183">
        <f ca="1">VLOOKUP(F389,
    OFFSET(INDIRECT(ADDRESS(MATCH(J389,'Vehicle numbers'!$A$5:$A$162,0),1,1,1,$L$6)),4,1,COUNTIF('Vehicle numbers'!$A$5:$A$162,J389),4),
    MATCH(L$8,'Vehicle numbers'!$B$4:$D$4,0))*1000</f>
        <v>23533373.126182534</v>
      </c>
      <c r="M389" s="184">
        <f>VLOOKUP(F389,'Annual distance covered (GB)'!$A$8:$H$33,MATCH(J389,'Annual distance covered (GB)'!$A$7:$H$7,0))</f>
        <v>365.8</v>
      </c>
      <c r="N389" s="2">
        <f t="shared" ca="1" si="24"/>
        <v>353205.21623154107</v>
      </c>
      <c r="O389" s="180">
        <f t="shared" ca="1" si="25"/>
        <v>1.5008694858051412E-2</v>
      </c>
      <c r="P389" s="180"/>
      <c r="Q389" s="185"/>
      <c r="R389" s="180"/>
      <c r="S389" s="180"/>
      <c r="T389" s="180"/>
    </row>
    <row r="390" spans="1:20" x14ac:dyDescent="0.25">
      <c r="A390" t="s">
        <v>236</v>
      </c>
      <c r="B390" t="s">
        <v>237</v>
      </c>
      <c r="C390" t="s">
        <v>238</v>
      </c>
      <c r="D390" t="s">
        <v>256</v>
      </c>
      <c r="E390" t="s">
        <v>228</v>
      </c>
      <c r="F390">
        <v>1997</v>
      </c>
      <c r="G390">
        <v>8.7628018019939406E-3</v>
      </c>
      <c r="H390" t="s">
        <v>240</v>
      </c>
      <c r="I390" t="s">
        <v>241</v>
      </c>
      <c r="J390" t="s">
        <v>2</v>
      </c>
      <c r="K390" s="183">
        <f ca="1">VLOOKUP(F390,
    OFFSET(INDIRECT(ADDRESS(MATCH(J390,'Vehicle numbers'!$A$5:$A$162,0),1,1,1,$L$6)),4,1,COUNTIF('Vehicle numbers'!$A$5:$A$162,J390),4),
    MATCH(K$8,'Vehicle numbers'!$B$4:$D$4,0))*1000</f>
        <v>22831698</v>
      </c>
      <c r="L390" s="183">
        <f ca="1">VLOOKUP(F390,
    OFFSET(INDIRECT(ADDRESS(MATCH(J390,'Vehicle numbers'!$A$5:$A$162,0),1,1,1,$L$6)),4,1,COUNTIF('Vehicle numbers'!$A$5:$A$162,J390),4),
    MATCH(L$8,'Vehicle numbers'!$B$4:$D$4,0))*1000</f>
        <v>23533373.126182534</v>
      </c>
      <c r="M390" s="184">
        <f>VLOOKUP(F390,'Annual distance covered (GB)'!$A$8:$H$33,MATCH(J390,'Annual distance covered (GB)'!$A$7:$H$7,0))</f>
        <v>365.8</v>
      </c>
      <c r="N390" s="2">
        <f t="shared" ca="1" si="24"/>
        <v>3303943.861165917</v>
      </c>
      <c r="O390" s="180">
        <f t="shared" ca="1" si="25"/>
        <v>0.14039397766952699</v>
      </c>
      <c r="P390" s="180"/>
      <c r="Q390" s="185"/>
      <c r="R390" s="180"/>
      <c r="S390" s="180"/>
      <c r="T390" s="180"/>
    </row>
    <row r="391" spans="1:20" x14ac:dyDescent="0.25">
      <c r="A391" t="s">
        <v>243</v>
      </c>
      <c r="B391" t="s">
        <v>237</v>
      </c>
      <c r="C391" t="s">
        <v>238</v>
      </c>
      <c r="D391" t="s">
        <v>256</v>
      </c>
      <c r="E391" t="s">
        <v>228</v>
      </c>
      <c r="F391">
        <v>1997</v>
      </c>
      <c r="G391">
        <v>6.1339612613957603E-3</v>
      </c>
      <c r="H391" t="s">
        <v>240</v>
      </c>
      <c r="I391" t="s">
        <v>241</v>
      </c>
      <c r="J391" t="s">
        <v>2</v>
      </c>
      <c r="K391" s="183">
        <f ca="1">VLOOKUP(F391,
    OFFSET(INDIRECT(ADDRESS(MATCH(J391,'Vehicle numbers'!$A$5:$A$162,0),1,1,1,$L$6)),4,1,COUNTIF('Vehicle numbers'!$A$5:$A$162,J391),4),
    MATCH(K$8,'Vehicle numbers'!$B$4:$D$4,0))*1000</f>
        <v>22831698</v>
      </c>
      <c r="L391" s="183">
        <f ca="1">VLOOKUP(F391,
    OFFSET(INDIRECT(ADDRESS(MATCH(J391,'Vehicle numbers'!$A$5:$A$162,0),1,1,1,$L$6)),4,1,COUNTIF('Vehicle numbers'!$A$5:$A$162,J391),4),
    MATCH(L$8,'Vehicle numbers'!$B$4:$D$4,0))*1000</f>
        <v>23533373.126182534</v>
      </c>
      <c r="M391" s="184">
        <f>VLOOKUP(F391,'Annual distance covered (GB)'!$A$8:$H$33,MATCH(J391,'Annual distance covered (GB)'!$A$7:$H$7,0))</f>
        <v>365.8</v>
      </c>
      <c r="N391" s="2">
        <f t="shared" ca="1" si="24"/>
        <v>2312760.7028161422</v>
      </c>
      <c r="O391" s="180">
        <f t="shared" ca="1" si="25"/>
        <v>9.8275784368668906E-2</v>
      </c>
      <c r="P391" s="180"/>
      <c r="Q391" s="185"/>
      <c r="R391" s="180"/>
      <c r="S391" s="180"/>
      <c r="T391" s="180"/>
    </row>
    <row r="392" spans="1:20" x14ac:dyDescent="0.25">
      <c r="A392" t="s">
        <v>244</v>
      </c>
      <c r="B392" t="s">
        <v>237</v>
      </c>
      <c r="C392" t="s">
        <v>238</v>
      </c>
      <c r="D392" t="s">
        <v>256</v>
      </c>
      <c r="E392" t="s">
        <v>228</v>
      </c>
      <c r="F392">
        <v>1997</v>
      </c>
      <c r="G392">
        <v>8.6393820583038699E-4</v>
      </c>
      <c r="H392" t="s">
        <v>240</v>
      </c>
      <c r="I392" t="s">
        <v>241</v>
      </c>
      <c r="J392" t="s">
        <v>2</v>
      </c>
      <c r="K392" s="183">
        <f ca="1">VLOOKUP(F392,
    OFFSET(INDIRECT(ADDRESS(MATCH(J392,'Vehicle numbers'!$A$5:$A$162,0),1,1,1,$L$6)),4,1,COUNTIF('Vehicle numbers'!$A$5:$A$162,J392),4),
    MATCH(K$8,'Vehicle numbers'!$B$4:$D$4,0))*1000</f>
        <v>22831698</v>
      </c>
      <c r="L392" s="183">
        <f ca="1">VLOOKUP(F392,
    OFFSET(INDIRECT(ADDRESS(MATCH(J392,'Vehicle numbers'!$A$5:$A$162,0),1,1,1,$L$6)),4,1,COUNTIF('Vehicle numbers'!$A$5:$A$162,J392),4),
    MATCH(L$8,'Vehicle numbers'!$B$4:$D$4,0))*1000</f>
        <v>23533373.126182534</v>
      </c>
      <c r="M392" s="184">
        <f>VLOOKUP(F392,'Annual distance covered (GB)'!$A$8:$H$33,MATCH(J392,'Annual distance covered (GB)'!$A$7:$H$7,0))</f>
        <v>365.8</v>
      </c>
      <c r="N392" s="2">
        <f t="shared" ca="1" si="24"/>
        <v>325740.94405861094</v>
      </c>
      <c r="O392" s="180">
        <f t="shared" ca="1" si="25"/>
        <v>1.3841659770235029E-2</v>
      </c>
      <c r="P392" s="180"/>
      <c r="Q392" s="185"/>
      <c r="R392" s="180"/>
      <c r="S392" s="180"/>
      <c r="T392" s="180"/>
    </row>
    <row r="393" spans="1:20" x14ac:dyDescent="0.25">
      <c r="A393" t="s">
        <v>246</v>
      </c>
      <c r="B393" t="s">
        <v>237</v>
      </c>
      <c r="C393" t="s">
        <v>238</v>
      </c>
      <c r="D393" t="s">
        <v>256</v>
      </c>
      <c r="E393" t="s">
        <v>228</v>
      </c>
      <c r="F393">
        <v>1997</v>
      </c>
      <c r="G393">
        <v>6.9115056466430996E-4</v>
      </c>
      <c r="H393" t="s">
        <v>240</v>
      </c>
      <c r="I393" t="s">
        <v>241</v>
      </c>
      <c r="J393" t="s">
        <v>2</v>
      </c>
      <c r="K393" s="183">
        <f ca="1">VLOOKUP(F393,
    OFFSET(INDIRECT(ADDRESS(MATCH(J393,'Vehicle numbers'!$A$5:$A$162,0),1,1,1,$L$6)),4,1,COUNTIF('Vehicle numbers'!$A$5:$A$162,J393),4),
    MATCH(K$8,'Vehicle numbers'!$B$4:$D$4,0))*1000</f>
        <v>22831698</v>
      </c>
      <c r="L393" s="183">
        <f ca="1">VLOOKUP(F393,
    OFFSET(INDIRECT(ADDRESS(MATCH(J393,'Vehicle numbers'!$A$5:$A$162,0),1,1,1,$L$6)),4,1,COUNTIF('Vehicle numbers'!$A$5:$A$162,J393),4),
    MATCH(L$8,'Vehicle numbers'!$B$4:$D$4,0))*1000</f>
        <v>23533373.126182534</v>
      </c>
      <c r="M393" s="184">
        <f>VLOOKUP(F393,'Annual distance covered (GB)'!$A$8:$H$33,MATCH(J393,'Annual distance covered (GB)'!$A$7:$H$7,0))</f>
        <v>365.8</v>
      </c>
      <c r="N393" s="2">
        <f t="shared" ca="1" si="24"/>
        <v>260592.75524688888</v>
      </c>
      <c r="O393" s="180">
        <f t="shared" ca="1" si="25"/>
        <v>1.1073327816188028E-2</v>
      </c>
      <c r="P393" s="180"/>
      <c r="Q393" s="185"/>
      <c r="R393" s="180"/>
      <c r="S393" s="180"/>
      <c r="T393" s="180"/>
    </row>
    <row r="394" spans="1:20" x14ac:dyDescent="0.25">
      <c r="A394" t="s">
        <v>236</v>
      </c>
      <c r="B394" t="s">
        <v>237</v>
      </c>
      <c r="C394" t="s">
        <v>238</v>
      </c>
      <c r="D394" t="s">
        <v>257</v>
      </c>
      <c r="E394" t="s">
        <v>229</v>
      </c>
      <c r="F394">
        <v>1997</v>
      </c>
      <c r="G394">
        <v>2.1210000000000001E-3</v>
      </c>
      <c r="H394" t="s">
        <v>240</v>
      </c>
      <c r="I394" t="s">
        <v>241</v>
      </c>
      <c r="J394" t="s">
        <v>188</v>
      </c>
      <c r="K394" s="183">
        <f ca="1">VLOOKUP(F394,
    OFFSET(INDIRECT(ADDRESS(MATCH(J394,'Vehicle numbers'!$A$5:$A$162,0),1,1,1,$L$6)),4,1,COUNTIF('Vehicle numbers'!$A$5:$A$162,J394),4),
    MATCH(K$8,'Vehicle numbers'!$B$4:$D$4,0))*1000</f>
        <v>2231181</v>
      </c>
      <c r="L394" s="183">
        <f ca="1">VLOOKUP(F394,
    OFFSET(INDIRECT(ADDRESS(MATCH(J394,'Vehicle numbers'!$A$5:$A$162,0),1,1,1,$L$6)),4,1,COUNTIF('Vehicle numbers'!$A$5:$A$162,J394),4),
    MATCH(L$8,'Vehicle numbers'!$B$4:$D$4,0))*1000</f>
        <v>2295206.0417549922</v>
      </c>
      <c r="M394" s="184">
        <f>VLOOKUP(F394,'Annual distance covered (GB)'!$A$8:$H$33,MATCH(J394,'Annual distance covered (GB)'!$A$7:$H$7,0))</f>
        <v>48.6</v>
      </c>
      <c r="N394" s="2">
        <f t="shared" ca="1" si="24"/>
        <v>106038.55801377371</v>
      </c>
      <c r="O394" s="180">
        <f t="shared" ca="1" si="25"/>
        <v>4.6200016941700381E-2</v>
      </c>
      <c r="P394" s="180"/>
      <c r="Q394" s="185"/>
      <c r="R394" s="180"/>
      <c r="S394" s="180"/>
      <c r="T394" s="180"/>
    </row>
    <row r="395" spans="1:20" x14ac:dyDescent="0.25">
      <c r="A395" t="s">
        <v>243</v>
      </c>
      <c r="B395" t="s">
        <v>237</v>
      </c>
      <c r="C395" t="s">
        <v>238</v>
      </c>
      <c r="D395" t="s">
        <v>257</v>
      </c>
      <c r="E395" t="s">
        <v>229</v>
      </c>
      <c r="F395">
        <v>1997</v>
      </c>
      <c r="G395">
        <v>8.4840000000000002E-4</v>
      </c>
      <c r="H395" t="s">
        <v>240</v>
      </c>
      <c r="I395" t="s">
        <v>241</v>
      </c>
      <c r="J395" t="s">
        <v>188</v>
      </c>
      <c r="K395" s="183">
        <f ca="1">VLOOKUP(F395,
    OFFSET(INDIRECT(ADDRESS(MATCH(J395,'Vehicle numbers'!$A$5:$A$162,0),1,1,1,$L$6)),4,1,COUNTIF('Vehicle numbers'!$A$5:$A$162,J395),4),
    MATCH(K$8,'Vehicle numbers'!$B$4:$D$4,0))*1000</f>
        <v>2231181</v>
      </c>
      <c r="L395" s="183">
        <f ca="1">VLOOKUP(F395,
    OFFSET(INDIRECT(ADDRESS(MATCH(J395,'Vehicle numbers'!$A$5:$A$162,0),1,1,1,$L$6)),4,1,COUNTIF('Vehicle numbers'!$A$5:$A$162,J395),4),
    MATCH(L$8,'Vehicle numbers'!$B$4:$D$4,0))*1000</f>
        <v>2295206.0417549922</v>
      </c>
      <c r="M395" s="184">
        <f>VLOOKUP(F395,'Annual distance covered (GB)'!$A$8:$H$33,MATCH(J395,'Annual distance covered (GB)'!$A$7:$H$7,0))</f>
        <v>48.6</v>
      </c>
      <c r="N395" s="2">
        <f t="shared" ref="N395:N458" ca="1" si="26">M395*G395*1000000*(L395/K395)</f>
        <v>42415.423205509491</v>
      </c>
      <c r="O395" s="180">
        <f t="shared" ref="O395:O458" ca="1" si="27">N395/L395</f>
        <v>1.8480006776680154E-2</v>
      </c>
      <c r="P395" s="180"/>
      <c r="Q395" s="185"/>
      <c r="R395" s="180"/>
      <c r="S395" s="180"/>
      <c r="T395" s="180"/>
    </row>
    <row r="396" spans="1:20" x14ac:dyDescent="0.25">
      <c r="A396" t="s">
        <v>244</v>
      </c>
      <c r="B396" t="s">
        <v>237</v>
      </c>
      <c r="C396" t="s">
        <v>238</v>
      </c>
      <c r="D396" t="s">
        <v>257</v>
      </c>
      <c r="E396" t="s">
        <v>229</v>
      </c>
      <c r="F396">
        <v>1997</v>
      </c>
      <c r="G396">
        <v>2.1210000000000001E-4</v>
      </c>
      <c r="H396" t="s">
        <v>240</v>
      </c>
      <c r="I396" t="s">
        <v>241</v>
      </c>
      <c r="J396" t="s">
        <v>188</v>
      </c>
      <c r="K396" s="183">
        <f ca="1">VLOOKUP(F396,
    OFFSET(INDIRECT(ADDRESS(MATCH(J396,'Vehicle numbers'!$A$5:$A$162,0),1,1,1,$L$6)),4,1,COUNTIF('Vehicle numbers'!$A$5:$A$162,J396),4),
    MATCH(K$8,'Vehicle numbers'!$B$4:$D$4,0))*1000</f>
        <v>2231181</v>
      </c>
      <c r="L396" s="183">
        <f ca="1">VLOOKUP(F396,
    OFFSET(INDIRECT(ADDRESS(MATCH(J396,'Vehicle numbers'!$A$5:$A$162,0),1,1,1,$L$6)),4,1,COUNTIF('Vehicle numbers'!$A$5:$A$162,J396),4),
    MATCH(L$8,'Vehicle numbers'!$B$4:$D$4,0))*1000</f>
        <v>2295206.0417549922</v>
      </c>
      <c r="M396" s="184">
        <f>VLOOKUP(F396,'Annual distance covered (GB)'!$A$8:$H$33,MATCH(J396,'Annual distance covered (GB)'!$A$7:$H$7,0))</f>
        <v>48.6</v>
      </c>
      <c r="N396" s="2">
        <f t="shared" ca="1" si="26"/>
        <v>10603.855801377373</v>
      </c>
      <c r="O396" s="180">
        <f t="shared" ca="1" si="27"/>
        <v>4.6200016941700386E-3</v>
      </c>
      <c r="P396" s="180"/>
      <c r="Q396" s="185"/>
      <c r="R396" s="180"/>
      <c r="S396" s="180"/>
      <c r="T396" s="180"/>
    </row>
    <row r="397" spans="1:20" x14ac:dyDescent="0.25">
      <c r="A397" t="s">
        <v>246</v>
      </c>
      <c r="B397" t="s">
        <v>237</v>
      </c>
      <c r="C397" t="s">
        <v>238</v>
      </c>
      <c r="D397" t="s">
        <v>257</v>
      </c>
      <c r="E397" t="s">
        <v>229</v>
      </c>
      <c r="F397">
        <v>1997</v>
      </c>
      <c r="G397">
        <v>1.6967999999999999E-4</v>
      </c>
      <c r="H397" t="s">
        <v>240</v>
      </c>
      <c r="I397" t="s">
        <v>241</v>
      </c>
      <c r="J397" t="s">
        <v>188</v>
      </c>
      <c r="K397" s="183">
        <f ca="1">VLOOKUP(F397,
    OFFSET(INDIRECT(ADDRESS(MATCH(J397,'Vehicle numbers'!$A$5:$A$162,0),1,1,1,$L$6)),4,1,COUNTIF('Vehicle numbers'!$A$5:$A$162,J397),4),
    MATCH(K$8,'Vehicle numbers'!$B$4:$D$4,0))*1000</f>
        <v>2231181</v>
      </c>
      <c r="L397" s="183">
        <f ca="1">VLOOKUP(F397,
    OFFSET(INDIRECT(ADDRESS(MATCH(J397,'Vehicle numbers'!$A$5:$A$162,0),1,1,1,$L$6)),4,1,COUNTIF('Vehicle numbers'!$A$5:$A$162,J397),4),
    MATCH(L$8,'Vehicle numbers'!$B$4:$D$4,0))*1000</f>
        <v>2295206.0417549922</v>
      </c>
      <c r="M397" s="184">
        <f>VLOOKUP(F397,'Annual distance covered (GB)'!$A$8:$H$33,MATCH(J397,'Annual distance covered (GB)'!$A$7:$H$7,0))</f>
        <v>48.6</v>
      </c>
      <c r="N397" s="2">
        <f t="shared" ca="1" si="26"/>
        <v>8483.0846411018974</v>
      </c>
      <c r="O397" s="180">
        <f t="shared" ca="1" si="27"/>
        <v>3.6960013553360305E-3</v>
      </c>
      <c r="P397" s="180"/>
      <c r="Q397" s="185"/>
      <c r="R397" s="180"/>
      <c r="S397" s="180"/>
      <c r="T397" s="180"/>
    </row>
    <row r="398" spans="1:20" x14ac:dyDescent="0.25">
      <c r="A398" t="s">
        <v>236</v>
      </c>
      <c r="B398" t="s">
        <v>237</v>
      </c>
      <c r="C398" t="s">
        <v>238</v>
      </c>
      <c r="D398" t="s">
        <v>257</v>
      </c>
      <c r="E398" t="s">
        <v>228</v>
      </c>
      <c r="F398">
        <v>1997</v>
      </c>
      <c r="G398">
        <v>9.1459999999999996E-3</v>
      </c>
      <c r="H398" t="s">
        <v>240</v>
      </c>
      <c r="I398" t="s">
        <v>241</v>
      </c>
      <c r="J398" t="s">
        <v>188</v>
      </c>
      <c r="K398" s="183">
        <f ca="1">VLOOKUP(F398,
    OFFSET(INDIRECT(ADDRESS(MATCH(J398,'Vehicle numbers'!$A$5:$A$162,0),1,1,1,$L$6)),4,1,COUNTIF('Vehicle numbers'!$A$5:$A$162,J398),4),
    MATCH(K$8,'Vehicle numbers'!$B$4:$D$4,0))*1000</f>
        <v>2231181</v>
      </c>
      <c r="L398" s="183">
        <f ca="1">VLOOKUP(F398,
    OFFSET(INDIRECT(ADDRESS(MATCH(J398,'Vehicle numbers'!$A$5:$A$162,0),1,1,1,$L$6)),4,1,COUNTIF('Vehicle numbers'!$A$5:$A$162,J398),4),
    MATCH(L$8,'Vehicle numbers'!$B$4:$D$4,0))*1000</f>
        <v>2295206.0417549922</v>
      </c>
      <c r="M398" s="184">
        <f>VLOOKUP(F398,'Annual distance covered (GB)'!$A$8:$H$33,MATCH(J398,'Annual distance covered (GB)'!$A$7:$H$7,0))</f>
        <v>48.6</v>
      </c>
      <c r="N398" s="2">
        <f t="shared" ca="1" si="26"/>
        <v>457250.66081752675</v>
      </c>
      <c r="O398" s="180">
        <f t="shared" ca="1" si="27"/>
        <v>0.19921987503479097</v>
      </c>
      <c r="P398" s="180"/>
      <c r="Q398" s="185"/>
      <c r="R398" s="180"/>
      <c r="S398" s="180"/>
      <c r="T398" s="180"/>
    </row>
    <row r="399" spans="1:20" x14ac:dyDescent="0.25">
      <c r="A399" t="s">
        <v>243</v>
      </c>
      <c r="B399" t="s">
        <v>237</v>
      </c>
      <c r="C399" t="s">
        <v>238</v>
      </c>
      <c r="D399" t="s">
        <v>257</v>
      </c>
      <c r="E399" t="s">
        <v>228</v>
      </c>
      <c r="F399">
        <v>1997</v>
      </c>
      <c r="G399">
        <v>6.4022000000000003E-3</v>
      </c>
      <c r="H399" t="s">
        <v>240</v>
      </c>
      <c r="I399" t="s">
        <v>241</v>
      </c>
      <c r="J399" t="s">
        <v>188</v>
      </c>
      <c r="K399" s="183">
        <f ca="1">VLOOKUP(F399,
    OFFSET(INDIRECT(ADDRESS(MATCH(J399,'Vehicle numbers'!$A$5:$A$162,0),1,1,1,$L$6)),4,1,COUNTIF('Vehicle numbers'!$A$5:$A$162,J399),4),
    MATCH(K$8,'Vehicle numbers'!$B$4:$D$4,0))*1000</f>
        <v>2231181</v>
      </c>
      <c r="L399" s="183">
        <f ca="1">VLOOKUP(F399,
    OFFSET(INDIRECT(ADDRESS(MATCH(J399,'Vehicle numbers'!$A$5:$A$162,0),1,1,1,$L$6)),4,1,COUNTIF('Vehicle numbers'!$A$5:$A$162,J399),4),
    MATCH(L$8,'Vehicle numbers'!$B$4:$D$4,0))*1000</f>
        <v>2295206.0417549922</v>
      </c>
      <c r="M399" s="184">
        <f>VLOOKUP(F399,'Annual distance covered (GB)'!$A$8:$H$33,MATCH(J399,'Annual distance covered (GB)'!$A$7:$H$7,0))</f>
        <v>48.6</v>
      </c>
      <c r="N399" s="2">
        <f t="shared" ca="1" si="26"/>
        <v>320075.46257226879</v>
      </c>
      <c r="O399" s="180">
        <f t="shared" ca="1" si="27"/>
        <v>0.13945391252435371</v>
      </c>
      <c r="P399" s="180"/>
      <c r="Q399" s="185"/>
      <c r="R399" s="180"/>
      <c r="S399" s="180"/>
      <c r="T399" s="180"/>
    </row>
    <row r="400" spans="1:20" x14ac:dyDescent="0.25">
      <c r="A400" t="s">
        <v>244</v>
      </c>
      <c r="B400" t="s">
        <v>237</v>
      </c>
      <c r="C400" t="s">
        <v>238</v>
      </c>
      <c r="D400" t="s">
        <v>257</v>
      </c>
      <c r="E400" t="s">
        <v>228</v>
      </c>
      <c r="F400">
        <v>1997</v>
      </c>
      <c r="G400">
        <v>9.0171830985915399E-4</v>
      </c>
      <c r="H400" t="s">
        <v>240</v>
      </c>
      <c r="I400" t="s">
        <v>241</v>
      </c>
      <c r="J400" t="s">
        <v>188</v>
      </c>
      <c r="K400" s="183">
        <f ca="1">VLOOKUP(F400,
    OFFSET(INDIRECT(ADDRESS(MATCH(J400,'Vehicle numbers'!$A$5:$A$162,0),1,1,1,$L$6)),4,1,COUNTIF('Vehicle numbers'!$A$5:$A$162,J400),4),
    MATCH(K$8,'Vehicle numbers'!$B$4:$D$4,0))*1000</f>
        <v>2231181</v>
      </c>
      <c r="L400" s="183">
        <f ca="1">VLOOKUP(F400,
    OFFSET(INDIRECT(ADDRESS(MATCH(J400,'Vehicle numbers'!$A$5:$A$162,0),1,1,1,$L$6)),4,1,COUNTIF('Vehicle numbers'!$A$5:$A$162,J400),4),
    MATCH(L$8,'Vehicle numbers'!$B$4:$D$4,0))*1000</f>
        <v>2295206.0417549922</v>
      </c>
      <c r="M400" s="184">
        <f>VLOOKUP(F400,'Annual distance covered (GB)'!$A$8:$H$33,MATCH(J400,'Annual distance covered (GB)'!$A$7:$H$7,0))</f>
        <v>48.6</v>
      </c>
      <c r="N400" s="2">
        <f t="shared" ca="1" si="26"/>
        <v>45081.051066516673</v>
      </c>
      <c r="O400" s="180">
        <f t="shared" ca="1" si="27"/>
        <v>1.9641396130190638E-2</v>
      </c>
      <c r="P400" s="180"/>
      <c r="Q400" s="185"/>
      <c r="R400" s="180"/>
      <c r="S400" s="180"/>
      <c r="T400" s="180"/>
    </row>
    <row r="401" spans="1:20" x14ac:dyDescent="0.25">
      <c r="A401" t="s">
        <v>246</v>
      </c>
      <c r="B401" t="s">
        <v>237</v>
      </c>
      <c r="C401" t="s">
        <v>238</v>
      </c>
      <c r="D401" t="s">
        <v>257</v>
      </c>
      <c r="E401" t="s">
        <v>228</v>
      </c>
      <c r="F401">
        <v>1997</v>
      </c>
      <c r="G401">
        <v>7.21374647887323E-4</v>
      </c>
      <c r="H401" t="s">
        <v>240</v>
      </c>
      <c r="I401" t="s">
        <v>241</v>
      </c>
      <c r="J401" t="s">
        <v>188</v>
      </c>
      <c r="K401" s="183">
        <f ca="1">VLOOKUP(F401,
    OFFSET(INDIRECT(ADDRESS(MATCH(J401,'Vehicle numbers'!$A$5:$A$162,0),1,1,1,$L$6)),4,1,COUNTIF('Vehicle numbers'!$A$5:$A$162,J401),4),
    MATCH(K$8,'Vehicle numbers'!$B$4:$D$4,0))*1000</f>
        <v>2231181</v>
      </c>
      <c r="L401" s="183">
        <f ca="1">VLOOKUP(F401,
    OFFSET(INDIRECT(ADDRESS(MATCH(J401,'Vehicle numbers'!$A$5:$A$162,0),1,1,1,$L$6)),4,1,COUNTIF('Vehicle numbers'!$A$5:$A$162,J401),4),
    MATCH(L$8,'Vehicle numbers'!$B$4:$D$4,0))*1000</f>
        <v>2295206.0417549922</v>
      </c>
      <c r="M401" s="184">
        <f>VLOOKUP(F401,'Annual distance covered (GB)'!$A$8:$H$33,MATCH(J401,'Annual distance covered (GB)'!$A$7:$H$7,0))</f>
        <v>48.6</v>
      </c>
      <c r="N401" s="2">
        <f t="shared" ca="1" si="26"/>
        <v>36064.840853213333</v>
      </c>
      <c r="O401" s="180">
        <f t="shared" ca="1" si="27"/>
        <v>1.5713116904152506E-2</v>
      </c>
      <c r="P401" s="180"/>
      <c r="Q401" s="185"/>
      <c r="R401" s="180"/>
      <c r="S401" s="180"/>
      <c r="T401" s="180"/>
    </row>
    <row r="402" spans="1:20" x14ac:dyDescent="0.25">
      <c r="A402" t="s">
        <v>236</v>
      </c>
      <c r="B402" t="s">
        <v>237</v>
      </c>
      <c r="C402" t="s">
        <v>238</v>
      </c>
      <c r="D402" t="s">
        <v>258</v>
      </c>
      <c r="E402" t="s">
        <v>229</v>
      </c>
      <c r="F402">
        <v>1997</v>
      </c>
      <c r="G402">
        <v>8.6220000000000099E-3</v>
      </c>
      <c r="H402" t="s">
        <v>240</v>
      </c>
      <c r="I402" t="s">
        <v>241</v>
      </c>
      <c r="J402" t="s">
        <v>188</v>
      </c>
      <c r="K402" s="183">
        <f ca="1">VLOOKUP(F402,
    OFFSET(INDIRECT(ADDRESS(MATCH(J402,'Vehicle numbers'!$A$5:$A$162,0),1,1,1,$L$6)),4,1,COUNTIF('Vehicle numbers'!$A$5:$A$162,J402),4),
    MATCH(K$8,'Vehicle numbers'!$B$4:$D$4,0))*1000</f>
        <v>2231181</v>
      </c>
      <c r="L402" s="183">
        <f ca="1">VLOOKUP(F402,
    OFFSET(INDIRECT(ADDRESS(MATCH(J402,'Vehicle numbers'!$A$5:$A$162,0),1,1,1,$L$6)),4,1,COUNTIF('Vehicle numbers'!$A$5:$A$162,J402),4),
    MATCH(L$8,'Vehicle numbers'!$B$4:$D$4,0))*1000</f>
        <v>2295206.0417549922</v>
      </c>
      <c r="M402" s="184">
        <f>VLOOKUP(F402,'Annual distance covered (GB)'!$A$8:$H$33,MATCH(J402,'Annual distance covered (GB)'!$A$7:$H$7,0))</f>
        <v>48.6</v>
      </c>
      <c r="N402" s="2">
        <f t="shared" ca="1" si="26"/>
        <v>431053.48759771709</v>
      </c>
      <c r="O402" s="180">
        <f t="shared" ca="1" si="27"/>
        <v>0.18780600946314999</v>
      </c>
      <c r="P402" s="180"/>
      <c r="Q402" s="185"/>
      <c r="R402" s="180"/>
      <c r="S402" s="180"/>
      <c r="T402" s="180"/>
    </row>
    <row r="403" spans="1:20" x14ac:dyDescent="0.25">
      <c r="A403" t="s">
        <v>243</v>
      </c>
      <c r="B403" t="s">
        <v>237</v>
      </c>
      <c r="C403" t="s">
        <v>238</v>
      </c>
      <c r="D403" t="s">
        <v>258</v>
      </c>
      <c r="E403" t="s">
        <v>229</v>
      </c>
      <c r="F403">
        <v>1997</v>
      </c>
      <c r="G403">
        <v>3.4488000000000001E-3</v>
      </c>
      <c r="H403" t="s">
        <v>240</v>
      </c>
      <c r="I403" t="s">
        <v>241</v>
      </c>
      <c r="J403" t="s">
        <v>188</v>
      </c>
      <c r="K403" s="183">
        <f ca="1">VLOOKUP(F403,
    OFFSET(INDIRECT(ADDRESS(MATCH(J403,'Vehicle numbers'!$A$5:$A$162,0),1,1,1,$L$6)),4,1,COUNTIF('Vehicle numbers'!$A$5:$A$162,J403),4),
    MATCH(K$8,'Vehicle numbers'!$B$4:$D$4,0))*1000</f>
        <v>2231181</v>
      </c>
      <c r="L403" s="183">
        <f ca="1">VLOOKUP(F403,
    OFFSET(INDIRECT(ADDRESS(MATCH(J403,'Vehicle numbers'!$A$5:$A$162,0),1,1,1,$L$6)),4,1,COUNTIF('Vehicle numbers'!$A$5:$A$162,J403),4),
    MATCH(L$8,'Vehicle numbers'!$B$4:$D$4,0))*1000</f>
        <v>2295206.0417549922</v>
      </c>
      <c r="M403" s="184">
        <f>VLOOKUP(F403,'Annual distance covered (GB)'!$A$8:$H$33,MATCH(J403,'Annual distance covered (GB)'!$A$7:$H$7,0))</f>
        <v>48.6</v>
      </c>
      <c r="N403" s="2">
        <f t="shared" ca="1" si="26"/>
        <v>172421.39503908667</v>
      </c>
      <c r="O403" s="180">
        <f t="shared" ca="1" si="27"/>
        <v>7.5122403785259917E-2</v>
      </c>
      <c r="P403" s="180"/>
      <c r="Q403" s="185"/>
      <c r="R403" s="180"/>
      <c r="S403" s="180"/>
      <c r="T403" s="180"/>
    </row>
    <row r="404" spans="1:20" x14ac:dyDescent="0.25">
      <c r="A404" t="s">
        <v>244</v>
      </c>
      <c r="B404" t="s">
        <v>237</v>
      </c>
      <c r="C404" t="s">
        <v>238</v>
      </c>
      <c r="D404" t="s">
        <v>258</v>
      </c>
      <c r="E404" t="s">
        <v>229</v>
      </c>
      <c r="F404">
        <v>1997</v>
      </c>
      <c r="G404">
        <v>8.6220000000000003E-4</v>
      </c>
      <c r="H404" t="s">
        <v>240</v>
      </c>
      <c r="I404" t="s">
        <v>241</v>
      </c>
      <c r="J404" t="s">
        <v>188</v>
      </c>
      <c r="K404" s="183">
        <f ca="1">VLOOKUP(F404,
    OFFSET(INDIRECT(ADDRESS(MATCH(J404,'Vehicle numbers'!$A$5:$A$162,0),1,1,1,$L$6)),4,1,COUNTIF('Vehicle numbers'!$A$5:$A$162,J404),4),
    MATCH(K$8,'Vehicle numbers'!$B$4:$D$4,0))*1000</f>
        <v>2231181</v>
      </c>
      <c r="L404" s="183">
        <f ca="1">VLOOKUP(F404,
    OFFSET(INDIRECT(ADDRESS(MATCH(J404,'Vehicle numbers'!$A$5:$A$162,0),1,1,1,$L$6)),4,1,COUNTIF('Vehicle numbers'!$A$5:$A$162,J404),4),
    MATCH(L$8,'Vehicle numbers'!$B$4:$D$4,0))*1000</f>
        <v>2295206.0417549922</v>
      </c>
      <c r="M404" s="184">
        <f>VLOOKUP(F404,'Annual distance covered (GB)'!$A$8:$H$33,MATCH(J404,'Annual distance covered (GB)'!$A$7:$H$7,0))</f>
        <v>48.6</v>
      </c>
      <c r="N404" s="2">
        <f t="shared" ca="1" si="26"/>
        <v>43105.348759771667</v>
      </c>
      <c r="O404" s="180">
        <f t="shared" ca="1" si="27"/>
        <v>1.8780600946314979E-2</v>
      </c>
      <c r="P404" s="180"/>
      <c r="Q404" s="185"/>
      <c r="R404" s="180"/>
      <c r="S404" s="180"/>
      <c r="T404" s="180"/>
    </row>
    <row r="405" spans="1:20" x14ac:dyDescent="0.25">
      <c r="A405" t="s">
        <v>246</v>
      </c>
      <c r="B405" t="s">
        <v>237</v>
      </c>
      <c r="C405" t="s">
        <v>238</v>
      </c>
      <c r="D405" t="s">
        <v>258</v>
      </c>
      <c r="E405" t="s">
        <v>229</v>
      </c>
      <c r="F405">
        <v>1997</v>
      </c>
      <c r="G405">
        <v>6.8975999999999998E-4</v>
      </c>
      <c r="H405" t="s">
        <v>240</v>
      </c>
      <c r="I405" t="s">
        <v>241</v>
      </c>
      <c r="J405" t="s">
        <v>188</v>
      </c>
      <c r="K405" s="183">
        <f ca="1">VLOOKUP(F405,
    OFFSET(INDIRECT(ADDRESS(MATCH(J405,'Vehicle numbers'!$A$5:$A$162,0),1,1,1,$L$6)),4,1,COUNTIF('Vehicle numbers'!$A$5:$A$162,J405),4),
    MATCH(K$8,'Vehicle numbers'!$B$4:$D$4,0))*1000</f>
        <v>2231181</v>
      </c>
      <c r="L405" s="183">
        <f ca="1">VLOOKUP(F405,
    OFFSET(INDIRECT(ADDRESS(MATCH(J405,'Vehicle numbers'!$A$5:$A$162,0),1,1,1,$L$6)),4,1,COUNTIF('Vehicle numbers'!$A$5:$A$162,J405),4),
    MATCH(L$8,'Vehicle numbers'!$B$4:$D$4,0))*1000</f>
        <v>2295206.0417549922</v>
      </c>
      <c r="M405" s="184">
        <f>VLOOKUP(F405,'Annual distance covered (GB)'!$A$8:$H$33,MATCH(J405,'Annual distance covered (GB)'!$A$7:$H$7,0))</f>
        <v>48.6</v>
      </c>
      <c r="N405" s="2">
        <f t="shared" ca="1" si="26"/>
        <v>34484.279007817328</v>
      </c>
      <c r="O405" s="180">
        <f t="shared" ca="1" si="27"/>
        <v>1.5024480757051982E-2</v>
      </c>
      <c r="P405" s="180"/>
      <c r="Q405" s="185"/>
      <c r="R405" s="180"/>
      <c r="S405" s="180"/>
      <c r="T405" s="180"/>
    </row>
    <row r="406" spans="1:20" x14ac:dyDescent="0.25">
      <c r="A406" t="s">
        <v>236</v>
      </c>
      <c r="B406" t="s">
        <v>237</v>
      </c>
      <c r="C406" t="s">
        <v>238</v>
      </c>
      <c r="D406" t="s">
        <v>258</v>
      </c>
      <c r="E406" t="s">
        <v>228</v>
      </c>
      <c r="F406">
        <v>1997</v>
      </c>
      <c r="G406">
        <v>1.0741000000000001E-2</v>
      </c>
      <c r="H406" t="s">
        <v>240</v>
      </c>
      <c r="I406" t="s">
        <v>241</v>
      </c>
      <c r="J406" t="s">
        <v>188</v>
      </c>
      <c r="K406" s="183">
        <f ca="1">VLOOKUP(F406,
    OFFSET(INDIRECT(ADDRESS(MATCH(J406,'Vehicle numbers'!$A$5:$A$162,0),1,1,1,$L$6)),4,1,COUNTIF('Vehicle numbers'!$A$5:$A$162,J406),4),
    MATCH(K$8,'Vehicle numbers'!$B$4:$D$4,0))*1000</f>
        <v>2231181</v>
      </c>
      <c r="L406" s="183">
        <f ca="1">VLOOKUP(F406,
    OFFSET(INDIRECT(ADDRESS(MATCH(J406,'Vehicle numbers'!$A$5:$A$162,0),1,1,1,$L$6)),4,1,COUNTIF('Vehicle numbers'!$A$5:$A$162,J406),4),
    MATCH(L$8,'Vehicle numbers'!$B$4:$D$4,0))*1000</f>
        <v>2295206.0417549922</v>
      </c>
      <c r="M406" s="184">
        <f>VLOOKUP(F406,'Annual distance covered (GB)'!$A$8:$H$33,MATCH(J406,'Annual distance covered (GB)'!$A$7:$H$7,0))</f>
        <v>48.6</v>
      </c>
      <c r="N406" s="2">
        <f t="shared" ca="1" si="26"/>
        <v>536992.05640072771</v>
      </c>
      <c r="O406" s="180">
        <f t="shared" ca="1" si="27"/>
        <v>0.23396246203243931</v>
      </c>
      <c r="P406" s="180"/>
      <c r="Q406" s="185"/>
      <c r="R406" s="180"/>
      <c r="S406" s="180"/>
      <c r="T406" s="180"/>
    </row>
    <row r="407" spans="1:20" x14ac:dyDescent="0.25">
      <c r="A407" t="s">
        <v>243</v>
      </c>
      <c r="B407" t="s">
        <v>237</v>
      </c>
      <c r="C407" t="s">
        <v>238</v>
      </c>
      <c r="D407" t="s">
        <v>258</v>
      </c>
      <c r="E407" t="s">
        <v>228</v>
      </c>
      <c r="F407">
        <v>1997</v>
      </c>
      <c r="G407">
        <v>7.5186999999999997E-3</v>
      </c>
      <c r="H407" t="s">
        <v>240</v>
      </c>
      <c r="I407" t="s">
        <v>241</v>
      </c>
      <c r="J407" t="s">
        <v>188</v>
      </c>
      <c r="K407" s="183">
        <f ca="1">VLOOKUP(F407,
    OFFSET(INDIRECT(ADDRESS(MATCH(J407,'Vehicle numbers'!$A$5:$A$162,0),1,1,1,$L$6)),4,1,COUNTIF('Vehicle numbers'!$A$5:$A$162,J407),4),
    MATCH(K$8,'Vehicle numbers'!$B$4:$D$4,0))*1000</f>
        <v>2231181</v>
      </c>
      <c r="L407" s="183">
        <f ca="1">VLOOKUP(F407,
    OFFSET(INDIRECT(ADDRESS(MATCH(J407,'Vehicle numbers'!$A$5:$A$162,0),1,1,1,$L$6)),4,1,COUNTIF('Vehicle numbers'!$A$5:$A$162,J407),4),
    MATCH(L$8,'Vehicle numbers'!$B$4:$D$4,0))*1000</f>
        <v>2295206.0417549922</v>
      </c>
      <c r="M407" s="184">
        <f>VLOOKUP(F407,'Annual distance covered (GB)'!$A$8:$H$33,MATCH(J407,'Annual distance covered (GB)'!$A$7:$H$7,0))</f>
        <v>48.6</v>
      </c>
      <c r="N407" s="2">
        <f t="shared" ca="1" si="26"/>
        <v>375894.43948050938</v>
      </c>
      <c r="O407" s="180">
        <f t="shared" ca="1" si="27"/>
        <v>0.16377372342270752</v>
      </c>
      <c r="P407" s="180"/>
      <c r="Q407" s="185"/>
      <c r="R407" s="180"/>
      <c r="S407" s="180"/>
      <c r="T407" s="180"/>
    </row>
    <row r="408" spans="1:20" x14ac:dyDescent="0.25">
      <c r="A408" t="s">
        <v>244</v>
      </c>
      <c r="B408" t="s">
        <v>237</v>
      </c>
      <c r="C408" t="s">
        <v>238</v>
      </c>
      <c r="D408" t="s">
        <v>258</v>
      </c>
      <c r="E408" t="s">
        <v>228</v>
      </c>
      <c r="F408">
        <v>1997</v>
      </c>
      <c r="G408">
        <v>1.05897183098591E-3</v>
      </c>
      <c r="H408" t="s">
        <v>240</v>
      </c>
      <c r="I408" t="s">
        <v>241</v>
      </c>
      <c r="J408" t="s">
        <v>188</v>
      </c>
      <c r="K408" s="183">
        <f ca="1">VLOOKUP(F408,
    OFFSET(INDIRECT(ADDRESS(MATCH(J408,'Vehicle numbers'!$A$5:$A$162,0),1,1,1,$L$6)),4,1,COUNTIF('Vehicle numbers'!$A$5:$A$162,J408),4),
    MATCH(K$8,'Vehicle numbers'!$B$4:$D$4,0))*1000</f>
        <v>2231181</v>
      </c>
      <c r="L408" s="183">
        <f ca="1">VLOOKUP(F408,
    OFFSET(INDIRECT(ADDRESS(MATCH(J408,'Vehicle numbers'!$A$5:$A$162,0),1,1,1,$L$6)),4,1,COUNTIF('Vehicle numbers'!$A$5:$A$162,J408),4),
    MATCH(L$8,'Vehicle numbers'!$B$4:$D$4,0))*1000</f>
        <v>2295206.0417549922</v>
      </c>
      <c r="M408" s="184">
        <f>VLOOKUP(F408,'Annual distance covered (GB)'!$A$8:$H$33,MATCH(J408,'Annual distance covered (GB)'!$A$7:$H$7,0))</f>
        <v>48.6</v>
      </c>
      <c r="N408" s="2">
        <f t="shared" ca="1" si="26"/>
        <v>52942.878800071463</v>
      </c>
      <c r="O408" s="180">
        <f t="shared" ca="1" si="27"/>
        <v>2.3066721608831924E-2</v>
      </c>
      <c r="P408" s="180"/>
      <c r="Q408" s="185"/>
      <c r="R408" s="180"/>
      <c r="S408" s="180"/>
      <c r="T408" s="180"/>
    </row>
    <row r="409" spans="1:20" x14ac:dyDescent="0.25">
      <c r="A409" t="s">
        <v>246</v>
      </c>
      <c r="B409" t="s">
        <v>237</v>
      </c>
      <c r="C409" t="s">
        <v>238</v>
      </c>
      <c r="D409" t="s">
        <v>258</v>
      </c>
      <c r="E409" t="s">
        <v>228</v>
      </c>
      <c r="F409">
        <v>1997</v>
      </c>
      <c r="G409">
        <v>8.47177464788731E-4</v>
      </c>
      <c r="H409" t="s">
        <v>240</v>
      </c>
      <c r="I409" t="s">
        <v>241</v>
      </c>
      <c r="J409" t="s">
        <v>188</v>
      </c>
      <c r="K409" s="183">
        <f ca="1">VLOOKUP(F409,
    OFFSET(INDIRECT(ADDRESS(MATCH(J409,'Vehicle numbers'!$A$5:$A$162,0),1,1,1,$L$6)),4,1,COUNTIF('Vehicle numbers'!$A$5:$A$162,J409),4),
    MATCH(K$8,'Vehicle numbers'!$B$4:$D$4,0))*1000</f>
        <v>2231181</v>
      </c>
      <c r="L409" s="183">
        <f ca="1">VLOOKUP(F409,
    OFFSET(INDIRECT(ADDRESS(MATCH(J409,'Vehicle numbers'!$A$5:$A$162,0),1,1,1,$L$6)),4,1,COUNTIF('Vehicle numbers'!$A$5:$A$162,J409),4),
    MATCH(L$8,'Vehicle numbers'!$B$4:$D$4,0))*1000</f>
        <v>2295206.0417549922</v>
      </c>
      <c r="M409" s="184">
        <f>VLOOKUP(F409,'Annual distance covered (GB)'!$A$8:$H$33,MATCH(J409,'Annual distance covered (GB)'!$A$7:$H$7,0))</f>
        <v>48.6</v>
      </c>
      <c r="N409" s="2">
        <f t="shared" ca="1" si="26"/>
        <v>42354.303040057319</v>
      </c>
      <c r="O409" s="180">
        <f t="shared" ca="1" si="27"/>
        <v>1.8453377287065604E-2</v>
      </c>
      <c r="P409" s="180"/>
      <c r="Q409" s="185"/>
      <c r="R409" s="180"/>
      <c r="S409" s="180"/>
      <c r="T409" s="180"/>
    </row>
    <row r="410" spans="1:20" x14ac:dyDescent="0.25">
      <c r="A410" t="s">
        <v>236</v>
      </c>
      <c r="B410" t="s">
        <v>237</v>
      </c>
      <c r="C410" t="s">
        <v>238</v>
      </c>
      <c r="D410" t="s">
        <v>259</v>
      </c>
      <c r="E410" t="s">
        <v>229</v>
      </c>
      <c r="F410">
        <v>1997</v>
      </c>
      <c r="G410">
        <v>1.8218999999999999E-2</v>
      </c>
      <c r="H410" t="s">
        <v>240</v>
      </c>
      <c r="I410" t="s">
        <v>241</v>
      </c>
      <c r="J410" t="s">
        <v>188</v>
      </c>
      <c r="K410" s="183">
        <f ca="1">VLOOKUP(F410,
    OFFSET(INDIRECT(ADDRESS(MATCH(J410,'Vehicle numbers'!$A$5:$A$162,0),1,1,1,$L$6)),4,1,COUNTIF('Vehicle numbers'!$A$5:$A$162,J410),4),
    MATCH(K$8,'Vehicle numbers'!$B$4:$D$4,0))*1000</f>
        <v>2231181</v>
      </c>
      <c r="L410" s="183">
        <f ca="1">VLOOKUP(F410,
    OFFSET(INDIRECT(ADDRESS(MATCH(J410,'Vehicle numbers'!$A$5:$A$162,0),1,1,1,$L$6)),4,1,COUNTIF('Vehicle numbers'!$A$5:$A$162,J410),4),
    MATCH(L$8,'Vehicle numbers'!$B$4:$D$4,0))*1000</f>
        <v>2295206.0417549922</v>
      </c>
      <c r="M410" s="184">
        <f>VLOOKUP(F410,'Annual distance covered (GB)'!$A$8:$H$33,MATCH(J410,'Annual distance covered (GB)'!$A$7:$H$7,0))</f>
        <v>48.6</v>
      </c>
      <c r="N410" s="2">
        <f t="shared" ca="1" si="26"/>
        <v>910851.71544221742</v>
      </c>
      <c r="O410" s="180">
        <f t="shared" ca="1" si="27"/>
        <v>0.39684965047658616</v>
      </c>
      <c r="P410" s="180"/>
      <c r="Q410" s="185"/>
      <c r="R410" s="180"/>
      <c r="S410" s="180"/>
      <c r="T410" s="180"/>
    </row>
    <row r="411" spans="1:20" x14ac:dyDescent="0.25">
      <c r="A411" t="s">
        <v>243</v>
      </c>
      <c r="B411" t="s">
        <v>237</v>
      </c>
      <c r="C411" t="s">
        <v>238</v>
      </c>
      <c r="D411" t="s">
        <v>259</v>
      </c>
      <c r="E411" t="s">
        <v>229</v>
      </c>
      <c r="F411">
        <v>1997</v>
      </c>
      <c r="G411">
        <v>7.2876E-3</v>
      </c>
      <c r="H411" t="s">
        <v>240</v>
      </c>
      <c r="I411" t="s">
        <v>241</v>
      </c>
      <c r="J411" t="s">
        <v>188</v>
      </c>
      <c r="K411" s="183">
        <f ca="1">VLOOKUP(F411,
    OFFSET(INDIRECT(ADDRESS(MATCH(J411,'Vehicle numbers'!$A$5:$A$162,0),1,1,1,$L$6)),4,1,COUNTIF('Vehicle numbers'!$A$5:$A$162,J411),4),
    MATCH(K$8,'Vehicle numbers'!$B$4:$D$4,0))*1000</f>
        <v>2231181</v>
      </c>
      <c r="L411" s="183">
        <f ca="1">VLOOKUP(F411,
    OFFSET(INDIRECT(ADDRESS(MATCH(J411,'Vehicle numbers'!$A$5:$A$162,0),1,1,1,$L$6)),4,1,COUNTIF('Vehicle numbers'!$A$5:$A$162,J411),4),
    MATCH(L$8,'Vehicle numbers'!$B$4:$D$4,0))*1000</f>
        <v>2295206.0417549922</v>
      </c>
      <c r="M411" s="184">
        <f>VLOOKUP(F411,'Annual distance covered (GB)'!$A$8:$H$33,MATCH(J411,'Annual distance covered (GB)'!$A$7:$H$7,0))</f>
        <v>48.6</v>
      </c>
      <c r="N411" s="2">
        <f t="shared" ca="1" si="26"/>
        <v>364340.68617688696</v>
      </c>
      <c r="O411" s="180">
        <f t="shared" ca="1" si="27"/>
        <v>0.15873986019063444</v>
      </c>
      <c r="P411" s="180"/>
      <c r="Q411" s="185"/>
      <c r="R411" s="180"/>
      <c r="S411" s="180"/>
      <c r="T411" s="180"/>
    </row>
    <row r="412" spans="1:20" x14ac:dyDescent="0.25">
      <c r="A412" t="s">
        <v>244</v>
      </c>
      <c r="B412" t="s">
        <v>237</v>
      </c>
      <c r="C412" t="s">
        <v>238</v>
      </c>
      <c r="D412" t="s">
        <v>259</v>
      </c>
      <c r="E412" t="s">
        <v>229</v>
      </c>
      <c r="F412">
        <v>1997</v>
      </c>
      <c r="G412">
        <v>1.8219E-3</v>
      </c>
      <c r="H412" t="s">
        <v>240</v>
      </c>
      <c r="I412" t="s">
        <v>241</v>
      </c>
      <c r="J412" t="s">
        <v>188</v>
      </c>
      <c r="K412" s="183">
        <f ca="1">VLOOKUP(F412,
    OFFSET(INDIRECT(ADDRESS(MATCH(J412,'Vehicle numbers'!$A$5:$A$162,0),1,1,1,$L$6)),4,1,COUNTIF('Vehicle numbers'!$A$5:$A$162,J412),4),
    MATCH(K$8,'Vehicle numbers'!$B$4:$D$4,0))*1000</f>
        <v>2231181</v>
      </c>
      <c r="L412" s="183">
        <f ca="1">VLOOKUP(F412,
    OFFSET(INDIRECT(ADDRESS(MATCH(J412,'Vehicle numbers'!$A$5:$A$162,0),1,1,1,$L$6)),4,1,COUNTIF('Vehicle numbers'!$A$5:$A$162,J412),4),
    MATCH(L$8,'Vehicle numbers'!$B$4:$D$4,0))*1000</f>
        <v>2295206.0417549922</v>
      </c>
      <c r="M412" s="184">
        <f>VLOOKUP(F412,'Annual distance covered (GB)'!$A$8:$H$33,MATCH(J412,'Annual distance covered (GB)'!$A$7:$H$7,0))</f>
        <v>48.6</v>
      </c>
      <c r="N412" s="2">
        <f t="shared" ca="1" si="26"/>
        <v>91085.171544221739</v>
      </c>
      <c r="O412" s="180">
        <f t="shared" ca="1" si="27"/>
        <v>3.9684965047658609E-2</v>
      </c>
      <c r="P412" s="180"/>
      <c r="Q412" s="185"/>
      <c r="R412" s="180"/>
      <c r="S412" s="180"/>
      <c r="T412" s="180"/>
    </row>
    <row r="413" spans="1:20" x14ac:dyDescent="0.25">
      <c r="A413" t="s">
        <v>246</v>
      </c>
      <c r="B413" t="s">
        <v>237</v>
      </c>
      <c r="C413" t="s">
        <v>238</v>
      </c>
      <c r="D413" t="s">
        <v>259</v>
      </c>
      <c r="E413" t="s">
        <v>229</v>
      </c>
      <c r="F413">
        <v>1997</v>
      </c>
      <c r="G413">
        <v>1.4575199999999999E-3</v>
      </c>
      <c r="H413" t="s">
        <v>240</v>
      </c>
      <c r="I413" t="s">
        <v>241</v>
      </c>
      <c r="J413" t="s">
        <v>188</v>
      </c>
      <c r="K413" s="183">
        <f ca="1">VLOOKUP(F413,
    OFFSET(INDIRECT(ADDRESS(MATCH(J413,'Vehicle numbers'!$A$5:$A$162,0),1,1,1,$L$6)),4,1,COUNTIF('Vehicle numbers'!$A$5:$A$162,J413),4),
    MATCH(K$8,'Vehicle numbers'!$B$4:$D$4,0))*1000</f>
        <v>2231181</v>
      </c>
      <c r="L413" s="183">
        <f ca="1">VLOOKUP(F413,
    OFFSET(INDIRECT(ADDRESS(MATCH(J413,'Vehicle numbers'!$A$5:$A$162,0),1,1,1,$L$6)),4,1,COUNTIF('Vehicle numbers'!$A$5:$A$162,J413),4),
    MATCH(L$8,'Vehicle numbers'!$B$4:$D$4,0))*1000</f>
        <v>2295206.0417549922</v>
      </c>
      <c r="M413" s="184">
        <f>VLOOKUP(F413,'Annual distance covered (GB)'!$A$8:$H$33,MATCH(J413,'Annual distance covered (GB)'!$A$7:$H$7,0))</f>
        <v>48.6</v>
      </c>
      <c r="N413" s="2">
        <f t="shared" ca="1" si="26"/>
        <v>72868.137235377391</v>
      </c>
      <c r="O413" s="180">
        <f t="shared" ca="1" si="27"/>
        <v>3.174797203812689E-2</v>
      </c>
      <c r="P413" s="180"/>
      <c r="Q413" s="185"/>
      <c r="R413" s="180"/>
      <c r="S413" s="180"/>
      <c r="T413" s="180"/>
    </row>
    <row r="414" spans="1:20" x14ac:dyDescent="0.25">
      <c r="A414" t="s">
        <v>236</v>
      </c>
      <c r="B414" t="s">
        <v>237</v>
      </c>
      <c r="C414" t="s">
        <v>238</v>
      </c>
      <c r="D414" t="s">
        <v>259</v>
      </c>
      <c r="E414" t="s">
        <v>228</v>
      </c>
      <c r="F414">
        <v>1997</v>
      </c>
      <c r="G414">
        <v>1.3802E-2</v>
      </c>
      <c r="H414" t="s">
        <v>240</v>
      </c>
      <c r="I414" t="s">
        <v>241</v>
      </c>
      <c r="J414" t="s">
        <v>188</v>
      </c>
      <c r="K414" s="183">
        <f ca="1">VLOOKUP(F414,
    OFFSET(INDIRECT(ADDRESS(MATCH(J414,'Vehicle numbers'!$A$5:$A$162,0),1,1,1,$L$6)),4,1,COUNTIF('Vehicle numbers'!$A$5:$A$162,J414),4),
    MATCH(K$8,'Vehicle numbers'!$B$4:$D$4,0))*1000</f>
        <v>2231181</v>
      </c>
      <c r="L414" s="183">
        <f ca="1">VLOOKUP(F414,
    OFFSET(INDIRECT(ADDRESS(MATCH(J414,'Vehicle numbers'!$A$5:$A$162,0),1,1,1,$L$6)),4,1,COUNTIF('Vehicle numbers'!$A$5:$A$162,J414),4),
    MATCH(L$8,'Vehicle numbers'!$B$4:$D$4,0))*1000</f>
        <v>2295206.0417549922</v>
      </c>
      <c r="M414" s="184">
        <f>VLOOKUP(F414,'Annual distance covered (GB)'!$A$8:$H$33,MATCH(J414,'Annual distance covered (GB)'!$A$7:$H$7,0))</f>
        <v>48.6</v>
      </c>
      <c r="N414" s="2">
        <f t="shared" ca="1" si="26"/>
        <v>690025.54347293952</v>
      </c>
      <c r="O414" s="180">
        <f t="shared" ca="1" si="27"/>
        <v>0.30063773400723653</v>
      </c>
      <c r="P414" s="180"/>
      <c r="Q414" s="185"/>
      <c r="R414" s="180"/>
      <c r="S414" s="180"/>
      <c r="T414" s="180"/>
    </row>
    <row r="415" spans="1:20" x14ac:dyDescent="0.25">
      <c r="A415" t="s">
        <v>243</v>
      </c>
      <c r="B415" t="s">
        <v>237</v>
      </c>
      <c r="C415" t="s">
        <v>238</v>
      </c>
      <c r="D415" t="s">
        <v>259</v>
      </c>
      <c r="E415" t="s">
        <v>228</v>
      </c>
      <c r="F415">
        <v>1997</v>
      </c>
      <c r="G415">
        <v>9.6614000000000005E-3</v>
      </c>
      <c r="H415" t="s">
        <v>240</v>
      </c>
      <c r="I415" t="s">
        <v>241</v>
      </c>
      <c r="J415" t="s">
        <v>188</v>
      </c>
      <c r="K415" s="183">
        <f ca="1">VLOOKUP(F415,
    OFFSET(INDIRECT(ADDRESS(MATCH(J415,'Vehicle numbers'!$A$5:$A$162,0),1,1,1,$L$6)),4,1,COUNTIF('Vehicle numbers'!$A$5:$A$162,J415),4),
    MATCH(K$8,'Vehicle numbers'!$B$4:$D$4,0))*1000</f>
        <v>2231181</v>
      </c>
      <c r="L415" s="183">
        <f ca="1">VLOOKUP(F415,
    OFFSET(INDIRECT(ADDRESS(MATCH(J415,'Vehicle numbers'!$A$5:$A$162,0),1,1,1,$L$6)),4,1,COUNTIF('Vehicle numbers'!$A$5:$A$162,J415),4),
    MATCH(L$8,'Vehicle numbers'!$B$4:$D$4,0))*1000</f>
        <v>2295206.0417549922</v>
      </c>
      <c r="M415" s="184">
        <f>VLOOKUP(F415,'Annual distance covered (GB)'!$A$8:$H$33,MATCH(J415,'Annual distance covered (GB)'!$A$7:$H$7,0))</f>
        <v>48.6</v>
      </c>
      <c r="N415" s="2">
        <f t="shared" ca="1" si="26"/>
        <v>483017.88043105771</v>
      </c>
      <c r="O415" s="180">
        <f t="shared" ca="1" si="27"/>
        <v>0.21044641380506557</v>
      </c>
      <c r="P415" s="180"/>
      <c r="Q415" s="185"/>
      <c r="R415" s="180"/>
      <c r="S415" s="180"/>
      <c r="T415" s="180"/>
    </row>
    <row r="416" spans="1:20" x14ac:dyDescent="0.25">
      <c r="A416" t="s">
        <v>244</v>
      </c>
      <c r="B416" t="s">
        <v>237</v>
      </c>
      <c r="C416" t="s">
        <v>238</v>
      </c>
      <c r="D416" t="s">
        <v>259</v>
      </c>
      <c r="E416" t="s">
        <v>228</v>
      </c>
      <c r="F416">
        <v>1997</v>
      </c>
      <c r="G416">
        <v>1.3607605633802801E-3</v>
      </c>
      <c r="H416" t="s">
        <v>240</v>
      </c>
      <c r="I416" t="s">
        <v>241</v>
      </c>
      <c r="J416" t="s">
        <v>188</v>
      </c>
      <c r="K416" s="183">
        <f ca="1">VLOOKUP(F416,
    OFFSET(INDIRECT(ADDRESS(MATCH(J416,'Vehicle numbers'!$A$5:$A$162,0),1,1,1,$L$6)),4,1,COUNTIF('Vehicle numbers'!$A$5:$A$162,J416),4),
    MATCH(K$8,'Vehicle numbers'!$B$4:$D$4,0))*1000</f>
        <v>2231181</v>
      </c>
      <c r="L416" s="183">
        <f ca="1">VLOOKUP(F416,
    OFFSET(INDIRECT(ADDRESS(MATCH(J416,'Vehicle numbers'!$A$5:$A$162,0),1,1,1,$L$6)),4,1,COUNTIF('Vehicle numbers'!$A$5:$A$162,J416),4),
    MATCH(L$8,'Vehicle numbers'!$B$4:$D$4,0))*1000</f>
        <v>2295206.0417549922</v>
      </c>
      <c r="M416" s="184">
        <f>VLOOKUP(F416,'Annual distance covered (GB)'!$A$8:$H$33,MATCH(J416,'Annual distance covered (GB)'!$A$7:$H$7,0))</f>
        <v>48.6</v>
      </c>
      <c r="N416" s="2">
        <f t="shared" ca="1" si="26"/>
        <v>68030.687384655917</v>
      </c>
      <c r="O416" s="180">
        <f t="shared" ca="1" si="27"/>
        <v>2.9640339972544404E-2</v>
      </c>
      <c r="P416" s="180"/>
      <c r="Q416" s="185"/>
      <c r="R416" s="180"/>
      <c r="S416" s="180"/>
      <c r="T416" s="180"/>
    </row>
    <row r="417" spans="1:20" x14ac:dyDescent="0.25">
      <c r="A417" t="s">
        <v>246</v>
      </c>
      <c r="B417" t="s">
        <v>237</v>
      </c>
      <c r="C417" t="s">
        <v>238</v>
      </c>
      <c r="D417" t="s">
        <v>259</v>
      </c>
      <c r="E417" t="s">
        <v>228</v>
      </c>
      <c r="F417">
        <v>1997</v>
      </c>
      <c r="G417">
        <v>1.0886084507042201E-3</v>
      </c>
      <c r="H417" t="s">
        <v>240</v>
      </c>
      <c r="I417" t="s">
        <v>241</v>
      </c>
      <c r="J417" t="s">
        <v>188</v>
      </c>
      <c r="K417" s="183">
        <f ca="1">VLOOKUP(F417,
    OFFSET(INDIRECT(ADDRESS(MATCH(J417,'Vehicle numbers'!$A$5:$A$162,0),1,1,1,$L$6)),4,1,COUNTIF('Vehicle numbers'!$A$5:$A$162,J417),4),
    MATCH(K$8,'Vehicle numbers'!$B$4:$D$4,0))*1000</f>
        <v>2231181</v>
      </c>
      <c r="L417" s="183">
        <f ca="1">VLOOKUP(F417,
    OFFSET(INDIRECT(ADDRESS(MATCH(J417,'Vehicle numbers'!$A$5:$A$162,0),1,1,1,$L$6)),4,1,COUNTIF('Vehicle numbers'!$A$5:$A$162,J417),4),
    MATCH(L$8,'Vehicle numbers'!$B$4:$D$4,0))*1000</f>
        <v>2295206.0417549922</v>
      </c>
      <c r="M417" s="184">
        <f>VLOOKUP(F417,'Annual distance covered (GB)'!$A$8:$H$33,MATCH(J417,'Annual distance covered (GB)'!$A$7:$H$7,0))</f>
        <v>48.6</v>
      </c>
      <c r="N417" s="2">
        <f t="shared" ca="1" si="26"/>
        <v>54424.54990772454</v>
      </c>
      <c r="O417" s="180">
        <f t="shared" ca="1" si="27"/>
        <v>2.3712271978035441E-2</v>
      </c>
      <c r="P417" s="180"/>
      <c r="Q417" s="185"/>
      <c r="R417" s="180"/>
      <c r="S417" s="180"/>
      <c r="T417" s="180"/>
    </row>
    <row r="418" spans="1:20" x14ac:dyDescent="0.25">
      <c r="A418" t="s">
        <v>236</v>
      </c>
      <c r="B418" t="s">
        <v>237</v>
      </c>
      <c r="C418" t="s">
        <v>238</v>
      </c>
      <c r="D418" t="s">
        <v>260</v>
      </c>
      <c r="E418" t="s">
        <v>229</v>
      </c>
      <c r="F418">
        <v>1997</v>
      </c>
      <c r="G418">
        <v>5.8400000000000101E-3</v>
      </c>
      <c r="H418" t="s">
        <v>240</v>
      </c>
      <c r="I418" t="s">
        <v>241</v>
      </c>
      <c r="J418" t="s">
        <v>3</v>
      </c>
      <c r="K418" s="183">
        <f ca="1">VLOOKUP(F418,
    OFFSET(INDIRECT(ADDRESS(MATCH(J418,'Vehicle numbers'!$A$5:$A$162,0),1,1,1,$L$6)),4,1,COUNTIF('Vehicle numbers'!$A$5:$A$162,J418),4),
    MATCH(K$8,'Vehicle numbers'!$B$4:$D$4,0))*1000</f>
        <v>752357</v>
      </c>
      <c r="L418" s="183">
        <f ca="1">VLOOKUP(F418,
    OFFSET(INDIRECT(ADDRESS(MATCH(J418,'Vehicle numbers'!$A$5:$A$162,0),1,1,1,$L$6)),4,1,COUNTIF('Vehicle numbers'!$A$5:$A$162,J418),4),
    MATCH(L$8,'Vehicle numbers'!$B$4:$D$4,0))*1000</f>
        <v>766182.44728808571</v>
      </c>
      <c r="M418" s="184">
        <f>VLOOKUP(F418,'Annual distance covered (GB)'!$A$8:$H$33,MATCH(J418,'Annual distance covered (GB)'!$A$7:$H$7,0))</f>
        <v>4</v>
      </c>
      <c r="N418" s="2">
        <f t="shared" ca="1" si="26"/>
        <v>23789.267553368561</v>
      </c>
      <c r="O418" s="180">
        <f t="shared" ca="1" si="27"/>
        <v>3.1049089727350231E-2</v>
      </c>
      <c r="P418" s="180"/>
      <c r="Q418" s="185"/>
      <c r="R418" s="180"/>
      <c r="S418" s="180"/>
      <c r="T418" s="180"/>
    </row>
    <row r="419" spans="1:20" x14ac:dyDescent="0.25">
      <c r="A419" t="s">
        <v>243</v>
      </c>
      <c r="B419" t="s">
        <v>237</v>
      </c>
      <c r="C419" t="s">
        <v>238</v>
      </c>
      <c r="D419" t="s">
        <v>260</v>
      </c>
      <c r="E419" t="s">
        <v>229</v>
      </c>
      <c r="F419">
        <v>1997</v>
      </c>
      <c r="G419">
        <v>2.336E-3</v>
      </c>
      <c r="H419" t="s">
        <v>240</v>
      </c>
      <c r="I419" t="s">
        <v>241</v>
      </c>
      <c r="J419" t="s">
        <v>3</v>
      </c>
      <c r="K419" s="183">
        <f ca="1">VLOOKUP(F419,
    OFFSET(INDIRECT(ADDRESS(MATCH(J419,'Vehicle numbers'!$A$5:$A$162,0),1,1,1,$L$6)),4,1,COUNTIF('Vehicle numbers'!$A$5:$A$162,J419),4),
    MATCH(K$8,'Vehicle numbers'!$B$4:$D$4,0))*1000</f>
        <v>752357</v>
      </c>
      <c r="L419" s="183">
        <f ca="1">VLOOKUP(F419,
    OFFSET(INDIRECT(ADDRESS(MATCH(J419,'Vehicle numbers'!$A$5:$A$162,0),1,1,1,$L$6)),4,1,COUNTIF('Vehicle numbers'!$A$5:$A$162,J419),4),
    MATCH(L$8,'Vehicle numbers'!$B$4:$D$4,0))*1000</f>
        <v>766182.44728808571</v>
      </c>
      <c r="M419" s="184">
        <f>VLOOKUP(F419,'Annual distance covered (GB)'!$A$8:$H$33,MATCH(J419,'Annual distance covered (GB)'!$A$7:$H$7,0))</f>
        <v>4</v>
      </c>
      <c r="N419" s="2">
        <f t="shared" ca="1" si="26"/>
        <v>9515.707021347409</v>
      </c>
      <c r="O419" s="180">
        <f t="shared" ca="1" si="27"/>
        <v>1.2419635890940072E-2</v>
      </c>
      <c r="P419" s="180"/>
      <c r="Q419" s="185"/>
      <c r="R419" s="180"/>
      <c r="S419" s="180"/>
      <c r="T419" s="180"/>
    </row>
    <row r="420" spans="1:20" x14ac:dyDescent="0.25">
      <c r="A420" t="s">
        <v>244</v>
      </c>
      <c r="B420" t="s">
        <v>237</v>
      </c>
      <c r="C420" t="s">
        <v>238</v>
      </c>
      <c r="D420" t="s">
        <v>260</v>
      </c>
      <c r="E420" t="s">
        <v>229</v>
      </c>
      <c r="F420">
        <v>1997</v>
      </c>
      <c r="G420">
        <v>5.8399999999999999E-4</v>
      </c>
      <c r="H420" t="s">
        <v>240</v>
      </c>
      <c r="I420" t="s">
        <v>241</v>
      </c>
      <c r="J420" t="s">
        <v>3</v>
      </c>
      <c r="K420" s="183">
        <f ca="1">VLOOKUP(F420,
    OFFSET(INDIRECT(ADDRESS(MATCH(J420,'Vehicle numbers'!$A$5:$A$162,0),1,1,1,$L$6)),4,1,COUNTIF('Vehicle numbers'!$A$5:$A$162,J420),4),
    MATCH(K$8,'Vehicle numbers'!$B$4:$D$4,0))*1000</f>
        <v>752357</v>
      </c>
      <c r="L420" s="183">
        <f ca="1">VLOOKUP(F420,
    OFFSET(INDIRECT(ADDRESS(MATCH(J420,'Vehicle numbers'!$A$5:$A$162,0),1,1,1,$L$6)),4,1,COUNTIF('Vehicle numbers'!$A$5:$A$162,J420),4),
    MATCH(L$8,'Vehicle numbers'!$B$4:$D$4,0))*1000</f>
        <v>766182.44728808571</v>
      </c>
      <c r="M420" s="184">
        <f>VLOOKUP(F420,'Annual distance covered (GB)'!$A$8:$H$33,MATCH(J420,'Annual distance covered (GB)'!$A$7:$H$7,0))</f>
        <v>4</v>
      </c>
      <c r="N420" s="2">
        <f t="shared" ca="1" si="26"/>
        <v>2378.9267553368522</v>
      </c>
      <c r="O420" s="180">
        <f t="shared" ca="1" si="27"/>
        <v>3.1049089727350179E-3</v>
      </c>
      <c r="P420" s="180"/>
      <c r="Q420" s="185"/>
      <c r="R420" s="180"/>
      <c r="S420" s="180"/>
      <c r="T420" s="180"/>
    </row>
    <row r="421" spans="1:20" x14ac:dyDescent="0.25">
      <c r="A421" t="s">
        <v>246</v>
      </c>
      <c r="B421" t="s">
        <v>237</v>
      </c>
      <c r="C421" t="s">
        <v>238</v>
      </c>
      <c r="D421" t="s">
        <v>260</v>
      </c>
      <c r="E421" t="s">
        <v>229</v>
      </c>
      <c r="F421">
        <v>1997</v>
      </c>
      <c r="G421">
        <v>4.6720000000000003E-4</v>
      </c>
      <c r="H421" t="s">
        <v>240</v>
      </c>
      <c r="I421" t="s">
        <v>241</v>
      </c>
      <c r="J421" t="s">
        <v>3</v>
      </c>
      <c r="K421" s="183">
        <f ca="1">VLOOKUP(F421,
    OFFSET(INDIRECT(ADDRESS(MATCH(J421,'Vehicle numbers'!$A$5:$A$162,0),1,1,1,$L$6)),4,1,COUNTIF('Vehicle numbers'!$A$5:$A$162,J421),4),
    MATCH(K$8,'Vehicle numbers'!$B$4:$D$4,0))*1000</f>
        <v>752357</v>
      </c>
      <c r="L421" s="183">
        <f ca="1">VLOOKUP(F421,
    OFFSET(INDIRECT(ADDRESS(MATCH(J421,'Vehicle numbers'!$A$5:$A$162,0),1,1,1,$L$6)),4,1,COUNTIF('Vehicle numbers'!$A$5:$A$162,J421),4),
    MATCH(L$8,'Vehicle numbers'!$B$4:$D$4,0))*1000</f>
        <v>766182.44728808571</v>
      </c>
      <c r="M421" s="184">
        <f>VLOOKUP(F421,'Annual distance covered (GB)'!$A$8:$H$33,MATCH(J421,'Annual distance covered (GB)'!$A$7:$H$7,0))</f>
        <v>4</v>
      </c>
      <c r="N421" s="2">
        <f t="shared" ca="1" si="26"/>
        <v>1903.1414042694819</v>
      </c>
      <c r="O421" s="180">
        <f t="shared" ca="1" si="27"/>
        <v>2.4839271781880146E-3</v>
      </c>
      <c r="P421" s="180"/>
      <c r="Q421" s="185"/>
      <c r="R421" s="180"/>
      <c r="S421" s="180"/>
      <c r="T421" s="180"/>
    </row>
    <row r="422" spans="1:20" x14ac:dyDescent="0.25">
      <c r="A422" t="s">
        <v>236</v>
      </c>
      <c r="B422" t="s">
        <v>237</v>
      </c>
      <c r="C422" t="s">
        <v>238</v>
      </c>
      <c r="D422" t="s">
        <v>260</v>
      </c>
      <c r="E422" t="s">
        <v>228</v>
      </c>
      <c r="F422">
        <v>1997</v>
      </c>
      <c r="G422">
        <v>3.7570000000000099E-3</v>
      </c>
      <c r="H422" t="s">
        <v>240</v>
      </c>
      <c r="I422" t="s">
        <v>241</v>
      </c>
      <c r="J422" t="s">
        <v>3</v>
      </c>
      <c r="K422" s="183">
        <f ca="1">VLOOKUP(F422,
    OFFSET(INDIRECT(ADDRESS(MATCH(J422,'Vehicle numbers'!$A$5:$A$162,0),1,1,1,$L$6)),4,1,COUNTIF('Vehicle numbers'!$A$5:$A$162,J422),4),
    MATCH(K$8,'Vehicle numbers'!$B$4:$D$4,0))*1000</f>
        <v>752357</v>
      </c>
      <c r="L422" s="183">
        <f ca="1">VLOOKUP(F422,
    OFFSET(INDIRECT(ADDRESS(MATCH(J422,'Vehicle numbers'!$A$5:$A$162,0),1,1,1,$L$6)),4,1,COUNTIF('Vehicle numbers'!$A$5:$A$162,J422),4),
    MATCH(L$8,'Vehicle numbers'!$B$4:$D$4,0))*1000</f>
        <v>766182.44728808571</v>
      </c>
      <c r="M422" s="184">
        <f>VLOOKUP(F422,'Annual distance covered (GB)'!$A$8:$H$33,MATCH(J422,'Annual distance covered (GB)'!$A$7:$H$7,0))</f>
        <v>4</v>
      </c>
      <c r="N422" s="2">
        <f t="shared" ca="1" si="26"/>
        <v>15304.15722568592</v>
      </c>
      <c r="O422" s="180">
        <f t="shared" ca="1" si="27"/>
        <v>1.9974559949598448E-2</v>
      </c>
      <c r="P422" s="180"/>
      <c r="Q422" s="185"/>
      <c r="R422" s="180"/>
      <c r="S422" s="180"/>
      <c r="T422" s="180"/>
    </row>
    <row r="423" spans="1:20" x14ac:dyDescent="0.25">
      <c r="A423" t="s">
        <v>243</v>
      </c>
      <c r="B423" t="s">
        <v>237</v>
      </c>
      <c r="C423" t="s">
        <v>238</v>
      </c>
      <c r="D423" t="s">
        <v>260</v>
      </c>
      <c r="E423" t="s">
        <v>228</v>
      </c>
      <c r="F423">
        <v>1997</v>
      </c>
      <c r="G423">
        <v>2.6299000000000101E-3</v>
      </c>
      <c r="H423" t="s">
        <v>240</v>
      </c>
      <c r="I423" t="s">
        <v>241</v>
      </c>
      <c r="J423" t="s">
        <v>3</v>
      </c>
      <c r="K423" s="183">
        <f ca="1">VLOOKUP(F423,
    OFFSET(INDIRECT(ADDRESS(MATCH(J423,'Vehicle numbers'!$A$5:$A$162,0),1,1,1,$L$6)),4,1,COUNTIF('Vehicle numbers'!$A$5:$A$162,J423),4),
    MATCH(K$8,'Vehicle numbers'!$B$4:$D$4,0))*1000</f>
        <v>752357</v>
      </c>
      <c r="L423" s="183">
        <f ca="1">VLOOKUP(F423,
    OFFSET(INDIRECT(ADDRESS(MATCH(J423,'Vehicle numbers'!$A$5:$A$162,0),1,1,1,$L$6)),4,1,COUNTIF('Vehicle numbers'!$A$5:$A$162,J423),4),
    MATCH(L$8,'Vehicle numbers'!$B$4:$D$4,0))*1000</f>
        <v>766182.44728808571</v>
      </c>
      <c r="M423" s="184">
        <f>VLOOKUP(F423,'Annual distance covered (GB)'!$A$8:$H$33,MATCH(J423,'Annual distance covered (GB)'!$A$7:$H$7,0))</f>
        <v>4</v>
      </c>
      <c r="N423" s="2">
        <f t="shared" ca="1" si="26"/>
        <v>10712.910057980156</v>
      </c>
      <c r="O423" s="180">
        <f t="shared" ca="1" si="27"/>
        <v>1.3982191964718929E-2</v>
      </c>
      <c r="P423" s="180"/>
      <c r="Q423" s="185"/>
      <c r="R423" s="180"/>
      <c r="S423" s="180"/>
      <c r="T423" s="180"/>
    </row>
    <row r="424" spans="1:20" x14ac:dyDescent="0.25">
      <c r="A424" t="s">
        <v>244</v>
      </c>
      <c r="B424" t="s">
        <v>237</v>
      </c>
      <c r="C424" t="s">
        <v>238</v>
      </c>
      <c r="D424" t="s">
        <v>260</v>
      </c>
      <c r="E424" t="s">
        <v>228</v>
      </c>
      <c r="F424">
        <v>1997</v>
      </c>
      <c r="G424">
        <v>3.7040845070422602E-4</v>
      </c>
      <c r="H424" t="s">
        <v>240</v>
      </c>
      <c r="I424" t="s">
        <v>241</v>
      </c>
      <c r="J424" t="s">
        <v>3</v>
      </c>
      <c r="K424" s="183">
        <f ca="1">VLOOKUP(F424,
    OFFSET(INDIRECT(ADDRESS(MATCH(J424,'Vehicle numbers'!$A$5:$A$162,0),1,1,1,$L$6)),4,1,COUNTIF('Vehicle numbers'!$A$5:$A$162,J424),4),
    MATCH(K$8,'Vehicle numbers'!$B$4:$D$4,0))*1000</f>
        <v>752357</v>
      </c>
      <c r="L424" s="183">
        <f ca="1">VLOOKUP(F424,
    OFFSET(INDIRECT(ADDRESS(MATCH(J424,'Vehicle numbers'!$A$5:$A$162,0),1,1,1,$L$6)),4,1,COUNTIF('Vehicle numbers'!$A$5:$A$162,J424),4),
    MATCH(L$8,'Vehicle numbers'!$B$4:$D$4,0))*1000</f>
        <v>766182.44728808571</v>
      </c>
      <c r="M424" s="184">
        <f>VLOOKUP(F424,'Annual distance covered (GB)'!$A$8:$H$33,MATCH(J424,'Annual distance covered (GB)'!$A$7:$H$7,0))</f>
        <v>4</v>
      </c>
      <c r="N424" s="2">
        <f t="shared" ca="1" si="26"/>
        <v>1508.8605715464978</v>
      </c>
      <c r="O424" s="180">
        <f t="shared" ca="1" si="27"/>
        <v>1.9693228119322397E-3</v>
      </c>
      <c r="P424" s="180"/>
      <c r="Q424" s="185"/>
      <c r="R424" s="180"/>
      <c r="S424" s="180"/>
      <c r="T424" s="180"/>
    </row>
    <row r="425" spans="1:20" x14ac:dyDescent="0.25">
      <c r="A425" t="s">
        <v>246</v>
      </c>
      <c r="B425" t="s">
        <v>237</v>
      </c>
      <c r="C425" t="s">
        <v>238</v>
      </c>
      <c r="D425" t="s">
        <v>260</v>
      </c>
      <c r="E425" t="s">
        <v>228</v>
      </c>
      <c r="F425">
        <v>1997</v>
      </c>
      <c r="G425">
        <v>2.9632676056338101E-4</v>
      </c>
      <c r="H425" t="s">
        <v>240</v>
      </c>
      <c r="I425" t="s">
        <v>241</v>
      </c>
      <c r="J425" t="s">
        <v>3</v>
      </c>
      <c r="K425" s="183">
        <f ca="1">VLOOKUP(F425,
    OFFSET(INDIRECT(ADDRESS(MATCH(J425,'Vehicle numbers'!$A$5:$A$162,0),1,1,1,$L$6)),4,1,COUNTIF('Vehicle numbers'!$A$5:$A$162,J425),4),
    MATCH(K$8,'Vehicle numbers'!$B$4:$D$4,0))*1000</f>
        <v>752357</v>
      </c>
      <c r="L425" s="183">
        <f ca="1">VLOOKUP(F425,
    OFFSET(INDIRECT(ADDRESS(MATCH(J425,'Vehicle numbers'!$A$5:$A$162,0),1,1,1,$L$6)),4,1,COUNTIF('Vehicle numbers'!$A$5:$A$162,J425),4),
    MATCH(L$8,'Vehicle numbers'!$B$4:$D$4,0))*1000</f>
        <v>766182.44728808571</v>
      </c>
      <c r="M425" s="184">
        <f>VLOOKUP(F425,'Annual distance covered (GB)'!$A$8:$H$33,MATCH(J425,'Annual distance covered (GB)'!$A$7:$H$7,0))</f>
        <v>4</v>
      </c>
      <c r="N425" s="2">
        <f t="shared" ca="1" si="26"/>
        <v>1207.088457237199</v>
      </c>
      <c r="O425" s="180">
        <f t="shared" ca="1" si="27"/>
        <v>1.5754582495457925E-3</v>
      </c>
      <c r="P425" s="180"/>
      <c r="Q425" s="185"/>
      <c r="R425" s="180"/>
      <c r="S425" s="180"/>
      <c r="T425" s="180"/>
    </row>
    <row r="426" spans="1:20" x14ac:dyDescent="0.25">
      <c r="A426" t="s">
        <v>236</v>
      </c>
      <c r="B426" t="s">
        <v>237</v>
      </c>
      <c r="C426" t="s">
        <v>238</v>
      </c>
      <c r="D426" t="s">
        <v>261</v>
      </c>
      <c r="E426" t="s">
        <v>229</v>
      </c>
      <c r="F426">
        <v>1997</v>
      </c>
      <c r="G426">
        <v>5.8399999999999997E-3</v>
      </c>
      <c r="H426" t="s">
        <v>240</v>
      </c>
      <c r="I426" t="s">
        <v>241</v>
      </c>
      <c r="J426" t="s">
        <v>3</v>
      </c>
      <c r="K426" s="183">
        <f ca="1">VLOOKUP(F426,
    OFFSET(INDIRECT(ADDRESS(MATCH(J426,'Vehicle numbers'!$A$5:$A$162,0),1,1,1,$L$6)),4,1,COUNTIF('Vehicle numbers'!$A$5:$A$162,J426),4),
    MATCH(K$8,'Vehicle numbers'!$B$4:$D$4,0))*1000</f>
        <v>752357</v>
      </c>
      <c r="L426" s="183">
        <f ca="1">VLOOKUP(F426,
    OFFSET(INDIRECT(ADDRESS(MATCH(J426,'Vehicle numbers'!$A$5:$A$162,0),1,1,1,$L$6)),4,1,COUNTIF('Vehicle numbers'!$A$5:$A$162,J426),4),
    MATCH(L$8,'Vehicle numbers'!$B$4:$D$4,0))*1000</f>
        <v>766182.44728808571</v>
      </c>
      <c r="M426" s="184">
        <f>VLOOKUP(F426,'Annual distance covered (GB)'!$A$8:$H$33,MATCH(J426,'Annual distance covered (GB)'!$A$7:$H$7,0))</f>
        <v>4</v>
      </c>
      <c r="N426" s="2">
        <f t="shared" ca="1" si="26"/>
        <v>23789.267553368521</v>
      </c>
      <c r="O426" s="180">
        <f t="shared" ca="1" si="27"/>
        <v>3.1049089727350179E-2</v>
      </c>
      <c r="P426" s="180"/>
      <c r="Q426" s="185"/>
      <c r="R426" s="180"/>
      <c r="S426" s="180"/>
      <c r="T426" s="180"/>
    </row>
    <row r="427" spans="1:20" x14ac:dyDescent="0.25">
      <c r="A427" t="s">
        <v>243</v>
      </c>
      <c r="B427" t="s">
        <v>237</v>
      </c>
      <c r="C427" t="s">
        <v>238</v>
      </c>
      <c r="D427" t="s">
        <v>261</v>
      </c>
      <c r="E427" t="s">
        <v>229</v>
      </c>
      <c r="F427">
        <v>1997</v>
      </c>
      <c r="G427">
        <v>2.336E-3</v>
      </c>
      <c r="H427" t="s">
        <v>240</v>
      </c>
      <c r="I427" t="s">
        <v>241</v>
      </c>
      <c r="J427" t="s">
        <v>3</v>
      </c>
      <c r="K427" s="183">
        <f ca="1">VLOOKUP(F427,
    OFFSET(INDIRECT(ADDRESS(MATCH(J427,'Vehicle numbers'!$A$5:$A$162,0),1,1,1,$L$6)),4,1,COUNTIF('Vehicle numbers'!$A$5:$A$162,J427),4),
    MATCH(K$8,'Vehicle numbers'!$B$4:$D$4,0))*1000</f>
        <v>752357</v>
      </c>
      <c r="L427" s="183">
        <f ca="1">VLOOKUP(F427,
    OFFSET(INDIRECT(ADDRESS(MATCH(J427,'Vehicle numbers'!$A$5:$A$162,0),1,1,1,$L$6)),4,1,COUNTIF('Vehicle numbers'!$A$5:$A$162,J427),4),
    MATCH(L$8,'Vehicle numbers'!$B$4:$D$4,0))*1000</f>
        <v>766182.44728808571</v>
      </c>
      <c r="M427" s="184">
        <f>VLOOKUP(F427,'Annual distance covered (GB)'!$A$8:$H$33,MATCH(J427,'Annual distance covered (GB)'!$A$7:$H$7,0))</f>
        <v>4</v>
      </c>
      <c r="N427" s="2">
        <f t="shared" ca="1" si="26"/>
        <v>9515.707021347409</v>
      </c>
      <c r="O427" s="180">
        <f t="shared" ca="1" si="27"/>
        <v>1.2419635890940072E-2</v>
      </c>
      <c r="P427" s="180"/>
      <c r="Q427" s="185"/>
      <c r="R427" s="180"/>
      <c r="S427" s="180"/>
      <c r="T427" s="180"/>
    </row>
    <row r="428" spans="1:20" x14ac:dyDescent="0.25">
      <c r="A428" t="s">
        <v>244</v>
      </c>
      <c r="B428" t="s">
        <v>237</v>
      </c>
      <c r="C428" t="s">
        <v>238</v>
      </c>
      <c r="D428" t="s">
        <v>261</v>
      </c>
      <c r="E428" t="s">
        <v>229</v>
      </c>
      <c r="F428">
        <v>1997</v>
      </c>
      <c r="G428">
        <v>5.8399999999999999E-4</v>
      </c>
      <c r="H428" t="s">
        <v>240</v>
      </c>
      <c r="I428" t="s">
        <v>241</v>
      </c>
      <c r="J428" t="s">
        <v>3</v>
      </c>
      <c r="K428" s="183">
        <f ca="1">VLOOKUP(F428,
    OFFSET(INDIRECT(ADDRESS(MATCH(J428,'Vehicle numbers'!$A$5:$A$162,0),1,1,1,$L$6)),4,1,COUNTIF('Vehicle numbers'!$A$5:$A$162,J428),4),
    MATCH(K$8,'Vehicle numbers'!$B$4:$D$4,0))*1000</f>
        <v>752357</v>
      </c>
      <c r="L428" s="183">
        <f ca="1">VLOOKUP(F428,
    OFFSET(INDIRECT(ADDRESS(MATCH(J428,'Vehicle numbers'!$A$5:$A$162,0),1,1,1,$L$6)),4,1,COUNTIF('Vehicle numbers'!$A$5:$A$162,J428),4),
    MATCH(L$8,'Vehicle numbers'!$B$4:$D$4,0))*1000</f>
        <v>766182.44728808571</v>
      </c>
      <c r="M428" s="184">
        <f>VLOOKUP(F428,'Annual distance covered (GB)'!$A$8:$H$33,MATCH(J428,'Annual distance covered (GB)'!$A$7:$H$7,0))</f>
        <v>4</v>
      </c>
      <c r="N428" s="2">
        <f t="shared" ca="1" si="26"/>
        <v>2378.9267553368522</v>
      </c>
      <c r="O428" s="180">
        <f t="shared" ca="1" si="27"/>
        <v>3.1049089727350179E-3</v>
      </c>
      <c r="P428" s="180"/>
      <c r="Q428" s="185"/>
      <c r="R428" s="180"/>
      <c r="S428" s="180"/>
      <c r="T428" s="180"/>
    </row>
    <row r="429" spans="1:20" x14ac:dyDescent="0.25">
      <c r="A429" t="s">
        <v>246</v>
      </c>
      <c r="B429" t="s">
        <v>237</v>
      </c>
      <c r="C429" t="s">
        <v>238</v>
      </c>
      <c r="D429" t="s">
        <v>261</v>
      </c>
      <c r="E429" t="s">
        <v>229</v>
      </c>
      <c r="F429">
        <v>1997</v>
      </c>
      <c r="G429">
        <v>4.6720000000000003E-4</v>
      </c>
      <c r="H429" t="s">
        <v>240</v>
      </c>
      <c r="I429" t="s">
        <v>241</v>
      </c>
      <c r="J429" t="s">
        <v>3</v>
      </c>
      <c r="K429" s="183">
        <f ca="1">VLOOKUP(F429,
    OFFSET(INDIRECT(ADDRESS(MATCH(J429,'Vehicle numbers'!$A$5:$A$162,0),1,1,1,$L$6)),4,1,COUNTIF('Vehicle numbers'!$A$5:$A$162,J429),4),
    MATCH(K$8,'Vehicle numbers'!$B$4:$D$4,0))*1000</f>
        <v>752357</v>
      </c>
      <c r="L429" s="183">
        <f ca="1">VLOOKUP(F429,
    OFFSET(INDIRECT(ADDRESS(MATCH(J429,'Vehicle numbers'!$A$5:$A$162,0),1,1,1,$L$6)),4,1,COUNTIF('Vehicle numbers'!$A$5:$A$162,J429),4),
    MATCH(L$8,'Vehicle numbers'!$B$4:$D$4,0))*1000</f>
        <v>766182.44728808571</v>
      </c>
      <c r="M429" s="184">
        <f>VLOOKUP(F429,'Annual distance covered (GB)'!$A$8:$H$33,MATCH(J429,'Annual distance covered (GB)'!$A$7:$H$7,0))</f>
        <v>4</v>
      </c>
      <c r="N429" s="2">
        <f t="shared" ca="1" si="26"/>
        <v>1903.1414042694819</v>
      </c>
      <c r="O429" s="180">
        <f t="shared" ca="1" si="27"/>
        <v>2.4839271781880146E-3</v>
      </c>
      <c r="P429" s="180"/>
      <c r="Q429" s="185"/>
      <c r="R429" s="180"/>
      <c r="S429" s="180"/>
      <c r="T429" s="180"/>
    </row>
    <row r="430" spans="1:20" x14ac:dyDescent="0.25">
      <c r="A430" t="s">
        <v>236</v>
      </c>
      <c r="B430" t="s">
        <v>237</v>
      </c>
      <c r="C430" t="s">
        <v>238</v>
      </c>
      <c r="D430" t="s">
        <v>261</v>
      </c>
      <c r="E430" t="s">
        <v>228</v>
      </c>
      <c r="F430">
        <v>1997</v>
      </c>
      <c r="G430">
        <v>3.7569999999999999E-3</v>
      </c>
      <c r="H430" t="s">
        <v>240</v>
      </c>
      <c r="I430" t="s">
        <v>241</v>
      </c>
      <c r="J430" t="s">
        <v>3</v>
      </c>
      <c r="K430" s="183">
        <f ca="1">VLOOKUP(F430,
    OFFSET(INDIRECT(ADDRESS(MATCH(J430,'Vehicle numbers'!$A$5:$A$162,0),1,1,1,$L$6)),4,1,COUNTIF('Vehicle numbers'!$A$5:$A$162,J430),4),
    MATCH(K$8,'Vehicle numbers'!$B$4:$D$4,0))*1000</f>
        <v>752357</v>
      </c>
      <c r="L430" s="183">
        <f ca="1">VLOOKUP(F430,
    OFFSET(INDIRECT(ADDRESS(MATCH(J430,'Vehicle numbers'!$A$5:$A$162,0),1,1,1,$L$6)),4,1,COUNTIF('Vehicle numbers'!$A$5:$A$162,J430),4),
    MATCH(L$8,'Vehicle numbers'!$B$4:$D$4,0))*1000</f>
        <v>766182.44728808571</v>
      </c>
      <c r="M430" s="184">
        <f>VLOOKUP(F430,'Annual distance covered (GB)'!$A$8:$H$33,MATCH(J430,'Annual distance covered (GB)'!$A$7:$H$7,0))</f>
        <v>4</v>
      </c>
      <c r="N430" s="2">
        <f t="shared" ca="1" si="26"/>
        <v>15304.15722568588</v>
      </c>
      <c r="O430" s="180">
        <f t="shared" ca="1" si="27"/>
        <v>1.9974559949598396E-2</v>
      </c>
      <c r="P430" s="180"/>
      <c r="Q430" s="185"/>
      <c r="R430" s="180"/>
      <c r="S430" s="180"/>
      <c r="T430" s="180"/>
    </row>
    <row r="431" spans="1:20" x14ac:dyDescent="0.25">
      <c r="A431" t="s">
        <v>243</v>
      </c>
      <c r="B431" t="s">
        <v>237</v>
      </c>
      <c r="C431" t="s">
        <v>238</v>
      </c>
      <c r="D431" t="s">
        <v>261</v>
      </c>
      <c r="E431" t="s">
        <v>228</v>
      </c>
      <c r="F431">
        <v>1997</v>
      </c>
      <c r="G431">
        <v>2.6299000000000001E-3</v>
      </c>
      <c r="H431" t="s">
        <v>240</v>
      </c>
      <c r="I431" t="s">
        <v>241</v>
      </c>
      <c r="J431" t="s">
        <v>3</v>
      </c>
      <c r="K431" s="183">
        <f ca="1">VLOOKUP(F431,
    OFFSET(INDIRECT(ADDRESS(MATCH(J431,'Vehicle numbers'!$A$5:$A$162,0),1,1,1,$L$6)),4,1,COUNTIF('Vehicle numbers'!$A$5:$A$162,J431),4),
    MATCH(K$8,'Vehicle numbers'!$B$4:$D$4,0))*1000</f>
        <v>752357</v>
      </c>
      <c r="L431" s="183">
        <f ca="1">VLOOKUP(F431,
    OFFSET(INDIRECT(ADDRESS(MATCH(J431,'Vehicle numbers'!$A$5:$A$162,0),1,1,1,$L$6)),4,1,COUNTIF('Vehicle numbers'!$A$5:$A$162,J431),4),
    MATCH(L$8,'Vehicle numbers'!$B$4:$D$4,0))*1000</f>
        <v>766182.44728808571</v>
      </c>
      <c r="M431" s="184">
        <f>VLOOKUP(F431,'Annual distance covered (GB)'!$A$8:$H$33,MATCH(J431,'Annual distance covered (GB)'!$A$7:$H$7,0))</f>
        <v>4</v>
      </c>
      <c r="N431" s="2">
        <f t="shared" ca="1" si="26"/>
        <v>10712.910057980116</v>
      </c>
      <c r="O431" s="180">
        <f t="shared" ca="1" si="27"/>
        <v>1.3982191964718876E-2</v>
      </c>
      <c r="P431" s="180"/>
      <c r="Q431" s="185"/>
      <c r="R431" s="180"/>
      <c r="S431" s="180"/>
      <c r="T431" s="180"/>
    </row>
    <row r="432" spans="1:20" x14ac:dyDescent="0.25">
      <c r="A432" t="s">
        <v>244</v>
      </c>
      <c r="B432" t="s">
        <v>237</v>
      </c>
      <c r="C432" t="s">
        <v>238</v>
      </c>
      <c r="D432" t="s">
        <v>261</v>
      </c>
      <c r="E432" t="s">
        <v>228</v>
      </c>
      <c r="F432">
        <v>1997</v>
      </c>
      <c r="G432">
        <v>3.7040845070422499E-4</v>
      </c>
      <c r="H432" t="s">
        <v>240</v>
      </c>
      <c r="I432" t="s">
        <v>241</v>
      </c>
      <c r="J432" t="s">
        <v>3</v>
      </c>
      <c r="K432" s="183">
        <f ca="1">VLOOKUP(F432,
    OFFSET(INDIRECT(ADDRESS(MATCH(J432,'Vehicle numbers'!$A$5:$A$162,0),1,1,1,$L$6)),4,1,COUNTIF('Vehicle numbers'!$A$5:$A$162,J432),4),
    MATCH(K$8,'Vehicle numbers'!$B$4:$D$4,0))*1000</f>
        <v>752357</v>
      </c>
      <c r="L432" s="183">
        <f ca="1">VLOOKUP(F432,
    OFFSET(INDIRECT(ADDRESS(MATCH(J432,'Vehicle numbers'!$A$5:$A$162,0),1,1,1,$L$6)),4,1,COUNTIF('Vehicle numbers'!$A$5:$A$162,J432),4),
    MATCH(L$8,'Vehicle numbers'!$B$4:$D$4,0))*1000</f>
        <v>766182.44728808571</v>
      </c>
      <c r="M432" s="184">
        <f>VLOOKUP(F432,'Annual distance covered (GB)'!$A$8:$H$33,MATCH(J432,'Annual distance covered (GB)'!$A$7:$H$7,0))</f>
        <v>4</v>
      </c>
      <c r="N432" s="2">
        <f t="shared" ca="1" si="26"/>
        <v>1508.8605715464937</v>
      </c>
      <c r="O432" s="180">
        <f t="shared" ca="1" si="27"/>
        <v>1.969322811932234E-3</v>
      </c>
      <c r="P432" s="180"/>
      <c r="Q432" s="185"/>
      <c r="R432" s="180"/>
      <c r="S432" s="180"/>
      <c r="T432" s="180"/>
    </row>
    <row r="433" spans="1:20" x14ac:dyDescent="0.25">
      <c r="A433" t="s">
        <v>246</v>
      </c>
      <c r="B433" t="s">
        <v>237</v>
      </c>
      <c r="C433" t="s">
        <v>238</v>
      </c>
      <c r="D433" t="s">
        <v>261</v>
      </c>
      <c r="E433" t="s">
        <v>228</v>
      </c>
      <c r="F433">
        <v>1997</v>
      </c>
      <c r="G433">
        <v>2.9632676056337998E-4</v>
      </c>
      <c r="H433" t="s">
        <v>240</v>
      </c>
      <c r="I433" t="s">
        <v>241</v>
      </c>
      <c r="J433" t="s">
        <v>3</v>
      </c>
      <c r="K433" s="183">
        <f ca="1">VLOOKUP(F433,
    OFFSET(INDIRECT(ADDRESS(MATCH(J433,'Vehicle numbers'!$A$5:$A$162,0),1,1,1,$L$6)),4,1,COUNTIF('Vehicle numbers'!$A$5:$A$162,J433),4),
    MATCH(K$8,'Vehicle numbers'!$B$4:$D$4,0))*1000</f>
        <v>752357</v>
      </c>
      <c r="L433" s="183">
        <f ca="1">VLOOKUP(F433,
    OFFSET(INDIRECT(ADDRESS(MATCH(J433,'Vehicle numbers'!$A$5:$A$162,0),1,1,1,$L$6)),4,1,COUNTIF('Vehicle numbers'!$A$5:$A$162,J433),4),
    MATCH(L$8,'Vehicle numbers'!$B$4:$D$4,0))*1000</f>
        <v>766182.44728808571</v>
      </c>
      <c r="M433" s="184">
        <f>VLOOKUP(F433,'Annual distance covered (GB)'!$A$8:$H$33,MATCH(J433,'Annual distance covered (GB)'!$A$7:$H$7,0))</f>
        <v>4</v>
      </c>
      <c r="N433" s="2">
        <f t="shared" ca="1" si="26"/>
        <v>1207.0884572371949</v>
      </c>
      <c r="O433" s="180">
        <f t="shared" ca="1" si="27"/>
        <v>1.5754582495457873E-3</v>
      </c>
      <c r="P433" s="180"/>
      <c r="Q433" s="185"/>
      <c r="R433" s="180"/>
      <c r="S433" s="180"/>
      <c r="T433" s="180"/>
    </row>
    <row r="434" spans="1:20" x14ac:dyDescent="0.25">
      <c r="A434" t="s">
        <v>236</v>
      </c>
      <c r="B434" t="s">
        <v>237</v>
      </c>
      <c r="C434" t="s">
        <v>238</v>
      </c>
      <c r="D434" t="s">
        <v>262</v>
      </c>
      <c r="E434" t="s">
        <v>229</v>
      </c>
      <c r="F434">
        <v>1997</v>
      </c>
      <c r="G434">
        <v>6.7999999999999896E-4</v>
      </c>
      <c r="H434" t="s">
        <v>240</v>
      </c>
      <c r="I434" t="s">
        <v>241</v>
      </c>
      <c r="J434" t="s">
        <v>3</v>
      </c>
      <c r="K434" s="183">
        <f ca="1">VLOOKUP(F434,
    OFFSET(INDIRECT(ADDRESS(MATCH(J434,'Vehicle numbers'!$A$5:$A$162,0),1,1,1,$L$6)),4,1,COUNTIF('Vehicle numbers'!$A$5:$A$162,J434),4),
    MATCH(K$8,'Vehicle numbers'!$B$4:$D$4,0))*1000</f>
        <v>752357</v>
      </c>
      <c r="L434" s="183">
        <f ca="1">VLOOKUP(F434,
    OFFSET(INDIRECT(ADDRESS(MATCH(J434,'Vehicle numbers'!$A$5:$A$162,0),1,1,1,$L$6)),4,1,COUNTIF('Vehicle numbers'!$A$5:$A$162,J434),4),
    MATCH(L$8,'Vehicle numbers'!$B$4:$D$4,0))*1000</f>
        <v>766182.44728808571</v>
      </c>
      <c r="M434" s="184">
        <f>VLOOKUP(F434,'Annual distance covered (GB)'!$A$8:$H$33,MATCH(J434,'Annual distance covered (GB)'!$A$7:$H$7,0))</f>
        <v>4</v>
      </c>
      <c r="N434" s="2">
        <f t="shared" ca="1" si="26"/>
        <v>2769.9832082689331</v>
      </c>
      <c r="O434" s="180">
        <f t="shared" ca="1" si="27"/>
        <v>3.6153049682530972E-3</v>
      </c>
      <c r="P434" s="180"/>
      <c r="Q434" s="185"/>
      <c r="R434" s="180"/>
      <c r="S434" s="180"/>
      <c r="T434" s="180"/>
    </row>
    <row r="435" spans="1:20" x14ac:dyDescent="0.25">
      <c r="A435" t="s">
        <v>243</v>
      </c>
      <c r="B435" t="s">
        <v>237</v>
      </c>
      <c r="C435" t="s">
        <v>238</v>
      </c>
      <c r="D435" t="s">
        <v>262</v>
      </c>
      <c r="E435" t="s">
        <v>229</v>
      </c>
      <c r="F435">
        <v>1997</v>
      </c>
      <c r="G435">
        <v>2.72E-4</v>
      </c>
      <c r="H435" t="s">
        <v>240</v>
      </c>
      <c r="I435" t="s">
        <v>241</v>
      </c>
      <c r="J435" t="s">
        <v>3</v>
      </c>
      <c r="K435" s="183">
        <f ca="1">VLOOKUP(F435,
    OFFSET(INDIRECT(ADDRESS(MATCH(J435,'Vehicle numbers'!$A$5:$A$162,0),1,1,1,$L$6)),4,1,COUNTIF('Vehicle numbers'!$A$5:$A$162,J435),4),
    MATCH(K$8,'Vehicle numbers'!$B$4:$D$4,0))*1000</f>
        <v>752357</v>
      </c>
      <c r="L435" s="183">
        <f ca="1">VLOOKUP(F435,
    OFFSET(INDIRECT(ADDRESS(MATCH(J435,'Vehicle numbers'!$A$5:$A$162,0),1,1,1,$L$6)),4,1,COUNTIF('Vehicle numbers'!$A$5:$A$162,J435),4),
    MATCH(L$8,'Vehicle numbers'!$B$4:$D$4,0))*1000</f>
        <v>766182.44728808571</v>
      </c>
      <c r="M435" s="184">
        <f>VLOOKUP(F435,'Annual distance covered (GB)'!$A$8:$H$33,MATCH(J435,'Annual distance covered (GB)'!$A$7:$H$7,0))</f>
        <v>4</v>
      </c>
      <c r="N435" s="2">
        <f t="shared" ca="1" si="26"/>
        <v>1107.993283307575</v>
      </c>
      <c r="O435" s="180">
        <f t="shared" ca="1" si="27"/>
        <v>1.4461219873012413E-3</v>
      </c>
      <c r="P435" s="180"/>
      <c r="Q435" s="185"/>
      <c r="R435" s="180"/>
      <c r="S435" s="180"/>
      <c r="T435" s="180"/>
    </row>
    <row r="436" spans="1:20" x14ac:dyDescent="0.25">
      <c r="A436" t="s">
        <v>244</v>
      </c>
      <c r="B436" t="s">
        <v>237</v>
      </c>
      <c r="C436" t="s">
        <v>238</v>
      </c>
      <c r="D436" t="s">
        <v>262</v>
      </c>
      <c r="E436" t="s">
        <v>229</v>
      </c>
      <c r="F436">
        <v>1997</v>
      </c>
      <c r="G436" s="189">
        <v>6.7999999999999999E-5</v>
      </c>
      <c r="H436" t="s">
        <v>240</v>
      </c>
      <c r="I436" t="s">
        <v>241</v>
      </c>
      <c r="J436" t="s">
        <v>3</v>
      </c>
      <c r="K436" s="183">
        <f ca="1">VLOOKUP(F436,
    OFFSET(INDIRECT(ADDRESS(MATCH(J436,'Vehicle numbers'!$A$5:$A$162,0),1,1,1,$L$6)),4,1,COUNTIF('Vehicle numbers'!$A$5:$A$162,J436),4),
    MATCH(K$8,'Vehicle numbers'!$B$4:$D$4,0))*1000</f>
        <v>752357</v>
      </c>
      <c r="L436" s="183">
        <f ca="1">VLOOKUP(F436,
    OFFSET(INDIRECT(ADDRESS(MATCH(J436,'Vehicle numbers'!$A$5:$A$162,0),1,1,1,$L$6)),4,1,COUNTIF('Vehicle numbers'!$A$5:$A$162,J436),4),
    MATCH(L$8,'Vehicle numbers'!$B$4:$D$4,0))*1000</f>
        <v>766182.44728808571</v>
      </c>
      <c r="M436" s="184">
        <f>VLOOKUP(F436,'Annual distance covered (GB)'!$A$8:$H$33,MATCH(J436,'Annual distance covered (GB)'!$A$7:$H$7,0))</f>
        <v>4</v>
      </c>
      <c r="N436" s="2">
        <f t="shared" ca="1" si="26"/>
        <v>276.99832082689375</v>
      </c>
      <c r="O436" s="180">
        <f t="shared" ca="1" si="27"/>
        <v>3.6153049682531032E-4</v>
      </c>
      <c r="P436" s="180"/>
      <c r="Q436" s="185"/>
      <c r="R436" s="180"/>
      <c r="S436" s="180"/>
      <c r="T436" s="180"/>
    </row>
    <row r="437" spans="1:20" x14ac:dyDescent="0.25">
      <c r="A437" t="s">
        <v>246</v>
      </c>
      <c r="B437" t="s">
        <v>237</v>
      </c>
      <c r="C437" t="s">
        <v>238</v>
      </c>
      <c r="D437" t="s">
        <v>262</v>
      </c>
      <c r="E437" t="s">
        <v>229</v>
      </c>
      <c r="F437">
        <v>1997</v>
      </c>
      <c r="G437" s="189">
        <v>5.4400000000000001E-5</v>
      </c>
      <c r="H437" t="s">
        <v>240</v>
      </c>
      <c r="I437" t="s">
        <v>241</v>
      </c>
      <c r="J437" t="s">
        <v>3</v>
      </c>
      <c r="K437" s="183">
        <f ca="1">VLOOKUP(F437,
    OFFSET(INDIRECT(ADDRESS(MATCH(J437,'Vehicle numbers'!$A$5:$A$162,0),1,1,1,$L$6)),4,1,COUNTIF('Vehicle numbers'!$A$5:$A$162,J437),4),
    MATCH(K$8,'Vehicle numbers'!$B$4:$D$4,0))*1000</f>
        <v>752357</v>
      </c>
      <c r="L437" s="183">
        <f ca="1">VLOOKUP(F437,
    OFFSET(INDIRECT(ADDRESS(MATCH(J437,'Vehicle numbers'!$A$5:$A$162,0),1,1,1,$L$6)),4,1,COUNTIF('Vehicle numbers'!$A$5:$A$162,J437),4),
    MATCH(L$8,'Vehicle numbers'!$B$4:$D$4,0))*1000</f>
        <v>766182.44728808571</v>
      </c>
      <c r="M437" s="184">
        <f>VLOOKUP(F437,'Annual distance covered (GB)'!$A$8:$H$33,MATCH(J437,'Annual distance covered (GB)'!$A$7:$H$7,0))</f>
        <v>4</v>
      </c>
      <c r="N437" s="2">
        <f t="shared" ca="1" si="26"/>
        <v>221.59865666151498</v>
      </c>
      <c r="O437" s="180">
        <f t="shared" ca="1" si="27"/>
        <v>2.8922439746024823E-4</v>
      </c>
      <c r="P437" s="180"/>
      <c r="Q437" s="185"/>
      <c r="R437" s="180"/>
      <c r="S437" s="180"/>
      <c r="T437" s="180"/>
    </row>
    <row r="438" spans="1:20" x14ac:dyDescent="0.25">
      <c r="A438" t="s">
        <v>236</v>
      </c>
      <c r="B438" t="s">
        <v>237</v>
      </c>
      <c r="C438" t="s">
        <v>238</v>
      </c>
      <c r="D438" t="s">
        <v>262</v>
      </c>
      <c r="E438" t="s">
        <v>228</v>
      </c>
      <c r="F438">
        <v>1997</v>
      </c>
      <c r="G438">
        <v>2.49E-3</v>
      </c>
      <c r="H438" t="s">
        <v>240</v>
      </c>
      <c r="I438" t="s">
        <v>241</v>
      </c>
      <c r="J438" t="s">
        <v>3</v>
      </c>
      <c r="K438" s="183">
        <f ca="1">VLOOKUP(F438,
    OFFSET(INDIRECT(ADDRESS(MATCH(J438,'Vehicle numbers'!$A$5:$A$162,0),1,1,1,$L$6)),4,1,COUNTIF('Vehicle numbers'!$A$5:$A$162,J438),4),
    MATCH(K$8,'Vehicle numbers'!$B$4:$D$4,0))*1000</f>
        <v>752357</v>
      </c>
      <c r="L438" s="183">
        <f ca="1">VLOOKUP(F438,
    OFFSET(INDIRECT(ADDRESS(MATCH(J438,'Vehicle numbers'!$A$5:$A$162,0),1,1,1,$L$6)),4,1,COUNTIF('Vehicle numbers'!$A$5:$A$162,J438),4),
    MATCH(L$8,'Vehicle numbers'!$B$4:$D$4,0))*1000</f>
        <v>766182.44728808571</v>
      </c>
      <c r="M438" s="184">
        <f>VLOOKUP(F438,'Annual distance covered (GB)'!$A$8:$H$33,MATCH(J438,'Annual distance covered (GB)'!$A$7:$H$7,0))</f>
        <v>4</v>
      </c>
      <c r="N438" s="2">
        <f t="shared" ca="1" si="26"/>
        <v>10143.026747925962</v>
      </c>
      <c r="O438" s="180">
        <f t="shared" ca="1" si="27"/>
        <v>1.3238396133750333E-2</v>
      </c>
      <c r="P438" s="180"/>
      <c r="Q438" s="185"/>
      <c r="R438" s="180"/>
      <c r="S438" s="180"/>
      <c r="T438" s="180"/>
    </row>
    <row r="439" spans="1:20" x14ac:dyDescent="0.25">
      <c r="A439" t="s">
        <v>243</v>
      </c>
      <c r="B439" t="s">
        <v>237</v>
      </c>
      <c r="C439" t="s">
        <v>238</v>
      </c>
      <c r="D439" t="s">
        <v>262</v>
      </c>
      <c r="E439" t="s">
        <v>228</v>
      </c>
      <c r="F439">
        <v>1997</v>
      </c>
      <c r="G439">
        <v>1.743E-3</v>
      </c>
      <c r="H439" t="s">
        <v>240</v>
      </c>
      <c r="I439" t="s">
        <v>241</v>
      </c>
      <c r="J439" t="s">
        <v>3</v>
      </c>
      <c r="K439" s="183">
        <f ca="1">VLOOKUP(F439,
    OFFSET(INDIRECT(ADDRESS(MATCH(J439,'Vehicle numbers'!$A$5:$A$162,0),1,1,1,$L$6)),4,1,COUNTIF('Vehicle numbers'!$A$5:$A$162,J439),4),
    MATCH(K$8,'Vehicle numbers'!$B$4:$D$4,0))*1000</f>
        <v>752357</v>
      </c>
      <c r="L439" s="183">
        <f ca="1">VLOOKUP(F439,
    OFFSET(INDIRECT(ADDRESS(MATCH(J439,'Vehicle numbers'!$A$5:$A$162,0),1,1,1,$L$6)),4,1,COUNTIF('Vehicle numbers'!$A$5:$A$162,J439),4),
    MATCH(L$8,'Vehicle numbers'!$B$4:$D$4,0))*1000</f>
        <v>766182.44728808571</v>
      </c>
      <c r="M439" s="184">
        <f>VLOOKUP(F439,'Annual distance covered (GB)'!$A$8:$H$33,MATCH(J439,'Annual distance covered (GB)'!$A$7:$H$7,0))</f>
        <v>4</v>
      </c>
      <c r="N439" s="2">
        <f t="shared" ca="1" si="26"/>
        <v>7100.118723548173</v>
      </c>
      <c r="O439" s="180">
        <f t="shared" ca="1" si="27"/>
        <v>9.2668772936252333E-3</v>
      </c>
      <c r="P439" s="180"/>
      <c r="Q439" s="185"/>
      <c r="R439" s="180"/>
      <c r="S439" s="180"/>
      <c r="T439" s="180"/>
    </row>
    <row r="440" spans="1:20" x14ac:dyDescent="0.25">
      <c r="A440" t="s">
        <v>244</v>
      </c>
      <c r="B440" t="s">
        <v>237</v>
      </c>
      <c r="C440" t="s">
        <v>238</v>
      </c>
      <c r="D440" t="s">
        <v>262</v>
      </c>
      <c r="E440" t="s">
        <v>228</v>
      </c>
      <c r="F440">
        <v>1997</v>
      </c>
      <c r="G440">
        <v>2.4549295774647798E-4</v>
      </c>
      <c r="H440" t="s">
        <v>240</v>
      </c>
      <c r="I440" t="s">
        <v>241</v>
      </c>
      <c r="J440" t="s">
        <v>3</v>
      </c>
      <c r="K440" s="183">
        <f ca="1">VLOOKUP(F440,
    OFFSET(INDIRECT(ADDRESS(MATCH(J440,'Vehicle numbers'!$A$5:$A$162,0),1,1,1,$L$6)),4,1,COUNTIF('Vehicle numbers'!$A$5:$A$162,J440),4),
    MATCH(K$8,'Vehicle numbers'!$B$4:$D$4,0))*1000</f>
        <v>752357</v>
      </c>
      <c r="L440" s="183">
        <f ca="1">VLOOKUP(F440,
    OFFSET(INDIRECT(ADDRESS(MATCH(J440,'Vehicle numbers'!$A$5:$A$162,0),1,1,1,$L$6)),4,1,COUNTIF('Vehicle numbers'!$A$5:$A$162,J440),4),
    MATCH(L$8,'Vehicle numbers'!$B$4:$D$4,0))*1000</f>
        <v>766182.44728808571</v>
      </c>
      <c r="M440" s="184">
        <f>VLOOKUP(F440,'Annual distance covered (GB)'!$A$8:$H$33,MATCH(J440,'Annual distance covered (GB)'!$A$7:$H$7,0))</f>
        <v>4</v>
      </c>
      <c r="N440" s="2">
        <f t="shared" ca="1" si="26"/>
        <v>1000.0167216264996</v>
      </c>
      <c r="O440" s="180">
        <f t="shared" ca="1" si="27"/>
        <v>1.3051939850176337E-3</v>
      </c>
      <c r="P440" s="180"/>
      <c r="Q440" s="185"/>
      <c r="R440" s="180"/>
      <c r="S440" s="180"/>
      <c r="T440" s="180"/>
    </row>
    <row r="441" spans="1:20" x14ac:dyDescent="0.25">
      <c r="A441" t="s">
        <v>246</v>
      </c>
      <c r="B441" t="s">
        <v>237</v>
      </c>
      <c r="C441" t="s">
        <v>238</v>
      </c>
      <c r="D441" t="s">
        <v>262</v>
      </c>
      <c r="E441" t="s">
        <v>228</v>
      </c>
      <c r="F441">
        <v>1997</v>
      </c>
      <c r="G441">
        <v>1.96394366197183E-4</v>
      </c>
      <c r="H441" t="s">
        <v>240</v>
      </c>
      <c r="I441" t="s">
        <v>241</v>
      </c>
      <c r="J441" t="s">
        <v>3</v>
      </c>
      <c r="K441" s="183">
        <f ca="1">VLOOKUP(F441,
    OFFSET(INDIRECT(ADDRESS(MATCH(J441,'Vehicle numbers'!$A$5:$A$162,0),1,1,1,$L$6)),4,1,COUNTIF('Vehicle numbers'!$A$5:$A$162,J441),4),
    MATCH(K$8,'Vehicle numbers'!$B$4:$D$4,0))*1000</f>
        <v>752357</v>
      </c>
      <c r="L441" s="183">
        <f ca="1">VLOOKUP(F441,
    OFFSET(INDIRECT(ADDRESS(MATCH(J441,'Vehicle numbers'!$A$5:$A$162,0),1,1,1,$L$6)),4,1,COUNTIF('Vehicle numbers'!$A$5:$A$162,J441),4),
    MATCH(L$8,'Vehicle numbers'!$B$4:$D$4,0))*1000</f>
        <v>766182.44728808571</v>
      </c>
      <c r="M441" s="184">
        <f>VLOOKUP(F441,'Annual distance covered (GB)'!$A$8:$H$33,MATCH(J441,'Annual distance covered (GB)'!$A$7:$H$7,0))</f>
        <v>4</v>
      </c>
      <c r="N441" s="2">
        <f t="shared" ca="1" si="26"/>
        <v>800.01337730120224</v>
      </c>
      <c r="O441" s="180">
        <f t="shared" ca="1" si="27"/>
        <v>1.0441551880141103E-3</v>
      </c>
      <c r="P441" s="180"/>
      <c r="Q441" s="185"/>
      <c r="R441" s="180"/>
      <c r="S441" s="180"/>
      <c r="T441" s="180"/>
    </row>
    <row r="442" spans="1:20" x14ac:dyDescent="0.25">
      <c r="A442" t="s">
        <v>236</v>
      </c>
      <c r="B442" t="s">
        <v>237</v>
      </c>
      <c r="C442" t="s">
        <v>238</v>
      </c>
      <c r="D442" t="s">
        <v>263</v>
      </c>
      <c r="E442" t="s">
        <v>229</v>
      </c>
      <c r="F442">
        <v>1997</v>
      </c>
      <c r="G442">
        <v>2.764E-3</v>
      </c>
      <c r="H442" t="s">
        <v>240</v>
      </c>
      <c r="I442" t="s">
        <v>241</v>
      </c>
      <c r="J442" t="s">
        <v>3</v>
      </c>
      <c r="K442" s="183">
        <f ca="1">VLOOKUP(F442,
    OFFSET(INDIRECT(ADDRESS(MATCH(J442,'Vehicle numbers'!$A$5:$A$162,0),1,1,1,$L$6)),4,1,COUNTIF('Vehicle numbers'!$A$5:$A$162,J442),4),
    MATCH(K$8,'Vehicle numbers'!$B$4:$D$4,0))*1000</f>
        <v>752357</v>
      </c>
      <c r="L442" s="183">
        <f ca="1">VLOOKUP(F442,
    OFFSET(INDIRECT(ADDRESS(MATCH(J442,'Vehicle numbers'!$A$5:$A$162,0),1,1,1,$L$6)),4,1,COUNTIF('Vehicle numbers'!$A$5:$A$162,J442),4),
    MATCH(L$8,'Vehicle numbers'!$B$4:$D$4,0))*1000</f>
        <v>766182.44728808571</v>
      </c>
      <c r="M442" s="184">
        <f>VLOOKUP(F442,'Annual distance covered (GB)'!$A$8:$H$33,MATCH(J442,'Annual distance covered (GB)'!$A$7:$H$7,0))</f>
        <v>4</v>
      </c>
      <c r="N442" s="2">
        <f t="shared" ca="1" si="26"/>
        <v>11259.167040669621</v>
      </c>
      <c r="O442" s="180">
        <f t="shared" ca="1" si="27"/>
        <v>1.46951513709582E-2</v>
      </c>
      <c r="P442" s="180"/>
      <c r="Q442" s="185"/>
      <c r="R442" s="180"/>
      <c r="S442" s="180"/>
      <c r="T442" s="180"/>
    </row>
    <row r="443" spans="1:20" x14ac:dyDescent="0.25">
      <c r="A443" t="s">
        <v>243</v>
      </c>
      <c r="B443" t="s">
        <v>237</v>
      </c>
      <c r="C443" t="s">
        <v>238</v>
      </c>
      <c r="D443" t="s">
        <v>263</v>
      </c>
      <c r="E443" t="s">
        <v>229</v>
      </c>
      <c r="F443">
        <v>1997</v>
      </c>
      <c r="G443">
        <v>1.1056E-3</v>
      </c>
      <c r="H443" t="s">
        <v>240</v>
      </c>
      <c r="I443" t="s">
        <v>241</v>
      </c>
      <c r="J443" t="s">
        <v>3</v>
      </c>
      <c r="K443" s="183">
        <f ca="1">VLOOKUP(F443,
    OFFSET(INDIRECT(ADDRESS(MATCH(J443,'Vehicle numbers'!$A$5:$A$162,0),1,1,1,$L$6)),4,1,COUNTIF('Vehicle numbers'!$A$5:$A$162,J443),4),
    MATCH(K$8,'Vehicle numbers'!$B$4:$D$4,0))*1000</f>
        <v>752357</v>
      </c>
      <c r="L443" s="183">
        <f ca="1">VLOOKUP(F443,
    OFFSET(INDIRECT(ADDRESS(MATCH(J443,'Vehicle numbers'!$A$5:$A$162,0),1,1,1,$L$6)),4,1,COUNTIF('Vehicle numbers'!$A$5:$A$162,J443),4),
    MATCH(L$8,'Vehicle numbers'!$B$4:$D$4,0))*1000</f>
        <v>766182.44728808571</v>
      </c>
      <c r="M443" s="184">
        <f>VLOOKUP(F443,'Annual distance covered (GB)'!$A$8:$H$33,MATCH(J443,'Annual distance covered (GB)'!$A$7:$H$7,0))</f>
        <v>4</v>
      </c>
      <c r="N443" s="2">
        <f t="shared" ca="1" si="26"/>
        <v>4503.6668162678488</v>
      </c>
      <c r="O443" s="180">
        <f t="shared" ca="1" si="27"/>
        <v>5.8780605483832807E-3</v>
      </c>
      <c r="P443" s="180"/>
      <c r="Q443" s="185"/>
      <c r="R443" s="180"/>
      <c r="S443" s="180"/>
      <c r="T443" s="180"/>
    </row>
    <row r="444" spans="1:20" x14ac:dyDescent="0.25">
      <c r="A444" t="s">
        <v>244</v>
      </c>
      <c r="B444" t="s">
        <v>237</v>
      </c>
      <c r="C444" t="s">
        <v>238</v>
      </c>
      <c r="D444" t="s">
        <v>263</v>
      </c>
      <c r="E444" t="s">
        <v>229</v>
      </c>
      <c r="F444">
        <v>1997</v>
      </c>
      <c r="G444">
        <v>2.764E-4</v>
      </c>
      <c r="H444" t="s">
        <v>240</v>
      </c>
      <c r="I444" t="s">
        <v>241</v>
      </c>
      <c r="J444" t="s">
        <v>3</v>
      </c>
      <c r="K444" s="183">
        <f ca="1">VLOOKUP(F444,
    OFFSET(INDIRECT(ADDRESS(MATCH(J444,'Vehicle numbers'!$A$5:$A$162,0),1,1,1,$L$6)),4,1,COUNTIF('Vehicle numbers'!$A$5:$A$162,J444),4),
    MATCH(K$8,'Vehicle numbers'!$B$4:$D$4,0))*1000</f>
        <v>752357</v>
      </c>
      <c r="L444" s="183">
        <f ca="1">VLOOKUP(F444,
    OFFSET(INDIRECT(ADDRESS(MATCH(J444,'Vehicle numbers'!$A$5:$A$162,0),1,1,1,$L$6)),4,1,COUNTIF('Vehicle numbers'!$A$5:$A$162,J444),4),
    MATCH(L$8,'Vehicle numbers'!$B$4:$D$4,0))*1000</f>
        <v>766182.44728808571</v>
      </c>
      <c r="M444" s="184">
        <f>VLOOKUP(F444,'Annual distance covered (GB)'!$A$8:$H$33,MATCH(J444,'Annual distance covered (GB)'!$A$7:$H$7,0))</f>
        <v>4</v>
      </c>
      <c r="N444" s="2">
        <f t="shared" ca="1" si="26"/>
        <v>1125.9167040669622</v>
      </c>
      <c r="O444" s="180">
        <f t="shared" ca="1" si="27"/>
        <v>1.4695151370958202E-3</v>
      </c>
      <c r="P444" s="180"/>
      <c r="Q444" s="185"/>
      <c r="R444" s="180"/>
      <c r="S444" s="180"/>
      <c r="T444" s="180"/>
    </row>
    <row r="445" spans="1:20" x14ac:dyDescent="0.25">
      <c r="A445" t="s">
        <v>246</v>
      </c>
      <c r="B445" t="s">
        <v>237</v>
      </c>
      <c r="C445" t="s">
        <v>238</v>
      </c>
      <c r="D445" t="s">
        <v>263</v>
      </c>
      <c r="E445" t="s">
        <v>229</v>
      </c>
      <c r="F445">
        <v>1997</v>
      </c>
      <c r="G445">
        <v>2.2112E-4</v>
      </c>
      <c r="H445" t="s">
        <v>240</v>
      </c>
      <c r="I445" t="s">
        <v>241</v>
      </c>
      <c r="J445" t="s">
        <v>3</v>
      </c>
      <c r="K445" s="183">
        <f ca="1">VLOOKUP(F445,
    OFFSET(INDIRECT(ADDRESS(MATCH(J445,'Vehicle numbers'!$A$5:$A$162,0),1,1,1,$L$6)),4,1,COUNTIF('Vehicle numbers'!$A$5:$A$162,J445),4),
    MATCH(K$8,'Vehicle numbers'!$B$4:$D$4,0))*1000</f>
        <v>752357</v>
      </c>
      <c r="L445" s="183">
        <f ca="1">VLOOKUP(F445,
    OFFSET(INDIRECT(ADDRESS(MATCH(J445,'Vehicle numbers'!$A$5:$A$162,0),1,1,1,$L$6)),4,1,COUNTIF('Vehicle numbers'!$A$5:$A$162,J445),4),
    MATCH(L$8,'Vehicle numbers'!$B$4:$D$4,0))*1000</f>
        <v>766182.44728808571</v>
      </c>
      <c r="M445" s="184">
        <f>VLOOKUP(F445,'Annual distance covered (GB)'!$A$8:$H$33,MATCH(J445,'Annual distance covered (GB)'!$A$7:$H$7,0))</f>
        <v>4</v>
      </c>
      <c r="N445" s="2">
        <f t="shared" ca="1" si="26"/>
        <v>900.73336325356979</v>
      </c>
      <c r="O445" s="180">
        <f t="shared" ca="1" si="27"/>
        <v>1.1756121096766561E-3</v>
      </c>
      <c r="P445" s="180"/>
      <c r="Q445" s="185"/>
      <c r="R445" s="180"/>
      <c r="S445" s="180"/>
      <c r="T445" s="180"/>
    </row>
    <row r="446" spans="1:20" x14ac:dyDescent="0.25">
      <c r="A446" t="s">
        <v>236</v>
      </c>
      <c r="B446" t="s">
        <v>237</v>
      </c>
      <c r="C446" t="s">
        <v>238</v>
      </c>
      <c r="D446" t="s">
        <v>263</v>
      </c>
      <c r="E446" t="s">
        <v>228</v>
      </c>
      <c r="F446">
        <v>1997</v>
      </c>
      <c r="G446">
        <v>2.9240000000000099E-3</v>
      </c>
      <c r="H446" t="s">
        <v>240</v>
      </c>
      <c r="I446" t="s">
        <v>241</v>
      </c>
      <c r="J446" t="s">
        <v>3</v>
      </c>
      <c r="K446" s="183">
        <f ca="1">VLOOKUP(F446,
    OFFSET(INDIRECT(ADDRESS(MATCH(J446,'Vehicle numbers'!$A$5:$A$162,0),1,1,1,$L$6)),4,1,COUNTIF('Vehicle numbers'!$A$5:$A$162,J446),4),
    MATCH(K$8,'Vehicle numbers'!$B$4:$D$4,0))*1000</f>
        <v>752357</v>
      </c>
      <c r="L446" s="183">
        <f ca="1">VLOOKUP(F446,
    OFFSET(INDIRECT(ADDRESS(MATCH(J446,'Vehicle numbers'!$A$5:$A$162,0),1,1,1,$L$6)),4,1,COUNTIF('Vehicle numbers'!$A$5:$A$162,J446),4),
    MATCH(L$8,'Vehicle numbers'!$B$4:$D$4,0))*1000</f>
        <v>766182.44728808571</v>
      </c>
      <c r="M446" s="184">
        <f>VLOOKUP(F446,'Annual distance covered (GB)'!$A$8:$H$33,MATCH(J446,'Annual distance covered (GB)'!$A$7:$H$7,0))</f>
        <v>4</v>
      </c>
      <c r="N446" s="2">
        <f t="shared" ca="1" si="26"/>
        <v>11910.927795556472</v>
      </c>
      <c r="O446" s="180">
        <f t="shared" ca="1" si="27"/>
        <v>1.5545811363488397E-2</v>
      </c>
      <c r="P446" s="180"/>
      <c r="Q446" s="185"/>
      <c r="R446" s="180"/>
      <c r="S446" s="180"/>
      <c r="T446" s="180"/>
    </row>
    <row r="447" spans="1:20" x14ac:dyDescent="0.25">
      <c r="A447" t="s">
        <v>243</v>
      </c>
      <c r="B447" t="s">
        <v>237</v>
      </c>
      <c r="C447" t="s">
        <v>238</v>
      </c>
      <c r="D447" t="s">
        <v>263</v>
      </c>
      <c r="E447" t="s">
        <v>228</v>
      </c>
      <c r="F447">
        <v>1997</v>
      </c>
      <c r="G447">
        <v>2.0468000000000101E-3</v>
      </c>
      <c r="H447" t="s">
        <v>240</v>
      </c>
      <c r="I447" t="s">
        <v>241</v>
      </c>
      <c r="J447" t="s">
        <v>3</v>
      </c>
      <c r="K447" s="183">
        <f ca="1">VLOOKUP(F447,
    OFFSET(INDIRECT(ADDRESS(MATCH(J447,'Vehicle numbers'!$A$5:$A$162,0),1,1,1,$L$6)),4,1,COUNTIF('Vehicle numbers'!$A$5:$A$162,J447),4),
    MATCH(K$8,'Vehicle numbers'!$B$4:$D$4,0))*1000</f>
        <v>752357</v>
      </c>
      <c r="L447" s="183">
        <f ca="1">VLOOKUP(F447,
    OFFSET(INDIRECT(ADDRESS(MATCH(J447,'Vehicle numbers'!$A$5:$A$162,0),1,1,1,$L$6)),4,1,COUNTIF('Vehicle numbers'!$A$5:$A$162,J447),4),
    MATCH(L$8,'Vehicle numbers'!$B$4:$D$4,0))*1000</f>
        <v>766182.44728808571</v>
      </c>
      <c r="M447" s="184">
        <f>VLOOKUP(F447,'Annual distance covered (GB)'!$A$8:$H$33,MATCH(J447,'Annual distance covered (GB)'!$A$7:$H$7,0))</f>
        <v>4</v>
      </c>
      <c r="N447" s="2">
        <f t="shared" ca="1" si="26"/>
        <v>8337.6494568895414</v>
      </c>
      <c r="O447" s="180">
        <f t="shared" ca="1" si="27"/>
        <v>1.0882067954441892E-2</v>
      </c>
      <c r="P447" s="180"/>
      <c r="Q447" s="185"/>
      <c r="R447" s="180"/>
      <c r="S447" s="180"/>
      <c r="T447" s="180"/>
    </row>
    <row r="448" spans="1:20" x14ac:dyDescent="0.25">
      <c r="A448" t="s">
        <v>244</v>
      </c>
      <c r="B448" t="s">
        <v>237</v>
      </c>
      <c r="C448" t="s">
        <v>238</v>
      </c>
      <c r="D448" t="s">
        <v>263</v>
      </c>
      <c r="E448" t="s">
        <v>228</v>
      </c>
      <c r="F448">
        <v>1997</v>
      </c>
      <c r="G448">
        <v>2.8828169014084599E-4</v>
      </c>
      <c r="H448" t="s">
        <v>240</v>
      </c>
      <c r="I448" t="s">
        <v>241</v>
      </c>
      <c r="J448" t="s">
        <v>3</v>
      </c>
      <c r="K448" s="183">
        <f ca="1">VLOOKUP(F448,
    OFFSET(INDIRECT(ADDRESS(MATCH(J448,'Vehicle numbers'!$A$5:$A$162,0),1,1,1,$L$6)),4,1,COUNTIF('Vehicle numbers'!$A$5:$A$162,J448),4),
    MATCH(K$8,'Vehicle numbers'!$B$4:$D$4,0))*1000</f>
        <v>752357</v>
      </c>
      <c r="L448" s="183">
        <f ca="1">VLOOKUP(F448,
    OFFSET(INDIRECT(ADDRESS(MATCH(J448,'Vehicle numbers'!$A$5:$A$162,0),1,1,1,$L$6)),4,1,COUNTIF('Vehicle numbers'!$A$5:$A$162,J448),4),
    MATCH(L$8,'Vehicle numbers'!$B$4:$D$4,0))*1000</f>
        <v>766182.44728808571</v>
      </c>
      <c r="M448" s="184">
        <f>VLOOKUP(F448,'Annual distance covered (GB)'!$A$8:$H$33,MATCH(J448,'Annual distance covered (GB)'!$A$7:$H$7,0))</f>
        <v>4</v>
      </c>
      <c r="N448" s="2">
        <f t="shared" ca="1" si="26"/>
        <v>1174.3168249140178</v>
      </c>
      <c r="O448" s="180">
        <f t="shared" ca="1" si="27"/>
        <v>1.5326856273861792E-3</v>
      </c>
      <c r="P448" s="180"/>
      <c r="Q448" s="185"/>
      <c r="R448" s="180"/>
      <c r="S448" s="180"/>
      <c r="T448" s="180"/>
    </row>
    <row r="449" spans="1:20" x14ac:dyDescent="0.25">
      <c r="A449" t="s">
        <v>246</v>
      </c>
      <c r="B449" t="s">
        <v>237</v>
      </c>
      <c r="C449" t="s">
        <v>238</v>
      </c>
      <c r="D449" t="s">
        <v>263</v>
      </c>
      <c r="E449" t="s">
        <v>228</v>
      </c>
      <c r="F449">
        <v>1997</v>
      </c>
      <c r="G449">
        <v>2.30625352112677E-4</v>
      </c>
      <c r="H449" t="s">
        <v>240</v>
      </c>
      <c r="I449" t="s">
        <v>241</v>
      </c>
      <c r="J449" t="s">
        <v>3</v>
      </c>
      <c r="K449" s="183">
        <f ca="1">VLOOKUP(F449,
    OFFSET(INDIRECT(ADDRESS(MATCH(J449,'Vehicle numbers'!$A$5:$A$162,0),1,1,1,$L$6)),4,1,COUNTIF('Vehicle numbers'!$A$5:$A$162,J449),4),
    MATCH(K$8,'Vehicle numbers'!$B$4:$D$4,0))*1000</f>
        <v>752357</v>
      </c>
      <c r="L449" s="183">
        <f ca="1">VLOOKUP(F449,
    OFFSET(INDIRECT(ADDRESS(MATCH(J449,'Vehicle numbers'!$A$5:$A$162,0),1,1,1,$L$6)),4,1,COUNTIF('Vehicle numbers'!$A$5:$A$162,J449),4),
    MATCH(L$8,'Vehicle numbers'!$B$4:$D$4,0))*1000</f>
        <v>766182.44728808571</v>
      </c>
      <c r="M449" s="184">
        <f>VLOOKUP(F449,'Annual distance covered (GB)'!$A$8:$H$33,MATCH(J449,'Annual distance covered (GB)'!$A$7:$H$7,0))</f>
        <v>4</v>
      </c>
      <c r="N449" s="2">
        <f t="shared" ca="1" si="26"/>
        <v>939.45345993121532</v>
      </c>
      <c r="O449" s="180">
        <f t="shared" ca="1" si="27"/>
        <v>1.2261485019089448E-3</v>
      </c>
      <c r="P449" s="180"/>
      <c r="Q449" s="185"/>
      <c r="R449" s="180"/>
      <c r="S449" s="180"/>
      <c r="T449" s="180"/>
    </row>
    <row r="450" spans="1:20" x14ac:dyDescent="0.25">
      <c r="A450" t="s">
        <v>236</v>
      </c>
      <c r="B450" t="s">
        <v>237</v>
      </c>
      <c r="C450" t="s">
        <v>238</v>
      </c>
      <c r="D450" t="s">
        <v>264</v>
      </c>
      <c r="E450" t="s">
        <v>229</v>
      </c>
      <c r="F450">
        <v>1997</v>
      </c>
      <c r="G450">
        <v>5.8400000000000101E-3</v>
      </c>
      <c r="H450" t="s">
        <v>240</v>
      </c>
      <c r="I450" t="s">
        <v>241</v>
      </c>
      <c r="J450" t="s">
        <v>3</v>
      </c>
      <c r="K450" s="183">
        <f ca="1">VLOOKUP(F450,
    OFFSET(INDIRECT(ADDRESS(MATCH(J450,'Vehicle numbers'!$A$5:$A$162,0),1,1,1,$L$6)),4,1,COUNTIF('Vehicle numbers'!$A$5:$A$162,J450),4),
    MATCH(K$8,'Vehicle numbers'!$B$4:$D$4,0))*1000</f>
        <v>752357</v>
      </c>
      <c r="L450" s="183">
        <f ca="1">VLOOKUP(F450,
    OFFSET(INDIRECT(ADDRESS(MATCH(J450,'Vehicle numbers'!$A$5:$A$162,0),1,1,1,$L$6)),4,1,COUNTIF('Vehicle numbers'!$A$5:$A$162,J450),4),
    MATCH(L$8,'Vehicle numbers'!$B$4:$D$4,0))*1000</f>
        <v>766182.44728808571</v>
      </c>
      <c r="M450" s="184">
        <f>VLOOKUP(F450,'Annual distance covered (GB)'!$A$8:$H$33,MATCH(J450,'Annual distance covered (GB)'!$A$7:$H$7,0))</f>
        <v>4</v>
      </c>
      <c r="N450" s="2">
        <f t="shared" ca="1" si="26"/>
        <v>23789.267553368561</v>
      </c>
      <c r="O450" s="180">
        <f t="shared" ca="1" si="27"/>
        <v>3.1049089727350231E-2</v>
      </c>
      <c r="P450" s="180"/>
      <c r="Q450" s="185"/>
      <c r="R450" s="180"/>
      <c r="S450" s="180"/>
      <c r="T450" s="180"/>
    </row>
    <row r="451" spans="1:20" x14ac:dyDescent="0.25">
      <c r="A451" t="s">
        <v>243</v>
      </c>
      <c r="B451" t="s">
        <v>237</v>
      </c>
      <c r="C451" t="s">
        <v>238</v>
      </c>
      <c r="D451" t="s">
        <v>264</v>
      </c>
      <c r="E451" t="s">
        <v>229</v>
      </c>
      <c r="F451">
        <v>1997</v>
      </c>
      <c r="G451">
        <v>2.336E-3</v>
      </c>
      <c r="H451" t="s">
        <v>240</v>
      </c>
      <c r="I451" t="s">
        <v>241</v>
      </c>
      <c r="J451" t="s">
        <v>3</v>
      </c>
      <c r="K451" s="183">
        <f ca="1">VLOOKUP(F451,
    OFFSET(INDIRECT(ADDRESS(MATCH(J451,'Vehicle numbers'!$A$5:$A$162,0),1,1,1,$L$6)),4,1,COUNTIF('Vehicle numbers'!$A$5:$A$162,J451),4),
    MATCH(K$8,'Vehicle numbers'!$B$4:$D$4,0))*1000</f>
        <v>752357</v>
      </c>
      <c r="L451" s="183">
        <f ca="1">VLOOKUP(F451,
    OFFSET(INDIRECT(ADDRESS(MATCH(J451,'Vehicle numbers'!$A$5:$A$162,0),1,1,1,$L$6)),4,1,COUNTIF('Vehicle numbers'!$A$5:$A$162,J451),4),
    MATCH(L$8,'Vehicle numbers'!$B$4:$D$4,0))*1000</f>
        <v>766182.44728808571</v>
      </c>
      <c r="M451" s="184">
        <f>VLOOKUP(F451,'Annual distance covered (GB)'!$A$8:$H$33,MATCH(J451,'Annual distance covered (GB)'!$A$7:$H$7,0))</f>
        <v>4</v>
      </c>
      <c r="N451" s="2">
        <f t="shared" ca="1" si="26"/>
        <v>9515.707021347409</v>
      </c>
      <c r="O451" s="180">
        <f t="shared" ca="1" si="27"/>
        <v>1.2419635890940072E-2</v>
      </c>
      <c r="P451" s="180"/>
      <c r="Q451" s="185"/>
      <c r="R451" s="180"/>
      <c r="S451" s="180"/>
      <c r="T451" s="180"/>
    </row>
    <row r="452" spans="1:20" x14ac:dyDescent="0.25">
      <c r="A452" t="s">
        <v>244</v>
      </c>
      <c r="B452" t="s">
        <v>237</v>
      </c>
      <c r="C452" t="s">
        <v>238</v>
      </c>
      <c r="D452" t="s">
        <v>264</v>
      </c>
      <c r="E452" t="s">
        <v>229</v>
      </c>
      <c r="F452">
        <v>1997</v>
      </c>
      <c r="G452">
        <v>5.8399999999999999E-4</v>
      </c>
      <c r="H452" t="s">
        <v>240</v>
      </c>
      <c r="I452" t="s">
        <v>241</v>
      </c>
      <c r="J452" t="s">
        <v>3</v>
      </c>
      <c r="K452" s="183">
        <f ca="1">VLOOKUP(F452,
    OFFSET(INDIRECT(ADDRESS(MATCH(J452,'Vehicle numbers'!$A$5:$A$162,0),1,1,1,$L$6)),4,1,COUNTIF('Vehicle numbers'!$A$5:$A$162,J452),4),
    MATCH(K$8,'Vehicle numbers'!$B$4:$D$4,0))*1000</f>
        <v>752357</v>
      </c>
      <c r="L452" s="183">
        <f ca="1">VLOOKUP(F452,
    OFFSET(INDIRECT(ADDRESS(MATCH(J452,'Vehicle numbers'!$A$5:$A$162,0),1,1,1,$L$6)),4,1,COUNTIF('Vehicle numbers'!$A$5:$A$162,J452),4),
    MATCH(L$8,'Vehicle numbers'!$B$4:$D$4,0))*1000</f>
        <v>766182.44728808571</v>
      </c>
      <c r="M452" s="184">
        <f>VLOOKUP(F452,'Annual distance covered (GB)'!$A$8:$H$33,MATCH(J452,'Annual distance covered (GB)'!$A$7:$H$7,0))</f>
        <v>4</v>
      </c>
      <c r="N452" s="2">
        <f t="shared" ca="1" si="26"/>
        <v>2378.9267553368522</v>
      </c>
      <c r="O452" s="180">
        <f t="shared" ca="1" si="27"/>
        <v>3.1049089727350179E-3</v>
      </c>
      <c r="P452" s="180"/>
      <c r="Q452" s="185"/>
      <c r="R452" s="180"/>
      <c r="S452" s="180"/>
      <c r="T452" s="180"/>
    </row>
    <row r="453" spans="1:20" x14ac:dyDescent="0.25">
      <c r="A453" t="s">
        <v>246</v>
      </c>
      <c r="B453" t="s">
        <v>237</v>
      </c>
      <c r="C453" t="s">
        <v>238</v>
      </c>
      <c r="D453" t="s">
        <v>264</v>
      </c>
      <c r="E453" t="s">
        <v>229</v>
      </c>
      <c r="F453">
        <v>1997</v>
      </c>
      <c r="G453">
        <v>4.6720000000000003E-4</v>
      </c>
      <c r="H453" t="s">
        <v>240</v>
      </c>
      <c r="I453" t="s">
        <v>241</v>
      </c>
      <c r="J453" t="s">
        <v>3</v>
      </c>
      <c r="K453" s="183">
        <f ca="1">VLOOKUP(F453,
    OFFSET(INDIRECT(ADDRESS(MATCH(J453,'Vehicle numbers'!$A$5:$A$162,0),1,1,1,$L$6)),4,1,COUNTIF('Vehicle numbers'!$A$5:$A$162,J453),4),
    MATCH(K$8,'Vehicle numbers'!$B$4:$D$4,0))*1000</f>
        <v>752357</v>
      </c>
      <c r="L453" s="183">
        <f ca="1">VLOOKUP(F453,
    OFFSET(INDIRECT(ADDRESS(MATCH(J453,'Vehicle numbers'!$A$5:$A$162,0),1,1,1,$L$6)),4,1,COUNTIF('Vehicle numbers'!$A$5:$A$162,J453),4),
    MATCH(L$8,'Vehicle numbers'!$B$4:$D$4,0))*1000</f>
        <v>766182.44728808571</v>
      </c>
      <c r="M453" s="184">
        <f>VLOOKUP(F453,'Annual distance covered (GB)'!$A$8:$H$33,MATCH(J453,'Annual distance covered (GB)'!$A$7:$H$7,0))</f>
        <v>4</v>
      </c>
      <c r="N453" s="2">
        <f t="shared" ca="1" si="26"/>
        <v>1903.1414042694819</v>
      </c>
      <c r="O453" s="180">
        <f t="shared" ca="1" si="27"/>
        <v>2.4839271781880146E-3</v>
      </c>
      <c r="P453" s="180"/>
      <c r="Q453" s="185"/>
      <c r="R453" s="180"/>
      <c r="S453" s="180"/>
      <c r="T453" s="180"/>
    </row>
    <row r="454" spans="1:20" x14ac:dyDescent="0.25">
      <c r="A454" t="s">
        <v>236</v>
      </c>
      <c r="B454" t="s">
        <v>237</v>
      </c>
      <c r="C454" t="s">
        <v>238</v>
      </c>
      <c r="D454" t="s">
        <v>264</v>
      </c>
      <c r="E454" t="s">
        <v>228</v>
      </c>
      <c r="F454">
        <v>1997</v>
      </c>
      <c r="G454">
        <v>3.7570000000000099E-3</v>
      </c>
      <c r="H454" t="s">
        <v>240</v>
      </c>
      <c r="I454" t="s">
        <v>241</v>
      </c>
      <c r="J454" t="s">
        <v>3</v>
      </c>
      <c r="K454" s="183">
        <f ca="1">VLOOKUP(F454,
    OFFSET(INDIRECT(ADDRESS(MATCH(J454,'Vehicle numbers'!$A$5:$A$162,0),1,1,1,$L$6)),4,1,COUNTIF('Vehicle numbers'!$A$5:$A$162,J454),4),
    MATCH(K$8,'Vehicle numbers'!$B$4:$D$4,0))*1000</f>
        <v>752357</v>
      </c>
      <c r="L454" s="183">
        <f ca="1">VLOOKUP(F454,
    OFFSET(INDIRECT(ADDRESS(MATCH(J454,'Vehicle numbers'!$A$5:$A$162,0),1,1,1,$L$6)),4,1,COUNTIF('Vehicle numbers'!$A$5:$A$162,J454),4),
    MATCH(L$8,'Vehicle numbers'!$B$4:$D$4,0))*1000</f>
        <v>766182.44728808571</v>
      </c>
      <c r="M454" s="184">
        <f>VLOOKUP(F454,'Annual distance covered (GB)'!$A$8:$H$33,MATCH(J454,'Annual distance covered (GB)'!$A$7:$H$7,0))</f>
        <v>4</v>
      </c>
      <c r="N454" s="2">
        <f t="shared" ca="1" si="26"/>
        <v>15304.15722568592</v>
      </c>
      <c r="O454" s="180">
        <f t="shared" ca="1" si="27"/>
        <v>1.9974559949598448E-2</v>
      </c>
      <c r="P454" s="180"/>
      <c r="Q454" s="185"/>
      <c r="R454" s="180"/>
      <c r="S454" s="180"/>
      <c r="T454" s="180"/>
    </row>
    <row r="455" spans="1:20" x14ac:dyDescent="0.25">
      <c r="A455" t="s">
        <v>243</v>
      </c>
      <c r="B455" t="s">
        <v>237</v>
      </c>
      <c r="C455" t="s">
        <v>238</v>
      </c>
      <c r="D455" t="s">
        <v>264</v>
      </c>
      <c r="E455" t="s">
        <v>228</v>
      </c>
      <c r="F455">
        <v>1997</v>
      </c>
      <c r="G455">
        <v>2.6299000000000101E-3</v>
      </c>
      <c r="H455" t="s">
        <v>240</v>
      </c>
      <c r="I455" t="s">
        <v>241</v>
      </c>
      <c r="J455" t="s">
        <v>3</v>
      </c>
      <c r="K455" s="183">
        <f ca="1">VLOOKUP(F455,
    OFFSET(INDIRECT(ADDRESS(MATCH(J455,'Vehicle numbers'!$A$5:$A$162,0),1,1,1,$L$6)),4,1,COUNTIF('Vehicle numbers'!$A$5:$A$162,J455),4),
    MATCH(K$8,'Vehicle numbers'!$B$4:$D$4,0))*1000</f>
        <v>752357</v>
      </c>
      <c r="L455" s="183">
        <f ca="1">VLOOKUP(F455,
    OFFSET(INDIRECT(ADDRESS(MATCH(J455,'Vehicle numbers'!$A$5:$A$162,0),1,1,1,$L$6)),4,1,COUNTIF('Vehicle numbers'!$A$5:$A$162,J455),4),
    MATCH(L$8,'Vehicle numbers'!$B$4:$D$4,0))*1000</f>
        <v>766182.44728808571</v>
      </c>
      <c r="M455" s="184">
        <f>VLOOKUP(F455,'Annual distance covered (GB)'!$A$8:$H$33,MATCH(J455,'Annual distance covered (GB)'!$A$7:$H$7,0))</f>
        <v>4</v>
      </c>
      <c r="N455" s="2">
        <f t="shared" ca="1" si="26"/>
        <v>10712.910057980156</v>
      </c>
      <c r="O455" s="180">
        <f t="shared" ca="1" si="27"/>
        <v>1.3982191964718929E-2</v>
      </c>
      <c r="P455" s="180"/>
      <c r="Q455" s="185"/>
      <c r="R455" s="180"/>
      <c r="S455" s="180"/>
      <c r="T455" s="180"/>
    </row>
    <row r="456" spans="1:20" x14ac:dyDescent="0.25">
      <c r="A456" t="s">
        <v>244</v>
      </c>
      <c r="B456" t="s">
        <v>237</v>
      </c>
      <c r="C456" t="s">
        <v>238</v>
      </c>
      <c r="D456" t="s">
        <v>264</v>
      </c>
      <c r="E456" t="s">
        <v>228</v>
      </c>
      <c r="F456">
        <v>1997</v>
      </c>
      <c r="G456">
        <v>3.7040845070422602E-4</v>
      </c>
      <c r="H456" t="s">
        <v>240</v>
      </c>
      <c r="I456" t="s">
        <v>241</v>
      </c>
      <c r="J456" t="s">
        <v>3</v>
      </c>
      <c r="K456" s="183">
        <f ca="1">VLOOKUP(F456,
    OFFSET(INDIRECT(ADDRESS(MATCH(J456,'Vehicle numbers'!$A$5:$A$162,0),1,1,1,$L$6)),4,1,COUNTIF('Vehicle numbers'!$A$5:$A$162,J456),4),
    MATCH(K$8,'Vehicle numbers'!$B$4:$D$4,0))*1000</f>
        <v>752357</v>
      </c>
      <c r="L456" s="183">
        <f ca="1">VLOOKUP(F456,
    OFFSET(INDIRECT(ADDRESS(MATCH(J456,'Vehicle numbers'!$A$5:$A$162,0),1,1,1,$L$6)),4,1,COUNTIF('Vehicle numbers'!$A$5:$A$162,J456),4),
    MATCH(L$8,'Vehicle numbers'!$B$4:$D$4,0))*1000</f>
        <v>766182.44728808571</v>
      </c>
      <c r="M456" s="184">
        <f>VLOOKUP(F456,'Annual distance covered (GB)'!$A$8:$H$33,MATCH(J456,'Annual distance covered (GB)'!$A$7:$H$7,0))</f>
        <v>4</v>
      </c>
      <c r="N456" s="2">
        <f t="shared" ca="1" si="26"/>
        <v>1508.8605715464978</v>
      </c>
      <c r="O456" s="180">
        <f t="shared" ca="1" si="27"/>
        <v>1.9693228119322397E-3</v>
      </c>
      <c r="P456" s="180"/>
      <c r="Q456" s="185"/>
      <c r="R456" s="180"/>
      <c r="S456" s="180"/>
      <c r="T456" s="180"/>
    </row>
    <row r="457" spans="1:20" x14ac:dyDescent="0.25">
      <c r="A457" t="s">
        <v>246</v>
      </c>
      <c r="B457" t="s">
        <v>237</v>
      </c>
      <c r="C457" t="s">
        <v>238</v>
      </c>
      <c r="D457" t="s">
        <v>264</v>
      </c>
      <c r="E457" t="s">
        <v>228</v>
      </c>
      <c r="F457">
        <v>1997</v>
      </c>
      <c r="G457">
        <v>2.9632676056338101E-4</v>
      </c>
      <c r="H457" t="s">
        <v>240</v>
      </c>
      <c r="I457" t="s">
        <v>241</v>
      </c>
      <c r="J457" t="s">
        <v>3</v>
      </c>
      <c r="K457" s="183">
        <f ca="1">VLOOKUP(F457,
    OFFSET(INDIRECT(ADDRESS(MATCH(J457,'Vehicle numbers'!$A$5:$A$162,0),1,1,1,$L$6)),4,1,COUNTIF('Vehicle numbers'!$A$5:$A$162,J457),4),
    MATCH(K$8,'Vehicle numbers'!$B$4:$D$4,0))*1000</f>
        <v>752357</v>
      </c>
      <c r="L457" s="183">
        <f ca="1">VLOOKUP(F457,
    OFFSET(INDIRECT(ADDRESS(MATCH(J457,'Vehicle numbers'!$A$5:$A$162,0),1,1,1,$L$6)),4,1,COUNTIF('Vehicle numbers'!$A$5:$A$162,J457),4),
    MATCH(L$8,'Vehicle numbers'!$B$4:$D$4,0))*1000</f>
        <v>766182.44728808571</v>
      </c>
      <c r="M457" s="184">
        <f>VLOOKUP(F457,'Annual distance covered (GB)'!$A$8:$H$33,MATCH(J457,'Annual distance covered (GB)'!$A$7:$H$7,0))</f>
        <v>4</v>
      </c>
      <c r="N457" s="2">
        <f t="shared" ca="1" si="26"/>
        <v>1207.088457237199</v>
      </c>
      <c r="O457" s="180">
        <f t="shared" ca="1" si="27"/>
        <v>1.5754582495457925E-3</v>
      </c>
      <c r="P457" s="180"/>
      <c r="Q457" s="185"/>
      <c r="R457" s="180"/>
      <c r="S457" s="180"/>
      <c r="T457" s="180"/>
    </row>
    <row r="458" spans="1:20" x14ac:dyDescent="0.25">
      <c r="A458" t="s">
        <v>236</v>
      </c>
      <c r="B458" t="s">
        <v>237</v>
      </c>
      <c r="C458" t="s">
        <v>238</v>
      </c>
      <c r="D458" t="s">
        <v>239</v>
      </c>
      <c r="E458" t="s">
        <v>229</v>
      </c>
      <c r="F458">
        <v>1998</v>
      </c>
      <c r="G458">
        <v>8.4410000000000006E-3</v>
      </c>
      <c r="H458" t="s">
        <v>240</v>
      </c>
      <c r="I458" t="s">
        <v>241</v>
      </c>
      <c r="J458" t="s">
        <v>242</v>
      </c>
      <c r="K458" s="183">
        <f ca="1">VLOOKUP(F458,
    OFFSET(INDIRECT(ADDRESS(MATCH(J458,'Vehicle numbers'!$A$5:$A$162,0),1,1,1,$L$6)),4,1,COUNTIF('Vehicle numbers'!$A$5:$A$162,J458),4),
    MATCH(K$8,'Vehicle numbers'!$B$4:$D$4,0))*1000</f>
        <v>161312</v>
      </c>
      <c r="L458" s="183">
        <f ca="1">VLOOKUP(F458,
    OFFSET(INDIRECT(ADDRESS(MATCH(J458,'Vehicle numbers'!$A$5:$A$162,0),1,1,1,$L$6)),4,1,COUNTIF('Vehicle numbers'!$A$5:$A$162,J458),4),
    MATCH(L$8,'Vehicle numbers'!$B$4:$D$4,0))*1000</f>
        <v>166948.18262035205</v>
      </c>
      <c r="M458" s="184">
        <f>VLOOKUP(F458,'Annual distance covered (GB)'!$A$8:$H$33,MATCH(J458,'Annual distance covered (GB)'!$A$7:$H$7,0))</f>
        <v>5.2</v>
      </c>
      <c r="N458" s="2">
        <f t="shared" ca="1" si="26"/>
        <v>45426.812446635318</v>
      </c>
      <c r="O458" s="180">
        <f t="shared" ca="1" si="27"/>
        <v>0.2721012695893672</v>
      </c>
      <c r="P458" s="180"/>
      <c r="Q458" s="185"/>
      <c r="R458" s="180"/>
      <c r="S458" s="180"/>
      <c r="T458" s="180"/>
    </row>
    <row r="459" spans="1:20" x14ac:dyDescent="0.25">
      <c r="A459" t="s">
        <v>243</v>
      </c>
      <c r="B459" t="s">
        <v>237</v>
      </c>
      <c r="C459" t="s">
        <v>238</v>
      </c>
      <c r="D459" t="s">
        <v>239</v>
      </c>
      <c r="E459" t="s">
        <v>229</v>
      </c>
      <c r="F459">
        <v>1998</v>
      </c>
      <c r="G459">
        <v>3.3763999999999999E-3</v>
      </c>
      <c r="H459" t="s">
        <v>240</v>
      </c>
      <c r="I459" t="s">
        <v>241</v>
      </c>
      <c r="J459" t="s">
        <v>242</v>
      </c>
      <c r="K459" s="183">
        <f ca="1">VLOOKUP(F459,
    OFFSET(INDIRECT(ADDRESS(MATCH(J459,'Vehicle numbers'!$A$5:$A$162,0),1,1,1,$L$6)),4,1,COUNTIF('Vehicle numbers'!$A$5:$A$162,J459),4),
    MATCH(K$8,'Vehicle numbers'!$B$4:$D$4,0))*1000</f>
        <v>161312</v>
      </c>
      <c r="L459" s="183">
        <f ca="1">VLOOKUP(F459,
    OFFSET(INDIRECT(ADDRESS(MATCH(J459,'Vehicle numbers'!$A$5:$A$162,0),1,1,1,$L$6)),4,1,COUNTIF('Vehicle numbers'!$A$5:$A$162,J459),4),
    MATCH(L$8,'Vehicle numbers'!$B$4:$D$4,0))*1000</f>
        <v>166948.18262035205</v>
      </c>
      <c r="M459" s="184">
        <f>VLOOKUP(F459,'Annual distance covered (GB)'!$A$8:$H$33,MATCH(J459,'Annual distance covered (GB)'!$A$7:$H$7,0))</f>
        <v>5.2</v>
      </c>
      <c r="N459" s="2">
        <f t="shared" ref="N459:N522" ca="1" si="28">M459*G459*1000000*(L459/K459)</f>
        <v>18170.724978654129</v>
      </c>
      <c r="O459" s="180">
        <f t="shared" ref="O459:O522" ca="1" si="29">N459/L459</f>
        <v>0.10884050783574689</v>
      </c>
      <c r="P459" s="180"/>
      <c r="Q459" s="185"/>
      <c r="R459" s="180"/>
      <c r="S459" s="180"/>
      <c r="T459" s="180"/>
    </row>
    <row r="460" spans="1:20" x14ac:dyDescent="0.25">
      <c r="A460" t="s">
        <v>244</v>
      </c>
      <c r="B460" t="s">
        <v>237</v>
      </c>
      <c r="C460" t="s">
        <v>238</v>
      </c>
      <c r="D460" t="s">
        <v>239</v>
      </c>
      <c r="E460" t="s">
        <v>229</v>
      </c>
      <c r="F460">
        <v>1998</v>
      </c>
      <c r="G460">
        <v>8.4409999999999997E-4</v>
      </c>
      <c r="H460" t="s">
        <v>240</v>
      </c>
      <c r="I460" t="s">
        <v>241</v>
      </c>
      <c r="J460" t="s">
        <v>242</v>
      </c>
      <c r="K460" s="183">
        <f ca="1">VLOOKUP(F460,
    OFFSET(INDIRECT(ADDRESS(MATCH(J460,'Vehicle numbers'!$A$5:$A$162,0),1,1,1,$L$6)),4,1,COUNTIF('Vehicle numbers'!$A$5:$A$162,J460),4),
    MATCH(K$8,'Vehicle numbers'!$B$4:$D$4,0))*1000</f>
        <v>161312</v>
      </c>
      <c r="L460" s="183">
        <f ca="1">VLOOKUP(F460,
    OFFSET(INDIRECT(ADDRESS(MATCH(J460,'Vehicle numbers'!$A$5:$A$162,0),1,1,1,$L$6)),4,1,COUNTIF('Vehicle numbers'!$A$5:$A$162,J460),4),
    MATCH(L$8,'Vehicle numbers'!$B$4:$D$4,0))*1000</f>
        <v>166948.18262035205</v>
      </c>
      <c r="M460" s="184">
        <f>VLOOKUP(F460,'Annual distance covered (GB)'!$A$8:$H$33,MATCH(J460,'Annual distance covered (GB)'!$A$7:$H$7,0))</f>
        <v>5.2</v>
      </c>
      <c r="N460" s="2">
        <f t="shared" ca="1" si="28"/>
        <v>4542.6812446635322</v>
      </c>
      <c r="O460" s="180">
        <f t="shared" ca="1" si="29"/>
        <v>2.7210126958936723E-2</v>
      </c>
      <c r="P460" s="180"/>
      <c r="Q460" s="185"/>
      <c r="R460" s="180"/>
      <c r="S460" s="180"/>
      <c r="T460" s="180"/>
    </row>
    <row r="461" spans="1:20" x14ac:dyDescent="0.25">
      <c r="A461" t="s">
        <v>246</v>
      </c>
      <c r="B461" t="s">
        <v>237</v>
      </c>
      <c r="C461" t="s">
        <v>238</v>
      </c>
      <c r="D461" t="s">
        <v>239</v>
      </c>
      <c r="E461" t="s">
        <v>229</v>
      </c>
      <c r="F461">
        <v>1998</v>
      </c>
      <c r="G461">
        <v>6.7528E-4</v>
      </c>
      <c r="H461" t="s">
        <v>240</v>
      </c>
      <c r="I461" t="s">
        <v>241</v>
      </c>
      <c r="J461" t="s">
        <v>242</v>
      </c>
      <c r="K461" s="183">
        <f ca="1">VLOOKUP(F461,
    OFFSET(INDIRECT(ADDRESS(MATCH(J461,'Vehicle numbers'!$A$5:$A$162,0),1,1,1,$L$6)),4,1,COUNTIF('Vehicle numbers'!$A$5:$A$162,J461),4),
    MATCH(K$8,'Vehicle numbers'!$B$4:$D$4,0))*1000</f>
        <v>161312</v>
      </c>
      <c r="L461" s="183">
        <f ca="1">VLOOKUP(F461,
    OFFSET(INDIRECT(ADDRESS(MATCH(J461,'Vehicle numbers'!$A$5:$A$162,0),1,1,1,$L$6)),4,1,COUNTIF('Vehicle numbers'!$A$5:$A$162,J461),4),
    MATCH(L$8,'Vehicle numbers'!$B$4:$D$4,0))*1000</f>
        <v>166948.18262035205</v>
      </c>
      <c r="M461" s="184">
        <f>VLOOKUP(F461,'Annual distance covered (GB)'!$A$8:$H$33,MATCH(J461,'Annual distance covered (GB)'!$A$7:$H$7,0))</f>
        <v>5.2</v>
      </c>
      <c r="N461" s="2">
        <f t="shared" ca="1" si="28"/>
        <v>3634.1449957308255</v>
      </c>
      <c r="O461" s="180">
        <f t="shared" ca="1" si="29"/>
        <v>2.1768101567149374E-2</v>
      </c>
      <c r="P461" s="180"/>
      <c r="Q461" s="185"/>
      <c r="R461" s="180"/>
      <c r="S461" s="180"/>
      <c r="T461" s="180"/>
    </row>
    <row r="462" spans="1:20" x14ac:dyDescent="0.25">
      <c r="A462" t="s">
        <v>236</v>
      </c>
      <c r="B462" t="s">
        <v>237</v>
      </c>
      <c r="C462" t="s">
        <v>238</v>
      </c>
      <c r="D462" t="s">
        <v>239</v>
      </c>
      <c r="E462" t="s">
        <v>228</v>
      </c>
      <c r="F462">
        <v>1998</v>
      </c>
      <c r="G462">
        <v>1.39232E-2</v>
      </c>
      <c r="H462" t="s">
        <v>240</v>
      </c>
      <c r="I462" t="s">
        <v>241</v>
      </c>
      <c r="J462" t="s">
        <v>242</v>
      </c>
      <c r="K462" s="183">
        <f ca="1">VLOOKUP(F462,
    OFFSET(INDIRECT(ADDRESS(MATCH(J462,'Vehicle numbers'!$A$5:$A$162,0),1,1,1,$L$6)),4,1,COUNTIF('Vehicle numbers'!$A$5:$A$162,J462),4),
    MATCH(K$8,'Vehicle numbers'!$B$4:$D$4,0))*1000</f>
        <v>161312</v>
      </c>
      <c r="L462" s="183">
        <f ca="1">VLOOKUP(F462,
    OFFSET(INDIRECT(ADDRESS(MATCH(J462,'Vehicle numbers'!$A$5:$A$162,0),1,1,1,$L$6)),4,1,COUNTIF('Vehicle numbers'!$A$5:$A$162,J462),4),
    MATCH(L$8,'Vehicle numbers'!$B$4:$D$4,0))*1000</f>
        <v>166948.18262035205</v>
      </c>
      <c r="M462" s="184">
        <f>VLOOKUP(F462,'Annual distance covered (GB)'!$A$8:$H$33,MATCH(J462,'Annual distance covered (GB)'!$A$7:$H$7,0))</f>
        <v>5.2</v>
      </c>
      <c r="N462" s="2">
        <f t="shared" ca="1" si="28"/>
        <v>74930.292033762918</v>
      </c>
      <c r="O462" s="180">
        <f t="shared" ca="1" si="29"/>
        <v>0.44882364610196385</v>
      </c>
      <c r="P462" s="180"/>
      <c r="Q462" s="185"/>
      <c r="R462" s="180"/>
      <c r="S462" s="180"/>
      <c r="T462" s="180"/>
    </row>
    <row r="463" spans="1:20" x14ac:dyDescent="0.25">
      <c r="A463" t="s">
        <v>243</v>
      </c>
      <c r="B463" t="s">
        <v>237</v>
      </c>
      <c r="C463" t="s">
        <v>238</v>
      </c>
      <c r="D463" t="s">
        <v>239</v>
      </c>
      <c r="E463" t="s">
        <v>228</v>
      </c>
      <c r="F463">
        <v>1998</v>
      </c>
      <c r="G463">
        <v>9.7462399999999998E-3</v>
      </c>
      <c r="H463" t="s">
        <v>240</v>
      </c>
      <c r="I463" t="s">
        <v>241</v>
      </c>
      <c r="J463" t="s">
        <v>242</v>
      </c>
      <c r="K463" s="183">
        <f ca="1">VLOOKUP(F463,
    OFFSET(INDIRECT(ADDRESS(MATCH(J463,'Vehicle numbers'!$A$5:$A$162,0),1,1,1,$L$6)),4,1,COUNTIF('Vehicle numbers'!$A$5:$A$162,J463),4),
    MATCH(K$8,'Vehicle numbers'!$B$4:$D$4,0))*1000</f>
        <v>161312</v>
      </c>
      <c r="L463" s="183">
        <f ca="1">VLOOKUP(F463,
    OFFSET(INDIRECT(ADDRESS(MATCH(J463,'Vehicle numbers'!$A$5:$A$162,0),1,1,1,$L$6)),4,1,COUNTIF('Vehicle numbers'!$A$5:$A$162,J463),4),
    MATCH(L$8,'Vehicle numbers'!$B$4:$D$4,0))*1000</f>
        <v>166948.18262035205</v>
      </c>
      <c r="M463" s="184">
        <f>VLOOKUP(F463,'Annual distance covered (GB)'!$A$8:$H$33,MATCH(J463,'Annual distance covered (GB)'!$A$7:$H$7,0))</f>
        <v>5.2</v>
      </c>
      <c r="N463" s="2">
        <f t="shared" ca="1" si="28"/>
        <v>52451.204423634052</v>
      </c>
      <c r="O463" s="180">
        <f t="shared" ca="1" si="29"/>
        <v>0.31417655227137475</v>
      </c>
      <c r="P463" s="180"/>
      <c r="Q463" s="185"/>
      <c r="R463" s="180"/>
      <c r="S463" s="180"/>
      <c r="T463" s="180"/>
    </row>
    <row r="464" spans="1:20" x14ac:dyDescent="0.25">
      <c r="A464" t="s">
        <v>244</v>
      </c>
      <c r="B464" t="s">
        <v>237</v>
      </c>
      <c r="C464" t="s">
        <v>238</v>
      </c>
      <c r="D464" t="s">
        <v>239</v>
      </c>
      <c r="E464" t="s">
        <v>228</v>
      </c>
      <c r="F464">
        <v>1998</v>
      </c>
      <c r="G464">
        <v>1.3727098591549301E-3</v>
      </c>
      <c r="H464" t="s">
        <v>240</v>
      </c>
      <c r="I464" t="s">
        <v>241</v>
      </c>
      <c r="J464" t="s">
        <v>242</v>
      </c>
      <c r="K464" s="183">
        <f ca="1">VLOOKUP(F464,
    OFFSET(INDIRECT(ADDRESS(MATCH(J464,'Vehicle numbers'!$A$5:$A$162,0),1,1,1,$L$6)),4,1,COUNTIF('Vehicle numbers'!$A$5:$A$162,J464),4),
    MATCH(K$8,'Vehicle numbers'!$B$4:$D$4,0))*1000</f>
        <v>161312</v>
      </c>
      <c r="L464" s="183">
        <f ca="1">VLOOKUP(F464,
    OFFSET(INDIRECT(ADDRESS(MATCH(J464,'Vehicle numbers'!$A$5:$A$162,0),1,1,1,$L$6)),4,1,COUNTIF('Vehicle numbers'!$A$5:$A$162,J464),4),
    MATCH(L$8,'Vehicle numbers'!$B$4:$D$4,0))*1000</f>
        <v>166948.18262035205</v>
      </c>
      <c r="M464" s="184">
        <f>VLOOKUP(F464,'Annual distance covered (GB)'!$A$8:$H$33,MATCH(J464,'Annual distance covered (GB)'!$A$7:$H$7,0))</f>
        <v>5.2</v>
      </c>
      <c r="N464" s="2">
        <f t="shared" ca="1" si="28"/>
        <v>7387.4935807935308</v>
      </c>
      <c r="O464" s="180">
        <f t="shared" ca="1" si="29"/>
        <v>4.4250218629771104E-2</v>
      </c>
      <c r="P464" s="180"/>
      <c r="Q464" s="185"/>
      <c r="R464" s="180"/>
      <c r="S464" s="180"/>
      <c r="T464" s="180"/>
    </row>
    <row r="465" spans="1:20" x14ac:dyDescent="0.25">
      <c r="A465" t="s">
        <v>246</v>
      </c>
      <c r="B465" t="s">
        <v>237</v>
      </c>
      <c r="C465" t="s">
        <v>238</v>
      </c>
      <c r="D465" t="s">
        <v>239</v>
      </c>
      <c r="E465" t="s">
        <v>228</v>
      </c>
      <c r="F465">
        <v>1998</v>
      </c>
      <c r="G465">
        <v>1.09816788732394E-3</v>
      </c>
      <c r="H465" t="s">
        <v>240</v>
      </c>
      <c r="I465" t="s">
        <v>241</v>
      </c>
      <c r="J465" t="s">
        <v>242</v>
      </c>
      <c r="K465" s="183">
        <f ca="1">VLOOKUP(F465,
    OFFSET(INDIRECT(ADDRESS(MATCH(J465,'Vehicle numbers'!$A$5:$A$162,0),1,1,1,$L$6)),4,1,COUNTIF('Vehicle numbers'!$A$5:$A$162,J465),4),
    MATCH(K$8,'Vehicle numbers'!$B$4:$D$4,0))*1000</f>
        <v>161312</v>
      </c>
      <c r="L465" s="183">
        <f ca="1">VLOOKUP(F465,
    OFFSET(INDIRECT(ADDRESS(MATCH(J465,'Vehicle numbers'!$A$5:$A$162,0),1,1,1,$L$6)),4,1,COUNTIF('Vehicle numbers'!$A$5:$A$162,J465),4),
    MATCH(L$8,'Vehicle numbers'!$B$4:$D$4,0))*1000</f>
        <v>166948.18262035205</v>
      </c>
      <c r="M465" s="184">
        <f>VLOOKUP(F465,'Annual distance covered (GB)'!$A$8:$H$33,MATCH(J465,'Annual distance covered (GB)'!$A$7:$H$7,0))</f>
        <v>5.2</v>
      </c>
      <c r="N465" s="2">
        <f t="shared" ca="1" si="28"/>
        <v>5909.9948646348021</v>
      </c>
      <c r="O465" s="180">
        <f t="shared" ca="1" si="29"/>
        <v>3.540017490381675E-2</v>
      </c>
      <c r="P465" s="180"/>
      <c r="Q465" s="185"/>
      <c r="R465" s="180"/>
      <c r="S465" s="180"/>
      <c r="T465" s="180"/>
    </row>
    <row r="466" spans="1:20" x14ac:dyDescent="0.25">
      <c r="A466" t="s">
        <v>236</v>
      </c>
      <c r="B466" t="s">
        <v>237</v>
      </c>
      <c r="C466" t="s">
        <v>238</v>
      </c>
      <c r="D466" t="s">
        <v>248</v>
      </c>
      <c r="E466" t="s">
        <v>229</v>
      </c>
      <c r="F466">
        <v>1998</v>
      </c>
      <c r="G466">
        <v>2.7143E-2</v>
      </c>
      <c r="H466" t="s">
        <v>240</v>
      </c>
      <c r="I466" t="s">
        <v>241</v>
      </c>
      <c r="J466" t="s">
        <v>242</v>
      </c>
      <c r="K466" s="183">
        <f ca="1">VLOOKUP(F466,
    OFFSET(INDIRECT(ADDRESS(MATCH(J466,'Vehicle numbers'!$A$5:$A$162,0),1,1,1,$L$6)),4,1,COUNTIF('Vehicle numbers'!$A$5:$A$162,J466),4),
    MATCH(K$8,'Vehicle numbers'!$B$4:$D$4,0))*1000</f>
        <v>161312</v>
      </c>
      <c r="L466" s="183">
        <f ca="1">VLOOKUP(F466,
    OFFSET(INDIRECT(ADDRESS(MATCH(J466,'Vehicle numbers'!$A$5:$A$162,0),1,1,1,$L$6)),4,1,COUNTIF('Vehicle numbers'!$A$5:$A$162,J466),4),
    MATCH(L$8,'Vehicle numbers'!$B$4:$D$4,0))*1000</f>
        <v>166948.18262035205</v>
      </c>
      <c r="M466" s="184">
        <f>VLOOKUP(F466,'Annual distance covered (GB)'!$A$8:$H$33,MATCH(J466,'Annual distance covered (GB)'!$A$7:$H$7,0))</f>
        <v>5.2</v>
      </c>
      <c r="N466" s="2">
        <f t="shared" ca="1" si="28"/>
        <v>146075.10605840804</v>
      </c>
      <c r="O466" s="180">
        <f t="shared" ca="1" si="29"/>
        <v>0.87497272366593914</v>
      </c>
      <c r="P466" s="180"/>
      <c r="Q466" s="185"/>
      <c r="R466" s="180"/>
      <c r="S466" s="180"/>
      <c r="T466" s="180"/>
    </row>
    <row r="467" spans="1:20" x14ac:dyDescent="0.25">
      <c r="A467" t="s">
        <v>243</v>
      </c>
      <c r="B467" t="s">
        <v>237</v>
      </c>
      <c r="C467" t="s">
        <v>238</v>
      </c>
      <c r="D467" t="s">
        <v>248</v>
      </c>
      <c r="E467" t="s">
        <v>229</v>
      </c>
      <c r="F467">
        <v>1998</v>
      </c>
      <c r="G467">
        <v>1.0857199999999999E-2</v>
      </c>
      <c r="H467" t="s">
        <v>240</v>
      </c>
      <c r="I467" t="s">
        <v>241</v>
      </c>
      <c r="J467" t="s">
        <v>242</v>
      </c>
      <c r="K467" s="183">
        <f ca="1">VLOOKUP(F467,
    OFFSET(INDIRECT(ADDRESS(MATCH(J467,'Vehicle numbers'!$A$5:$A$162,0),1,1,1,$L$6)),4,1,COUNTIF('Vehicle numbers'!$A$5:$A$162,J467),4),
    MATCH(K$8,'Vehicle numbers'!$B$4:$D$4,0))*1000</f>
        <v>161312</v>
      </c>
      <c r="L467" s="183">
        <f ca="1">VLOOKUP(F467,
    OFFSET(INDIRECT(ADDRESS(MATCH(J467,'Vehicle numbers'!$A$5:$A$162,0),1,1,1,$L$6)),4,1,COUNTIF('Vehicle numbers'!$A$5:$A$162,J467),4),
    MATCH(L$8,'Vehicle numbers'!$B$4:$D$4,0))*1000</f>
        <v>166948.18262035205</v>
      </c>
      <c r="M467" s="184">
        <f>VLOOKUP(F467,'Annual distance covered (GB)'!$A$8:$H$33,MATCH(J467,'Annual distance covered (GB)'!$A$7:$H$7,0))</f>
        <v>5.2</v>
      </c>
      <c r="N467" s="2">
        <f t="shared" ca="1" si="28"/>
        <v>58430.042423363215</v>
      </c>
      <c r="O467" s="180">
        <f t="shared" ca="1" si="29"/>
        <v>0.34998908946637564</v>
      </c>
      <c r="P467" s="180"/>
      <c r="Q467" s="185"/>
      <c r="R467" s="180"/>
      <c r="S467" s="180"/>
      <c r="T467" s="180"/>
    </row>
    <row r="468" spans="1:20" x14ac:dyDescent="0.25">
      <c r="A468" t="s">
        <v>244</v>
      </c>
      <c r="B468" t="s">
        <v>237</v>
      </c>
      <c r="C468" t="s">
        <v>238</v>
      </c>
      <c r="D468" t="s">
        <v>248</v>
      </c>
      <c r="E468" t="s">
        <v>229</v>
      </c>
      <c r="F468">
        <v>1998</v>
      </c>
      <c r="G468">
        <v>2.7142999999999998E-3</v>
      </c>
      <c r="H468" t="s">
        <v>240</v>
      </c>
      <c r="I468" t="s">
        <v>241</v>
      </c>
      <c r="J468" t="s">
        <v>242</v>
      </c>
      <c r="K468" s="183">
        <f ca="1">VLOOKUP(F468,
    OFFSET(INDIRECT(ADDRESS(MATCH(J468,'Vehicle numbers'!$A$5:$A$162,0),1,1,1,$L$6)),4,1,COUNTIF('Vehicle numbers'!$A$5:$A$162,J468),4),
    MATCH(K$8,'Vehicle numbers'!$B$4:$D$4,0))*1000</f>
        <v>161312</v>
      </c>
      <c r="L468" s="183">
        <f ca="1">VLOOKUP(F468,
    OFFSET(INDIRECT(ADDRESS(MATCH(J468,'Vehicle numbers'!$A$5:$A$162,0),1,1,1,$L$6)),4,1,COUNTIF('Vehicle numbers'!$A$5:$A$162,J468),4),
    MATCH(L$8,'Vehicle numbers'!$B$4:$D$4,0))*1000</f>
        <v>166948.18262035205</v>
      </c>
      <c r="M468" s="184">
        <f>VLOOKUP(F468,'Annual distance covered (GB)'!$A$8:$H$33,MATCH(J468,'Annual distance covered (GB)'!$A$7:$H$7,0))</f>
        <v>5.2</v>
      </c>
      <c r="N468" s="2">
        <f t="shared" ca="1" si="28"/>
        <v>14607.510605840804</v>
      </c>
      <c r="O468" s="180">
        <f t="shared" ca="1" si="29"/>
        <v>8.7497272366593909E-2</v>
      </c>
      <c r="P468" s="180"/>
      <c r="Q468" s="185"/>
      <c r="R468" s="180"/>
      <c r="S468" s="180"/>
      <c r="T468" s="180"/>
    </row>
    <row r="469" spans="1:20" x14ac:dyDescent="0.25">
      <c r="A469" t="s">
        <v>246</v>
      </c>
      <c r="B469" t="s">
        <v>237</v>
      </c>
      <c r="C469" t="s">
        <v>238</v>
      </c>
      <c r="D469" t="s">
        <v>248</v>
      </c>
      <c r="E469" t="s">
        <v>229</v>
      </c>
      <c r="F469">
        <v>1998</v>
      </c>
      <c r="G469">
        <v>2.1714400000000002E-3</v>
      </c>
      <c r="H469" t="s">
        <v>240</v>
      </c>
      <c r="I469" t="s">
        <v>241</v>
      </c>
      <c r="J469" t="s">
        <v>242</v>
      </c>
      <c r="K469" s="183">
        <f ca="1">VLOOKUP(F469,
    OFFSET(INDIRECT(ADDRESS(MATCH(J469,'Vehicle numbers'!$A$5:$A$162,0),1,1,1,$L$6)),4,1,COUNTIF('Vehicle numbers'!$A$5:$A$162,J469),4),
    MATCH(K$8,'Vehicle numbers'!$B$4:$D$4,0))*1000</f>
        <v>161312</v>
      </c>
      <c r="L469" s="183">
        <f ca="1">VLOOKUP(F469,
    OFFSET(INDIRECT(ADDRESS(MATCH(J469,'Vehicle numbers'!$A$5:$A$162,0),1,1,1,$L$6)),4,1,COUNTIF('Vehicle numbers'!$A$5:$A$162,J469),4),
    MATCH(L$8,'Vehicle numbers'!$B$4:$D$4,0))*1000</f>
        <v>166948.18262035205</v>
      </c>
      <c r="M469" s="184">
        <f>VLOOKUP(F469,'Annual distance covered (GB)'!$A$8:$H$33,MATCH(J469,'Annual distance covered (GB)'!$A$7:$H$7,0))</f>
        <v>5.2</v>
      </c>
      <c r="N469" s="2">
        <f t="shared" ca="1" si="28"/>
        <v>11686.008484672646</v>
      </c>
      <c r="O469" s="180">
        <f t="shared" ca="1" si="29"/>
        <v>6.9997817893275152E-2</v>
      </c>
      <c r="P469" s="180"/>
      <c r="Q469" s="185"/>
      <c r="R469" s="180"/>
      <c r="S469" s="180"/>
      <c r="T469" s="180"/>
    </row>
    <row r="470" spans="1:20" x14ac:dyDescent="0.25">
      <c r="A470" t="s">
        <v>236</v>
      </c>
      <c r="B470" t="s">
        <v>237</v>
      </c>
      <c r="C470" t="s">
        <v>238</v>
      </c>
      <c r="D470" t="s">
        <v>248</v>
      </c>
      <c r="E470" t="s">
        <v>228</v>
      </c>
      <c r="F470">
        <v>1998</v>
      </c>
      <c r="G470">
        <v>1.69552075111827E-2</v>
      </c>
      <c r="H470" t="s">
        <v>240</v>
      </c>
      <c r="I470" t="s">
        <v>241</v>
      </c>
      <c r="J470" t="s">
        <v>242</v>
      </c>
      <c r="K470" s="183">
        <f ca="1">VLOOKUP(F470,
    OFFSET(INDIRECT(ADDRESS(MATCH(J470,'Vehicle numbers'!$A$5:$A$162,0),1,1,1,$L$6)),4,1,COUNTIF('Vehicle numbers'!$A$5:$A$162,J470),4),
    MATCH(K$8,'Vehicle numbers'!$B$4:$D$4,0))*1000</f>
        <v>161312</v>
      </c>
      <c r="L470" s="183">
        <f ca="1">VLOOKUP(F470,
    OFFSET(INDIRECT(ADDRESS(MATCH(J470,'Vehicle numbers'!$A$5:$A$162,0),1,1,1,$L$6)),4,1,COUNTIF('Vehicle numbers'!$A$5:$A$162,J470),4),
    MATCH(L$8,'Vehicle numbers'!$B$4:$D$4,0))*1000</f>
        <v>166948.18262035205</v>
      </c>
      <c r="M470" s="184">
        <f>VLOOKUP(F470,'Annual distance covered (GB)'!$A$8:$H$33,MATCH(J470,'Annual distance covered (GB)'!$A$7:$H$7,0))</f>
        <v>5.2</v>
      </c>
      <c r="N470" s="2">
        <f t="shared" ca="1" si="28"/>
        <v>91247.604739281946</v>
      </c>
      <c r="O470" s="180">
        <f t="shared" ca="1" si="29"/>
        <v>0.54656243216964662</v>
      </c>
      <c r="P470" s="180"/>
      <c r="Q470" s="185"/>
      <c r="R470" s="180"/>
      <c r="S470" s="180"/>
      <c r="T470" s="180"/>
    </row>
    <row r="471" spans="1:20" x14ac:dyDescent="0.25">
      <c r="A471" t="s">
        <v>243</v>
      </c>
      <c r="B471" t="s">
        <v>237</v>
      </c>
      <c r="C471" t="s">
        <v>238</v>
      </c>
      <c r="D471" t="s">
        <v>248</v>
      </c>
      <c r="E471" t="s">
        <v>228</v>
      </c>
      <c r="F471">
        <v>1998</v>
      </c>
      <c r="G471">
        <v>1.18686452578279E-2</v>
      </c>
      <c r="H471" t="s">
        <v>240</v>
      </c>
      <c r="I471" t="s">
        <v>241</v>
      </c>
      <c r="J471" t="s">
        <v>242</v>
      </c>
      <c r="K471" s="183">
        <f ca="1">VLOOKUP(F471,
    OFFSET(INDIRECT(ADDRESS(MATCH(J471,'Vehicle numbers'!$A$5:$A$162,0),1,1,1,$L$6)),4,1,COUNTIF('Vehicle numbers'!$A$5:$A$162,J471),4),
    MATCH(K$8,'Vehicle numbers'!$B$4:$D$4,0))*1000</f>
        <v>161312</v>
      </c>
      <c r="L471" s="183">
        <f ca="1">VLOOKUP(F471,
    OFFSET(INDIRECT(ADDRESS(MATCH(J471,'Vehicle numbers'!$A$5:$A$162,0),1,1,1,$L$6)),4,1,COUNTIF('Vehicle numbers'!$A$5:$A$162,J471),4),
    MATCH(L$8,'Vehicle numbers'!$B$4:$D$4,0))*1000</f>
        <v>166948.18262035205</v>
      </c>
      <c r="M471" s="184">
        <f>VLOOKUP(F471,'Annual distance covered (GB)'!$A$8:$H$33,MATCH(J471,'Annual distance covered (GB)'!$A$7:$H$7,0))</f>
        <v>5.2</v>
      </c>
      <c r="N471" s="2">
        <f t="shared" ca="1" si="28"/>
        <v>63873.323317497416</v>
      </c>
      <c r="O471" s="180">
        <f t="shared" ca="1" si="29"/>
        <v>0.38259370251875296</v>
      </c>
      <c r="P471" s="180"/>
      <c r="Q471" s="185"/>
      <c r="R471" s="180"/>
      <c r="S471" s="180"/>
      <c r="T471" s="180"/>
    </row>
    <row r="472" spans="1:20" x14ac:dyDescent="0.25">
      <c r="A472" t="s">
        <v>244</v>
      </c>
      <c r="B472" t="s">
        <v>237</v>
      </c>
      <c r="C472" t="s">
        <v>238</v>
      </c>
      <c r="D472" t="s">
        <v>248</v>
      </c>
      <c r="E472" t="s">
        <v>228</v>
      </c>
      <c r="F472">
        <v>1998</v>
      </c>
      <c r="G472">
        <v>1.6716401771588599E-3</v>
      </c>
      <c r="H472" t="s">
        <v>240</v>
      </c>
      <c r="I472" t="s">
        <v>241</v>
      </c>
      <c r="J472" t="s">
        <v>242</v>
      </c>
      <c r="K472" s="183">
        <f ca="1">VLOOKUP(F472,
    OFFSET(INDIRECT(ADDRESS(MATCH(J472,'Vehicle numbers'!$A$5:$A$162,0),1,1,1,$L$6)),4,1,COUNTIF('Vehicle numbers'!$A$5:$A$162,J472),4),
    MATCH(K$8,'Vehicle numbers'!$B$4:$D$4,0))*1000</f>
        <v>161312</v>
      </c>
      <c r="L472" s="183">
        <f ca="1">VLOOKUP(F472,
    OFFSET(INDIRECT(ADDRESS(MATCH(J472,'Vehicle numbers'!$A$5:$A$162,0),1,1,1,$L$6)),4,1,COUNTIF('Vehicle numbers'!$A$5:$A$162,J472),4),
    MATCH(L$8,'Vehicle numbers'!$B$4:$D$4,0))*1000</f>
        <v>166948.18262035205</v>
      </c>
      <c r="M472" s="184">
        <f>VLOOKUP(F472,'Annual distance covered (GB)'!$A$8:$H$33,MATCH(J472,'Annual distance covered (GB)'!$A$7:$H$7,0))</f>
        <v>5.2</v>
      </c>
      <c r="N472" s="2">
        <f t="shared" ca="1" si="28"/>
        <v>8996.2427207742876</v>
      </c>
      <c r="O472" s="180">
        <f t="shared" ca="1" si="29"/>
        <v>5.388643697447227E-2</v>
      </c>
      <c r="P472" s="180"/>
      <c r="Q472" s="185"/>
      <c r="R472" s="180"/>
      <c r="S472" s="180"/>
      <c r="T472" s="180"/>
    </row>
    <row r="473" spans="1:20" x14ac:dyDescent="0.25">
      <c r="A473" t="s">
        <v>246</v>
      </c>
      <c r="B473" t="s">
        <v>237</v>
      </c>
      <c r="C473" t="s">
        <v>238</v>
      </c>
      <c r="D473" t="s">
        <v>248</v>
      </c>
      <c r="E473" t="s">
        <v>228</v>
      </c>
      <c r="F473">
        <v>1998</v>
      </c>
      <c r="G473">
        <v>1.3373121417270899E-3</v>
      </c>
      <c r="H473" t="s">
        <v>240</v>
      </c>
      <c r="I473" t="s">
        <v>241</v>
      </c>
      <c r="J473" t="s">
        <v>242</v>
      </c>
      <c r="K473" s="183">
        <f ca="1">VLOOKUP(F473,
    OFFSET(INDIRECT(ADDRESS(MATCH(J473,'Vehicle numbers'!$A$5:$A$162,0),1,1,1,$L$6)),4,1,COUNTIF('Vehicle numbers'!$A$5:$A$162,J473),4),
    MATCH(K$8,'Vehicle numbers'!$B$4:$D$4,0))*1000</f>
        <v>161312</v>
      </c>
      <c r="L473" s="183">
        <f ca="1">VLOOKUP(F473,
    OFFSET(INDIRECT(ADDRESS(MATCH(J473,'Vehicle numbers'!$A$5:$A$162,0),1,1,1,$L$6)),4,1,COUNTIF('Vehicle numbers'!$A$5:$A$162,J473),4),
    MATCH(L$8,'Vehicle numbers'!$B$4:$D$4,0))*1000</f>
        <v>166948.18262035205</v>
      </c>
      <c r="M473" s="184">
        <f>VLOOKUP(F473,'Annual distance covered (GB)'!$A$8:$H$33,MATCH(J473,'Annual distance covered (GB)'!$A$7:$H$7,0))</f>
        <v>5.2</v>
      </c>
      <c r="N473" s="2">
        <f t="shared" ca="1" si="28"/>
        <v>7196.9941766194406</v>
      </c>
      <c r="O473" s="180">
        <f t="shared" ca="1" si="29"/>
        <v>4.3109149579577878E-2</v>
      </c>
      <c r="P473" s="180"/>
      <c r="Q473" s="185"/>
      <c r="R473" s="180"/>
      <c r="S473" s="180"/>
      <c r="T473" s="180"/>
    </row>
    <row r="474" spans="1:20" x14ac:dyDescent="0.25">
      <c r="A474" t="s">
        <v>236</v>
      </c>
      <c r="B474" t="s">
        <v>237</v>
      </c>
      <c r="C474" t="s">
        <v>238</v>
      </c>
      <c r="D474" t="s">
        <v>249</v>
      </c>
      <c r="E474" t="s">
        <v>229</v>
      </c>
      <c r="F474">
        <v>1998</v>
      </c>
      <c r="G474">
        <v>5.35949999999999E-2</v>
      </c>
      <c r="H474" t="s">
        <v>240</v>
      </c>
      <c r="I474" t="s">
        <v>241</v>
      </c>
      <c r="J474" t="s">
        <v>242</v>
      </c>
      <c r="K474" s="183">
        <f ca="1">VLOOKUP(F474,
    OFFSET(INDIRECT(ADDRESS(MATCH(J474,'Vehicle numbers'!$A$5:$A$162,0),1,1,1,$L$6)),4,1,COUNTIF('Vehicle numbers'!$A$5:$A$162,J474),4),
    MATCH(K$8,'Vehicle numbers'!$B$4:$D$4,0))*1000</f>
        <v>161312</v>
      </c>
      <c r="L474" s="183">
        <f ca="1">VLOOKUP(F474,
    OFFSET(INDIRECT(ADDRESS(MATCH(J474,'Vehicle numbers'!$A$5:$A$162,0),1,1,1,$L$6)),4,1,COUNTIF('Vehicle numbers'!$A$5:$A$162,J474),4),
    MATCH(L$8,'Vehicle numbers'!$B$4:$D$4,0))*1000</f>
        <v>166948.18262035205</v>
      </c>
      <c r="M474" s="184">
        <f>VLOOKUP(F474,'Annual distance covered (GB)'!$A$8:$H$33,MATCH(J474,'Annual distance covered (GB)'!$A$7:$H$7,0))</f>
        <v>5.2</v>
      </c>
      <c r="N474" s="2">
        <f t="shared" ca="1" si="28"/>
        <v>288431.46701545018</v>
      </c>
      <c r="O474" s="180">
        <f t="shared" ca="1" si="29"/>
        <v>1.7276706010712126</v>
      </c>
      <c r="P474" s="180"/>
      <c r="Q474" s="185"/>
      <c r="R474" s="180"/>
      <c r="S474" s="180"/>
      <c r="T474" s="180"/>
    </row>
    <row r="475" spans="1:20" x14ac:dyDescent="0.25">
      <c r="A475" t="s">
        <v>243</v>
      </c>
      <c r="B475" t="s">
        <v>237</v>
      </c>
      <c r="C475" t="s">
        <v>238</v>
      </c>
      <c r="D475" t="s">
        <v>249</v>
      </c>
      <c r="E475" t="s">
        <v>229</v>
      </c>
      <c r="F475">
        <v>1998</v>
      </c>
      <c r="G475">
        <v>2.1437999999999999E-2</v>
      </c>
      <c r="H475" t="s">
        <v>240</v>
      </c>
      <c r="I475" t="s">
        <v>241</v>
      </c>
      <c r="J475" t="s">
        <v>242</v>
      </c>
      <c r="K475" s="183">
        <f ca="1">VLOOKUP(F475,
    OFFSET(INDIRECT(ADDRESS(MATCH(J475,'Vehicle numbers'!$A$5:$A$162,0),1,1,1,$L$6)),4,1,COUNTIF('Vehicle numbers'!$A$5:$A$162,J475),4),
    MATCH(K$8,'Vehicle numbers'!$B$4:$D$4,0))*1000</f>
        <v>161312</v>
      </c>
      <c r="L475" s="183">
        <f ca="1">VLOOKUP(F475,
    OFFSET(INDIRECT(ADDRESS(MATCH(J475,'Vehicle numbers'!$A$5:$A$162,0),1,1,1,$L$6)),4,1,COUNTIF('Vehicle numbers'!$A$5:$A$162,J475),4),
    MATCH(L$8,'Vehicle numbers'!$B$4:$D$4,0))*1000</f>
        <v>166948.18262035205</v>
      </c>
      <c r="M475" s="184">
        <f>VLOOKUP(F475,'Annual distance covered (GB)'!$A$8:$H$33,MATCH(J475,'Annual distance covered (GB)'!$A$7:$H$7,0))</f>
        <v>5.2</v>
      </c>
      <c r="N475" s="2">
        <f t="shared" ca="1" si="28"/>
        <v>115372.58680618029</v>
      </c>
      <c r="O475" s="180">
        <f t="shared" ca="1" si="29"/>
        <v>0.69106824042848636</v>
      </c>
      <c r="P475" s="180"/>
      <c r="Q475" s="185"/>
      <c r="R475" s="180"/>
      <c r="S475" s="180"/>
      <c r="T475" s="180"/>
    </row>
    <row r="476" spans="1:20" x14ac:dyDescent="0.25">
      <c r="A476" t="s">
        <v>244</v>
      </c>
      <c r="B476" t="s">
        <v>237</v>
      </c>
      <c r="C476" t="s">
        <v>238</v>
      </c>
      <c r="D476" t="s">
        <v>249</v>
      </c>
      <c r="E476" t="s">
        <v>229</v>
      </c>
      <c r="F476">
        <v>1998</v>
      </c>
      <c r="G476">
        <v>5.3594999999999997E-3</v>
      </c>
      <c r="H476" t="s">
        <v>240</v>
      </c>
      <c r="I476" t="s">
        <v>241</v>
      </c>
      <c r="J476" t="s">
        <v>242</v>
      </c>
      <c r="K476" s="183">
        <f ca="1">VLOOKUP(F476,
    OFFSET(INDIRECT(ADDRESS(MATCH(J476,'Vehicle numbers'!$A$5:$A$162,0),1,1,1,$L$6)),4,1,COUNTIF('Vehicle numbers'!$A$5:$A$162,J476),4),
    MATCH(K$8,'Vehicle numbers'!$B$4:$D$4,0))*1000</f>
        <v>161312</v>
      </c>
      <c r="L476" s="183">
        <f ca="1">VLOOKUP(F476,
    OFFSET(INDIRECT(ADDRESS(MATCH(J476,'Vehicle numbers'!$A$5:$A$162,0),1,1,1,$L$6)),4,1,COUNTIF('Vehicle numbers'!$A$5:$A$162,J476),4),
    MATCH(L$8,'Vehicle numbers'!$B$4:$D$4,0))*1000</f>
        <v>166948.18262035205</v>
      </c>
      <c r="M476" s="184">
        <f>VLOOKUP(F476,'Annual distance covered (GB)'!$A$8:$H$33,MATCH(J476,'Annual distance covered (GB)'!$A$7:$H$7,0))</f>
        <v>5.2</v>
      </c>
      <c r="N476" s="2">
        <f t="shared" ca="1" si="28"/>
        <v>28843.146701545073</v>
      </c>
      <c r="O476" s="180">
        <f t="shared" ca="1" si="29"/>
        <v>0.17276706010712159</v>
      </c>
      <c r="P476" s="180"/>
      <c r="Q476" s="185"/>
      <c r="R476" s="180"/>
      <c r="S476" s="180"/>
      <c r="T476" s="180"/>
    </row>
    <row r="477" spans="1:20" x14ac:dyDescent="0.25">
      <c r="A477" t="s">
        <v>246</v>
      </c>
      <c r="B477" t="s">
        <v>237</v>
      </c>
      <c r="C477" t="s">
        <v>238</v>
      </c>
      <c r="D477" t="s">
        <v>249</v>
      </c>
      <c r="E477" t="s">
        <v>229</v>
      </c>
      <c r="F477">
        <v>1998</v>
      </c>
      <c r="G477">
        <v>4.2875999999999999E-3</v>
      </c>
      <c r="H477" t="s">
        <v>240</v>
      </c>
      <c r="I477" t="s">
        <v>241</v>
      </c>
      <c r="J477" t="s">
        <v>242</v>
      </c>
      <c r="K477" s="183">
        <f ca="1">VLOOKUP(F477,
    OFFSET(INDIRECT(ADDRESS(MATCH(J477,'Vehicle numbers'!$A$5:$A$162,0),1,1,1,$L$6)),4,1,COUNTIF('Vehicle numbers'!$A$5:$A$162,J477),4),
    MATCH(K$8,'Vehicle numbers'!$B$4:$D$4,0))*1000</f>
        <v>161312</v>
      </c>
      <c r="L477" s="183">
        <f ca="1">VLOOKUP(F477,
    OFFSET(INDIRECT(ADDRESS(MATCH(J477,'Vehicle numbers'!$A$5:$A$162,0),1,1,1,$L$6)),4,1,COUNTIF('Vehicle numbers'!$A$5:$A$162,J477),4),
    MATCH(L$8,'Vehicle numbers'!$B$4:$D$4,0))*1000</f>
        <v>166948.18262035205</v>
      </c>
      <c r="M477" s="184">
        <f>VLOOKUP(F477,'Annual distance covered (GB)'!$A$8:$H$33,MATCH(J477,'Annual distance covered (GB)'!$A$7:$H$7,0))</f>
        <v>5.2</v>
      </c>
      <c r="N477" s="2">
        <f t="shared" ca="1" si="28"/>
        <v>23074.51736123606</v>
      </c>
      <c r="O477" s="180">
        <f t="shared" ca="1" si="29"/>
        <v>0.13821364808569728</v>
      </c>
      <c r="P477" s="180"/>
      <c r="Q477" s="185"/>
      <c r="R477" s="180"/>
      <c r="S477" s="180"/>
      <c r="T477" s="180"/>
    </row>
    <row r="478" spans="1:20" x14ac:dyDescent="0.25">
      <c r="A478" t="s">
        <v>236</v>
      </c>
      <c r="B478" t="s">
        <v>237</v>
      </c>
      <c r="C478" t="s">
        <v>238</v>
      </c>
      <c r="D478" t="s">
        <v>249</v>
      </c>
      <c r="E478" t="s">
        <v>228</v>
      </c>
      <c r="F478">
        <v>1998</v>
      </c>
      <c r="G478">
        <v>2.1562200648721799E-2</v>
      </c>
      <c r="H478" t="s">
        <v>240</v>
      </c>
      <c r="I478" t="s">
        <v>241</v>
      </c>
      <c r="J478" t="s">
        <v>242</v>
      </c>
      <c r="K478" s="183">
        <f ca="1">VLOOKUP(F478,
    OFFSET(INDIRECT(ADDRESS(MATCH(J478,'Vehicle numbers'!$A$5:$A$162,0),1,1,1,$L$6)),4,1,COUNTIF('Vehicle numbers'!$A$5:$A$162,J478),4),
    MATCH(K$8,'Vehicle numbers'!$B$4:$D$4,0))*1000</f>
        <v>161312</v>
      </c>
      <c r="L478" s="183">
        <f ca="1">VLOOKUP(F478,
    OFFSET(INDIRECT(ADDRESS(MATCH(J478,'Vehicle numbers'!$A$5:$A$162,0),1,1,1,$L$6)),4,1,COUNTIF('Vehicle numbers'!$A$5:$A$162,J478),4),
    MATCH(L$8,'Vehicle numbers'!$B$4:$D$4,0))*1000</f>
        <v>166948.18262035205</v>
      </c>
      <c r="M478" s="184">
        <f>VLOOKUP(F478,'Annual distance covered (GB)'!$A$8:$H$33,MATCH(J478,'Annual distance covered (GB)'!$A$7:$H$7,0))</f>
        <v>5.2</v>
      </c>
      <c r="N478" s="2">
        <f t="shared" ca="1" si="28"/>
        <v>116040.99571214351</v>
      </c>
      <c r="O478" s="180">
        <f t="shared" ca="1" si="29"/>
        <v>0.6950719312472311</v>
      </c>
      <c r="P478" s="180"/>
      <c r="Q478" s="185"/>
      <c r="R478" s="180"/>
      <c r="S478" s="180"/>
      <c r="T478" s="180"/>
    </row>
    <row r="479" spans="1:20" x14ac:dyDescent="0.25">
      <c r="A479" t="s">
        <v>243</v>
      </c>
      <c r="B479" t="s">
        <v>237</v>
      </c>
      <c r="C479" t="s">
        <v>238</v>
      </c>
      <c r="D479" t="s">
        <v>249</v>
      </c>
      <c r="E479" t="s">
        <v>228</v>
      </c>
      <c r="F479">
        <v>1998</v>
      </c>
      <c r="G479">
        <v>1.5093540454105299E-2</v>
      </c>
      <c r="H479" t="s">
        <v>240</v>
      </c>
      <c r="I479" t="s">
        <v>241</v>
      </c>
      <c r="J479" t="s">
        <v>242</v>
      </c>
      <c r="K479" s="183">
        <f ca="1">VLOOKUP(F479,
    OFFSET(INDIRECT(ADDRESS(MATCH(J479,'Vehicle numbers'!$A$5:$A$162,0),1,1,1,$L$6)),4,1,COUNTIF('Vehicle numbers'!$A$5:$A$162,J479),4),
    MATCH(K$8,'Vehicle numbers'!$B$4:$D$4,0))*1000</f>
        <v>161312</v>
      </c>
      <c r="L479" s="183">
        <f ca="1">VLOOKUP(F479,
    OFFSET(INDIRECT(ADDRESS(MATCH(J479,'Vehicle numbers'!$A$5:$A$162,0),1,1,1,$L$6)),4,1,COUNTIF('Vehicle numbers'!$A$5:$A$162,J479),4),
    MATCH(L$8,'Vehicle numbers'!$B$4:$D$4,0))*1000</f>
        <v>166948.18262035205</v>
      </c>
      <c r="M479" s="184">
        <f>VLOOKUP(F479,'Annual distance covered (GB)'!$A$8:$H$33,MATCH(J479,'Annual distance covered (GB)'!$A$7:$H$7,0))</f>
        <v>5.2</v>
      </c>
      <c r="N479" s="2">
        <f t="shared" ca="1" si="28"/>
        <v>81228.696998500687</v>
      </c>
      <c r="O479" s="180">
        <f t="shared" ca="1" si="29"/>
        <v>0.48655035187306311</v>
      </c>
      <c r="P479" s="180"/>
      <c r="Q479" s="185"/>
      <c r="R479" s="180"/>
      <c r="S479" s="180"/>
      <c r="T479" s="180"/>
    </row>
    <row r="480" spans="1:20" x14ac:dyDescent="0.25">
      <c r="A480" t="s">
        <v>244</v>
      </c>
      <c r="B480" t="s">
        <v>237</v>
      </c>
      <c r="C480" t="s">
        <v>238</v>
      </c>
      <c r="D480" t="s">
        <v>249</v>
      </c>
      <c r="E480" t="s">
        <v>228</v>
      </c>
      <c r="F480">
        <v>1998</v>
      </c>
      <c r="G480">
        <v>2.1258507681838402E-3</v>
      </c>
      <c r="H480" t="s">
        <v>240</v>
      </c>
      <c r="I480" t="s">
        <v>241</v>
      </c>
      <c r="J480" t="s">
        <v>242</v>
      </c>
      <c r="K480" s="183">
        <f ca="1">VLOOKUP(F480,
    OFFSET(INDIRECT(ADDRESS(MATCH(J480,'Vehicle numbers'!$A$5:$A$162,0),1,1,1,$L$6)),4,1,COUNTIF('Vehicle numbers'!$A$5:$A$162,J480),4),
    MATCH(K$8,'Vehicle numbers'!$B$4:$D$4,0))*1000</f>
        <v>161312</v>
      </c>
      <c r="L480" s="183">
        <f ca="1">VLOOKUP(F480,
    OFFSET(INDIRECT(ADDRESS(MATCH(J480,'Vehicle numbers'!$A$5:$A$162,0),1,1,1,$L$6)),4,1,COUNTIF('Vehicle numbers'!$A$5:$A$162,J480),4),
    MATCH(L$8,'Vehicle numbers'!$B$4:$D$4,0))*1000</f>
        <v>166948.18262035205</v>
      </c>
      <c r="M480" s="184">
        <f>VLOOKUP(F480,'Annual distance covered (GB)'!$A$8:$H$33,MATCH(J480,'Annual distance covered (GB)'!$A$7:$H$7,0))</f>
        <v>5.2</v>
      </c>
      <c r="N480" s="2">
        <f t="shared" ca="1" si="28"/>
        <v>11440.661549084578</v>
      </c>
      <c r="O480" s="180">
        <f t="shared" ca="1" si="29"/>
        <v>6.852821857367071E-2</v>
      </c>
      <c r="P480" s="180"/>
      <c r="Q480" s="185"/>
      <c r="R480" s="180"/>
      <c r="S480" s="180"/>
      <c r="T480" s="180"/>
    </row>
    <row r="481" spans="1:20" x14ac:dyDescent="0.25">
      <c r="A481" t="s">
        <v>246</v>
      </c>
      <c r="B481" t="s">
        <v>237</v>
      </c>
      <c r="C481" t="s">
        <v>238</v>
      </c>
      <c r="D481" t="s">
        <v>249</v>
      </c>
      <c r="E481" t="s">
        <v>228</v>
      </c>
      <c r="F481">
        <v>1998</v>
      </c>
      <c r="G481">
        <v>1.7006806145470699E-3</v>
      </c>
      <c r="H481" t="s">
        <v>240</v>
      </c>
      <c r="I481" t="s">
        <v>241</v>
      </c>
      <c r="J481" t="s">
        <v>242</v>
      </c>
      <c r="K481" s="183">
        <f ca="1">VLOOKUP(F481,
    OFFSET(INDIRECT(ADDRESS(MATCH(J481,'Vehicle numbers'!$A$5:$A$162,0),1,1,1,$L$6)),4,1,COUNTIF('Vehicle numbers'!$A$5:$A$162,J481),4),
    MATCH(K$8,'Vehicle numbers'!$B$4:$D$4,0))*1000</f>
        <v>161312</v>
      </c>
      <c r="L481" s="183">
        <f ca="1">VLOOKUP(F481,
    OFFSET(INDIRECT(ADDRESS(MATCH(J481,'Vehicle numbers'!$A$5:$A$162,0),1,1,1,$L$6)),4,1,COUNTIF('Vehicle numbers'!$A$5:$A$162,J481),4),
    MATCH(L$8,'Vehicle numbers'!$B$4:$D$4,0))*1000</f>
        <v>166948.18262035205</v>
      </c>
      <c r="M481" s="184">
        <f>VLOOKUP(F481,'Annual distance covered (GB)'!$A$8:$H$33,MATCH(J481,'Annual distance covered (GB)'!$A$7:$H$7,0))</f>
        <v>5.2</v>
      </c>
      <c r="N481" s="2">
        <f t="shared" ca="1" si="28"/>
        <v>9152.5292392676492</v>
      </c>
      <c r="O481" s="180">
        <f t="shared" ca="1" si="29"/>
        <v>5.4822574858936483E-2</v>
      </c>
      <c r="P481" s="180"/>
      <c r="Q481" s="185"/>
      <c r="R481" s="180"/>
      <c r="S481" s="180"/>
      <c r="T481" s="180"/>
    </row>
    <row r="482" spans="1:20" x14ac:dyDescent="0.25">
      <c r="A482" t="s">
        <v>236</v>
      </c>
      <c r="B482" t="s">
        <v>237</v>
      </c>
      <c r="C482" t="s">
        <v>238</v>
      </c>
      <c r="D482" t="s">
        <v>250</v>
      </c>
      <c r="E482" t="s">
        <v>229</v>
      </c>
      <c r="F482">
        <v>1998</v>
      </c>
      <c r="G482">
        <v>1.3600000000000001E-3</v>
      </c>
      <c r="H482" t="s">
        <v>240</v>
      </c>
      <c r="I482" t="s">
        <v>241</v>
      </c>
      <c r="J482" t="s">
        <v>2</v>
      </c>
      <c r="K482" s="183">
        <f ca="1">VLOOKUP(F482,
    OFFSET(INDIRECT(ADDRESS(MATCH(J482,'Vehicle numbers'!$A$5:$A$162,0),1,1,1,$L$6)),4,1,COUNTIF('Vehicle numbers'!$A$5:$A$162,J482),4),
    MATCH(K$8,'Vehicle numbers'!$B$4:$D$4,0))*1000</f>
        <v>23293332</v>
      </c>
      <c r="L482" s="183">
        <f ca="1">VLOOKUP(F482,
    OFFSET(INDIRECT(ADDRESS(MATCH(J482,'Vehicle numbers'!$A$5:$A$162,0),1,1,1,$L$6)),4,1,COUNTIF('Vehicle numbers'!$A$5:$A$162,J482),4),
    MATCH(L$8,'Vehicle numbers'!$B$4:$D$4,0))*1000</f>
        <v>24009194.292428344</v>
      </c>
      <c r="M482" s="184">
        <f>VLOOKUP(F482,'Annual distance covered (GB)'!$A$8:$H$33,MATCH(J482,'Annual distance covered (GB)'!$A$7:$H$7,0))</f>
        <v>370.6</v>
      </c>
      <c r="N482" s="2">
        <f t="shared" ca="1" si="28"/>
        <v>519505.67100029159</v>
      </c>
      <c r="O482" s="180">
        <f t="shared" ca="1" si="29"/>
        <v>2.1637780288367502E-2</v>
      </c>
      <c r="P482" s="180"/>
      <c r="Q482" s="185"/>
      <c r="R482" s="180"/>
      <c r="S482" s="180"/>
      <c r="T482" s="180"/>
    </row>
    <row r="483" spans="1:20" x14ac:dyDescent="0.25">
      <c r="A483" t="s">
        <v>243</v>
      </c>
      <c r="B483" t="s">
        <v>237</v>
      </c>
      <c r="C483" t="s">
        <v>238</v>
      </c>
      <c r="D483" t="s">
        <v>250</v>
      </c>
      <c r="E483" t="s">
        <v>229</v>
      </c>
      <c r="F483">
        <v>1998</v>
      </c>
      <c r="G483">
        <v>5.44E-4</v>
      </c>
      <c r="H483" t="s">
        <v>240</v>
      </c>
      <c r="I483" t="s">
        <v>241</v>
      </c>
      <c r="J483" t="s">
        <v>2</v>
      </c>
      <c r="K483" s="183">
        <f ca="1">VLOOKUP(F483,
    OFFSET(INDIRECT(ADDRESS(MATCH(J483,'Vehicle numbers'!$A$5:$A$162,0),1,1,1,$L$6)),4,1,COUNTIF('Vehicle numbers'!$A$5:$A$162,J483),4),
    MATCH(K$8,'Vehicle numbers'!$B$4:$D$4,0))*1000</f>
        <v>23293332</v>
      </c>
      <c r="L483" s="183">
        <f ca="1">VLOOKUP(F483,
    OFFSET(INDIRECT(ADDRESS(MATCH(J483,'Vehicle numbers'!$A$5:$A$162,0),1,1,1,$L$6)),4,1,COUNTIF('Vehicle numbers'!$A$5:$A$162,J483),4),
    MATCH(L$8,'Vehicle numbers'!$B$4:$D$4,0))*1000</f>
        <v>24009194.292428344</v>
      </c>
      <c r="M483" s="184">
        <f>VLOOKUP(F483,'Annual distance covered (GB)'!$A$8:$H$33,MATCH(J483,'Annual distance covered (GB)'!$A$7:$H$7,0))</f>
        <v>370.6</v>
      </c>
      <c r="N483" s="2">
        <f t="shared" ca="1" si="28"/>
        <v>207802.26840011668</v>
      </c>
      <c r="O483" s="180">
        <f t="shared" ca="1" si="29"/>
        <v>8.6551121153470023E-3</v>
      </c>
      <c r="P483" s="180"/>
      <c r="Q483" s="185"/>
      <c r="R483" s="180"/>
      <c r="S483" s="180"/>
      <c r="T483" s="180"/>
    </row>
    <row r="484" spans="1:20" x14ac:dyDescent="0.25">
      <c r="A484" t="s">
        <v>244</v>
      </c>
      <c r="B484" t="s">
        <v>237</v>
      </c>
      <c r="C484" t="s">
        <v>238</v>
      </c>
      <c r="D484" t="s">
        <v>250</v>
      </c>
      <c r="E484" t="s">
        <v>229</v>
      </c>
      <c r="F484">
        <v>1998</v>
      </c>
      <c r="G484">
        <v>1.36E-4</v>
      </c>
      <c r="H484" t="s">
        <v>240</v>
      </c>
      <c r="I484" t="s">
        <v>241</v>
      </c>
      <c r="J484" t="s">
        <v>2</v>
      </c>
      <c r="K484" s="183">
        <f ca="1">VLOOKUP(F484,
    OFFSET(INDIRECT(ADDRESS(MATCH(J484,'Vehicle numbers'!$A$5:$A$162,0),1,1,1,$L$6)),4,1,COUNTIF('Vehicle numbers'!$A$5:$A$162,J484),4),
    MATCH(K$8,'Vehicle numbers'!$B$4:$D$4,0))*1000</f>
        <v>23293332</v>
      </c>
      <c r="L484" s="183">
        <f ca="1">VLOOKUP(F484,
    OFFSET(INDIRECT(ADDRESS(MATCH(J484,'Vehicle numbers'!$A$5:$A$162,0),1,1,1,$L$6)),4,1,COUNTIF('Vehicle numbers'!$A$5:$A$162,J484),4),
    MATCH(L$8,'Vehicle numbers'!$B$4:$D$4,0))*1000</f>
        <v>24009194.292428344</v>
      </c>
      <c r="M484" s="184">
        <f>VLOOKUP(F484,'Annual distance covered (GB)'!$A$8:$H$33,MATCH(J484,'Annual distance covered (GB)'!$A$7:$H$7,0))</f>
        <v>370.6</v>
      </c>
      <c r="N484" s="2">
        <f t="shared" ca="1" si="28"/>
        <v>51950.56710002917</v>
      </c>
      <c r="O484" s="180">
        <f t="shared" ca="1" si="29"/>
        <v>2.1637780288367506E-3</v>
      </c>
      <c r="P484" s="180"/>
      <c r="Q484" s="185"/>
      <c r="R484" s="180"/>
      <c r="S484" s="180"/>
      <c r="T484" s="180"/>
    </row>
    <row r="485" spans="1:20" x14ac:dyDescent="0.25">
      <c r="A485" t="s">
        <v>246</v>
      </c>
      <c r="B485" t="s">
        <v>237</v>
      </c>
      <c r="C485" t="s">
        <v>238</v>
      </c>
      <c r="D485" t="s">
        <v>250</v>
      </c>
      <c r="E485" t="s">
        <v>229</v>
      </c>
      <c r="F485">
        <v>1998</v>
      </c>
      <c r="G485">
        <v>1.088E-4</v>
      </c>
      <c r="H485" t="s">
        <v>240</v>
      </c>
      <c r="I485" t="s">
        <v>241</v>
      </c>
      <c r="J485" t="s">
        <v>2</v>
      </c>
      <c r="K485" s="183">
        <f ca="1">VLOOKUP(F485,
    OFFSET(INDIRECT(ADDRESS(MATCH(J485,'Vehicle numbers'!$A$5:$A$162,0),1,1,1,$L$6)),4,1,COUNTIF('Vehicle numbers'!$A$5:$A$162,J485),4),
    MATCH(K$8,'Vehicle numbers'!$B$4:$D$4,0))*1000</f>
        <v>23293332</v>
      </c>
      <c r="L485" s="183">
        <f ca="1">VLOOKUP(F485,
    OFFSET(INDIRECT(ADDRESS(MATCH(J485,'Vehicle numbers'!$A$5:$A$162,0),1,1,1,$L$6)),4,1,COUNTIF('Vehicle numbers'!$A$5:$A$162,J485),4),
    MATCH(L$8,'Vehicle numbers'!$B$4:$D$4,0))*1000</f>
        <v>24009194.292428344</v>
      </c>
      <c r="M485" s="184">
        <f>VLOOKUP(F485,'Annual distance covered (GB)'!$A$8:$H$33,MATCH(J485,'Annual distance covered (GB)'!$A$7:$H$7,0))</f>
        <v>370.6</v>
      </c>
      <c r="N485" s="2">
        <f t="shared" ca="1" si="28"/>
        <v>41560.453680023325</v>
      </c>
      <c r="O485" s="180">
        <f t="shared" ca="1" si="29"/>
        <v>1.7310224230694001E-3</v>
      </c>
      <c r="P485" s="180"/>
      <c r="Q485" s="185"/>
      <c r="R485" s="180"/>
      <c r="S485" s="180"/>
      <c r="T485" s="180"/>
    </row>
    <row r="486" spans="1:20" x14ac:dyDescent="0.25">
      <c r="A486" t="s">
        <v>236</v>
      </c>
      <c r="B486" t="s">
        <v>237</v>
      </c>
      <c r="C486" t="s">
        <v>238</v>
      </c>
      <c r="D486" t="s">
        <v>250</v>
      </c>
      <c r="E486" t="s">
        <v>228</v>
      </c>
      <c r="F486">
        <v>1998</v>
      </c>
      <c r="G486">
        <v>5.7910000000000001E-3</v>
      </c>
      <c r="H486" t="s">
        <v>240</v>
      </c>
      <c r="I486" t="s">
        <v>241</v>
      </c>
      <c r="J486" t="s">
        <v>2</v>
      </c>
      <c r="K486" s="183">
        <f ca="1">VLOOKUP(F486,
    OFFSET(INDIRECT(ADDRESS(MATCH(J486,'Vehicle numbers'!$A$5:$A$162,0),1,1,1,$L$6)),4,1,COUNTIF('Vehicle numbers'!$A$5:$A$162,J486),4),
    MATCH(K$8,'Vehicle numbers'!$B$4:$D$4,0))*1000</f>
        <v>23293332</v>
      </c>
      <c r="L486" s="183">
        <f ca="1">VLOOKUP(F486,
    OFFSET(INDIRECT(ADDRESS(MATCH(J486,'Vehicle numbers'!$A$5:$A$162,0),1,1,1,$L$6)),4,1,COUNTIF('Vehicle numbers'!$A$5:$A$162,J486),4),
    MATCH(L$8,'Vehicle numbers'!$B$4:$D$4,0))*1000</f>
        <v>24009194.292428344</v>
      </c>
      <c r="M486" s="184">
        <f>VLOOKUP(F486,'Annual distance covered (GB)'!$A$8:$H$33,MATCH(J486,'Annual distance covered (GB)'!$A$7:$H$7,0))</f>
        <v>370.6</v>
      </c>
      <c r="N486" s="2">
        <f t="shared" ca="1" si="28"/>
        <v>2212100.9858549186</v>
      </c>
      <c r="O486" s="180">
        <f t="shared" ca="1" si="29"/>
        <v>9.2135577683776643E-2</v>
      </c>
      <c r="P486" s="180"/>
      <c r="Q486" s="185"/>
      <c r="R486" s="180"/>
      <c r="S486" s="180"/>
      <c r="T486" s="180"/>
    </row>
    <row r="487" spans="1:20" x14ac:dyDescent="0.25">
      <c r="A487" t="s">
        <v>243</v>
      </c>
      <c r="B487" t="s">
        <v>237</v>
      </c>
      <c r="C487" t="s">
        <v>238</v>
      </c>
      <c r="D487" t="s">
        <v>250</v>
      </c>
      <c r="E487" t="s">
        <v>228</v>
      </c>
      <c r="F487">
        <v>1998</v>
      </c>
      <c r="G487">
        <v>4.0537000000000004E-3</v>
      </c>
      <c r="H487" t="s">
        <v>240</v>
      </c>
      <c r="I487" t="s">
        <v>241</v>
      </c>
      <c r="J487" t="s">
        <v>2</v>
      </c>
      <c r="K487" s="183">
        <f ca="1">VLOOKUP(F487,
    OFFSET(INDIRECT(ADDRESS(MATCH(J487,'Vehicle numbers'!$A$5:$A$162,0),1,1,1,$L$6)),4,1,COUNTIF('Vehicle numbers'!$A$5:$A$162,J487),4),
    MATCH(K$8,'Vehicle numbers'!$B$4:$D$4,0))*1000</f>
        <v>23293332</v>
      </c>
      <c r="L487" s="183">
        <f ca="1">VLOOKUP(F487,
    OFFSET(INDIRECT(ADDRESS(MATCH(J487,'Vehicle numbers'!$A$5:$A$162,0),1,1,1,$L$6)),4,1,COUNTIF('Vehicle numbers'!$A$5:$A$162,J487),4),
    MATCH(L$8,'Vehicle numbers'!$B$4:$D$4,0))*1000</f>
        <v>24009194.292428344</v>
      </c>
      <c r="M487" s="184">
        <f>VLOOKUP(F487,'Annual distance covered (GB)'!$A$8:$H$33,MATCH(J487,'Annual distance covered (GB)'!$A$7:$H$7,0))</f>
        <v>370.6</v>
      </c>
      <c r="N487" s="2">
        <f t="shared" ca="1" si="28"/>
        <v>1548470.6900984433</v>
      </c>
      <c r="O487" s="180">
        <f t="shared" ca="1" si="29"/>
        <v>6.4494904378643664E-2</v>
      </c>
      <c r="P487" s="180"/>
      <c r="Q487" s="185"/>
      <c r="R487" s="180"/>
      <c r="S487" s="180"/>
      <c r="T487" s="180"/>
    </row>
    <row r="488" spans="1:20" x14ac:dyDescent="0.25">
      <c r="A488" t="s">
        <v>244</v>
      </c>
      <c r="B488" t="s">
        <v>237</v>
      </c>
      <c r="C488" t="s">
        <v>238</v>
      </c>
      <c r="D488" t="s">
        <v>250</v>
      </c>
      <c r="E488" t="s">
        <v>228</v>
      </c>
      <c r="F488">
        <v>1998</v>
      </c>
      <c r="G488">
        <v>5.7094366197182997E-4</v>
      </c>
      <c r="H488" t="s">
        <v>240</v>
      </c>
      <c r="I488" t="s">
        <v>241</v>
      </c>
      <c r="J488" t="s">
        <v>2</v>
      </c>
      <c r="K488" s="183">
        <f ca="1">VLOOKUP(F488,
    OFFSET(INDIRECT(ADDRESS(MATCH(J488,'Vehicle numbers'!$A$5:$A$162,0),1,1,1,$L$6)),4,1,COUNTIF('Vehicle numbers'!$A$5:$A$162,J488),4),
    MATCH(K$8,'Vehicle numbers'!$B$4:$D$4,0))*1000</f>
        <v>23293332</v>
      </c>
      <c r="L488" s="183">
        <f ca="1">VLOOKUP(F488,
    OFFSET(INDIRECT(ADDRESS(MATCH(J488,'Vehicle numbers'!$A$5:$A$162,0),1,1,1,$L$6)),4,1,COUNTIF('Vehicle numbers'!$A$5:$A$162,J488),4),
    MATCH(L$8,'Vehicle numbers'!$B$4:$D$4,0))*1000</f>
        <v>24009194.292428344</v>
      </c>
      <c r="M488" s="184">
        <f>VLOOKUP(F488,'Annual distance covered (GB)'!$A$8:$H$33,MATCH(J488,'Annual distance covered (GB)'!$A$7:$H$7,0))</f>
        <v>370.6</v>
      </c>
      <c r="N488" s="2">
        <f t="shared" ca="1" si="28"/>
        <v>218094.46339414647</v>
      </c>
      <c r="O488" s="180">
        <f t="shared" ca="1" si="29"/>
        <v>9.0837893491047209E-3</v>
      </c>
      <c r="P488" s="180"/>
      <c r="Q488" s="185"/>
      <c r="R488" s="180"/>
      <c r="S488" s="180"/>
      <c r="T488" s="180"/>
    </row>
    <row r="489" spans="1:20" x14ac:dyDescent="0.25">
      <c r="A489" t="s">
        <v>246</v>
      </c>
      <c r="B489" t="s">
        <v>237</v>
      </c>
      <c r="C489" t="s">
        <v>238</v>
      </c>
      <c r="D489" t="s">
        <v>250</v>
      </c>
      <c r="E489" t="s">
        <v>228</v>
      </c>
      <c r="F489">
        <v>1998</v>
      </c>
      <c r="G489">
        <v>4.5675492957746402E-4</v>
      </c>
      <c r="H489" t="s">
        <v>240</v>
      </c>
      <c r="I489" t="s">
        <v>241</v>
      </c>
      <c r="J489" t="s">
        <v>2</v>
      </c>
      <c r="K489" s="183">
        <f ca="1">VLOOKUP(F489,
    OFFSET(INDIRECT(ADDRESS(MATCH(J489,'Vehicle numbers'!$A$5:$A$162,0),1,1,1,$L$6)),4,1,COUNTIF('Vehicle numbers'!$A$5:$A$162,J489),4),
    MATCH(K$8,'Vehicle numbers'!$B$4:$D$4,0))*1000</f>
        <v>23293332</v>
      </c>
      <c r="L489" s="183">
        <f ca="1">VLOOKUP(F489,
    OFFSET(INDIRECT(ADDRESS(MATCH(J489,'Vehicle numbers'!$A$5:$A$162,0),1,1,1,$L$6)),4,1,COUNTIF('Vehicle numbers'!$A$5:$A$162,J489),4),
    MATCH(L$8,'Vehicle numbers'!$B$4:$D$4,0))*1000</f>
        <v>24009194.292428344</v>
      </c>
      <c r="M489" s="184">
        <f>VLOOKUP(F489,'Annual distance covered (GB)'!$A$8:$H$33,MATCH(J489,'Annual distance covered (GB)'!$A$7:$H$7,0))</f>
        <v>370.6</v>
      </c>
      <c r="N489" s="2">
        <f t="shared" ca="1" si="28"/>
        <v>174475.57071531718</v>
      </c>
      <c r="O489" s="180">
        <f t="shared" ca="1" si="29"/>
        <v>7.2670314792837778E-3</v>
      </c>
      <c r="P489" s="180"/>
      <c r="Q489" s="185"/>
      <c r="R489" s="180"/>
      <c r="S489" s="180"/>
      <c r="T489" s="180"/>
    </row>
    <row r="490" spans="1:20" x14ac:dyDescent="0.25">
      <c r="A490" t="s">
        <v>236</v>
      </c>
      <c r="B490" t="s">
        <v>237</v>
      </c>
      <c r="C490" t="s">
        <v>238</v>
      </c>
      <c r="D490" t="s">
        <v>255</v>
      </c>
      <c r="E490" t="s">
        <v>229</v>
      </c>
      <c r="F490">
        <v>1998</v>
      </c>
      <c r="G490">
        <v>5.5270000000000102E-3</v>
      </c>
      <c r="H490" t="s">
        <v>240</v>
      </c>
      <c r="I490" t="s">
        <v>241</v>
      </c>
      <c r="J490" t="s">
        <v>2</v>
      </c>
      <c r="K490" s="183">
        <f ca="1">VLOOKUP(F490,
    OFFSET(INDIRECT(ADDRESS(MATCH(J490,'Vehicle numbers'!$A$5:$A$162,0),1,1,1,$L$6)),4,1,COUNTIF('Vehicle numbers'!$A$5:$A$162,J490),4),
    MATCH(K$8,'Vehicle numbers'!$B$4:$D$4,0))*1000</f>
        <v>23293332</v>
      </c>
      <c r="L490" s="183">
        <f ca="1">VLOOKUP(F490,
    OFFSET(INDIRECT(ADDRESS(MATCH(J490,'Vehicle numbers'!$A$5:$A$162,0),1,1,1,$L$6)),4,1,COUNTIF('Vehicle numbers'!$A$5:$A$162,J490),4),
    MATCH(L$8,'Vehicle numbers'!$B$4:$D$4,0))*1000</f>
        <v>24009194.292428344</v>
      </c>
      <c r="M490" s="184">
        <f>VLOOKUP(F490,'Annual distance covered (GB)'!$A$8:$H$33,MATCH(J490,'Annual distance covered (GB)'!$A$7:$H$7,0))</f>
        <v>370.6</v>
      </c>
      <c r="N490" s="2">
        <f t="shared" ca="1" si="28"/>
        <v>2111255.7673666305</v>
      </c>
      <c r="O490" s="180">
        <f t="shared" ca="1" si="29"/>
        <v>8.7935302686623112E-2</v>
      </c>
      <c r="P490" s="180"/>
      <c r="Q490" s="185"/>
      <c r="R490" s="180"/>
      <c r="S490" s="180"/>
      <c r="T490" s="180"/>
    </row>
    <row r="491" spans="1:20" x14ac:dyDescent="0.25">
      <c r="A491" t="s">
        <v>243</v>
      </c>
      <c r="B491" t="s">
        <v>237</v>
      </c>
      <c r="C491" t="s">
        <v>238</v>
      </c>
      <c r="D491" t="s">
        <v>255</v>
      </c>
      <c r="E491" t="s">
        <v>229</v>
      </c>
      <c r="F491">
        <v>1998</v>
      </c>
      <c r="G491">
        <v>2.2108000000000002E-3</v>
      </c>
      <c r="H491" t="s">
        <v>240</v>
      </c>
      <c r="I491" t="s">
        <v>241</v>
      </c>
      <c r="J491" t="s">
        <v>2</v>
      </c>
      <c r="K491" s="183">
        <f ca="1">VLOOKUP(F491,
    OFFSET(INDIRECT(ADDRESS(MATCH(J491,'Vehicle numbers'!$A$5:$A$162,0),1,1,1,$L$6)),4,1,COUNTIF('Vehicle numbers'!$A$5:$A$162,J491),4),
    MATCH(K$8,'Vehicle numbers'!$B$4:$D$4,0))*1000</f>
        <v>23293332</v>
      </c>
      <c r="L491" s="183">
        <f ca="1">VLOOKUP(F491,
    OFFSET(INDIRECT(ADDRESS(MATCH(J491,'Vehicle numbers'!$A$5:$A$162,0),1,1,1,$L$6)),4,1,COUNTIF('Vehicle numbers'!$A$5:$A$162,J491),4),
    MATCH(L$8,'Vehicle numbers'!$B$4:$D$4,0))*1000</f>
        <v>24009194.292428344</v>
      </c>
      <c r="M491" s="184">
        <f>VLOOKUP(F491,'Annual distance covered (GB)'!$A$8:$H$33,MATCH(J491,'Annual distance covered (GB)'!$A$7:$H$7,0))</f>
        <v>370.6</v>
      </c>
      <c r="N491" s="2">
        <f t="shared" ca="1" si="28"/>
        <v>844502.30694665061</v>
      </c>
      <c r="O491" s="180">
        <f t="shared" ca="1" si="29"/>
        <v>3.5174121074649178E-2</v>
      </c>
      <c r="P491" s="180"/>
      <c r="Q491" s="185"/>
      <c r="R491" s="180"/>
      <c r="S491" s="180"/>
      <c r="T491" s="180"/>
    </row>
    <row r="492" spans="1:20" x14ac:dyDescent="0.25">
      <c r="A492" t="s">
        <v>244</v>
      </c>
      <c r="B492" t="s">
        <v>237</v>
      </c>
      <c r="C492" t="s">
        <v>238</v>
      </c>
      <c r="D492" t="s">
        <v>255</v>
      </c>
      <c r="E492" t="s">
        <v>229</v>
      </c>
      <c r="F492">
        <v>1998</v>
      </c>
      <c r="G492">
        <v>5.5270000000000004E-4</v>
      </c>
      <c r="H492" t="s">
        <v>240</v>
      </c>
      <c r="I492" t="s">
        <v>241</v>
      </c>
      <c r="J492" t="s">
        <v>2</v>
      </c>
      <c r="K492" s="183">
        <f ca="1">VLOOKUP(F492,
    OFFSET(INDIRECT(ADDRESS(MATCH(J492,'Vehicle numbers'!$A$5:$A$162,0),1,1,1,$L$6)),4,1,COUNTIF('Vehicle numbers'!$A$5:$A$162,J492),4),
    MATCH(K$8,'Vehicle numbers'!$B$4:$D$4,0))*1000</f>
        <v>23293332</v>
      </c>
      <c r="L492" s="183">
        <f ca="1">VLOOKUP(F492,
    OFFSET(INDIRECT(ADDRESS(MATCH(J492,'Vehicle numbers'!$A$5:$A$162,0),1,1,1,$L$6)),4,1,COUNTIF('Vehicle numbers'!$A$5:$A$162,J492),4),
    MATCH(L$8,'Vehicle numbers'!$B$4:$D$4,0))*1000</f>
        <v>24009194.292428344</v>
      </c>
      <c r="M492" s="184">
        <f>VLOOKUP(F492,'Annual distance covered (GB)'!$A$8:$H$33,MATCH(J492,'Annual distance covered (GB)'!$A$7:$H$7,0))</f>
        <v>370.6</v>
      </c>
      <c r="N492" s="2">
        <f t="shared" ca="1" si="28"/>
        <v>211125.57673666265</v>
      </c>
      <c r="O492" s="180">
        <f t="shared" ca="1" si="29"/>
        <v>8.7935302686622946E-3</v>
      </c>
      <c r="P492" s="180"/>
      <c r="Q492" s="185"/>
      <c r="R492" s="180"/>
      <c r="S492" s="180"/>
      <c r="T492" s="180"/>
    </row>
    <row r="493" spans="1:20" x14ac:dyDescent="0.25">
      <c r="A493" t="s">
        <v>246</v>
      </c>
      <c r="B493" t="s">
        <v>237</v>
      </c>
      <c r="C493" t="s">
        <v>238</v>
      </c>
      <c r="D493" t="s">
        <v>255</v>
      </c>
      <c r="E493" t="s">
        <v>229</v>
      </c>
      <c r="F493">
        <v>1998</v>
      </c>
      <c r="G493">
        <v>4.4215999999999998E-4</v>
      </c>
      <c r="H493" t="s">
        <v>240</v>
      </c>
      <c r="I493" t="s">
        <v>241</v>
      </c>
      <c r="J493" t="s">
        <v>2</v>
      </c>
      <c r="K493" s="183">
        <f ca="1">VLOOKUP(F493,
    OFFSET(INDIRECT(ADDRESS(MATCH(J493,'Vehicle numbers'!$A$5:$A$162,0),1,1,1,$L$6)),4,1,COUNTIF('Vehicle numbers'!$A$5:$A$162,J493),4),
    MATCH(K$8,'Vehicle numbers'!$B$4:$D$4,0))*1000</f>
        <v>23293332</v>
      </c>
      <c r="L493" s="183">
        <f ca="1">VLOOKUP(F493,
    OFFSET(INDIRECT(ADDRESS(MATCH(J493,'Vehicle numbers'!$A$5:$A$162,0),1,1,1,$L$6)),4,1,COUNTIF('Vehicle numbers'!$A$5:$A$162,J493),4),
    MATCH(L$8,'Vehicle numbers'!$B$4:$D$4,0))*1000</f>
        <v>24009194.292428344</v>
      </c>
      <c r="M493" s="184">
        <f>VLOOKUP(F493,'Annual distance covered (GB)'!$A$8:$H$33,MATCH(J493,'Annual distance covered (GB)'!$A$7:$H$7,0))</f>
        <v>370.6</v>
      </c>
      <c r="N493" s="2">
        <f t="shared" ca="1" si="28"/>
        <v>168900.4613893301</v>
      </c>
      <c r="O493" s="180">
        <f t="shared" ca="1" si="29"/>
        <v>7.0348242149298346E-3</v>
      </c>
      <c r="P493" s="180"/>
      <c r="Q493" s="185"/>
      <c r="R493" s="180"/>
      <c r="S493" s="180"/>
      <c r="T493" s="180"/>
    </row>
    <row r="494" spans="1:20" x14ac:dyDescent="0.25">
      <c r="A494" t="s">
        <v>236</v>
      </c>
      <c r="B494" t="s">
        <v>237</v>
      </c>
      <c r="C494" t="s">
        <v>238</v>
      </c>
      <c r="D494" t="s">
        <v>255</v>
      </c>
      <c r="E494" t="s">
        <v>228</v>
      </c>
      <c r="F494">
        <v>1998</v>
      </c>
      <c r="G494">
        <v>6.80000000000001E-3</v>
      </c>
      <c r="H494" t="s">
        <v>240</v>
      </c>
      <c r="I494" t="s">
        <v>241</v>
      </c>
      <c r="J494" t="s">
        <v>2</v>
      </c>
      <c r="K494" s="183">
        <f ca="1">VLOOKUP(F494,
    OFFSET(INDIRECT(ADDRESS(MATCH(J494,'Vehicle numbers'!$A$5:$A$162,0),1,1,1,$L$6)),4,1,COUNTIF('Vehicle numbers'!$A$5:$A$162,J494),4),
    MATCH(K$8,'Vehicle numbers'!$B$4:$D$4,0))*1000</f>
        <v>23293332</v>
      </c>
      <c r="L494" s="183">
        <f ca="1">VLOOKUP(F494,
    OFFSET(INDIRECT(ADDRESS(MATCH(J494,'Vehicle numbers'!$A$5:$A$162,0),1,1,1,$L$6)),4,1,COUNTIF('Vehicle numbers'!$A$5:$A$162,J494),4),
    MATCH(L$8,'Vehicle numbers'!$B$4:$D$4,0))*1000</f>
        <v>24009194.292428344</v>
      </c>
      <c r="M494" s="184">
        <f>VLOOKUP(F494,'Annual distance covered (GB)'!$A$8:$H$33,MATCH(J494,'Annual distance covered (GB)'!$A$7:$H$7,0))</f>
        <v>370.6</v>
      </c>
      <c r="N494" s="2">
        <f t="shared" ca="1" si="28"/>
        <v>2597528.3550014622</v>
      </c>
      <c r="O494" s="180">
        <f t="shared" ca="1" si="29"/>
        <v>0.1081889014418377</v>
      </c>
      <c r="P494" s="180"/>
      <c r="Q494" s="185"/>
      <c r="R494" s="180"/>
      <c r="S494" s="180"/>
      <c r="T494" s="180"/>
    </row>
    <row r="495" spans="1:20" x14ac:dyDescent="0.25">
      <c r="A495" t="s">
        <v>243</v>
      </c>
      <c r="B495" t="s">
        <v>237</v>
      </c>
      <c r="C495" t="s">
        <v>238</v>
      </c>
      <c r="D495" t="s">
        <v>255</v>
      </c>
      <c r="E495" t="s">
        <v>228</v>
      </c>
      <c r="F495">
        <v>1998</v>
      </c>
      <c r="G495">
        <v>4.7600000000000099E-3</v>
      </c>
      <c r="H495" t="s">
        <v>240</v>
      </c>
      <c r="I495" t="s">
        <v>241</v>
      </c>
      <c r="J495" t="s">
        <v>2</v>
      </c>
      <c r="K495" s="183">
        <f ca="1">VLOOKUP(F495,
    OFFSET(INDIRECT(ADDRESS(MATCH(J495,'Vehicle numbers'!$A$5:$A$162,0),1,1,1,$L$6)),4,1,COUNTIF('Vehicle numbers'!$A$5:$A$162,J495),4),
    MATCH(K$8,'Vehicle numbers'!$B$4:$D$4,0))*1000</f>
        <v>23293332</v>
      </c>
      <c r="L495" s="183">
        <f ca="1">VLOOKUP(F495,
    OFFSET(INDIRECT(ADDRESS(MATCH(J495,'Vehicle numbers'!$A$5:$A$162,0),1,1,1,$L$6)),4,1,COUNTIF('Vehicle numbers'!$A$5:$A$162,J495),4),
    MATCH(L$8,'Vehicle numbers'!$B$4:$D$4,0))*1000</f>
        <v>24009194.292428344</v>
      </c>
      <c r="M495" s="184">
        <f>VLOOKUP(F495,'Annual distance covered (GB)'!$A$8:$H$33,MATCH(J495,'Annual distance covered (GB)'!$A$7:$H$7,0))</f>
        <v>370.6</v>
      </c>
      <c r="N495" s="2">
        <f t="shared" ca="1" si="28"/>
        <v>1818269.8485010248</v>
      </c>
      <c r="O495" s="180">
        <f t="shared" ca="1" si="29"/>
        <v>7.573223100928643E-2</v>
      </c>
      <c r="P495" s="180"/>
      <c r="Q495" s="185"/>
      <c r="R495" s="180"/>
      <c r="S495" s="180"/>
      <c r="T495" s="180"/>
    </row>
    <row r="496" spans="1:20" x14ac:dyDescent="0.25">
      <c r="A496" t="s">
        <v>244</v>
      </c>
      <c r="B496" t="s">
        <v>237</v>
      </c>
      <c r="C496" t="s">
        <v>238</v>
      </c>
      <c r="D496" t="s">
        <v>255</v>
      </c>
      <c r="E496" t="s">
        <v>228</v>
      </c>
      <c r="F496">
        <v>1998</v>
      </c>
      <c r="G496">
        <v>6.7042253521126804E-4</v>
      </c>
      <c r="H496" t="s">
        <v>240</v>
      </c>
      <c r="I496" t="s">
        <v>241</v>
      </c>
      <c r="J496" t="s">
        <v>2</v>
      </c>
      <c r="K496" s="183">
        <f ca="1">VLOOKUP(F496,
    OFFSET(INDIRECT(ADDRESS(MATCH(J496,'Vehicle numbers'!$A$5:$A$162,0),1,1,1,$L$6)),4,1,COUNTIF('Vehicle numbers'!$A$5:$A$162,J496),4),
    MATCH(K$8,'Vehicle numbers'!$B$4:$D$4,0))*1000</f>
        <v>23293332</v>
      </c>
      <c r="L496" s="183">
        <f ca="1">VLOOKUP(F496,
    OFFSET(INDIRECT(ADDRESS(MATCH(J496,'Vehicle numbers'!$A$5:$A$162,0),1,1,1,$L$6)),4,1,COUNTIF('Vehicle numbers'!$A$5:$A$162,J496),4),
    MATCH(L$8,'Vehicle numbers'!$B$4:$D$4,0))*1000</f>
        <v>24009194.292428344</v>
      </c>
      <c r="M496" s="184">
        <f>VLOOKUP(F496,'Annual distance covered (GB)'!$A$8:$H$33,MATCH(J496,'Annual distance covered (GB)'!$A$7:$H$7,0))</f>
        <v>370.6</v>
      </c>
      <c r="N496" s="2">
        <f t="shared" ca="1" si="28"/>
        <v>256094.34485929887</v>
      </c>
      <c r="O496" s="180">
        <f t="shared" ca="1" si="29"/>
        <v>1.0666511409758637E-2</v>
      </c>
      <c r="P496" s="180"/>
      <c r="Q496" s="185"/>
      <c r="R496" s="180"/>
      <c r="S496" s="180"/>
      <c r="T496" s="180"/>
    </row>
    <row r="497" spans="1:20" x14ac:dyDescent="0.25">
      <c r="A497" t="s">
        <v>246</v>
      </c>
      <c r="B497" t="s">
        <v>237</v>
      </c>
      <c r="C497" t="s">
        <v>238</v>
      </c>
      <c r="D497" t="s">
        <v>255</v>
      </c>
      <c r="E497" t="s">
        <v>228</v>
      </c>
      <c r="F497">
        <v>1998</v>
      </c>
      <c r="G497">
        <v>5.3633802816901402E-4</v>
      </c>
      <c r="H497" t="s">
        <v>240</v>
      </c>
      <c r="I497" t="s">
        <v>241</v>
      </c>
      <c r="J497" t="s">
        <v>2</v>
      </c>
      <c r="K497" s="183">
        <f ca="1">VLOOKUP(F497,
    OFFSET(INDIRECT(ADDRESS(MATCH(J497,'Vehicle numbers'!$A$5:$A$162,0),1,1,1,$L$6)),4,1,COUNTIF('Vehicle numbers'!$A$5:$A$162,J497),4),
    MATCH(K$8,'Vehicle numbers'!$B$4:$D$4,0))*1000</f>
        <v>23293332</v>
      </c>
      <c r="L497" s="183">
        <f ca="1">VLOOKUP(F497,
    OFFSET(INDIRECT(ADDRESS(MATCH(J497,'Vehicle numbers'!$A$5:$A$162,0),1,1,1,$L$6)),4,1,COUNTIF('Vehicle numbers'!$A$5:$A$162,J497),4),
    MATCH(L$8,'Vehicle numbers'!$B$4:$D$4,0))*1000</f>
        <v>24009194.292428344</v>
      </c>
      <c r="M497" s="184">
        <f>VLOOKUP(F497,'Annual distance covered (GB)'!$A$8:$H$33,MATCH(J497,'Annual distance covered (GB)'!$A$7:$H$7,0))</f>
        <v>370.6</v>
      </c>
      <c r="N497" s="2">
        <f t="shared" ca="1" si="28"/>
        <v>204875.47588743895</v>
      </c>
      <c r="O497" s="180">
        <f t="shared" ca="1" si="29"/>
        <v>8.5332091278069039E-3</v>
      </c>
      <c r="P497" s="180"/>
      <c r="Q497" s="185"/>
      <c r="R497" s="180"/>
      <c r="S497" s="180"/>
      <c r="T497" s="180"/>
    </row>
    <row r="498" spans="1:20" x14ac:dyDescent="0.25">
      <c r="A498" t="s">
        <v>236</v>
      </c>
      <c r="B498" t="s">
        <v>237</v>
      </c>
      <c r="C498" t="s">
        <v>238</v>
      </c>
      <c r="D498" t="s">
        <v>256</v>
      </c>
      <c r="E498" t="s">
        <v>229</v>
      </c>
      <c r="F498">
        <v>1998</v>
      </c>
      <c r="G498">
        <v>1.17108818037769E-2</v>
      </c>
      <c r="H498" t="s">
        <v>240</v>
      </c>
      <c r="I498" t="s">
        <v>241</v>
      </c>
      <c r="J498" t="s">
        <v>2</v>
      </c>
      <c r="K498" s="183">
        <f ca="1">VLOOKUP(F498,
    OFFSET(INDIRECT(ADDRESS(MATCH(J498,'Vehicle numbers'!$A$5:$A$162,0),1,1,1,$L$6)),4,1,COUNTIF('Vehicle numbers'!$A$5:$A$162,J498),4),
    MATCH(K$8,'Vehicle numbers'!$B$4:$D$4,0))*1000</f>
        <v>23293332</v>
      </c>
      <c r="L498" s="183">
        <f ca="1">VLOOKUP(F498,
    OFFSET(INDIRECT(ADDRESS(MATCH(J498,'Vehicle numbers'!$A$5:$A$162,0),1,1,1,$L$6)),4,1,COUNTIF('Vehicle numbers'!$A$5:$A$162,J498),4),
    MATCH(L$8,'Vehicle numbers'!$B$4:$D$4,0))*1000</f>
        <v>24009194.292428344</v>
      </c>
      <c r="M498" s="184">
        <f>VLOOKUP(F498,'Annual distance covered (GB)'!$A$8:$H$33,MATCH(J498,'Annual distance covered (GB)'!$A$7:$H$7,0))</f>
        <v>370.6</v>
      </c>
      <c r="N498" s="2">
        <f t="shared" ca="1" si="28"/>
        <v>4473433.4628501656</v>
      </c>
      <c r="O498" s="180">
        <f t="shared" ca="1" si="29"/>
        <v>0.18632168195085702</v>
      </c>
      <c r="P498" s="180"/>
      <c r="Q498" s="185"/>
      <c r="R498" s="180"/>
      <c r="S498" s="180"/>
      <c r="T498" s="180"/>
    </row>
    <row r="499" spans="1:20" x14ac:dyDescent="0.25">
      <c r="A499" t="s">
        <v>243</v>
      </c>
      <c r="B499" t="s">
        <v>237</v>
      </c>
      <c r="C499" t="s">
        <v>238</v>
      </c>
      <c r="D499" t="s">
        <v>256</v>
      </c>
      <c r="E499" t="s">
        <v>229</v>
      </c>
      <c r="F499">
        <v>1998</v>
      </c>
      <c r="G499">
        <v>4.6843527215107601E-3</v>
      </c>
      <c r="H499" t="s">
        <v>240</v>
      </c>
      <c r="I499" t="s">
        <v>241</v>
      </c>
      <c r="J499" t="s">
        <v>2</v>
      </c>
      <c r="K499" s="183">
        <f ca="1">VLOOKUP(F499,
    OFFSET(INDIRECT(ADDRESS(MATCH(J499,'Vehicle numbers'!$A$5:$A$162,0),1,1,1,$L$6)),4,1,COUNTIF('Vehicle numbers'!$A$5:$A$162,J499),4),
    MATCH(K$8,'Vehicle numbers'!$B$4:$D$4,0))*1000</f>
        <v>23293332</v>
      </c>
      <c r="L499" s="183">
        <f ca="1">VLOOKUP(F499,
    OFFSET(INDIRECT(ADDRESS(MATCH(J499,'Vehicle numbers'!$A$5:$A$162,0),1,1,1,$L$6)),4,1,COUNTIF('Vehicle numbers'!$A$5:$A$162,J499),4),
    MATCH(L$8,'Vehicle numbers'!$B$4:$D$4,0))*1000</f>
        <v>24009194.292428344</v>
      </c>
      <c r="M499" s="184">
        <f>VLOOKUP(F499,'Annual distance covered (GB)'!$A$8:$H$33,MATCH(J499,'Annual distance covered (GB)'!$A$7:$H$7,0))</f>
        <v>370.6</v>
      </c>
      <c r="N499" s="2">
        <f t="shared" ca="1" si="28"/>
        <v>1789373.385140066</v>
      </c>
      <c r="O499" s="180">
        <f t="shared" ca="1" si="29"/>
        <v>7.4528672780342795E-2</v>
      </c>
      <c r="P499" s="180"/>
      <c r="Q499" s="185"/>
      <c r="R499" s="180"/>
      <c r="S499" s="180"/>
      <c r="T499" s="180"/>
    </row>
    <row r="500" spans="1:20" x14ac:dyDescent="0.25">
      <c r="A500" t="s">
        <v>244</v>
      </c>
      <c r="B500" t="s">
        <v>237</v>
      </c>
      <c r="C500" t="s">
        <v>238</v>
      </c>
      <c r="D500" t="s">
        <v>256</v>
      </c>
      <c r="E500" t="s">
        <v>229</v>
      </c>
      <c r="F500">
        <v>1998</v>
      </c>
      <c r="G500">
        <v>1.17108818037769E-3</v>
      </c>
      <c r="H500" t="s">
        <v>240</v>
      </c>
      <c r="I500" t="s">
        <v>241</v>
      </c>
      <c r="J500" t="s">
        <v>2</v>
      </c>
      <c r="K500" s="183">
        <f ca="1">VLOOKUP(F500,
    OFFSET(INDIRECT(ADDRESS(MATCH(J500,'Vehicle numbers'!$A$5:$A$162,0),1,1,1,$L$6)),4,1,COUNTIF('Vehicle numbers'!$A$5:$A$162,J500),4),
    MATCH(K$8,'Vehicle numbers'!$B$4:$D$4,0))*1000</f>
        <v>23293332</v>
      </c>
      <c r="L500" s="183">
        <f ca="1">VLOOKUP(F500,
    OFFSET(INDIRECT(ADDRESS(MATCH(J500,'Vehicle numbers'!$A$5:$A$162,0),1,1,1,$L$6)),4,1,COUNTIF('Vehicle numbers'!$A$5:$A$162,J500),4),
    MATCH(L$8,'Vehicle numbers'!$B$4:$D$4,0))*1000</f>
        <v>24009194.292428344</v>
      </c>
      <c r="M500" s="184">
        <f>VLOOKUP(F500,'Annual distance covered (GB)'!$A$8:$H$33,MATCH(J500,'Annual distance covered (GB)'!$A$7:$H$7,0))</f>
        <v>370.6</v>
      </c>
      <c r="N500" s="2">
        <f t="shared" ca="1" si="28"/>
        <v>447343.34628501651</v>
      </c>
      <c r="O500" s="180">
        <f t="shared" ca="1" si="29"/>
        <v>1.8632168195085699E-2</v>
      </c>
      <c r="P500" s="180"/>
      <c r="Q500" s="185"/>
      <c r="R500" s="180"/>
      <c r="S500" s="180"/>
      <c r="T500" s="180"/>
    </row>
    <row r="501" spans="1:20" x14ac:dyDescent="0.25">
      <c r="A501" t="s">
        <v>246</v>
      </c>
      <c r="B501" t="s">
        <v>237</v>
      </c>
      <c r="C501" t="s">
        <v>238</v>
      </c>
      <c r="D501" t="s">
        <v>256</v>
      </c>
      <c r="E501" t="s">
        <v>229</v>
      </c>
      <c r="F501">
        <v>1998</v>
      </c>
      <c r="G501">
        <v>9.3687054430215198E-4</v>
      </c>
      <c r="H501" t="s">
        <v>240</v>
      </c>
      <c r="I501" t="s">
        <v>241</v>
      </c>
      <c r="J501" t="s">
        <v>2</v>
      </c>
      <c r="K501" s="183">
        <f ca="1">VLOOKUP(F501,
    OFFSET(INDIRECT(ADDRESS(MATCH(J501,'Vehicle numbers'!$A$5:$A$162,0),1,1,1,$L$6)),4,1,COUNTIF('Vehicle numbers'!$A$5:$A$162,J501),4),
    MATCH(K$8,'Vehicle numbers'!$B$4:$D$4,0))*1000</f>
        <v>23293332</v>
      </c>
      <c r="L501" s="183">
        <f ca="1">VLOOKUP(F501,
    OFFSET(INDIRECT(ADDRESS(MATCH(J501,'Vehicle numbers'!$A$5:$A$162,0),1,1,1,$L$6)),4,1,COUNTIF('Vehicle numbers'!$A$5:$A$162,J501),4),
    MATCH(L$8,'Vehicle numbers'!$B$4:$D$4,0))*1000</f>
        <v>24009194.292428344</v>
      </c>
      <c r="M501" s="184">
        <f>VLOOKUP(F501,'Annual distance covered (GB)'!$A$8:$H$33,MATCH(J501,'Annual distance covered (GB)'!$A$7:$H$7,0))</f>
        <v>370.6</v>
      </c>
      <c r="N501" s="2">
        <f t="shared" ca="1" si="28"/>
        <v>357874.67702801322</v>
      </c>
      <c r="O501" s="180">
        <f t="shared" ca="1" si="29"/>
        <v>1.490573455606856E-2</v>
      </c>
      <c r="P501" s="180"/>
      <c r="Q501" s="185"/>
      <c r="R501" s="180"/>
      <c r="S501" s="180"/>
      <c r="T501" s="180"/>
    </row>
    <row r="502" spans="1:20" x14ac:dyDescent="0.25">
      <c r="A502" t="s">
        <v>236</v>
      </c>
      <c r="B502" t="s">
        <v>237</v>
      </c>
      <c r="C502" t="s">
        <v>238</v>
      </c>
      <c r="D502" t="s">
        <v>256</v>
      </c>
      <c r="E502" t="s">
        <v>228</v>
      </c>
      <c r="F502">
        <v>1998</v>
      </c>
      <c r="G502">
        <v>8.7636815860125793E-3</v>
      </c>
      <c r="H502" t="s">
        <v>240</v>
      </c>
      <c r="I502" t="s">
        <v>241</v>
      </c>
      <c r="J502" t="s">
        <v>2</v>
      </c>
      <c r="K502" s="183">
        <f ca="1">VLOOKUP(F502,
    OFFSET(INDIRECT(ADDRESS(MATCH(J502,'Vehicle numbers'!$A$5:$A$162,0),1,1,1,$L$6)),4,1,COUNTIF('Vehicle numbers'!$A$5:$A$162,J502),4),
    MATCH(K$8,'Vehicle numbers'!$B$4:$D$4,0))*1000</f>
        <v>23293332</v>
      </c>
      <c r="L502" s="183">
        <f ca="1">VLOOKUP(F502,
    OFFSET(INDIRECT(ADDRESS(MATCH(J502,'Vehicle numbers'!$A$5:$A$162,0),1,1,1,$L$6)),4,1,COUNTIF('Vehicle numbers'!$A$5:$A$162,J502),4),
    MATCH(L$8,'Vehicle numbers'!$B$4:$D$4,0))*1000</f>
        <v>24009194.292428344</v>
      </c>
      <c r="M502" s="184">
        <f>VLOOKUP(F502,'Annual distance covered (GB)'!$A$8:$H$33,MATCH(J502,'Annual distance covered (GB)'!$A$7:$H$7,0))</f>
        <v>370.6</v>
      </c>
      <c r="N502" s="2">
        <f t="shared" ca="1" si="28"/>
        <v>3347634.0314517389</v>
      </c>
      <c r="O502" s="180">
        <f t="shared" ca="1" si="29"/>
        <v>0.13943133579070019</v>
      </c>
      <c r="P502" s="180"/>
      <c r="Q502" s="185"/>
      <c r="R502" s="180"/>
      <c r="S502" s="180"/>
      <c r="T502" s="180"/>
    </row>
    <row r="503" spans="1:20" x14ac:dyDescent="0.25">
      <c r="A503" t="s">
        <v>243</v>
      </c>
      <c r="B503" t="s">
        <v>237</v>
      </c>
      <c r="C503" t="s">
        <v>238</v>
      </c>
      <c r="D503" t="s">
        <v>256</v>
      </c>
      <c r="E503" t="s">
        <v>228</v>
      </c>
      <c r="F503">
        <v>1998</v>
      </c>
      <c r="G503">
        <v>6.1345771102088104E-3</v>
      </c>
      <c r="H503" t="s">
        <v>240</v>
      </c>
      <c r="I503" t="s">
        <v>241</v>
      </c>
      <c r="J503" t="s">
        <v>2</v>
      </c>
      <c r="K503" s="183">
        <f ca="1">VLOOKUP(F503,
    OFFSET(INDIRECT(ADDRESS(MATCH(J503,'Vehicle numbers'!$A$5:$A$162,0),1,1,1,$L$6)),4,1,COUNTIF('Vehicle numbers'!$A$5:$A$162,J503),4),
    MATCH(K$8,'Vehicle numbers'!$B$4:$D$4,0))*1000</f>
        <v>23293332</v>
      </c>
      <c r="L503" s="183">
        <f ca="1">VLOOKUP(F503,
    OFFSET(INDIRECT(ADDRESS(MATCH(J503,'Vehicle numbers'!$A$5:$A$162,0),1,1,1,$L$6)),4,1,COUNTIF('Vehicle numbers'!$A$5:$A$162,J503),4),
    MATCH(L$8,'Vehicle numbers'!$B$4:$D$4,0))*1000</f>
        <v>24009194.292428344</v>
      </c>
      <c r="M503" s="184">
        <f>VLOOKUP(F503,'Annual distance covered (GB)'!$A$8:$H$33,MATCH(J503,'Annual distance covered (GB)'!$A$7:$H$7,0))</f>
        <v>370.6</v>
      </c>
      <c r="N503" s="2">
        <f t="shared" ca="1" si="28"/>
        <v>2343343.8220162196</v>
      </c>
      <c r="O503" s="180">
        <f t="shared" ca="1" si="29"/>
        <v>9.7601935053490227E-2</v>
      </c>
      <c r="P503" s="180"/>
      <c r="Q503" s="185"/>
      <c r="R503" s="180"/>
      <c r="S503" s="180"/>
      <c r="T503" s="180"/>
    </row>
    <row r="504" spans="1:20" x14ac:dyDescent="0.25">
      <c r="A504" t="s">
        <v>244</v>
      </c>
      <c r="B504" t="s">
        <v>237</v>
      </c>
      <c r="C504" t="s">
        <v>238</v>
      </c>
      <c r="D504" t="s">
        <v>256</v>
      </c>
      <c r="E504" t="s">
        <v>228</v>
      </c>
      <c r="F504">
        <v>1998</v>
      </c>
      <c r="G504">
        <v>8.6402494509983099E-4</v>
      </c>
      <c r="H504" t="s">
        <v>240</v>
      </c>
      <c r="I504" t="s">
        <v>241</v>
      </c>
      <c r="J504" t="s">
        <v>2</v>
      </c>
      <c r="K504" s="183">
        <f ca="1">VLOOKUP(F504,
    OFFSET(INDIRECT(ADDRESS(MATCH(J504,'Vehicle numbers'!$A$5:$A$162,0),1,1,1,$L$6)),4,1,COUNTIF('Vehicle numbers'!$A$5:$A$162,J504),4),
    MATCH(K$8,'Vehicle numbers'!$B$4:$D$4,0))*1000</f>
        <v>23293332</v>
      </c>
      <c r="L504" s="183">
        <f ca="1">VLOOKUP(F504,
    OFFSET(INDIRECT(ADDRESS(MATCH(J504,'Vehicle numbers'!$A$5:$A$162,0),1,1,1,$L$6)),4,1,COUNTIF('Vehicle numbers'!$A$5:$A$162,J504),4),
    MATCH(L$8,'Vehicle numbers'!$B$4:$D$4,0))*1000</f>
        <v>24009194.292428344</v>
      </c>
      <c r="M504" s="184">
        <f>VLOOKUP(F504,'Annual distance covered (GB)'!$A$8:$H$33,MATCH(J504,'Annual distance covered (GB)'!$A$7:$H$7,0))</f>
        <v>370.6</v>
      </c>
      <c r="N504" s="2">
        <f t="shared" ca="1" si="28"/>
        <v>330048.42563608667</v>
      </c>
      <c r="O504" s="180">
        <f t="shared" ca="1" si="29"/>
        <v>1.3746751415984514E-2</v>
      </c>
      <c r="P504" s="180"/>
      <c r="Q504" s="185"/>
      <c r="R504" s="180"/>
      <c r="S504" s="180"/>
      <c r="T504" s="180"/>
    </row>
    <row r="505" spans="1:20" x14ac:dyDescent="0.25">
      <c r="A505" t="s">
        <v>246</v>
      </c>
      <c r="B505" t="s">
        <v>237</v>
      </c>
      <c r="C505" t="s">
        <v>238</v>
      </c>
      <c r="D505" t="s">
        <v>256</v>
      </c>
      <c r="E505" t="s">
        <v>228</v>
      </c>
      <c r="F505">
        <v>1998</v>
      </c>
      <c r="G505">
        <v>6.9121995607986499E-4</v>
      </c>
      <c r="H505" t="s">
        <v>240</v>
      </c>
      <c r="I505" t="s">
        <v>241</v>
      </c>
      <c r="J505" t="s">
        <v>2</v>
      </c>
      <c r="K505" s="183">
        <f ca="1">VLOOKUP(F505,
    OFFSET(INDIRECT(ADDRESS(MATCH(J505,'Vehicle numbers'!$A$5:$A$162,0),1,1,1,$L$6)),4,1,COUNTIF('Vehicle numbers'!$A$5:$A$162,J505),4),
    MATCH(K$8,'Vehicle numbers'!$B$4:$D$4,0))*1000</f>
        <v>23293332</v>
      </c>
      <c r="L505" s="183">
        <f ca="1">VLOOKUP(F505,
    OFFSET(INDIRECT(ADDRESS(MATCH(J505,'Vehicle numbers'!$A$5:$A$162,0),1,1,1,$L$6)),4,1,COUNTIF('Vehicle numbers'!$A$5:$A$162,J505),4),
    MATCH(L$8,'Vehicle numbers'!$B$4:$D$4,0))*1000</f>
        <v>24009194.292428344</v>
      </c>
      <c r="M505" s="184">
        <f>VLOOKUP(F505,'Annual distance covered (GB)'!$A$8:$H$33,MATCH(J505,'Annual distance covered (GB)'!$A$7:$H$7,0))</f>
        <v>370.6</v>
      </c>
      <c r="N505" s="2">
        <f t="shared" ca="1" si="28"/>
        <v>264038.74050886941</v>
      </c>
      <c r="O505" s="180">
        <f t="shared" ca="1" si="29"/>
        <v>1.0997401132787615E-2</v>
      </c>
      <c r="P505" s="180"/>
      <c r="Q505" s="185"/>
      <c r="R505" s="180"/>
      <c r="S505" s="180"/>
      <c r="T505" s="180"/>
    </row>
    <row r="506" spans="1:20" x14ac:dyDescent="0.25">
      <c r="A506" t="s">
        <v>236</v>
      </c>
      <c r="B506" t="s">
        <v>237</v>
      </c>
      <c r="C506" t="s">
        <v>238</v>
      </c>
      <c r="D506" t="s">
        <v>257</v>
      </c>
      <c r="E506" t="s">
        <v>229</v>
      </c>
      <c r="F506">
        <v>1998</v>
      </c>
      <c r="G506">
        <v>2.1210000000000001E-3</v>
      </c>
      <c r="H506" t="s">
        <v>240</v>
      </c>
      <c r="I506" t="s">
        <v>241</v>
      </c>
      <c r="J506" t="s">
        <v>188</v>
      </c>
      <c r="K506" s="183">
        <f ca="1">VLOOKUP(F506,
    OFFSET(INDIRECT(ADDRESS(MATCH(J506,'Vehicle numbers'!$A$5:$A$162,0),1,1,1,$L$6)),4,1,COUNTIF('Vehicle numbers'!$A$5:$A$162,J506),4),
    MATCH(K$8,'Vehicle numbers'!$B$4:$D$4,0))*1000</f>
        <v>2278027</v>
      </c>
      <c r="L506" s="183">
        <f ca="1">VLOOKUP(F506,
    OFFSET(INDIRECT(ADDRESS(MATCH(J506,'Vehicle numbers'!$A$5:$A$162,0),1,1,1,$L$6)),4,1,COUNTIF('Vehicle numbers'!$A$5:$A$162,J506),4),
    MATCH(L$8,'Vehicle numbers'!$B$4:$D$4,0))*1000</f>
        <v>2343396.3150820127</v>
      </c>
      <c r="M506" s="184">
        <f>VLOOKUP(F506,'Annual distance covered (GB)'!$A$8:$H$33,MATCH(J506,'Annual distance covered (GB)'!$A$7:$H$7,0))</f>
        <v>50.8</v>
      </c>
      <c r="N506" s="2">
        <f t="shared" ca="1" si="28"/>
        <v>110838.65734773056</v>
      </c>
      <c r="O506" s="180">
        <f t="shared" ca="1" si="29"/>
        <v>4.7298298044755396E-2</v>
      </c>
      <c r="P506" s="180"/>
      <c r="Q506" s="185"/>
      <c r="R506" s="180"/>
      <c r="S506" s="180"/>
      <c r="T506" s="180"/>
    </row>
    <row r="507" spans="1:20" x14ac:dyDescent="0.25">
      <c r="A507" t="s">
        <v>243</v>
      </c>
      <c r="B507" t="s">
        <v>237</v>
      </c>
      <c r="C507" t="s">
        <v>238</v>
      </c>
      <c r="D507" t="s">
        <v>257</v>
      </c>
      <c r="E507" t="s">
        <v>229</v>
      </c>
      <c r="F507">
        <v>1998</v>
      </c>
      <c r="G507">
        <v>8.4840000000000002E-4</v>
      </c>
      <c r="H507" t="s">
        <v>240</v>
      </c>
      <c r="I507" t="s">
        <v>241</v>
      </c>
      <c r="J507" t="s">
        <v>188</v>
      </c>
      <c r="K507" s="183">
        <f ca="1">VLOOKUP(F507,
    OFFSET(INDIRECT(ADDRESS(MATCH(J507,'Vehicle numbers'!$A$5:$A$162,0),1,1,1,$L$6)),4,1,COUNTIF('Vehicle numbers'!$A$5:$A$162,J507),4),
    MATCH(K$8,'Vehicle numbers'!$B$4:$D$4,0))*1000</f>
        <v>2278027</v>
      </c>
      <c r="L507" s="183">
        <f ca="1">VLOOKUP(F507,
    OFFSET(INDIRECT(ADDRESS(MATCH(J507,'Vehicle numbers'!$A$5:$A$162,0),1,1,1,$L$6)),4,1,COUNTIF('Vehicle numbers'!$A$5:$A$162,J507),4),
    MATCH(L$8,'Vehicle numbers'!$B$4:$D$4,0))*1000</f>
        <v>2343396.3150820127</v>
      </c>
      <c r="M507" s="184">
        <f>VLOOKUP(F507,'Annual distance covered (GB)'!$A$8:$H$33,MATCH(J507,'Annual distance covered (GB)'!$A$7:$H$7,0))</f>
        <v>50.8</v>
      </c>
      <c r="N507" s="2">
        <f t="shared" ca="1" si="28"/>
        <v>44335.462939092227</v>
      </c>
      <c r="O507" s="180">
        <f t="shared" ca="1" si="29"/>
        <v>1.8919319217902159E-2</v>
      </c>
      <c r="P507" s="180"/>
      <c r="Q507" s="185"/>
      <c r="R507" s="180"/>
      <c r="S507" s="180"/>
      <c r="T507" s="180"/>
    </row>
    <row r="508" spans="1:20" x14ac:dyDescent="0.25">
      <c r="A508" t="s">
        <v>244</v>
      </c>
      <c r="B508" t="s">
        <v>237</v>
      </c>
      <c r="C508" t="s">
        <v>238</v>
      </c>
      <c r="D508" t="s">
        <v>257</v>
      </c>
      <c r="E508" t="s">
        <v>229</v>
      </c>
      <c r="F508">
        <v>1998</v>
      </c>
      <c r="G508">
        <v>2.1210000000000001E-4</v>
      </c>
      <c r="H508" t="s">
        <v>240</v>
      </c>
      <c r="I508" t="s">
        <v>241</v>
      </c>
      <c r="J508" t="s">
        <v>188</v>
      </c>
      <c r="K508" s="183">
        <f ca="1">VLOOKUP(F508,
    OFFSET(INDIRECT(ADDRESS(MATCH(J508,'Vehicle numbers'!$A$5:$A$162,0),1,1,1,$L$6)),4,1,COUNTIF('Vehicle numbers'!$A$5:$A$162,J508),4),
    MATCH(K$8,'Vehicle numbers'!$B$4:$D$4,0))*1000</f>
        <v>2278027</v>
      </c>
      <c r="L508" s="183">
        <f ca="1">VLOOKUP(F508,
    OFFSET(INDIRECT(ADDRESS(MATCH(J508,'Vehicle numbers'!$A$5:$A$162,0),1,1,1,$L$6)),4,1,COUNTIF('Vehicle numbers'!$A$5:$A$162,J508),4),
    MATCH(L$8,'Vehicle numbers'!$B$4:$D$4,0))*1000</f>
        <v>2343396.3150820127</v>
      </c>
      <c r="M508" s="184">
        <f>VLOOKUP(F508,'Annual distance covered (GB)'!$A$8:$H$33,MATCH(J508,'Annual distance covered (GB)'!$A$7:$H$7,0))</f>
        <v>50.8</v>
      </c>
      <c r="N508" s="2">
        <f t="shared" ca="1" si="28"/>
        <v>11083.865734773057</v>
      </c>
      <c r="O508" s="180">
        <f t="shared" ca="1" si="29"/>
        <v>4.7298298044755396E-3</v>
      </c>
      <c r="P508" s="180"/>
      <c r="Q508" s="185"/>
      <c r="R508" s="180"/>
      <c r="S508" s="180"/>
      <c r="T508" s="180"/>
    </row>
    <row r="509" spans="1:20" x14ac:dyDescent="0.25">
      <c r="A509" t="s">
        <v>246</v>
      </c>
      <c r="B509" t="s">
        <v>237</v>
      </c>
      <c r="C509" t="s">
        <v>238</v>
      </c>
      <c r="D509" t="s">
        <v>257</v>
      </c>
      <c r="E509" t="s">
        <v>229</v>
      </c>
      <c r="F509">
        <v>1998</v>
      </c>
      <c r="G509">
        <v>1.6967999999999999E-4</v>
      </c>
      <c r="H509" t="s">
        <v>240</v>
      </c>
      <c r="I509" t="s">
        <v>241</v>
      </c>
      <c r="J509" t="s">
        <v>188</v>
      </c>
      <c r="K509" s="183">
        <f ca="1">VLOOKUP(F509,
    OFFSET(INDIRECT(ADDRESS(MATCH(J509,'Vehicle numbers'!$A$5:$A$162,0),1,1,1,$L$6)),4,1,COUNTIF('Vehicle numbers'!$A$5:$A$162,J509),4),
    MATCH(K$8,'Vehicle numbers'!$B$4:$D$4,0))*1000</f>
        <v>2278027</v>
      </c>
      <c r="L509" s="183">
        <f ca="1">VLOOKUP(F509,
    OFFSET(INDIRECT(ADDRESS(MATCH(J509,'Vehicle numbers'!$A$5:$A$162,0),1,1,1,$L$6)),4,1,COUNTIF('Vehicle numbers'!$A$5:$A$162,J509),4),
    MATCH(L$8,'Vehicle numbers'!$B$4:$D$4,0))*1000</f>
        <v>2343396.3150820127</v>
      </c>
      <c r="M509" s="184">
        <f>VLOOKUP(F509,'Annual distance covered (GB)'!$A$8:$H$33,MATCH(J509,'Annual distance covered (GB)'!$A$7:$H$7,0))</f>
        <v>50.8</v>
      </c>
      <c r="N509" s="2">
        <f t="shared" ca="1" si="28"/>
        <v>8867.0925878184444</v>
      </c>
      <c r="O509" s="180">
        <f t="shared" ca="1" si="29"/>
        <v>3.7838638435804314E-3</v>
      </c>
      <c r="P509" s="180"/>
      <c r="Q509" s="185"/>
      <c r="R509" s="180"/>
      <c r="S509" s="180"/>
      <c r="T509" s="180"/>
    </row>
    <row r="510" spans="1:20" x14ac:dyDescent="0.25">
      <c r="A510" t="s">
        <v>236</v>
      </c>
      <c r="B510" t="s">
        <v>237</v>
      </c>
      <c r="C510" t="s">
        <v>238</v>
      </c>
      <c r="D510" t="s">
        <v>257</v>
      </c>
      <c r="E510" t="s">
        <v>228</v>
      </c>
      <c r="F510">
        <v>1998</v>
      </c>
      <c r="G510">
        <v>9.1459999999999996E-3</v>
      </c>
      <c r="H510" t="s">
        <v>240</v>
      </c>
      <c r="I510" t="s">
        <v>241</v>
      </c>
      <c r="J510" t="s">
        <v>188</v>
      </c>
      <c r="K510" s="183">
        <f ca="1">VLOOKUP(F510,
    OFFSET(INDIRECT(ADDRESS(MATCH(J510,'Vehicle numbers'!$A$5:$A$162,0),1,1,1,$L$6)),4,1,COUNTIF('Vehicle numbers'!$A$5:$A$162,J510),4),
    MATCH(K$8,'Vehicle numbers'!$B$4:$D$4,0))*1000</f>
        <v>2278027</v>
      </c>
      <c r="L510" s="183">
        <f ca="1">VLOOKUP(F510,
    OFFSET(INDIRECT(ADDRESS(MATCH(J510,'Vehicle numbers'!$A$5:$A$162,0),1,1,1,$L$6)),4,1,COUNTIF('Vehicle numbers'!$A$5:$A$162,J510),4),
    MATCH(L$8,'Vehicle numbers'!$B$4:$D$4,0))*1000</f>
        <v>2343396.3150820127</v>
      </c>
      <c r="M510" s="184">
        <f>VLOOKUP(F510,'Annual distance covered (GB)'!$A$8:$H$33,MATCH(J510,'Annual distance covered (GB)'!$A$7:$H$7,0))</f>
        <v>50.8</v>
      </c>
      <c r="N510" s="2">
        <f t="shared" ca="1" si="28"/>
        <v>477949.25040185929</v>
      </c>
      <c r="O510" s="180">
        <f t="shared" ca="1" si="29"/>
        <v>0.20395579156875662</v>
      </c>
      <c r="P510" s="180"/>
      <c r="Q510" s="185"/>
      <c r="R510" s="180"/>
      <c r="S510" s="180"/>
      <c r="T510" s="180"/>
    </row>
    <row r="511" spans="1:20" x14ac:dyDescent="0.25">
      <c r="A511" t="s">
        <v>243</v>
      </c>
      <c r="B511" t="s">
        <v>237</v>
      </c>
      <c r="C511" t="s">
        <v>238</v>
      </c>
      <c r="D511" t="s">
        <v>257</v>
      </c>
      <c r="E511" t="s">
        <v>228</v>
      </c>
      <c r="F511">
        <v>1998</v>
      </c>
      <c r="G511">
        <v>6.4022000000000003E-3</v>
      </c>
      <c r="H511" t="s">
        <v>240</v>
      </c>
      <c r="I511" t="s">
        <v>241</v>
      </c>
      <c r="J511" t="s">
        <v>188</v>
      </c>
      <c r="K511" s="183">
        <f ca="1">VLOOKUP(F511,
    OFFSET(INDIRECT(ADDRESS(MATCH(J511,'Vehicle numbers'!$A$5:$A$162,0),1,1,1,$L$6)),4,1,COUNTIF('Vehicle numbers'!$A$5:$A$162,J511),4),
    MATCH(K$8,'Vehicle numbers'!$B$4:$D$4,0))*1000</f>
        <v>2278027</v>
      </c>
      <c r="L511" s="183">
        <f ca="1">VLOOKUP(F511,
    OFFSET(INDIRECT(ADDRESS(MATCH(J511,'Vehicle numbers'!$A$5:$A$162,0),1,1,1,$L$6)),4,1,COUNTIF('Vehicle numbers'!$A$5:$A$162,J511),4),
    MATCH(L$8,'Vehicle numbers'!$B$4:$D$4,0))*1000</f>
        <v>2343396.3150820127</v>
      </c>
      <c r="M511" s="184">
        <f>VLOOKUP(F511,'Annual distance covered (GB)'!$A$8:$H$33,MATCH(J511,'Annual distance covered (GB)'!$A$7:$H$7,0))</f>
        <v>50.8</v>
      </c>
      <c r="N511" s="2">
        <f t="shared" ca="1" si="28"/>
        <v>334564.47528130159</v>
      </c>
      <c r="O511" s="180">
        <f t="shared" ca="1" si="29"/>
        <v>0.14276905409812968</v>
      </c>
      <c r="P511" s="180"/>
      <c r="Q511" s="185"/>
      <c r="R511" s="180"/>
      <c r="S511" s="180"/>
      <c r="T511" s="180"/>
    </row>
    <row r="512" spans="1:20" x14ac:dyDescent="0.25">
      <c r="A512" t="s">
        <v>244</v>
      </c>
      <c r="B512" t="s">
        <v>237</v>
      </c>
      <c r="C512" t="s">
        <v>238</v>
      </c>
      <c r="D512" t="s">
        <v>257</v>
      </c>
      <c r="E512" t="s">
        <v>228</v>
      </c>
      <c r="F512">
        <v>1998</v>
      </c>
      <c r="G512">
        <v>9.0171830985915399E-4</v>
      </c>
      <c r="H512" t="s">
        <v>240</v>
      </c>
      <c r="I512" t="s">
        <v>241</v>
      </c>
      <c r="J512" t="s">
        <v>188</v>
      </c>
      <c r="K512" s="183">
        <f ca="1">VLOOKUP(F512,
    OFFSET(INDIRECT(ADDRESS(MATCH(J512,'Vehicle numbers'!$A$5:$A$162,0),1,1,1,$L$6)),4,1,COUNTIF('Vehicle numbers'!$A$5:$A$162,J512),4),
    MATCH(K$8,'Vehicle numbers'!$B$4:$D$4,0))*1000</f>
        <v>2278027</v>
      </c>
      <c r="L512" s="183">
        <f ca="1">VLOOKUP(F512,
    OFFSET(INDIRECT(ADDRESS(MATCH(J512,'Vehicle numbers'!$A$5:$A$162,0),1,1,1,$L$6)),4,1,COUNTIF('Vehicle numbers'!$A$5:$A$162,J512),4),
    MATCH(L$8,'Vehicle numbers'!$B$4:$D$4,0))*1000</f>
        <v>2343396.3150820127</v>
      </c>
      <c r="M512" s="184">
        <f>VLOOKUP(F512,'Annual distance covered (GB)'!$A$8:$H$33,MATCH(J512,'Annual distance covered (GB)'!$A$7:$H$7,0))</f>
        <v>50.8</v>
      </c>
      <c r="N512" s="2">
        <f t="shared" ca="1" si="28"/>
        <v>47121.757081873409</v>
      </c>
      <c r="O512" s="180">
        <f t="shared" ca="1" si="29"/>
        <v>2.0108317478609791E-2</v>
      </c>
      <c r="P512" s="180"/>
      <c r="Q512" s="185"/>
      <c r="R512" s="180"/>
      <c r="S512" s="180"/>
      <c r="T512" s="180"/>
    </row>
    <row r="513" spans="1:20" x14ac:dyDescent="0.25">
      <c r="A513" t="s">
        <v>246</v>
      </c>
      <c r="B513" t="s">
        <v>237</v>
      </c>
      <c r="C513" t="s">
        <v>238</v>
      </c>
      <c r="D513" t="s">
        <v>257</v>
      </c>
      <c r="E513" t="s">
        <v>228</v>
      </c>
      <c r="F513">
        <v>1998</v>
      </c>
      <c r="G513">
        <v>7.21374647887323E-4</v>
      </c>
      <c r="H513" t="s">
        <v>240</v>
      </c>
      <c r="I513" t="s">
        <v>241</v>
      </c>
      <c r="J513" t="s">
        <v>188</v>
      </c>
      <c r="K513" s="183">
        <f ca="1">VLOOKUP(F513,
    OFFSET(INDIRECT(ADDRESS(MATCH(J513,'Vehicle numbers'!$A$5:$A$162,0),1,1,1,$L$6)),4,1,COUNTIF('Vehicle numbers'!$A$5:$A$162,J513),4),
    MATCH(K$8,'Vehicle numbers'!$B$4:$D$4,0))*1000</f>
        <v>2278027</v>
      </c>
      <c r="L513" s="183">
        <f ca="1">VLOOKUP(F513,
    OFFSET(INDIRECT(ADDRESS(MATCH(J513,'Vehicle numbers'!$A$5:$A$162,0),1,1,1,$L$6)),4,1,COUNTIF('Vehicle numbers'!$A$5:$A$162,J513),4),
    MATCH(L$8,'Vehicle numbers'!$B$4:$D$4,0))*1000</f>
        <v>2343396.3150820127</v>
      </c>
      <c r="M513" s="184">
        <f>VLOOKUP(F513,'Annual distance covered (GB)'!$A$8:$H$33,MATCH(J513,'Annual distance covered (GB)'!$A$7:$H$7,0))</f>
        <v>50.8</v>
      </c>
      <c r="N513" s="2">
        <f t="shared" ca="1" si="28"/>
        <v>37697.405665498714</v>
      </c>
      <c r="O513" s="180">
        <f t="shared" ca="1" si="29"/>
        <v>1.6086653982887826E-2</v>
      </c>
      <c r="P513" s="180"/>
      <c r="Q513" s="185"/>
      <c r="R513" s="180"/>
      <c r="S513" s="180"/>
      <c r="T513" s="180"/>
    </row>
    <row r="514" spans="1:20" x14ac:dyDescent="0.25">
      <c r="A514" t="s">
        <v>236</v>
      </c>
      <c r="B514" t="s">
        <v>237</v>
      </c>
      <c r="C514" t="s">
        <v>238</v>
      </c>
      <c r="D514" t="s">
        <v>258</v>
      </c>
      <c r="E514" t="s">
        <v>229</v>
      </c>
      <c r="F514">
        <v>1998</v>
      </c>
      <c r="G514">
        <v>8.6219999999999908E-3</v>
      </c>
      <c r="H514" t="s">
        <v>240</v>
      </c>
      <c r="I514" t="s">
        <v>241</v>
      </c>
      <c r="J514" t="s">
        <v>188</v>
      </c>
      <c r="K514" s="183">
        <f ca="1">VLOOKUP(F514,
    OFFSET(INDIRECT(ADDRESS(MATCH(J514,'Vehicle numbers'!$A$5:$A$162,0),1,1,1,$L$6)),4,1,COUNTIF('Vehicle numbers'!$A$5:$A$162,J514),4),
    MATCH(K$8,'Vehicle numbers'!$B$4:$D$4,0))*1000</f>
        <v>2278027</v>
      </c>
      <c r="L514" s="183">
        <f ca="1">VLOOKUP(F514,
    OFFSET(INDIRECT(ADDRESS(MATCH(J514,'Vehicle numbers'!$A$5:$A$162,0),1,1,1,$L$6)),4,1,COUNTIF('Vehicle numbers'!$A$5:$A$162,J514),4),
    MATCH(L$8,'Vehicle numbers'!$B$4:$D$4,0))*1000</f>
        <v>2343396.3150820127</v>
      </c>
      <c r="M514" s="184">
        <f>VLOOKUP(F514,'Annual distance covered (GB)'!$A$8:$H$33,MATCH(J514,'Annual distance covered (GB)'!$A$7:$H$7,0))</f>
        <v>50.8</v>
      </c>
      <c r="N514" s="2">
        <f t="shared" ca="1" si="28"/>
        <v>450566.19691283914</v>
      </c>
      <c r="O514" s="180">
        <f t="shared" ca="1" si="29"/>
        <v>0.19227059205180602</v>
      </c>
      <c r="P514" s="180"/>
      <c r="Q514" s="185"/>
      <c r="R514" s="180"/>
      <c r="S514" s="180"/>
      <c r="T514" s="180"/>
    </row>
    <row r="515" spans="1:20" x14ac:dyDescent="0.25">
      <c r="A515" t="s">
        <v>243</v>
      </c>
      <c r="B515" t="s">
        <v>237</v>
      </c>
      <c r="C515" t="s">
        <v>238</v>
      </c>
      <c r="D515" t="s">
        <v>258</v>
      </c>
      <c r="E515" t="s">
        <v>229</v>
      </c>
      <c r="F515">
        <v>1998</v>
      </c>
      <c r="G515">
        <v>3.4488000000000001E-3</v>
      </c>
      <c r="H515" t="s">
        <v>240</v>
      </c>
      <c r="I515" t="s">
        <v>241</v>
      </c>
      <c r="J515" t="s">
        <v>188</v>
      </c>
      <c r="K515" s="183">
        <f ca="1">VLOOKUP(F515,
    OFFSET(INDIRECT(ADDRESS(MATCH(J515,'Vehicle numbers'!$A$5:$A$162,0),1,1,1,$L$6)),4,1,COUNTIF('Vehicle numbers'!$A$5:$A$162,J515),4),
    MATCH(K$8,'Vehicle numbers'!$B$4:$D$4,0))*1000</f>
        <v>2278027</v>
      </c>
      <c r="L515" s="183">
        <f ca="1">VLOOKUP(F515,
    OFFSET(INDIRECT(ADDRESS(MATCH(J515,'Vehicle numbers'!$A$5:$A$162,0),1,1,1,$L$6)),4,1,COUNTIF('Vehicle numbers'!$A$5:$A$162,J515),4),
    MATCH(L$8,'Vehicle numbers'!$B$4:$D$4,0))*1000</f>
        <v>2343396.3150820127</v>
      </c>
      <c r="M515" s="184">
        <f>VLOOKUP(F515,'Annual distance covered (GB)'!$A$8:$H$33,MATCH(J515,'Annual distance covered (GB)'!$A$7:$H$7,0))</f>
        <v>50.8</v>
      </c>
      <c r="N515" s="2">
        <f t="shared" ca="1" si="28"/>
        <v>180226.47876513586</v>
      </c>
      <c r="O515" s="180">
        <f t="shared" ca="1" si="29"/>
        <v>7.6908236820722495E-2</v>
      </c>
      <c r="P515" s="180"/>
      <c r="Q515" s="185"/>
      <c r="R515" s="180"/>
      <c r="S515" s="180"/>
      <c r="T515" s="180"/>
    </row>
    <row r="516" spans="1:20" x14ac:dyDescent="0.25">
      <c r="A516" t="s">
        <v>244</v>
      </c>
      <c r="B516" t="s">
        <v>237</v>
      </c>
      <c r="C516" t="s">
        <v>238</v>
      </c>
      <c r="D516" t="s">
        <v>258</v>
      </c>
      <c r="E516" t="s">
        <v>229</v>
      </c>
      <c r="F516">
        <v>1998</v>
      </c>
      <c r="G516">
        <v>8.6220000000000003E-4</v>
      </c>
      <c r="H516" t="s">
        <v>240</v>
      </c>
      <c r="I516" t="s">
        <v>241</v>
      </c>
      <c r="J516" t="s">
        <v>188</v>
      </c>
      <c r="K516" s="183">
        <f ca="1">VLOOKUP(F516,
    OFFSET(INDIRECT(ADDRESS(MATCH(J516,'Vehicle numbers'!$A$5:$A$162,0),1,1,1,$L$6)),4,1,COUNTIF('Vehicle numbers'!$A$5:$A$162,J516),4),
    MATCH(K$8,'Vehicle numbers'!$B$4:$D$4,0))*1000</f>
        <v>2278027</v>
      </c>
      <c r="L516" s="183">
        <f ca="1">VLOOKUP(F516,
    OFFSET(INDIRECT(ADDRESS(MATCH(J516,'Vehicle numbers'!$A$5:$A$162,0),1,1,1,$L$6)),4,1,COUNTIF('Vehicle numbers'!$A$5:$A$162,J516),4),
    MATCH(L$8,'Vehicle numbers'!$B$4:$D$4,0))*1000</f>
        <v>2343396.3150820127</v>
      </c>
      <c r="M516" s="184">
        <f>VLOOKUP(F516,'Annual distance covered (GB)'!$A$8:$H$33,MATCH(J516,'Annual distance covered (GB)'!$A$7:$H$7,0))</f>
        <v>50.8</v>
      </c>
      <c r="N516" s="2">
        <f t="shared" ca="1" si="28"/>
        <v>45056.619691283966</v>
      </c>
      <c r="O516" s="180">
        <f t="shared" ca="1" si="29"/>
        <v>1.9227059205180624E-2</v>
      </c>
      <c r="P516" s="180"/>
      <c r="Q516" s="185"/>
      <c r="R516" s="180"/>
      <c r="S516" s="180"/>
      <c r="T516" s="180"/>
    </row>
    <row r="517" spans="1:20" x14ac:dyDescent="0.25">
      <c r="A517" t="s">
        <v>246</v>
      </c>
      <c r="B517" t="s">
        <v>237</v>
      </c>
      <c r="C517" t="s">
        <v>238</v>
      </c>
      <c r="D517" t="s">
        <v>258</v>
      </c>
      <c r="E517" t="s">
        <v>229</v>
      </c>
      <c r="F517">
        <v>1998</v>
      </c>
      <c r="G517">
        <v>6.8975999999999998E-4</v>
      </c>
      <c r="H517" t="s">
        <v>240</v>
      </c>
      <c r="I517" t="s">
        <v>241</v>
      </c>
      <c r="J517" t="s">
        <v>188</v>
      </c>
      <c r="K517" s="183">
        <f ca="1">VLOOKUP(F517,
    OFFSET(INDIRECT(ADDRESS(MATCH(J517,'Vehicle numbers'!$A$5:$A$162,0),1,1,1,$L$6)),4,1,COUNTIF('Vehicle numbers'!$A$5:$A$162,J517),4),
    MATCH(K$8,'Vehicle numbers'!$B$4:$D$4,0))*1000</f>
        <v>2278027</v>
      </c>
      <c r="L517" s="183">
        <f ca="1">VLOOKUP(F517,
    OFFSET(INDIRECT(ADDRESS(MATCH(J517,'Vehicle numbers'!$A$5:$A$162,0),1,1,1,$L$6)),4,1,COUNTIF('Vehicle numbers'!$A$5:$A$162,J517),4),
    MATCH(L$8,'Vehicle numbers'!$B$4:$D$4,0))*1000</f>
        <v>2343396.3150820127</v>
      </c>
      <c r="M517" s="184">
        <f>VLOOKUP(F517,'Annual distance covered (GB)'!$A$8:$H$33,MATCH(J517,'Annual distance covered (GB)'!$A$7:$H$7,0))</f>
        <v>50.8</v>
      </c>
      <c r="N517" s="2">
        <f t="shared" ca="1" si="28"/>
        <v>36045.295753027167</v>
      </c>
      <c r="O517" s="180">
        <f t="shared" ca="1" si="29"/>
        <v>1.5381647364144498E-2</v>
      </c>
      <c r="P517" s="180"/>
      <c r="Q517" s="185"/>
      <c r="R517" s="180"/>
      <c r="S517" s="180"/>
      <c r="T517" s="180"/>
    </row>
    <row r="518" spans="1:20" x14ac:dyDescent="0.25">
      <c r="A518" t="s">
        <v>236</v>
      </c>
      <c r="B518" t="s">
        <v>237</v>
      </c>
      <c r="C518" t="s">
        <v>238</v>
      </c>
      <c r="D518" t="s">
        <v>258</v>
      </c>
      <c r="E518" t="s">
        <v>228</v>
      </c>
      <c r="F518">
        <v>1998</v>
      </c>
      <c r="G518">
        <v>1.0741000000000001E-2</v>
      </c>
      <c r="H518" t="s">
        <v>240</v>
      </c>
      <c r="I518" t="s">
        <v>241</v>
      </c>
      <c r="J518" t="s">
        <v>188</v>
      </c>
      <c r="K518" s="183">
        <f ca="1">VLOOKUP(F518,
    OFFSET(INDIRECT(ADDRESS(MATCH(J518,'Vehicle numbers'!$A$5:$A$162,0),1,1,1,$L$6)),4,1,COUNTIF('Vehicle numbers'!$A$5:$A$162,J518),4),
    MATCH(K$8,'Vehicle numbers'!$B$4:$D$4,0))*1000</f>
        <v>2278027</v>
      </c>
      <c r="L518" s="183">
        <f ca="1">VLOOKUP(F518,
    OFFSET(INDIRECT(ADDRESS(MATCH(J518,'Vehicle numbers'!$A$5:$A$162,0),1,1,1,$L$6)),4,1,COUNTIF('Vehicle numbers'!$A$5:$A$162,J518),4),
    MATCH(L$8,'Vehicle numbers'!$B$4:$D$4,0))*1000</f>
        <v>2343396.3150820127</v>
      </c>
      <c r="M518" s="184">
        <f>VLOOKUP(F518,'Annual distance covered (GB)'!$A$8:$H$33,MATCH(J518,'Annual distance covered (GB)'!$A$7:$H$7,0))</f>
        <v>50.8</v>
      </c>
      <c r="N518" s="2">
        <f t="shared" ca="1" si="28"/>
        <v>561300.33878923801</v>
      </c>
      <c r="O518" s="180">
        <f t="shared" ca="1" si="29"/>
        <v>0.23952429009840531</v>
      </c>
      <c r="P518" s="180"/>
      <c r="Q518" s="185"/>
      <c r="R518" s="180"/>
      <c r="S518" s="180"/>
      <c r="T518" s="180"/>
    </row>
    <row r="519" spans="1:20" x14ac:dyDescent="0.25">
      <c r="A519" t="s">
        <v>243</v>
      </c>
      <c r="B519" t="s">
        <v>237</v>
      </c>
      <c r="C519" t="s">
        <v>238</v>
      </c>
      <c r="D519" t="s">
        <v>258</v>
      </c>
      <c r="E519" t="s">
        <v>228</v>
      </c>
      <c r="F519">
        <v>1998</v>
      </c>
      <c r="G519">
        <v>7.5186999999999997E-3</v>
      </c>
      <c r="H519" t="s">
        <v>240</v>
      </c>
      <c r="I519" t="s">
        <v>241</v>
      </c>
      <c r="J519" t="s">
        <v>188</v>
      </c>
      <c r="K519" s="183">
        <f ca="1">VLOOKUP(F519,
    OFFSET(INDIRECT(ADDRESS(MATCH(J519,'Vehicle numbers'!$A$5:$A$162,0),1,1,1,$L$6)),4,1,COUNTIF('Vehicle numbers'!$A$5:$A$162,J519),4),
    MATCH(K$8,'Vehicle numbers'!$B$4:$D$4,0))*1000</f>
        <v>2278027</v>
      </c>
      <c r="L519" s="183">
        <f ca="1">VLOOKUP(F519,
    OFFSET(INDIRECT(ADDRESS(MATCH(J519,'Vehicle numbers'!$A$5:$A$162,0),1,1,1,$L$6)),4,1,COUNTIF('Vehicle numbers'!$A$5:$A$162,J519),4),
    MATCH(L$8,'Vehicle numbers'!$B$4:$D$4,0))*1000</f>
        <v>2343396.3150820127</v>
      </c>
      <c r="M519" s="184">
        <f>VLOOKUP(F519,'Annual distance covered (GB)'!$A$8:$H$33,MATCH(J519,'Annual distance covered (GB)'!$A$7:$H$7,0))</f>
        <v>50.8</v>
      </c>
      <c r="N519" s="2">
        <f t="shared" ca="1" si="28"/>
        <v>392910.23715246661</v>
      </c>
      <c r="O519" s="180">
        <f t="shared" ca="1" si="29"/>
        <v>0.16766700306888371</v>
      </c>
      <c r="P519" s="180"/>
      <c r="Q519" s="185"/>
      <c r="R519" s="180"/>
      <c r="S519" s="180"/>
      <c r="T519" s="180"/>
    </row>
    <row r="520" spans="1:20" x14ac:dyDescent="0.25">
      <c r="A520" t="s">
        <v>244</v>
      </c>
      <c r="B520" t="s">
        <v>237</v>
      </c>
      <c r="C520" t="s">
        <v>238</v>
      </c>
      <c r="D520" t="s">
        <v>258</v>
      </c>
      <c r="E520" t="s">
        <v>228</v>
      </c>
      <c r="F520">
        <v>1998</v>
      </c>
      <c r="G520">
        <v>1.05897183098591E-3</v>
      </c>
      <c r="H520" t="s">
        <v>240</v>
      </c>
      <c r="I520" t="s">
        <v>241</v>
      </c>
      <c r="J520" t="s">
        <v>188</v>
      </c>
      <c r="K520" s="183">
        <f ca="1">VLOOKUP(F520,
    OFFSET(INDIRECT(ADDRESS(MATCH(J520,'Vehicle numbers'!$A$5:$A$162,0),1,1,1,$L$6)),4,1,COUNTIF('Vehicle numbers'!$A$5:$A$162,J520),4),
    MATCH(K$8,'Vehicle numbers'!$B$4:$D$4,0))*1000</f>
        <v>2278027</v>
      </c>
      <c r="L520" s="183">
        <f ca="1">VLOOKUP(F520,
    OFFSET(INDIRECT(ADDRESS(MATCH(J520,'Vehicle numbers'!$A$5:$A$162,0),1,1,1,$L$6)),4,1,COUNTIF('Vehicle numbers'!$A$5:$A$162,J520),4),
    MATCH(L$8,'Vehicle numbers'!$B$4:$D$4,0))*1000</f>
        <v>2343396.3150820127</v>
      </c>
      <c r="M520" s="184">
        <f>VLOOKUP(F520,'Annual distance covered (GB)'!$A$8:$H$33,MATCH(J520,'Annual distance covered (GB)'!$A$7:$H$7,0))</f>
        <v>50.8</v>
      </c>
      <c r="N520" s="2">
        <f t="shared" ca="1" si="28"/>
        <v>55339.470021473884</v>
      </c>
      <c r="O520" s="180">
        <f t="shared" ca="1" si="29"/>
        <v>2.3615070854772231E-2</v>
      </c>
      <c r="P520" s="180"/>
      <c r="Q520" s="185"/>
      <c r="R520" s="180"/>
      <c r="S520" s="180"/>
      <c r="T520" s="180"/>
    </row>
    <row r="521" spans="1:20" x14ac:dyDescent="0.25">
      <c r="A521" t="s">
        <v>246</v>
      </c>
      <c r="B521" t="s">
        <v>237</v>
      </c>
      <c r="C521" t="s">
        <v>238</v>
      </c>
      <c r="D521" t="s">
        <v>258</v>
      </c>
      <c r="E521" t="s">
        <v>228</v>
      </c>
      <c r="F521">
        <v>1998</v>
      </c>
      <c r="G521">
        <v>8.47177464788731E-4</v>
      </c>
      <c r="H521" t="s">
        <v>240</v>
      </c>
      <c r="I521" t="s">
        <v>241</v>
      </c>
      <c r="J521" t="s">
        <v>188</v>
      </c>
      <c r="K521" s="183">
        <f ca="1">VLOOKUP(F521,
    OFFSET(INDIRECT(ADDRESS(MATCH(J521,'Vehicle numbers'!$A$5:$A$162,0),1,1,1,$L$6)),4,1,COUNTIF('Vehicle numbers'!$A$5:$A$162,J521),4),
    MATCH(K$8,'Vehicle numbers'!$B$4:$D$4,0))*1000</f>
        <v>2278027</v>
      </c>
      <c r="L521" s="183">
        <f ca="1">VLOOKUP(F521,
    OFFSET(INDIRECT(ADDRESS(MATCH(J521,'Vehicle numbers'!$A$5:$A$162,0),1,1,1,$L$6)),4,1,COUNTIF('Vehicle numbers'!$A$5:$A$162,J521),4),
    MATCH(L$8,'Vehicle numbers'!$B$4:$D$4,0))*1000</f>
        <v>2343396.3150820127</v>
      </c>
      <c r="M521" s="184">
        <f>VLOOKUP(F521,'Annual distance covered (GB)'!$A$8:$H$33,MATCH(J521,'Annual distance covered (GB)'!$A$7:$H$7,0))</f>
        <v>50.8</v>
      </c>
      <c r="N521" s="2">
        <f t="shared" ca="1" si="28"/>
        <v>44271.576017179264</v>
      </c>
      <c r="O521" s="180">
        <f t="shared" ca="1" si="29"/>
        <v>1.8892056683817854E-2</v>
      </c>
      <c r="P521" s="180"/>
      <c r="Q521" s="185"/>
      <c r="R521" s="180"/>
      <c r="S521" s="180"/>
      <c r="T521" s="180"/>
    </row>
    <row r="522" spans="1:20" x14ac:dyDescent="0.25">
      <c r="A522" t="s">
        <v>236</v>
      </c>
      <c r="B522" t="s">
        <v>237</v>
      </c>
      <c r="C522" t="s">
        <v>238</v>
      </c>
      <c r="D522" t="s">
        <v>259</v>
      </c>
      <c r="E522" t="s">
        <v>229</v>
      </c>
      <c r="F522">
        <v>1998</v>
      </c>
      <c r="G522">
        <v>1.8218999999999999E-2</v>
      </c>
      <c r="H522" t="s">
        <v>240</v>
      </c>
      <c r="I522" t="s">
        <v>241</v>
      </c>
      <c r="J522" t="s">
        <v>188</v>
      </c>
      <c r="K522" s="183">
        <f ca="1">VLOOKUP(F522,
    OFFSET(INDIRECT(ADDRESS(MATCH(J522,'Vehicle numbers'!$A$5:$A$162,0),1,1,1,$L$6)),4,1,COUNTIF('Vehicle numbers'!$A$5:$A$162,J522),4),
    MATCH(K$8,'Vehicle numbers'!$B$4:$D$4,0))*1000</f>
        <v>2278027</v>
      </c>
      <c r="L522" s="183">
        <f ca="1">VLOOKUP(F522,
    OFFSET(INDIRECT(ADDRESS(MATCH(J522,'Vehicle numbers'!$A$5:$A$162,0),1,1,1,$L$6)),4,1,COUNTIF('Vehicle numbers'!$A$5:$A$162,J522),4),
    MATCH(L$8,'Vehicle numbers'!$B$4:$D$4,0))*1000</f>
        <v>2343396.3150820127</v>
      </c>
      <c r="M522" s="184">
        <f>VLOOKUP(F522,'Annual distance covered (GB)'!$A$8:$H$33,MATCH(J522,'Annual distance covered (GB)'!$A$7:$H$7,0))</f>
        <v>50.8</v>
      </c>
      <c r="N522" s="2">
        <f t="shared" ca="1" si="28"/>
        <v>952083.68610009574</v>
      </c>
      <c r="O522" s="180">
        <f t="shared" ca="1" si="29"/>
        <v>0.4062836832048084</v>
      </c>
      <c r="P522" s="180"/>
      <c r="Q522" s="185"/>
      <c r="R522" s="180"/>
      <c r="S522" s="180"/>
      <c r="T522" s="180"/>
    </row>
    <row r="523" spans="1:20" x14ac:dyDescent="0.25">
      <c r="A523" t="s">
        <v>243</v>
      </c>
      <c r="B523" t="s">
        <v>237</v>
      </c>
      <c r="C523" t="s">
        <v>238</v>
      </c>
      <c r="D523" t="s">
        <v>259</v>
      </c>
      <c r="E523" t="s">
        <v>229</v>
      </c>
      <c r="F523">
        <v>1998</v>
      </c>
      <c r="G523">
        <v>7.2876E-3</v>
      </c>
      <c r="H523" t="s">
        <v>240</v>
      </c>
      <c r="I523" t="s">
        <v>241</v>
      </c>
      <c r="J523" t="s">
        <v>188</v>
      </c>
      <c r="K523" s="183">
        <f ca="1">VLOOKUP(F523,
    OFFSET(INDIRECT(ADDRESS(MATCH(J523,'Vehicle numbers'!$A$5:$A$162,0),1,1,1,$L$6)),4,1,COUNTIF('Vehicle numbers'!$A$5:$A$162,J523),4),
    MATCH(K$8,'Vehicle numbers'!$B$4:$D$4,0))*1000</f>
        <v>2278027</v>
      </c>
      <c r="L523" s="183">
        <f ca="1">VLOOKUP(F523,
    OFFSET(INDIRECT(ADDRESS(MATCH(J523,'Vehicle numbers'!$A$5:$A$162,0),1,1,1,$L$6)),4,1,COUNTIF('Vehicle numbers'!$A$5:$A$162,J523),4),
    MATCH(L$8,'Vehicle numbers'!$B$4:$D$4,0))*1000</f>
        <v>2343396.3150820127</v>
      </c>
      <c r="M523" s="184">
        <f>VLOOKUP(F523,'Annual distance covered (GB)'!$A$8:$H$33,MATCH(J523,'Annual distance covered (GB)'!$A$7:$H$7,0))</f>
        <v>50.8</v>
      </c>
      <c r="N523" s="2">
        <f t="shared" ref="N523:N586" ca="1" si="30">M523*G523*1000000*(L523/K523)</f>
        <v>380833.47444003832</v>
      </c>
      <c r="O523" s="180">
        <f t="shared" ref="O523:O586" ca="1" si="31">N523/L523</f>
        <v>0.16251347328192337</v>
      </c>
      <c r="P523" s="180"/>
      <c r="Q523" s="185"/>
      <c r="R523" s="180"/>
      <c r="S523" s="180"/>
      <c r="T523" s="180"/>
    </row>
    <row r="524" spans="1:20" x14ac:dyDescent="0.25">
      <c r="A524" t="s">
        <v>244</v>
      </c>
      <c r="B524" t="s">
        <v>237</v>
      </c>
      <c r="C524" t="s">
        <v>238</v>
      </c>
      <c r="D524" t="s">
        <v>259</v>
      </c>
      <c r="E524" t="s">
        <v>229</v>
      </c>
      <c r="F524">
        <v>1998</v>
      </c>
      <c r="G524">
        <v>1.8219E-3</v>
      </c>
      <c r="H524" t="s">
        <v>240</v>
      </c>
      <c r="I524" t="s">
        <v>241</v>
      </c>
      <c r="J524" t="s">
        <v>188</v>
      </c>
      <c r="K524" s="183">
        <f ca="1">VLOOKUP(F524,
    OFFSET(INDIRECT(ADDRESS(MATCH(J524,'Vehicle numbers'!$A$5:$A$162,0),1,1,1,$L$6)),4,1,COUNTIF('Vehicle numbers'!$A$5:$A$162,J524),4),
    MATCH(K$8,'Vehicle numbers'!$B$4:$D$4,0))*1000</f>
        <v>2278027</v>
      </c>
      <c r="L524" s="183">
        <f ca="1">VLOOKUP(F524,
    OFFSET(INDIRECT(ADDRESS(MATCH(J524,'Vehicle numbers'!$A$5:$A$162,0),1,1,1,$L$6)),4,1,COUNTIF('Vehicle numbers'!$A$5:$A$162,J524),4),
    MATCH(L$8,'Vehicle numbers'!$B$4:$D$4,0))*1000</f>
        <v>2343396.3150820127</v>
      </c>
      <c r="M524" s="184">
        <f>VLOOKUP(F524,'Annual distance covered (GB)'!$A$8:$H$33,MATCH(J524,'Annual distance covered (GB)'!$A$7:$H$7,0))</f>
        <v>50.8</v>
      </c>
      <c r="N524" s="2">
        <f t="shared" ca="1" si="30"/>
        <v>95208.36861000958</v>
      </c>
      <c r="O524" s="180">
        <f t="shared" ca="1" si="31"/>
        <v>4.0628368320480841E-2</v>
      </c>
      <c r="P524" s="180"/>
      <c r="Q524" s="185"/>
      <c r="R524" s="180"/>
      <c r="S524" s="180"/>
      <c r="T524" s="180"/>
    </row>
    <row r="525" spans="1:20" x14ac:dyDescent="0.25">
      <c r="A525" t="s">
        <v>246</v>
      </c>
      <c r="B525" t="s">
        <v>237</v>
      </c>
      <c r="C525" t="s">
        <v>238</v>
      </c>
      <c r="D525" t="s">
        <v>259</v>
      </c>
      <c r="E525" t="s">
        <v>229</v>
      </c>
      <c r="F525">
        <v>1998</v>
      </c>
      <c r="G525">
        <v>1.4575199999999999E-3</v>
      </c>
      <c r="H525" t="s">
        <v>240</v>
      </c>
      <c r="I525" t="s">
        <v>241</v>
      </c>
      <c r="J525" t="s">
        <v>188</v>
      </c>
      <c r="K525" s="183">
        <f ca="1">VLOOKUP(F525,
    OFFSET(INDIRECT(ADDRESS(MATCH(J525,'Vehicle numbers'!$A$5:$A$162,0),1,1,1,$L$6)),4,1,COUNTIF('Vehicle numbers'!$A$5:$A$162,J525),4),
    MATCH(K$8,'Vehicle numbers'!$B$4:$D$4,0))*1000</f>
        <v>2278027</v>
      </c>
      <c r="L525" s="183">
        <f ca="1">VLOOKUP(F525,
    OFFSET(INDIRECT(ADDRESS(MATCH(J525,'Vehicle numbers'!$A$5:$A$162,0),1,1,1,$L$6)),4,1,COUNTIF('Vehicle numbers'!$A$5:$A$162,J525),4),
    MATCH(L$8,'Vehicle numbers'!$B$4:$D$4,0))*1000</f>
        <v>2343396.3150820127</v>
      </c>
      <c r="M525" s="184">
        <f>VLOOKUP(F525,'Annual distance covered (GB)'!$A$8:$H$33,MATCH(J525,'Annual distance covered (GB)'!$A$7:$H$7,0))</f>
        <v>50.8</v>
      </c>
      <c r="N525" s="2">
        <f t="shared" ca="1" si="30"/>
        <v>76166.694888007652</v>
      </c>
      <c r="O525" s="180">
        <f t="shared" ca="1" si="31"/>
        <v>3.2502694656384667E-2</v>
      </c>
      <c r="P525" s="180"/>
      <c r="Q525" s="185"/>
      <c r="R525" s="180"/>
      <c r="S525" s="180"/>
      <c r="T525" s="180"/>
    </row>
    <row r="526" spans="1:20" x14ac:dyDescent="0.25">
      <c r="A526" t="s">
        <v>236</v>
      </c>
      <c r="B526" t="s">
        <v>237</v>
      </c>
      <c r="C526" t="s">
        <v>238</v>
      </c>
      <c r="D526" t="s">
        <v>259</v>
      </c>
      <c r="E526" t="s">
        <v>228</v>
      </c>
      <c r="F526">
        <v>1998</v>
      </c>
      <c r="G526">
        <v>1.3802E-2</v>
      </c>
      <c r="H526" t="s">
        <v>240</v>
      </c>
      <c r="I526" t="s">
        <v>241</v>
      </c>
      <c r="J526" t="s">
        <v>188</v>
      </c>
      <c r="K526" s="183">
        <f ca="1">VLOOKUP(F526,
    OFFSET(INDIRECT(ADDRESS(MATCH(J526,'Vehicle numbers'!$A$5:$A$162,0),1,1,1,$L$6)),4,1,COUNTIF('Vehicle numbers'!$A$5:$A$162,J526),4),
    MATCH(K$8,'Vehicle numbers'!$B$4:$D$4,0))*1000</f>
        <v>2278027</v>
      </c>
      <c r="L526" s="183">
        <f ca="1">VLOOKUP(F526,
    OFFSET(INDIRECT(ADDRESS(MATCH(J526,'Vehicle numbers'!$A$5:$A$162,0),1,1,1,$L$6)),4,1,COUNTIF('Vehicle numbers'!$A$5:$A$162,J526),4),
    MATCH(L$8,'Vehicle numbers'!$B$4:$D$4,0))*1000</f>
        <v>2343396.3150820127</v>
      </c>
      <c r="M526" s="184">
        <f>VLOOKUP(F526,'Annual distance covered (GB)'!$A$8:$H$33,MATCH(J526,'Annual distance covered (GB)'!$A$7:$H$7,0))</f>
        <v>50.8</v>
      </c>
      <c r="N526" s="2">
        <f t="shared" ca="1" si="30"/>
        <v>721261.26766307268</v>
      </c>
      <c r="O526" s="180">
        <f t="shared" ca="1" si="31"/>
        <v>0.30778458727662139</v>
      </c>
      <c r="P526" s="180"/>
      <c r="Q526" s="185"/>
      <c r="R526" s="180"/>
      <c r="S526" s="180"/>
      <c r="T526" s="180"/>
    </row>
    <row r="527" spans="1:20" x14ac:dyDescent="0.25">
      <c r="A527" t="s">
        <v>243</v>
      </c>
      <c r="B527" t="s">
        <v>237</v>
      </c>
      <c r="C527" t="s">
        <v>238</v>
      </c>
      <c r="D527" t="s">
        <v>259</v>
      </c>
      <c r="E527" t="s">
        <v>228</v>
      </c>
      <c r="F527">
        <v>1998</v>
      </c>
      <c r="G527">
        <v>9.6614000000000005E-3</v>
      </c>
      <c r="H527" t="s">
        <v>240</v>
      </c>
      <c r="I527" t="s">
        <v>241</v>
      </c>
      <c r="J527" t="s">
        <v>188</v>
      </c>
      <c r="K527" s="183">
        <f ca="1">VLOOKUP(F527,
    OFFSET(INDIRECT(ADDRESS(MATCH(J527,'Vehicle numbers'!$A$5:$A$162,0),1,1,1,$L$6)),4,1,COUNTIF('Vehicle numbers'!$A$5:$A$162,J527),4),
    MATCH(K$8,'Vehicle numbers'!$B$4:$D$4,0))*1000</f>
        <v>2278027</v>
      </c>
      <c r="L527" s="183">
        <f ca="1">VLOOKUP(F527,
    OFFSET(INDIRECT(ADDRESS(MATCH(J527,'Vehicle numbers'!$A$5:$A$162,0),1,1,1,$L$6)),4,1,COUNTIF('Vehicle numbers'!$A$5:$A$162,J527),4),
    MATCH(L$8,'Vehicle numbers'!$B$4:$D$4,0))*1000</f>
        <v>2343396.3150820127</v>
      </c>
      <c r="M527" s="184">
        <f>VLOOKUP(F527,'Annual distance covered (GB)'!$A$8:$H$33,MATCH(J527,'Annual distance covered (GB)'!$A$7:$H$7,0))</f>
        <v>50.8</v>
      </c>
      <c r="N527" s="2">
        <f t="shared" ca="1" si="30"/>
        <v>504882.8873641509</v>
      </c>
      <c r="O527" s="180">
        <f t="shared" ca="1" si="31"/>
        <v>0.21544921109363499</v>
      </c>
      <c r="P527" s="180"/>
      <c r="Q527" s="185"/>
      <c r="R527" s="180"/>
      <c r="S527" s="180"/>
      <c r="T527" s="180"/>
    </row>
    <row r="528" spans="1:20" x14ac:dyDescent="0.25">
      <c r="A528" t="s">
        <v>244</v>
      </c>
      <c r="B528" t="s">
        <v>237</v>
      </c>
      <c r="C528" t="s">
        <v>238</v>
      </c>
      <c r="D528" t="s">
        <v>259</v>
      </c>
      <c r="E528" t="s">
        <v>228</v>
      </c>
      <c r="F528">
        <v>1998</v>
      </c>
      <c r="G528">
        <v>1.3607605633802801E-3</v>
      </c>
      <c r="H528" t="s">
        <v>240</v>
      </c>
      <c r="I528" t="s">
        <v>241</v>
      </c>
      <c r="J528" t="s">
        <v>188</v>
      </c>
      <c r="K528" s="183">
        <f ca="1">VLOOKUP(F528,
    OFFSET(INDIRECT(ADDRESS(MATCH(J528,'Vehicle numbers'!$A$5:$A$162,0),1,1,1,$L$6)),4,1,COUNTIF('Vehicle numbers'!$A$5:$A$162,J528),4),
    MATCH(K$8,'Vehicle numbers'!$B$4:$D$4,0))*1000</f>
        <v>2278027</v>
      </c>
      <c r="L528" s="183">
        <f ca="1">VLOOKUP(F528,
    OFFSET(INDIRECT(ADDRESS(MATCH(J528,'Vehicle numbers'!$A$5:$A$162,0),1,1,1,$L$6)),4,1,COUNTIF('Vehicle numbers'!$A$5:$A$162,J528),4),
    MATCH(L$8,'Vehicle numbers'!$B$4:$D$4,0))*1000</f>
        <v>2343396.3150820127</v>
      </c>
      <c r="M528" s="184">
        <f>VLOOKUP(F528,'Annual distance covered (GB)'!$A$8:$H$33,MATCH(J528,'Annual distance covered (GB)'!$A$7:$H$7,0))</f>
        <v>50.8</v>
      </c>
      <c r="N528" s="2">
        <f t="shared" ca="1" si="30"/>
        <v>71110.265825936658</v>
      </c>
      <c r="O528" s="180">
        <f t="shared" ca="1" si="31"/>
        <v>3.0344959308962634E-2</v>
      </c>
      <c r="P528" s="180"/>
      <c r="Q528" s="185"/>
      <c r="R528" s="180"/>
      <c r="S528" s="180"/>
      <c r="T528" s="180"/>
    </row>
    <row r="529" spans="1:20" x14ac:dyDescent="0.25">
      <c r="A529" t="s">
        <v>246</v>
      </c>
      <c r="B529" t="s">
        <v>237</v>
      </c>
      <c r="C529" t="s">
        <v>238</v>
      </c>
      <c r="D529" t="s">
        <v>259</v>
      </c>
      <c r="E529" t="s">
        <v>228</v>
      </c>
      <c r="F529">
        <v>1998</v>
      </c>
      <c r="G529">
        <v>1.0886084507042201E-3</v>
      </c>
      <c r="H529" t="s">
        <v>240</v>
      </c>
      <c r="I529" t="s">
        <v>241</v>
      </c>
      <c r="J529" t="s">
        <v>188</v>
      </c>
      <c r="K529" s="183">
        <f ca="1">VLOOKUP(F529,
    OFFSET(INDIRECT(ADDRESS(MATCH(J529,'Vehicle numbers'!$A$5:$A$162,0),1,1,1,$L$6)),4,1,COUNTIF('Vehicle numbers'!$A$5:$A$162,J529),4),
    MATCH(K$8,'Vehicle numbers'!$B$4:$D$4,0))*1000</f>
        <v>2278027</v>
      </c>
      <c r="L529" s="183">
        <f ca="1">VLOOKUP(F529,
    OFFSET(INDIRECT(ADDRESS(MATCH(J529,'Vehicle numbers'!$A$5:$A$162,0),1,1,1,$L$6)),4,1,COUNTIF('Vehicle numbers'!$A$5:$A$162,J529),4),
    MATCH(L$8,'Vehicle numbers'!$B$4:$D$4,0))*1000</f>
        <v>2343396.3150820127</v>
      </c>
      <c r="M529" s="184">
        <f>VLOOKUP(F529,'Annual distance covered (GB)'!$A$8:$H$33,MATCH(J529,'Annual distance covered (GB)'!$A$7:$H$7,0))</f>
        <v>50.8</v>
      </c>
      <c r="N529" s="2">
        <f t="shared" ca="1" si="30"/>
        <v>56888.212660749123</v>
      </c>
      <c r="O529" s="180">
        <f t="shared" ca="1" si="31"/>
        <v>2.4275967447170022E-2</v>
      </c>
      <c r="P529" s="180"/>
      <c r="Q529" s="185"/>
      <c r="R529" s="180"/>
      <c r="S529" s="180"/>
      <c r="T529" s="180"/>
    </row>
    <row r="530" spans="1:20" x14ac:dyDescent="0.25">
      <c r="A530" t="s">
        <v>236</v>
      </c>
      <c r="B530" t="s">
        <v>237</v>
      </c>
      <c r="C530" t="s">
        <v>238</v>
      </c>
      <c r="D530" t="s">
        <v>260</v>
      </c>
      <c r="E530" t="s">
        <v>229</v>
      </c>
      <c r="F530">
        <v>1998</v>
      </c>
      <c r="G530">
        <v>5.8399999999999997E-3</v>
      </c>
      <c r="H530" t="s">
        <v>240</v>
      </c>
      <c r="I530" t="s">
        <v>241</v>
      </c>
      <c r="J530" t="s">
        <v>3</v>
      </c>
      <c r="K530" s="183">
        <f ca="1">VLOOKUP(F530,
    OFFSET(INDIRECT(ADDRESS(MATCH(J530,'Vehicle numbers'!$A$5:$A$162,0),1,1,1,$L$6)),4,1,COUNTIF('Vehicle numbers'!$A$5:$A$162,J530),4),
    MATCH(K$8,'Vehicle numbers'!$B$4:$D$4,0))*1000</f>
        <v>813784</v>
      </c>
      <c r="L530" s="183">
        <f ca="1">VLOOKUP(F530,
    OFFSET(INDIRECT(ADDRESS(MATCH(J530,'Vehicle numbers'!$A$5:$A$162,0),1,1,1,$L$6)),4,1,COUNTIF('Vehicle numbers'!$A$5:$A$162,J530),4),
    MATCH(L$8,'Vehicle numbers'!$B$4:$D$4,0))*1000</f>
        <v>828738.24086688564</v>
      </c>
      <c r="M530" s="184">
        <f>VLOOKUP(F530,'Annual distance covered (GB)'!$A$8:$H$33,MATCH(J530,'Annual distance covered (GB)'!$A$7:$H$7,0))</f>
        <v>4.0999999999999996</v>
      </c>
      <c r="N530" s="2">
        <f t="shared" ca="1" si="30"/>
        <v>24383.999242202732</v>
      </c>
      <c r="O530" s="180">
        <f t="shared" ca="1" si="31"/>
        <v>2.9423041003509526E-2</v>
      </c>
      <c r="P530" s="180"/>
      <c r="Q530" s="185"/>
      <c r="R530" s="180"/>
      <c r="S530" s="180"/>
      <c r="T530" s="180"/>
    </row>
    <row r="531" spans="1:20" x14ac:dyDescent="0.25">
      <c r="A531" t="s">
        <v>243</v>
      </c>
      <c r="B531" t="s">
        <v>237</v>
      </c>
      <c r="C531" t="s">
        <v>238</v>
      </c>
      <c r="D531" t="s">
        <v>260</v>
      </c>
      <c r="E531" t="s">
        <v>229</v>
      </c>
      <c r="F531">
        <v>1998</v>
      </c>
      <c r="G531">
        <v>2.336E-3</v>
      </c>
      <c r="H531" t="s">
        <v>240</v>
      </c>
      <c r="I531" t="s">
        <v>241</v>
      </c>
      <c r="J531" t="s">
        <v>3</v>
      </c>
      <c r="K531" s="183">
        <f ca="1">VLOOKUP(F531,
    OFFSET(INDIRECT(ADDRESS(MATCH(J531,'Vehicle numbers'!$A$5:$A$162,0),1,1,1,$L$6)),4,1,COUNTIF('Vehicle numbers'!$A$5:$A$162,J531),4),
    MATCH(K$8,'Vehicle numbers'!$B$4:$D$4,0))*1000</f>
        <v>813784</v>
      </c>
      <c r="L531" s="183">
        <f ca="1">VLOOKUP(F531,
    OFFSET(INDIRECT(ADDRESS(MATCH(J531,'Vehicle numbers'!$A$5:$A$162,0),1,1,1,$L$6)),4,1,COUNTIF('Vehicle numbers'!$A$5:$A$162,J531),4),
    MATCH(L$8,'Vehicle numbers'!$B$4:$D$4,0))*1000</f>
        <v>828738.24086688564</v>
      </c>
      <c r="M531" s="184">
        <f>VLOOKUP(F531,'Annual distance covered (GB)'!$A$8:$H$33,MATCH(J531,'Annual distance covered (GB)'!$A$7:$H$7,0))</f>
        <v>4.0999999999999996</v>
      </c>
      <c r="N531" s="2">
        <f t="shared" ca="1" si="30"/>
        <v>9753.5996968810923</v>
      </c>
      <c r="O531" s="180">
        <f t="shared" ca="1" si="31"/>
        <v>1.176921640140381E-2</v>
      </c>
      <c r="P531" s="180"/>
      <c r="Q531" s="185"/>
      <c r="R531" s="180"/>
      <c r="S531" s="180"/>
      <c r="T531" s="180"/>
    </row>
    <row r="532" spans="1:20" x14ac:dyDescent="0.25">
      <c r="A532" t="s">
        <v>244</v>
      </c>
      <c r="B532" t="s">
        <v>237</v>
      </c>
      <c r="C532" t="s">
        <v>238</v>
      </c>
      <c r="D532" t="s">
        <v>260</v>
      </c>
      <c r="E532" t="s">
        <v>229</v>
      </c>
      <c r="F532">
        <v>1998</v>
      </c>
      <c r="G532">
        <v>5.8399999999999999E-4</v>
      </c>
      <c r="H532" t="s">
        <v>240</v>
      </c>
      <c r="I532" t="s">
        <v>241</v>
      </c>
      <c r="J532" t="s">
        <v>3</v>
      </c>
      <c r="K532" s="183">
        <f ca="1">VLOOKUP(F532,
    OFFSET(INDIRECT(ADDRESS(MATCH(J532,'Vehicle numbers'!$A$5:$A$162,0),1,1,1,$L$6)),4,1,COUNTIF('Vehicle numbers'!$A$5:$A$162,J532),4),
    MATCH(K$8,'Vehicle numbers'!$B$4:$D$4,0))*1000</f>
        <v>813784</v>
      </c>
      <c r="L532" s="183">
        <f ca="1">VLOOKUP(F532,
    OFFSET(INDIRECT(ADDRESS(MATCH(J532,'Vehicle numbers'!$A$5:$A$162,0),1,1,1,$L$6)),4,1,COUNTIF('Vehicle numbers'!$A$5:$A$162,J532),4),
    MATCH(L$8,'Vehicle numbers'!$B$4:$D$4,0))*1000</f>
        <v>828738.24086688564</v>
      </c>
      <c r="M532" s="184">
        <f>VLOOKUP(F532,'Annual distance covered (GB)'!$A$8:$H$33,MATCH(J532,'Annual distance covered (GB)'!$A$7:$H$7,0))</f>
        <v>4.0999999999999996</v>
      </c>
      <c r="N532" s="2">
        <f t="shared" ca="1" si="30"/>
        <v>2438.3999242202731</v>
      </c>
      <c r="O532" s="180">
        <f t="shared" ca="1" si="31"/>
        <v>2.9423041003509526E-3</v>
      </c>
      <c r="P532" s="180"/>
      <c r="Q532" s="185"/>
      <c r="R532" s="180"/>
      <c r="S532" s="180"/>
      <c r="T532" s="180"/>
    </row>
    <row r="533" spans="1:20" x14ac:dyDescent="0.25">
      <c r="A533" t="s">
        <v>246</v>
      </c>
      <c r="B533" t="s">
        <v>237</v>
      </c>
      <c r="C533" t="s">
        <v>238</v>
      </c>
      <c r="D533" t="s">
        <v>260</v>
      </c>
      <c r="E533" t="s">
        <v>229</v>
      </c>
      <c r="F533">
        <v>1998</v>
      </c>
      <c r="G533">
        <v>4.6720000000000003E-4</v>
      </c>
      <c r="H533" t="s">
        <v>240</v>
      </c>
      <c r="I533" t="s">
        <v>241</v>
      </c>
      <c r="J533" t="s">
        <v>3</v>
      </c>
      <c r="K533" s="183">
        <f ca="1">VLOOKUP(F533,
    OFFSET(INDIRECT(ADDRESS(MATCH(J533,'Vehicle numbers'!$A$5:$A$162,0),1,1,1,$L$6)),4,1,COUNTIF('Vehicle numbers'!$A$5:$A$162,J533),4),
    MATCH(K$8,'Vehicle numbers'!$B$4:$D$4,0))*1000</f>
        <v>813784</v>
      </c>
      <c r="L533" s="183">
        <f ca="1">VLOOKUP(F533,
    OFFSET(INDIRECT(ADDRESS(MATCH(J533,'Vehicle numbers'!$A$5:$A$162,0),1,1,1,$L$6)),4,1,COUNTIF('Vehicle numbers'!$A$5:$A$162,J533),4),
    MATCH(L$8,'Vehicle numbers'!$B$4:$D$4,0))*1000</f>
        <v>828738.24086688564</v>
      </c>
      <c r="M533" s="184">
        <f>VLOOKUP(F533,'Annual distance covered (GB)'!$A$8:$H$33,MATCH(J533,'Annual distance covered (GB)'!$A$7:$H$7,0))</f>
        <v>4.0999999999999996</v>
      </c>
      <c r="N533" s="2">
        <f t="shared" ca="1" si="30"/>
        <v>1950.7199393762187</v>
      </c>
      <c r="O533" s="180">
        <f t="shared" ca="1" si="31"/>
        <v>2.3538432802807626E-3</v>
      </c>
      <c r="P533" s="180"/>
      <c r="Q533" s="185"/>
      <c r="R533" s="180"/>
      <c r="S533" s="180"/>
      <c r="T533" s="180"/>
    </row>
    <row r="534" spans="1:20" x14ac:dyDescent="0.25">
      <c r="A534" t="s">
        <v>236</v>
      </c>
      <c r="B534" t="s">
        <v>237</v>
      </c>
      <c r="C534" t="s">
        <v>238</v>
      </c>
      <c r="D534" t="s">
        <v>260</v>
      </c>
      <c r="E534" t="s">
        <v>228</v>
      </c>
      <c r="F534">
        <v>1998</v>
      </c>
      <c r="G534">
        <v>3.7569999999999999E-3</v>
      </c>
      <c r="H534" t="s">
        <v>240</v>
      </c>
      <c r="I534" t="s">
        <v>241</v>
      </c>
      <c r="J534" t="s">
        <v>3</v>
      </c>
      <c r="K534" s="183">
        <f ca="1">VLOOKUP(F534,
    OFFSET(INDIRECT(ADDRESS(MATCH(J534,'Vehicle numbers'!$A$5:$A$162,0),1,1,1,$L$6)),4,1,COUNTIF('Vehicle numbers'!$A$5:$A$162,J534),4),
    MATCH(K$8,'Vehicle numbers'!$B$4:$D$4,0))*1000</f>
        <v>813784</v>
      </c>
      <c r="L534" s="183">
        <f ca="1">VLOOKUP(F534,
    OFFSET(INDIRECT(ADDRESS(MATCH(J534,'Vehicle numbers'!$A$5:$A$162,0),1,1,1,$L$6)),4,1,COUNTIF('Vehicle numbers'!$A$5:$A$162,J534),4),
    MATCH(L$8,'Vehicle numbers'!$B$4:$D$4,0))*1000</f>
        <v>828738.24086688564</v>
      </c>
      <c r="M534" s="184">
        <f>VLOOKUP(F534,'Annual distance covered (GB)'!$A$8:$H$33,MATCH(J534,'Annual distance covered (GB)'!$A$7:$H$7,0))</f>
        <v>4.0999999999999996</v>
      </c>
      <c r="N534" s="2">
        <f t="shared" ca="1" si="30"/>
        <v>15686.761156328022</v>
      </c>
      <c r="O534" s="180">
        <f t="shared" ca="1" si="31"/>
        <v>1.8928487166127616E-2</v>
      </c>
      <c r="P534" s="180"/>
      <c r="Q534" s="185"/>
      <c r="R534" s="180"/>
      <c r="S534" s="180"/>
      <c r="T534" s="180"/>
    </row>
    <row r="535" spans="1:20" x14ac:dyDescent="0.25">
      <c r="A535" t="s">
        <v>243</v>
      </c>
      <c r="B535" t="s">
        <v>237</v>
      </c>
      <c r="C535" t="s">
        <v>238</v>
      </c>
      <c r="D535" t="s">
        <v>260</v>
      </c>
      <c r="E535" t="s">
        <v>228</v>
      </c>
      <c r="F535">
        <v>1998</v>
      </c>
      <c r="G535">
        <v>2.6299000000000001E-3</v>
      </c>
      <c r="H535" t="s">
        <v>240</v>
      </c>
      <c r="I535" t="s">
        <v>241</v>
      </c>
      <c r="J535" t="s">
        <v>3</v>
      </c>
      <c r="K535" s="183">
        <f ca="1">VLOOKUP(F535,
    OFFSET(INDIRECT(ADDRESS(MATCH(J535,'Vehicle numbers'!$A$5:$A$162,0),1,1,1,$L$6)),4,1,COUNTIF('Vehicle numbers'!$A$5:$A$162,J535),4),
    MATCH(K$8,'Vehicle numbers'!$B$4:$D$4,0))*1000</f>
        <v>813784</v>
      </c>
      <c r="L535" s="183">
        <f ca="1">VLOOKUP(F535,
    OFFSET(INDIRECT(ADDRESS(MATCH(J535,'Vehicle numbers'!$A$5:$A$162,0),1,1,1,$L$6)),4,1,COUNTIF('Vehicle numbers'!$A$5:$A$162,J535),4),
    MATCH(L$8,'Vehicle numbers'!$B$4:$D$4,0))*1000</f>
        <v>828738.24086688564</v>
      </c>
      <c r="M535" s="184">
        <f>VLOOKUP(F535,'Annual distance covered (GB)'!$A$8:$H$33,MATCH(J535,'Annual distance covered (GB)'!$A$7:$H$7,0))</f>
        <v>4.0999999999999996</v>
      </c>
      <c r="N535" s="2">
        <f t="shared" ca="1" si="30"/>
        <v>10980.732809429619</v>
      </c>
      <c r="O535" s="180">
        <f t="shared" ca="1" si="31"/>
        <v>1.3249941016289336E-2</v>
      </c>
      <c r="P535" s="180"/>
      <c r="Q535" s="185"/>
      <c r="R535" s="180"/>
      <c r="S535" s="180"/>
      <c r="T535" s="180"/>
    </row>
    <row r="536" spans="1:20" x14ac:dyDescent="0.25">
      <c r="A536" t="s">
        <v>244</v>
      </c>
      <c r="B536" t="s">
        <v>237</v>
      </c>
      <c r="C536" t="s">
        <v>238</v>
      </c>
      <c r="D536" t="s">
        <v>260</v>
      </c>
      <c r="E536" t="s">
        <v>228</v>
      </c>
      <c r="F536">
        <v>1998</v>
      </c>
      <c r="G536">
        <v>3.7040845070422499E-4</v>
      </c>
      <c r="H536" t="s">
        <v>240</v>
      </c>
      <c r="I536" t="s">
        <v>241</v>
      </c>
      <c r="J536" t="s">
        <v>3</v>
      </c>
      <c r="K536" s="183">
        <f ca="1">VLOOKUP(F536,
    OFFSET(INDIRECT(ADDRESS(MATCH(J536,'Vehicle numbers'!$A$5:$A$162,0),1,1,1,$L$6)),4,1,COUNTIF('Vehicle numbers'!$A$5:$A$162,J536),4),
    MATCH(K$8,'Vehicle numbers'!$B$4:$D$4,0))*1000</f>
        <v>813784</v>
      </c>
      <c r="L536" s="183">
        <f ca="1">VLOOKUP(F536,
    OFFSET(INDIRECT(ADDRESS(MATCH(J536,'Vehicle numbers'!$A$5:$A$162,0),1,1,1,$L$6)),4,1,COUNTIF('Vehicle numbers'!$A$5:$A$162,J536),4),
    MATCH(L$8,'Vehicle numbers'!$B$4:$D$4,0))*1000</f>
        <v>828738.24086688564</v>
      </c>
      <c r="M536" s="184">
        <f>VLOOKUP(F536,'Annual distance covered (GB)'!$A$8:$H$33,MATCH(J536,'Annual distance covered (GB)'!$A$7:$H$7,0))</f>
        <v>4.0999999999999996</v>
      </c>
      <c r="N536" s="2">
        <f t="shared" ca="1" si="30"/>
        <v>1546.582085835156</v>
      </c>
      <c r="O536" s="180">
        <f t="shared" ca="1" si="31"/>
        <v>1.8661888755337073E-3</v>
      </c>
      <c r="P536" s="180"/>
      <c r="Q536" s="185"/>
      <c r="R536" s="180"/>
      <c r="S536" s="180"/>
      <c r="T536" s="180"/>
    </row>
    <row r="537" spans="1:20" x14ac:dyDescent="0.25">
      <c r="A537" t="s">
        <v>246</v>
      </c>
      <c r="B537" t="s">
        <v>237</v>
      </c>
      <c r="C537" t="s">
        <v>238</v>
      </c>
      <c r="D537" t="s">
        <v>260</v>
      </c>
      <c r="E537" t="s">
        <v>228</v>
      </c>
      <c r="F537">
        <v>1998</v>
      </c>
      <c r="G537">
        <v>2.9632676056337998E-4</v>
      </c>
      <c r="H537" t="s">
        <v>240</v>
      </c>
      <c r="I537" t="s">
        <v>241</v>
      </c>
      <c r="J537" t="s">
        <v>3</v>
      </c>
      <c r="K537" s="183">
        <f ca="1">VLOOKUP(F537,
    OFFSET(INDIRECT(ADDRESS(MATCH(J537,'Vehicle numbers'!$A$5:$A$162,0),1,1,1,$L$6)),4,1,COUNTIF('Vehicle numbers'!$A$5:$A$162,J537),4),
    MATCH(K$8,'Vehicle numbers'!$B$4:$D$4,0))*1000</f>
        <v>813784</v>
      </c>
      <c r="L537" s="183">
        <f ca="1">VLOOKUP(F537,
    OFFSET(INDIRECT(ADDRESS(MATCH(J537,'Vehicle numbers'!$A$5:$A$162,0),1,1,1,$L$6)),4,1,COUNTIF('Vehicle numbers'!$A$5:$A$162,J537),4),
    MATCH(L$8,'Vehicle numbers'!$B$4:$D$4,0))*1000</f>
        <v>828738.24086688564</v>
      </c>
      <c r="M537" s="184">
        <f>VLOOKUP(F537,'Annual distance covered (GB)'!$A$8:$H$33,MATCH(J537,'Annual distance covered (GB)'!$A$7:$H$7,0))</f>
        <v>4.0999999999999996</v>
      </c>
      <c r="N537" s="2">
        <f t="shared" ca="1" si="30"/>
        <v>1237.2656686681244</v>
      </c>
      <c r="O537" s="180">
        <f t="shared" ca="1" si="31"/>
        <v>1.4929511004269653E-3</v>
      </c>
      <c r="P537" s="180"/>
      <c r="Q537" s="185"/>
      <c r="R537" s="180"/>
      <c r="S537" s="180"/>
      <c r="T537" s="180"/>
    </row>
    <row r="538" spans="1:20" x14ac:dyDescent="0.25">
      <c r="A538" t="s">
        <v>236</v>
      </c>
      <c r="B538" t="s">
        <v>237</v>
      </c>
      <c r="C538" t="s">
        <v>238</v>
      </c>
      <c r="D538" t="s">
        <v>261</v>
      </c>
      <c r="E538" t="s">
        <v>229</v>
      </c>
      <c r="F538">
        <v>1998</v>
      </c>
      <c r="G538">
        <v>5.8399999999999997E-3</v>
      </c>
      <c r="H538" t="s">
        <v>240</v>
      </c>
      <c r="I538" t="s">
        <v>241</v>
      </c>
      <c r="J538" t="s">
        <v>3</v>
      </c>
      <c r="K538" s="183">
        <f ca="1">VLOOKUP(F538,
    OFFSET(INDIRECT(ADDRESS(MATCH(J538,'Vehicle numbers'!$A$5:$A$162,0),1,1,1,$L$6)),4,1,COUNTIF('Vehicle numbers'!$A$5:$A$162,J538),4),
    MATCH(K$8,'Vehicle numbers'!$B$4:$D$4,0))*1000</f>
        <v>813784</v>
      </c>
      <c r="L538" s="183">
        <f ca="1">VLOOKUP(F538,
    OFFSET(INDIRECT(ADDRESS(MATCH(J538,'Vehicle numbers'!$A$5:$A$162,0),1,1,1,$L$6)),4,1,COUNTIF('Vehicle numbers'!$A$5:$A$162,J538),4),
    MATCH(L$8,'Vehicle numbers'!$B$4:$D$4,0))*1000</f>
        <v>828738.24086688564</v>
      </c>
      <c r="M538" s="184">
        <f>VLOOKUP(F538,'Annual distance covered (GB)'!$A$8:$H$33,MATCH(J538,'Annual distance covered (GB)'!$A$7:$H$7,0))</f>
        <v>4.0999999999999996</v>
      </c>
      <c r="N538" s="2">
        <f t="shared" ca="1" si="30"/>
        <v>24383.999242202732</v>
      </c>
      <c r="O538" s="180">
        <f t="shared" ca="1" si="31"/>
        <v>2.9423041003509526E-2</v>
      </c>
      <c r="P538" s="180"/>
      <c r="Q538" s="185"/>
      <c r="R538" s="180"/>
      <c r="S538" s="180"/>
      <c r="T538" s="180"/>
    </row>
    <row r="539" spans="1:20" x14ac:dyDescent="0.25">
      <c r="A539" t="s">
        <v>243</v>
      </c>
      <c r="B539" t="s">
        <v>237</v>
      </c>
      <c r="C539" t="s">
        <v>238</v>
      </c>
      <c r="D539" t="s">
        <v>261</v>
      </c>
      <c r="E539" t="s">
        <v>229</v>
      </c>
      <c r="F539">
        <v>1998</v>
      </c>
      <c r="G539">
        <v>2.336E-3</v>
      </c>
      <c r="H539" t="s">
        <v>240</v>
      </c>
      <c r="I539" t="s">
        <v>241</v>
      </c>
      <c r="J539" t="s">
        <v>3</v>
      </c>
      <c r="K539" s="183">
        <f ca="1">VLOOKUP(F539,
    OFFSET(INDIRECT(ADDRESS(MATCH(J539,'Vehicle numbers'!$A$5:$A$162,0),1,1,1,$L$6)),4,1,COUNTIF('Vehicle numbers'!$A$5:$A$162,J539),4),
    MATCH(K$8,'Vehicle numbers'!$B$4:$D$4,0))*1000</f>
        <v>813784</v>
      </c>
      <c r="L539" s="183">
        <f ca="1">VLOOKUP(F539,
    OFFSET(INDIRECT(ADDRESS(MATCH(J539,'Vehicle numbers'!$A$5:$A$162,0),1,1,1,$L$6)),4,1,COUNTIF('Vehicle numbers'!$A$5:$A$162,J539),4),
    MATCH(L$8,'Vehicle numbers'!$B$4:$D$4,0))*1000</f>
        <v>828738.24086688564</v>
      </c>
      <c r="M539" s="184">
        <f>VLOOKUP(F539,'Annual distance covered (GB)'!$A$8:$H$33,MATCH(J539,'Annual distance covered (GB)'!$A$7:$H$7,0))</f>
        <v>4.0999999999999996</v>
      </c>
      <c r="N539" s="2">
        <f t="shared" ca="1" si="30"/>
        <v>9753.5996968810923</v>
      </c>
      <c r="O539" s="180">
        <f t="shared" ca="1" si="31"/>
        <v>1.176921640140381E-2</v>
      </c>
      <c r="P539" s="180"/>
      <c r="Q539" s="185"/>
      <c r="R539" s="180"/>
      <c r="S539" s="180"/>
      <c r="T539" s="180"/>
    </row>
    <row r="540" spans="1:20" x14ac:dyDescent="0.25">
      <c r="A540" t="s">
        <v>244</v>
      </c>
      <c r="B540" t="s">
        <v>237</v>
      </c>
      <c r="C540" t="s">
        <v>238</v>
      </c>
      <c r="D540" t="s">
        <v>261</v>
      </c>
      <c r="E540" t="s">
        <v>229</v>
      </c>
      <c r="F540">
        <v>1998</v>
      </c>
      <c r="G540">
        <v>5.8399999999999999E-4</v>
      </c>
      <c r="H540" t="s">
        <v>240</v>
      </c>
      <c r="I540" t="s">
        <v>241</v>
      </c>
      <c r="J540" t="s">
        <v>3</v>
      </c>
      <c r="K540" s="183">
        <f ca="1">VLOOKUP(F540,
    OFFSET(INDIRECT(ADDRESS(MATCH(J540,'Vehicle numbers'!$A$5:$A$162,0),1,1,1,$L$6)),4,1,COUNTIF('Vehicle numbers'!$A$5:$A$162,J540),4),
    MATCH(K$8,'Vehicle numbers'!$B$4:$D$4,0))*1000</f>
        <v>813784</v>
      </c>
      <c r="L540" s="183">
        <f ca="1">VLOOKUP(F540,
    OFFSET(INDIRECT(ADDRESS(MATCH(J540,'Vehicle numbers'!$A$5:$A$162,0),1,1,1,$L$6)),4,1,COUNTIF('Vehicle numbers'!$A$5:$A$162,J540),4),
    MATCH(L$8,'Vehicle numbers'!$B$4:$D$4,0))*1000</f>
        <v>828738.24086688564</v>
      </c>
      <c r="M540" s="184">
        <f>VLOOKUP(F540,'Annual distance covered (GB)'!$A$8:$H$33,MATCH(J540,'Annual distance covered (GB)'!$A$7:$H$7,0))</f>
        <v>4.0999999999999996</v>
      </c>
      <c r="N540" s="2">
        <f t="shared" ca="1" si="30"/>
        <v>2438.3999242202731</v>
      </c>
      <c r="O540" s="180">
        <f t="shared" ca="1" si="31"/>
        <v>2.9423041003509526E-3</v>
      </c>
      <c r="P540" s="180"/>
      <c r="Q540" s="185"/>
      <c r="R540" s="180"/>
      <c r="S540" s="180"/>
      <c r="T540" s="180"/>
    </row>
    <row r="541" spans="1:20" x14ac:dyDescent="0.25">
      <c r="A541" t="s">
        <v>246</v>
      </c>
      <c r="B541" t="s">
        <v>237</v>
      </c>
      <c r="C541" t="s">
        <v>238</v>
      </c>
      <c r="D541" t="s">
        <v>261</v>
      </c>
      <c r="E541" t="s">
        <v>229</v>
      </c>
      <c r="F541">
        <v>1998</v>
      </c>
      <c r="G541">
        <v>4.6720000000000003E-4</v>
      </c>
      <c r="H541" t="s">
        <v>240</v>
      </c>
      <c r="I541" t="s">
        <v>241</v>
      </c>
      <c r="J541" t="s">
        <v>3</v>
      </c>
      <c r="K541" s="183">
        <f ca="1">VLOOKUP(F541,
    OFFSET(INDIRECT(ADDRESS(MATCH(J541,'Vehicle numbers'!$A$5:$A$162,0),1,1,1,$L$6)),4,1,COUNTIF('Vehicle numbers'!$A$5:$A$162,J541),4),
    MATCH(K$8,'Vehicle numbers'!$B$4:$D$4,0))*1000</f>
        <v>813784</v>
      </c>
      <c r="L541" s="183">
        <f ca="1">VLOOKUP(F541,
    OFFSET(INDIRECT(ADDRESS(MATCH(J541,'Vehicle numbers'!$A$5:$A$162,0),1,1,1,$L$6)),4,1,COUNTIF('Vehicle numbers'!$A$5:$A$162,J541),4),
    MATCH(L$8,'Vehicle numbers'!$B$4:$D$4,0))*1000</f>
        <v>828738.24086688564</v>
      </c>
      <c r="M541" s="184">
        <f>VLOOKUP(F541,'Annual distance covered (GB)'!$A$8:$H$33,MATCH(J541,'Annual distance covered (GB)'!$A$7:$H$7,0))</f>
        <v>4.0999999999999996</v>
      </c>
      <c r="N541" s="2">
        <f t="shared" ca="1" si="30"/>
        <v>1950.7199393762187</v>
      </c>
      <c r="O541" s="180">
        <f t="shared" ca="1" si="31"/>
        <v>2.3538432802807626E-3</v>
      </c>
      <c r="P541" s="180"/>
      <c r="Q541" s="185"/>
      <c r="R541" s="180"/>
      <c r="S541" s="180"/>
      <c r="T541" s="180"/>
    </row>
    <row r="542" spans="1:20" x14ac:dyDescent="0.25">
      <c r="A542" t="s">
        <v>236</v>
      </c>
      <c r="B542" t="s">
        <v>237</v>
      </c>
      <c r="C542" t="s">
        <v>238</v>
      </c>
      <c r="D542" t="s">
        <v>261</v>
      </c>
      <c r="E542" t="s">
        <v>228</v>
      </c>
      <c r="F542">
        <v>1998</v>
      </c>
      <c r="G542">
        <v>3.7569999999999999E-3</v>
      </c>
      <c r="H542" t="s">
        <v>240</v>
      </c>
      <c r="I542" t="s">
        <v>241</v>
      </c>
      <c r="J542" t="s">
        <v>3</v>
      </c>
      <c r="K542" s="183">
        <f ca="1">VLOOKUP(F542,
    OFFSET(INDIRECT(ADDRESS(MATCH(J542,'Vehicle numbers'!$A$5:$A$162,0),1,1,1,$L$6)),4,1,COUNTIF('Vehicle numbers'!$A$5:$A$162,J542),4),
    MATCH(K$8,'Vehicle numbers'!$B$4:$D$4,0))*1000</f>
        <v>813784</v>
      </c>
      <c r="L542" s="183">
        <f ca="1">VLOOKUP(F542,
    OFFSET(INDIRECT(ADDRESS(MATCH(J542,'Vehicle numbers'!$A$5:$A$162,0),1,1,1,$L$6)),4,1,COUNTIF('Vehicle numbers'!$A$5:$A$162,J542),4),
    MATCH(L$8,'Vehicle numbers'!$B$4:$D$4,0))*1000</f>
        <v>828738.24086688564</v>
      </c>
      <c r="M542" s="184">
        <f>VLOOKUP(F542,'Annual distance covered (GB)'!$A$8:$H$33,MATCH(J542,'Annual distance covered (GB)'!$A$7:$H$7,0))</f>
        <v>4.0999999999999996</v>
      </c>
      <c r="N542" s="2">
        <f t="shared" ca="1" si="30"/>
        <v>15686.761156328022</v>
      </c>
      <c r="O542" s="180">
        <f t="shared" ca="1" si="31"/>
        <v>1.8928487166127616E-2</v>
      </c>
      <c r="P542" s="180"/>
      <c r="Q542" s="185"/>
      <c r="R542" s="180"/>
      <c r="S542" s="180"/>
      <c r="T542" s="180"/>
    </row>
    <row r="543" spans="1:20" x14ac:dyDescent="0.25">
      <c r="A543" t="s">
        <v>243</v>
      </c>
      <c r="B543" t="s">
        <v>237</v>
      </c>
      <c r="C543" t="s">
        <v>238</v>
      </c>
      <c r="D543" t="s">
        <v>261</v>
      </c>
      <c r="E543" t="s">
        <v>228</v>
      </c>
      <c r="F543">
        <v>1998</v>
      </c>
      <c r="G543">
        <v>2.6299000000000001E-3</v>
      </c>
      <c r="H543" t="s">
        <v>240</v>
      </c>
      <c r="I543" t="s">
        <v>241</v>
      </c>
      <c r="J543" t="s">
        <v>3</v>
      </c>
      <c r="K543" s="183">
        <f ca="1">VLOOKUP(F543,
    OFFSET(INDIRECT(ADDRESS(MATCH(J543,'Vehicle numbers'!$A$5:$A$162,0),1,1,1,$L$6)),4,1,COUNTIF('Vehicle numbers'!$A$5:$A$162,J543),4),
    MATCH(K$8,'Vehicle numbers'!$B$4:$D$4,0))*1000</f>
        <v>813784</v>
      </c>
      <c r="L543" s="183">
        <f ca="1">VLOOKUP(F543,
    OFFSET(INDIRECT(ADDRESS(MATCH(J543,'Vehicle numbers'!$A$5:$A$162,0),1,1,1,$L$6)),4,1,COUNTIF('Vehicle numbers'!$A$5:$A$162,J543),4),
    MATCH(L$8,'Vehicle numbers'!$B$4:$D$4,0))*1000</f>
        <v>828738.24086688564</v>
      </c>
      <c r="M543" s="184">
        <f>VLOOKUP(F543,'Annual distance covered (GB)'!$A$8:$H$33,MATCH(J543,'Annual distance covered (GB)'!$A$7:$H$7,0))</f>
        <v>4.0999999999999996</v>
      </c>
      <c r="N543" s="2">
        <f t="shared" ca="1" si="30"/>
        <v>10980.732809429619</v>
      </c>
      <c r="O543" s="180">
        <f t="shared" ca="1" si="31"/>
        <v>1.3249941016289336E-2</v>
      </c>
      <c r="P543" s="180"/>
      <c r="Q543" s="185"/>
      <c r="R543" s="180"/>
      <c r="S543" s="180"/>
      <c r="T543" s="180"/>
    </row>
    <row r="544" spans="1:20" x14ac:dyDescent="0.25">
      <c r="A544" t="s">
        <v>244</v>
      </c>
      <c r="B544" t="s">
        <v>237</v>
      </c>
      <c r="C544" t="s">
        <v>238</v>
      </c>
      <c r="D544" t="s">
        <v>261</v>
      </c>
      <c r="E544" t="s">
        <v>228</v>
      </c>
      <c r="F544">
        <v>1998</v>
      </c>
      <c r="G544">
        <v>3.7040845070422499E-4</v>
      </c>
      <c r="H544" t="s">
        <v>240</v>
      </c>
      <c r="I544" t="s">
        <v>241</v>
      </c>
      <c r="J544" t="s">
        <v>3</v>
      </c>
      <c r="K544" s="183">
        <f ca="1">VLOOKUP(F544,
    OFFSET(INDIRECT(ADDRESS(MATCH(J544,'Vehicle numbers'!$A$5:$A$162,0),1,1,1,$L$6)),4,1,COUNTIF('Vehicle numbers'!$A$5:$A$162,J544),4),
    MATCH(K$8,'Vehicle numbers'!$B$4:$D$4,0))*1000</f>
        <v>813784</v>
      </c>
      <c r="L544" s="183">
        <f ca="1">VLOOKUP(F544,
    OFFSET(INDIRECT(ADDRESS(MATCH(J544,'Vehicle numbers'!$A$5:$A$162,0),1,1,1,$L$6)),4,1,COUNTIF('Vehicle numbers'!$A$5:$A$162,J544),4),
    MATCH(L$8,'Vehicle numbers'!$B$4:$D$4,0))*1000</f>
        <v>828738.24086688564</v>
      </c>
      <c r="M544" s="184">
        <f>VLOOKUP(F544,'Annual distance covered (GB)'!$A$8:$H$33,MATCH(J544,'Annual distance covered (GB)'!$A$7:$H$7,0))</f>
        <v>4.0999999999999996</v>
      </c>
      <c r="N544" s="2">
        <f t="shared" ca="1" si="30"/>
        <v>1546.582085835156</v>
      </c>
      <c r="O544" s="180">
        <f t="shared" ca="1" si="31"/>
        <v>1.8661888755337073E-3</v>
      </c>
      <c r="P544" s="180"/>
      <c r="Q544" s="185"/>
      <c r="R544" s="180"/>
      <c r="S544" s="180"/>
      <c r="T544" s="180"/>
    </row>
    <row r="545" spans="1:20" x14ac:dyDescent="0.25">
      <c r="A545" t="s">
        <v>246</v>
      </c>
      <c r="B545" t="s">
        <v>237</v>
      </c>
      <c r="C545" t="s">
        <v>238</v>
      </c>
      <c r="D545" t="s">
        <v>261</v>
      </c>
      <c r="E545" t="s">
        <v>228</v>
      </c>
      <c r="F545">
        <v>1998</v>
      </c>
      <c r="G545">
        <v>2.9632676056337998E-4</v>
      </c>
      <c r="H545" t="s">
        <v>240</v>
      </c>
      <c r="I545" t="s">
        <v>241</v>
      </c>
      <c r="J545" t="s">
        <v>3</v>
      </c>
      <c r="K545" s="183">
        <f ca="1">VLOOKUP(F545,
    OFFSET(INDIRECT(ADDRESS(MATCH(J545,'Vehicle numbers'!$A$5:$A$162,0),1,1,1,$L$6)),4,1,COUNTIF('Vehicle numbers'!$A$5:$A$162,J545),4),
    MATCH(K$8,'Vehicle numbers'!$B$4:$D$4,0))*1000</f>
        <v>813784</v>
      </c>
      <c r="L545" s="183">
        <f ca="1">VLOOKUP(F545,
    OFFSET(INDIRECT(ADDRESS(MATCH(J545,'Vehicle numbers'!$A$5:$A$162,0),1,1,1,$L$6)),4,1,COUNTIF('Vehicle numbers'!$A$5:$A$162,J545),4),
    MATCH(L$8,'Vehicle numbers'!$B$4:$D$4,0))*1000</f>
        <v>828738.24086688564</v>
      </c>
      <c r="M545" s="184">
        <f>VLOOKUP(F545,'Annual distance covered (GB)'!$A$8:$H$33,MATCH(J545,'Annual distance covered (GB)'!$A$7:$H$7,0))</f>
        <v>4.0999999999999996</v>
      </c>
      <c r="N545" s="2">
        <f t="shared" ca="1" si="30"/>
        <v>1237.2656686681244</v>
      </c>
      <c r="O545" s="180">
        <f t="shared" ca="1" si="31"/>
        <v>1.4929511004269653E-3</v>
      </c>
      <c r="P545" s="180"/>
      <c r="Q545" s="185"/>
      <c r="R545" s="180"/>
      <c r="S545" s="180"/>
      <c r="T545" s="180"/>
    </row>
    <row r="546" spans="1:20" x14ac:dyDescent="0.25">
      <c r="A546" t="s">
        <v>236</v>
      </c>
      <c r="B546" t="s">
        <v>237</v>
      </c>
      <c r="C546" t="s">
        <v>238</v>
      </c>
      <c r="D546" t="s">
        <v>262</v>
      </c>
      <c r="E546" t="s">
        <v>229</v>
      </c>
      <c r="F546">
        <v>1998</v>
      </c>
      <c r="G546">
        <v>6.8000000000000005E-4</v>
      </c>
      <c r="H546" t="s">
        <v>240</v>
      </c>
      <c r="I546" t="s">
        <v>241</v>
      </c>
      <c r="J546" t="s">
        <v>3</v>
      </c>
      <c r="K546" s="183">
        <f ca="1">VLOOKUP(F546,
    OFFSET(INDIRECT(ADDRESS(MATCH(J546,'Vehicle numbers'!$A$5:$A$162,0),1,1,1,$L$6)),4,1,COUNTIF('Vehicle numbers'!$A$5:$A$162,J546),4),
    MATCH(K$8,'Vehicle numbers'!$B$4:$D$4,0))*1000</f>
        <v>813784</v>
      </c>
      <c r="L546" s="183">
        <f ca="1">VLOOKUP(F546,
    OFFSET(INDIRECT(ADDRESS(MATCH(J546,'Vehicle numbers'!$A$5:$A$162,0),1,1,1,$L$6)),4,1,COUNTIF('Vehicle numbers'!$A$5:$A$162,J546),4),
    MATCH(L$8,'Vehicle numbers'!$B$4:$D$4,0))*1000</f>
        <v>828738.24086688564</v>
      </c>
      <c r="M546" s="184">
        <f>VLOOKUP(F546,'Annual distance covered (GB)'!$A$8:$H$33,MATCH(J546,'Annual distance covered (GB)'!$A$7:$H$7,0))</f>
        <v>4.0999999999999996</v>
      </c>
      <c r="N546" s="2">
        <f t="shared" ca="1" si="30"/>
        <v>2839.232788475661</v>
      </c>
      <c r="O546" s="180">
        <f t="shared" ca="1" si="31"/>
        <v>3.4259705278059044E-3</v>
      </c>
      <c r="P546" s="180"/>
      <c r="Q546" s="185"/>
      <c r="R546" s="180"/>
      <c r="S546" s="180"/>
      <c r="T546" s="180"/>
    </row>
    <row r="547" spans="1:20" x14ac:dyDescent="0.25">
      <c r="A547" t="s">
        <v>243</v>
      </c>
      <c r="B547" t="s">
        <v>237</v>
      </c>
      <c r="C547" t="s">
        <v>238</v>
      </c>
      <c r="D547" t="s">
        <v>262</v>
      </c>
      <c r="E547" t="s">
        <v>229</v>
      </c>
      <c r="F547">
        <v>1998</v>
      </c>
      <c r="G547">
        <v>2.72E-4</v>
      </c>
      <c r="H547" t="s">
        <v>240</v>
      </c>
      <c r="I547" t="s">
        <v>241</v>
      </c>
      <c r="J547" t="s">
        <v>3</v>
      </c>
      <c r="K547" s="183">
        <f ca="1">VLOOKUP(F547,
    OFFSET(INDIRECT(ADDRESS(MATCH(J547,'Vehicle numbers'!$A$5:$A$162,0),1,1,1,$L$6)),4,1,COUNTIF('Vehicle numbers'!$A$5:$A$162,J547),4),
    MATCH(K$8,'Vehicle numbers'!$B$4:$D$4,0))*1000</f>
        <v>813784</v>
      </c>
      <c r="L547" s="183">
        <f ca="1">VLOOKUP(F547,
    OFFSET(INDIRECT(ADDRESS(MATCH(J547,'Vehicle numbers'!$A$5:$A$162,0),1,1,1,$L$6)),4,1,COUNTIF('Vehicle numbers'!$A$5:$A$162,J547),4),
    MATCH(L$8,'Vehicle numbers'!$B$4:$D$4,0))*1000</f>
        <v>828738.24086688564</v>
      </c>
      <c r="M547" s="184">
        <f>VLOOKUP(F547,'Annual distance covered (GB)'!$A$8:$H$33,MATCH(J547,'Annual distance covered (GB)'!$A$7:$H$7,0))</f>
        <v>4.0999999999999996</v>
      </c>
      <c r="N547" s="2">
        <f t="shared" ca="1" si="30"/>
        <v>1135.6931153902644</v>
      </c>
      <c r="O547" s="180">
        <f t="shared" ca="1" si="31"/>
        <v>1.3703882111223619E-3</v>
      </c>
      <c r="P547" s="180"/>
      <c r="Q547" s="185"/>
      <c r="R547" s="180"/>
      <c r="S547" s="180"/>
      <c r="T547" s="180"/>
    </row>
    <row r="548" spans="1:20" x14ac:dyDescent="0.25">
      <c r="A548" t="s">
        <v>244</v>
      </c>
      <c r="B548" t="s">
        <v>237</v>
      </c>
      <c r="C548" t="s">
        <v>238</v>
      </c>
      <c r="D548" t="s">
        <v>262</v>
      </c>
      <c r="E548" t="s">
        <v>229</v>
      </c>
      <c r="F548">
        <v>1998</v>
      </c>
      <c r="G548" s="189">
        <v>6.7999999999999999E-5</v>
      </c>
      <c r="H548" t="s">
        <v>240</v>
      </c>
      <c r="I548" t="s">
        <v>241</v>
      </c>
      <c r="J548" t="s">
        <v>3</v>
      </c>
      <c r="K548" s="183">
        <f ca="1">VLOOKUP(F548,
    OFFSET(INDIRECT(ADDRESS(MATCH(J548,'Vehicle numbers'!$A$5:$A$162,0),1,1,1,$L$6)),4,1,COUNTIF('Vehicle numbers'!$A$5:$A$162,J548),4),
    MATCH(K$8,'Vehicle numbers'!$B$4:$D$4,0))*1000</f>
        <v>813784</v>
      </c>
      <c r="L548" s="183">
        <f ca="1">VLOOKUP(F548,
    OFFSET(INDIRECT(ADDRESS(MATCH(J548,'Vehicle numbers'!$A$5:$A$162,0),1,1,1,$L$6)),4,1,COUNTIF('Vehicle numbers'!$A$5:$A$162,J548),4),
    MATCH(L$8,'Vehicle numbers'!$B$4:$D$4,0))*1000</f>
        <v>828738.24086688564</v>
      </c>
      <c r="M548" s="184">
        <f>VLOOKUP(F548,'Annual distance covered (GB)'!$A$8:$H$33,MATCH(J548,'Annual distance covered (GB)'!$A$7:$H$7,0))</f>
        <v>4.0999999999999996</v>
      </c>
      <c r="N548" s="2">
        <f t="shared" ca="1" si="30"/>
        <v>283.92327884756611</v>
      </c>
      <c r="O548" s="180">
        <f t="shared" ca="1" si="31"/>
        <v>3.4259705278059049E-4</v>
      </c>
      <c r="P548" s="180"/>
      <c r="Q548" s="185"/>
      <c r="R548" s="180"/>
      <c r="S548" s="180"/>
      <c r="T548" s="180"/>
    </row>
    <row r="549" spans="1:20" x14ac:dyDescent="0.25">
      <c r="A549" t="s">
        <v>246</v>
      </c>
      <c r="B549" t="s">
        <v>237</v>
      </c>
      <c r="C549" t="s">
        <v>238</v>
      </c>
      <c r="D549" t="s">
        <v>262</v>
      </c>
      <c r="E549" t="s">
        <v>229</v>
      </c>
      <c r="F549">
        <v>1998</v>
      </c>
      <c r="G549" s="189">
        <v>5.4400000000000001E-5</v>
      </c>
      <c r="H549" t="s">
        <v>240</v>
      </c>
      <c r="I549" t="s">
        <v>241</v>
      </c>
      <c r="J549" t="s">
        <v>3</v>
      </c>
      <c r="K549" s="183">
        <f ca="1">VLOOKUP(F549,
    OFFSET(INDIRECT(ADDRESS(MATCH(J549,'Vehicle numbers'!$A$5:$A$162,0),1,1,1,$L$6)),4,1,COUNTIF('Vehicle numbers'!$A$5:$A$162,J549),4),
    MATCH(K$8,'Vehicle numbers'!$B$4:$D$4,0))*1000</f>
        <v>813784</v>
      </c>
      <c r="L549" s="183">
        <f ca="1">VLOOKUP(F549,
    OFFSET(INDIRECT(ADDRESS(MATCH(J549,'Vehicle numbers'!$A$5:$A$162,0),1,1,1,$L$6)),4,1,COUNTIF('Vehicle numbers'!$A$5:$A$162,J549),4),
    MATCH(L$8,'Vehicle numbers'!$B$4:$D$4,0))*1000</f>
        <v>828738.24086688564</v>
      </c>
      <c r="M549" s="184">
        <f>VLOOKUP(F549,'Annual distance covered (GB)'!$A$8:$H$33,MATCH(J549,'Annual distance covered (GB)'!$A$7:$H$7,0))</f>
        <v>4.0999999999999996</v>
      </c>
      <c r="N549" s="2">
        <f t="shared" ca="1" si="30"/>
        <v>227.13862307805286</v>
      </c>
      <c r="O549" s="180">
        <f t="shared" ca="1" si="31"/>
        <v>2.7407764222447235E-4</v>
      </c>
      <c r="P549" s="180"/>
      <c r="Q549" s="185"/>
      <c r="R549" s="180"/>
      <c r="S549" s="180"/>
      <c r="T549" s="180"/>
    </row>
    <row r="550" spans="1:20" x14ac:dyDescent="0.25">
      <c r="A550" t="s">
        <v>236</v>
      </c>
      <c r="B550" t="s">
        <v>237</v>
      </c>
      <c r="C550" t="s">
        <v>238</v>
      </c>
      <c r="D550" t="s">
        <v>262</v>
      </c>
      <c r="E550" t="s">
        <v>228</v>
      </c>
      <c r="F550">
        <v>1998</v>
      </c>
      <c r="G550">
        <v>2.49E-3</v>
      </c>
      <c r="H550" t="s">
        <v>240</v>
      </c>
      <c r="I550" t="s">
        <v>241</v>
      </c>
      <c r="J550" t="s">
        <v>3</v>
      </c>
      <c r="K550" s="183">
        <f ca="1">VLOOKUP(F550,
    OFFSET(INDIRECT(ADDRESS(MATCH(J550,'Vehicle numbers'!$A$5:$A$162,0),1,1,1,$L$6)),4,1,COUNTIF('Vehicle numbers'!$A$5:$A$162,J550),4),
    MATCH(K$8,'Vehicle numbers'!$B$4:$D$4,0))*1000</f>
        <v>813784</v>
      </c>
      <c r="L550" s="183">
        <f ca="1">VLOOKUP(F550,
    OFFSET(INDIRECT(ADDRESS(MATCH(J550,'Vehicle numbers'!$A$5:$A$162,0),1,1,1,$L$6)),4,1,COUNTIF('Vehicle numbers'!$A$5:$A$162,J550),4),
    MATCH(L$8,'Vehicle numbers'!$B$4:$D$4,0))*1000</f>
        <v>828738.24086688564</v>
      </c>
      <c r="M550" s="184">
        <f>VLOOKUP(F550,'Annual distance covered (GB)'!$A$8:$H$33,MATCH(J550,'Annual distance covered (GB)'!$A$7:$H$7,0))</f>
        <v>4.0999999999999996</v>
      </c>
      <c r="N550" s="2">
        <f t="shared" ca="1" si="30"/>
        <v>10396.602416624111</v>
      </c>
      <c r="O550" s="180">
        <f t="shared" ca="1" si="31"/>
        <v>1.2545097962112797E-2</v>
      </c>
      <c r="P550" s="180"/>
      <c r="Q550" s="185"/>
      <c r="R550" s="180"/>
      <c r="S550" s="180"/>
      <c r="T550" s="180"/>
    </row>
    <row r="551" spans="1:20" x14ac:dyDescent="0.25">
      <c r="A551" t="s">
        <v>243</v>
      </c>
      <c r="B551" t="s">
        <v>237</v>
      </c>
      <c r="C551" t="s">
        <v>238</v>
      </c>
      <c r="D551" t="s">
        <v>262</v>
      </c>
      <c r="E551" t="s">
        <v>228</v>
      </c>
      <c r="F551">
        <v>1998</v>
      </c>
      <c r="G551">
        <v>1.743E-3</v>
      </c>
      <c r="H551" t="s">
        <v>240</v>
      </c>
      <c r="I551" t="s">
        <v>241</v>
      </c>
      <c r="J551" t="s">
        <v>3</v>
      </c>
      <c r="K551" s="183">
        <f ca="1">VLOOKUP(F551,
    OFFSET(INDIRECT(ADDRESS(MATCH(J551,'Vehicle numbers'!$A$5:$A$162,0),1,1,1,$L$6)),4,1,COUNTIF('Vehicle numbers'!$A$5:$A$162,J551),4),
    MATCH(K$8,'Vehicle numbers'!$B$4:$D$4,0))*1000</f>
        <v>813784</v>
      </c>
      <c r="L551" s="183">
        <f ca="1">VLOOKUP(F551,
    OFFSET(INDIRECT(ADDRESS(MATCH(J551,'Vehicle numbers'!$A$5:$A$162,0),1,1,1,$L$6)),4,1,COUNTIF('Vehicle numbers'!$A$5:$A$162,J551),4),
    MATCH(L$8,'Vehicle numbers'!$B$4:$D$4,0))*1000</f>
        <v>828738.24086688564</v>
      </c>
      <c r="M551" s="184">
        <f>VLOOKUP(F551,'Annual distance covered (GB)'!$A$8:$H$33,MATCH(J551,'Annual distance covered (GB)'!$A$7:$H$7,0))</f>
        <v>4.0999999999999996</v>
      </c>
      <c r="N551" s="2">
        <f t="shared" ca="1" si="30"/>
        <v>7277.6216916368767</v>
      </c>
      <c r="O551" s="180">
        <f t="shared" ca="1" si="31"/>
        <v>8.781568573478957E-3</v>
      </c>
      <c r="P551" s="180"/>
      <c r="Q551" s="185"/>
      <c r="R551" s="180"/>
      <c r="S551" s="180"/>
      <c r="T551" s="180"/>
    </row>
    <row r="552" spans="1:20" x14ac:dyDescent="0.25">
      <c r="A552" t="s">
        <v>244</v>
      </c>
      <c r="B552" t="s">
        <v>237</v>
      </c>
      <c r="C552" t="s">
        <v>238</v>
      </c>
      <c r="D552" t="s">
        <v>262</v>
      </c>
      <c r="E552" t="s">
        <v>228</v>
      </c>
      <c r="F552">
        <v>1998</v>
      </c>
      <c r="G552">
        <v>2.4549295774647798E-4</v>
      </c>
      <c r="H552" t="s">
        <v>240</v>
      </c>
      <c r="I552" t="s">
        <v>241</v>
      </c>
      <c r="J552" t="s">
        <v>3</v>
      </c>
      <c r="K552" s="183">
        <f ca="1">VLOOKUP(F552,
    OFFSET(INDIRECT(ADDRESS(MATCH(J552,'Vehicle numbers'!$A$5:$A$162,0),1,1,1,$L$6)),4,1,COUNTIF('Vehicle numbers'!$A$5:$A$162,J552),4),
    MATCH(K$8,'Vehicle numbers'!$B$4:$D$4,0))*1000</f>
        <v>813784</v>
      </c>
      <c r="L552" s="183">
        <f ca="1">VLOOKUP(F552,
    OFFSET(INDIRECT(ADDRESS(MATCH(J552,'Vehicle numbers'!$A$5:$A$162,0),1,1,1,$L$6)),4,1,COUNTIF('Vehicle numbers'!$A$5:$A$162,J552),4),
    MATCH(L$8,'Vehicle numbers'!$B$4:$D$4,0))*1000</f>
        <v>828738.24086688564</v>
      </c>
      <c r="M552" s="184">
        <f>VLOOKUP(F552,'Annual distance covered (GB)'!$A$8:$H$33,MATCH(J552,'Annual distance covered (GB)'!$A$7:$H$7,0))</f>
        <v>4.0999999999999996</v>
      </c>
      <c r="N552" s="2">
        <f t="shared" ca="1" si="30"/>
        <v>1025.0171396671619</v>
      </c>
      <c r="O552" s="180">
        <f t="shared" ca="1" si="31"/>
        <v>1.2368406441519611E-3</v>
      </c>
      <c r="P552" s="180"/>
      <c r="Q552" s="185"/>
      <c r="R552" s="180"/>
      <c r="S552" s="180"/>
      <c r="T552" s="180"/>
    </row>
    <row r="553" spans="1:20" x14ac:dyDescent="0.25">
      <c r="A553" t="s">
        <v>246</v>
      </c>
      <c r="B553" t="s">
        <v>237</v>
      </c>
      <c r="C553" t="s">
        <v>238</v>
      </c>
      <c r="D553" t="s">
        <v>262</v>
      </c>
      <c r="E553" t="s">
        <v>228</v>
      </c>
      <c r="F553">
        <v>1998</v>
      </c>
      <c r="G553">
        <v>1.96394366197183E-4</v>
      </c>
      <c r="H553" t="s">
        <v>240</v>
      </c>
      <c r="I553" t="s">
        <v>241</v>
      </c>
      <c r="J553" t="s">
        <v>3</v>
      </c>
      <c r="K553" s="183">
        <f ca="1">VLOOKUP(F553,
    OFFSET(INDIRECT(ADDRESS(MATCH(J553,'Vehicle numbers'!$A$5:$A$162,0),1,1,1,$L$6)),4,1,COUNTIF('Vehicle numbers'!$A$5:$A$162,J553),4),
    MATCH(K$8,'Vehicle numbers'!$B$4:$D$4,0))*1000</f>
        <v>813784</v>
      </c>
      <c r="L553" s="183">
        <f ca="1">VLOOKUP(F553,
    OFFSET(INDIRECT(ADDRESS(MATCH(J553,'Vehicle numbers'!$A$5:$A$162,0),1,1,1,$L$6)),4,1,COUNTIF('Vehicle numbers'!$A$5:$A$162,J553),4),
    MATCH(L$8,'Vehicle numbers'!$B$4:$D$4,0))*1000</f>
        <v>828738.24086688564</v>
      </c>
      <c r="M553" s="184">
        <f>VLOOKUP(F553,'Annual distance covered (GB)'!$A$8:$H$33,MATCH(J553,'Annual distance covered (GB)'!$A$7:$H$7,0))</f>
        <v>4.0999999999999996</v>
      </c>
      <c r="N553" s="2">
        <f t="shared" ca="1" si="30"/>
        <v>820.01371173373218</v>
      </c>
      <c r="O553" s="180">
        <f t="shared" ca="1" si="31"/>
        <v>9.8947251532157201E-4</v>
      </c>
      <c r="P553" s="180"/>
      <c r="Q553" s="185"/>
      <c r="R553" s="180"/>
      <c r="S553" s="180"/>
      <c r="T553" s="180"/>
    </row>
    <row r="554" spans="1:20" x14ac:dyDescent="0.25">
      <c r="A554" t="s">
        <v>236</v>
      </c>
      <c r="B554" t="s">
        <v>237</v>
      </c>
      <c r="C554" t="s">
        <v>238</v>
      </c>
      <c r="D554" t="s">
        <v>263</v>
      </c>
      <c r="E554" t="s">
        <v>229</v>
      </c>
      <c r="F554">
        <v>1998</v>
      </c>
      <c r="G554">
        <v>2.7640000000000099E-3</v>
      </c>
      <c r="H554" t="s">
        <v>240</v>
      </c>
      <c r="I554" t="s">
        <v>241</v>
      </c>
      <c r="J554" t="s">
        <v>3</v>
      </c>
      <c r="K554" s="183">
        <f ca="1">VLOOKUP(F554,
    OFFSET(INDIRECT(ADDRESS(MATCH(J554,'Vehicle numbers'!$A$5:$A$162,0),1,1,1,$L$6)),4,1,COUNTIF('Vehicle numbers'!$A$5:$A$162,J554),4),
    MATCH(K$8,'Vehicle numbers'!$B$4:$D$4,0))*1000</f>
        <v>813784</v>
      </c>
      <c r="L554" s="183">
        <f ca="1">VLOOKUP(F554,
    OFFSET(INDIRECT(ADDRESS(MATCH(J554,'Vehicle numbers'!$A$5:$A$162,0),1,1,1,$L$6)),4,1,COUNTIF('Vehicle numbers'!$A$5:$A$162,J554),4),
    MATCH(L$8,'Vehicle numbers'!$B$4:$D$4,0))*1000</f>
        <v>828738.24086688564</v>
      </c>
      <c r="M554" s="184">
        <f>VLOOKUP(F554,'Annual distance covered (GB)'!$A$8:$H$33,MATCH(J554,'Annual distance covered (GB)'!$A$7:$H$7,0))</f>
        <v>4.0999999999999996</v>
      </c>
      <c r="N554" s="2">
        <f t="shared" ca="1" si="30"/>
        <v>11540.646216686402</v>
      </c>
      <c r="O554" s="180">
        <f t="shared" ca="1" si="31"/>
        <v>1.3925562557140517E-2</v>
      </c>
      <c r="P554" s="180"/>
      <c r="Q554" s="185"/>
      <c r="R554" s="180"/>
      <c r="S554" s="180"/>
      <c r="T554" s="180"/>
    </row>
    <row r="555" spans="1:20" x14ac:dyDescent="0.25">
      <c r="A555" t="s">
        <v>243</v>
      </c>
      <c r="B555" t="s">
        <v>237</v>
      </c>
      <c r="C555" t="s">
        <v>238</v>
      </c>
      <c r="D555" t="s">
        <v>263</v>
      </c>
      <c r="E555" t="s">
        <v>229</v>
      </c>
      <c r="F555">
        <v>1998</v>
      </c>
      <c r="G555">
        <v>1.1056E-3</v>
      </c>
      <c r="H555" t="s">
        <v>240</v>
      </c>
      <c r="I555" t="s">
        <v>241</v>
      </c>
      <c r="J555" t="s">
        <v>3</v>
      </c>
      <c r="K555" s="183">
        <f ca="1">VLOOKUP(F555,
    OFFSET(INDIRECT(ADDRESS(MATCH(J555,'Vehicle numbers'!$A$5:$A$162,0),1,1,1,$L$6)),4,1,COUNTIF('Vehicle numbers'!$A$5:$A$162,J555),4),
    MATCH(K$8,'Vehicle numbers'!$B$4:$D$4,0))*1000</f>
        <v>813784</v>
      </c>
      <c r="L555" s="183">
        <f ca="1">VLOOKUP(F555,
    OFFSET(INDIRECT(ADDRESS(MATCH(J555,'Vehicle numbers'!$A$5:$A$162,0),1,1,1,$L$6)),4,1,COUNTIF('Vehicle numbers'!$A$5:$A$162,J555),4),
    MATCH(L$8,'Vehicle numbers'!$B$4:$D$4,0))*1000</f>
        <v>828738.24086688564</v>
      </c>
      <c r="M555" s="184">
        <f>VLOOKUP(F555,'Annual distance covered (GB)'!$A$8:$H$33,MATCH(J555,'Annual distance covered (GB)'!$A$7:$H$7,0))</f>
        <v>4.0999999999999996</v>
      </c>
      <c r="N555" s="2">
        <f t="shared" ca="1" si="30"/>
        <v>4616.2584866745447</v>
      </c>
      <c r="O555" s="180">
        <f t="shared" ca="1" si="31"/>
        <v>5.5702250228561873E-3</v>
      </c>
      <c r="P555" s="180"/>
      <c r="Q555" s="185"/>
      <c r="R555" s="180"/>
      <c r="S555" s="180"/>
      <c r="T555" s="180"/>
    </row>
    <row r="556" spans="1:20" x14ac:dyDescent="0.25">
      <c r="A556" t="s">
        <v>244</v>
      </c>
      <c r="B556" t="s">
        <v>237</v>
      </c>
      <c r="C556" t="s">
        <v>238</v>
      </c>
      <c r="D556" t="s">
        <v>263</v>
      </c>
      <c r="E556" t="s">
        <v>229</v>
      </c>
      <c r="F556">
        <v>1998</v>
      </c>
      <c r="G556">
        <v>2.764E-4</v>
      </c>
      <c r="H556" t="s">
        <v>240</v>
      </c>
      <c r="I556" t="s">
        <v>241</v>
      </c>
      <c r="J556" t="s">
        <v>3</v>
      </c>
      <c r="K556" s="183">
        <f ca="1">VLOOKUP(F556,
    OFFSET(INDIRECT(ADDRESS(MATCH(J556,'Vehicle numbers'!$A$5:$A$162,0),1,1,1,$L$6)),4,1,COUNTIF('Vehicle numbers'!$A$5:$A$162,J556),4),
    MATCH(K$8,'Vehicle numbers'!$B$4:$D$4,0))*1000</f>
        <v>813784</v>
      </c>
      <c r="L556" s="183">
        <f ca="1">VLOOKUP(F556,
    OFFSET(INDIRECT(ADDRESS(MATCH(J556,'Vehicle numbers'!$A$5:$A$162,0),1,1,1,$L$6)),4,1,COUNTIF('Vehicle numbers'!$A$5:$A$162,J556),4),
    MATCH(L$8,'Vehicle numbers'!$B$4:$D$4,0))*1000</f>
        <v>828738.24086688564</v>
      </c>
      <c r="M556" s="184">
        <f>VLOOKUP(F556,'Annual distance covered (GB)'!$A$8:$H$33,MATCH(J556,'Annual distance covered (GB)'!$A$7:$H$7,0))</f>
        <v>4.0999999999999996</v>
      </c>
      <c r="N556" s="2">
        <f t="shared" ca="1" si="30"/>
        <v>1154.0646216686362</v>
      </c>
      <c r="O556" s="180">
        <f t="shared" ca="1" si="31"/>
        <v>1.3925562557140468E-3</v>
      </c>
      <c r="P556" s="180"/>
      <c r="Q556" s="185"/>
      <c r="R556" s="180"/>
      <c r="S556" s="180"/>
      <c r="T556" s="180"/>
    </row>
    <row r="557" spans="1:20" x14ac:dyDescent="0.25">
      <c r="A557" t="s">
        <v>246</v>
      </c>
      <c r="B557" t="s">
        <v>237</v>
      </c>
      <c r="C557" t="s">
        <v>238</v>
      </c>
      <c r="D557" t="s">
        <v>263</v>
      </c>
      <c r="E557" t="s">
        <v>229</v>
      </c>
      <c r="F557">
        <v>1998</v>
      </c>
      <c r="G557">
        <v>2.2112E-4</v>
      </c>
      <c r="H557" t="s">
        <v>240</v>
      </c>
      <c r="I557" t="s">
        <v>241</v>
      </c>
      <c r="J557" t="s">
        <v>3</v>
      </c>
      <c r="K557" s="183">
        <f ca="1">VLOOKUP(F557,
    OFFSET(INDIRECT(ADDRESS(MATCH(J557,'Vehicle numbers'!$A$5:$A$162,0),1,1,1,$L$6)),4,1,COUNTIF('Vehicle numbers'!$A$5:$A$162,J557),4),
    MATCH(K$8,'Vehicle numbers'!$B$4:$D$4,0))*1000</f>
        <v>813784</v>
      </c>
      <c r="L557" s="183">
        <f ca="1">VLOOKUP(F557,
    OFFSET(INDIRECT(ADDRESS(MATCH(J557,'Vehicle numbers'!$A$5:$A$162,0),1,1,1,$L$6)),4,1,COUNTIF('Vehicle numbers'!$A$5:$A$162,J557),4),
    MATCH(L$8,'Vehicle numbers'!$B$4:$D$4,0))*1000</f>
        <v>828738.24086688564</v>
      </c>
      <c r="M557" s="184">
        <f>VLOOKUP(F557,'Annual distance covered (GB)'!$A$8:$H$33,MATCH(J557,'Annual distance covered (GB)'!$A$7:$H$7,0))</f>
        <v>4.0999999999999996</v>
      </c>
      <c r="N557" s="2">
        <f t="shared" ca="1" si="30"/>
        <v>923.25169733490884</v>
      </c>
      <c r="O557" s="180">
        <f t="shared" ca="1" si="31"/>
        <v>1.1140450045712374E-3</v>
      </c>
      <c r="P557" s="180"/>
      <c r="Q557" s="185"/>
      <c r="R557" s="180"/>
      <c r="S557" s="180"/>
      <c r="T557" s="180"/>
    </row>
    <row r="558" spans="1:20" x14ac:dyDescent="0.25">
      <c r="A558" t="s">
        <v>236</v>
      </c>
      <c r="B558" t="s">
        <v>237</v>
      </c>
      <c r="C558" t="s">
        <v>238</v>
      </c>
      <c r="D558" t="s">
        <v>263</v>
      </c>
      <c r="E558" t="s">
        <v>228</v>
      </c>
      <c r="F558">
        <v>1998</v>
      </c>
      <c r="G558">
        <v>2.9240000000000099E-3</v>
      </c>
      <c r="H558" t="s">
        <v>240</v>
      </c>
      <c r="I558" t="s">
        <v>241</v>
      </c>
      <c r="J558" t="s">
        <v>3</v>
      </c>
      <c r="K558" s="183">
        <f ca="1">VLOOKUP(F558,
    OFFSET(INDIRECT(ADDRESS(MATCH(J558,'Vehicle numbers'!$A$5:$A$162,0),1,1,1,$L$6)),4,1,COUNTIF('Vehicle numbers'!$A$5:$A$162,J558),4),
    MATCH(K$8,'Vehicle numbers'!$B$4:$D$4,0))*1000</f>
        <v>813784</v>
      </c>
      <c r="L558" s="183">
        <f ca="1">VLOOKUP(F558,
    OFFSET(INDIRECT(ADDRESS(MATCH(J558,'Vehicle numbers'!$A$5:$A$162,0),1,1,1,$L$6)),4,1,COUNTIF('Vehicle numbers'!$A$5:$A$162,J558),4),
    MATCH(L$8,'Vehicle numbers'!$B$4:$D$4,0))*1000</f>
        <v>828738.24086688564</v>
      </c>
      <c r="M558" s="184">
        <f>VLOOKUP(F558,'Annual distance covered (GB)'!$A$8:$H$33,MATCH(J558,'Annual distance covered (GB)'!$A$7:$H$7,0))</f>
        <v>4.0999999999999996</v>
      </c>
      <c r="N558" s="2">
        <f t="shared" ca="1" si="30"/>
        <v>12208.700990445383</v>
      </c>
      <c r="O558" s="180">
        <f t="shared" ca="1" si="31"/>
        <v>1.4731673269565438E-2</v>
      </c>
      <c r="P558" s="180"/>
      <c r="Q558" s="185"/>
      <c r="R558" s="180"/>
      <c r="S558" s="180"/>
      <c r="T558" s="180"/>
    </row>
    <row r="559" spans="1:20" x14ac:dyDescent="0.25">
      <c r="A559" t="s">
        <v>243</v>
      </c>
      <c r="B559" t="s">
        <v>237</v>
      </c>
      <c r="C559" t="s">
        <v>238</v>
      </c>
      <c r="D559" t="s">
        <v>263</v>
      </c>
      <c r="E559" t="s">
        <v>228</v>
      </c>
      <c r="F559">
        <v>1998</v>
      </c>
      <c r="G559">
        <v>2.0468000000000101E-3</v>
      </c>
      <c r="H559" t="s">
        <v>240</v>
      </c>
      <c r="I559" t="s">
        <v>241</v>
      </c>
      <c r="J559" t="s">
        <v>3</v>
      </c>
      <c r="K559" s="183">
        <f ca="1">VLOOKUP(F559,
    OFFSET(INDIRECT(ADDRESS(MATCH(J559,'Vehicle numbers'!$A$5:$A$162,0),1,1,1,$L$6)),4,1,COUNTIF('Vehicle numbers'!$A$5:$A$162,J559),4),
    MATCH(K$8,'Vehicle numbers'!$B$4:$D$4,0))*1000</f>
        <v>813784</v>
      </c>
      <c r="L559" s="183">
        <f ca="1">VLOOKUP(F559,
    OFFSET(INDIRECT(ADDRESS(MATCH(J559,'Vehicle numbers'!$A$5:$A$162,0),1,1,1,$L$6)),4,1,COUNTIF('Vehicle numbers'!$A$5:$A$162,J559),4),
    MATCH(L$8,'Vehicle numbers'!$B$4:$D$4,0))*1000</f>
        <v>828738.24086688564</v>
      </c>
      <c r="M559" s="184">
        <f>VLOOKUP(F559,'Annual distance covered (GB)'!$A$8:$H$33,MATCH(J559,'Annual distance covered (GB)'!$A$7:$H$7,0))</f>
        <v>4.0999999999999996</v>
      </c>
      <c r="N559" s="2">
        <f t="shared" ca="1" si="30"/>
        <v>8546.0906933117803</v>
      </c>
      <c r="O559" s="180">
        <f t="shared" ca="1" si="31"/>
        <v>1.0312171288695821E-2</v>
      </c>
      <c r="P559" s="180"/>
      <c r="Q559" s="185"/>
      <c r="R559" s="180"/>
      <c r="S559" s="180"/>
      <c r="T559" s="180"/>
    </row>
    <row r="560" spans="1:20" x14ac:dyDescent="0.25">
      <c r="A560" t="s">
        <v>244</v>
      </c>
      <c r="B560" t="s">
        <v>237</v>
      </c>
      <c r="C560" t="s">
        <v>238</v>
      </c>
      <c r="D560" t="s">
        <v>263</v>
      </c>
      <c r="E560" t="s">
        <v>228</v>
      </c>
      <c r="F560">
        <v>1998</v>
      </c>
      <c r="G560">
        <v>2.8828169014084599E-4</v>
      </c>
      <c r="H560" t="s">
        <v>240</v>
      </c>
      <c r="I560" t="s">
        <v>241</v>
      </c>
      <c r="J560" t="s">
        <v>3</v>
      </c>
      <c r="K560" s="183">
        <f ca="1">VLOOKUP(F560,
    OFFSET(INDIRECT(ADDRESS(MATCH(J560,'Vehicle numbers'!$A$5:$A$162,0),1,1,1,$L$6)),4,1,COUNTIF('Vehicle numbers'!$A$5:$A$162,J560),4),
    MATCH(K$8,'Vehicle numbers'!$B$4:$D$4,0))*1000</f>
        <v>813784</v>
      </c>
      <c r="L560" s="183">
        <f ca="1">VLOOKUP(F560,
    OFFSET(INDIRECT(ADDRESS(MATCH(J560,'Vehicle numbers'!$A$5:$A$162,0),1,1,1,$L$6)),4,1,COUNTIF('Vehicle numbers'!$A$5:$A$162,J560),4),
    MATCH(L$8,'Vehicle numbers'!$B$4:$D$4,0))*1000</f>
        <v>828738.24086688564</v>
      </c>
      <c r="M560" s="184">
        <f>VLOOKUP(F560,'Annual distance covered (GB)'!$A$8:$H$33,MATCH(J560,'Annual distance covered (GB)'!$A$7:$H$7,0))</f>
        <v>4.0999999999999996</v>
      </c>
      <c r="N560" s="2">
        <f t="shared" ca="1" si="30"/>
        <v>1203.6747455368684</v>
      </c>
      <c r="O560" s="180">
        <f t="shared" ca="1" si="31"/>
        <v>1.4524184913656062E-3</v>
      </c>
      <c r="P560" s="180"/>
      <c r="Q560" s="185"/>
      <c r="R560" s="180"/>
      <c r="S560" s="180"/>
      <c r="T560" s="180"/>
    </row>
    <row r="561" spans="1:20" x14ac:dyDescent="0.25">
      <c r="A561" t="s">
        <v>246</v>
      </c>
      <c r="B561" t="s">
        <v>237</v>
      </c>
      <c r="C561" t="s">
        <v>238</v>
      </c>
      <c r="D561" t="s">
        <v>263</v>
      </c>
      <c r="E561" t="s">
        <v>228</v>
      </c>
      <c r="F561">
        <v>1998</v>
      </c>
      <c r="G561">
        <v>2.30625352112677E-4</v>
      </c>
      <c r="H561" t="s">
        <v>240</v>
      </c>
      <c r="I561" t="s">
        <v>241</v>
      </c>
      <c r="J561" t="s">
        <v>3</v>
      </c>
      <c r="K561" s="183">
        <f ca="1">VLOOKUP(F561,
    OFFSET(INDIRECT(ADDRESS(MATCH(J561,'Vehicle numbers'!$A$5:$A$162,0),1,1,1,$L$6)),4,1,COUNTIF('Vehicle numbers'!$A$5:$A$162,J561),4),
    MATCH(K$8,'Vehicle numbers'!$B$4:$D$4,0))*1000</f>
        <v>813784</v>
      </c>
      <c r="L561" s="183">
        <f ca="1">VLOOKUP(F561,
    OFFSET(INDIRECT(ADDRESS(MATCH(J561,'Vehicle numbers'!$A$5:$A$162,0),1,1,1,$L$6)),4,1,COUNTIF('Vehicle numbers'!$A$5:$A$162,J561),4),
    MATCH(L$8,'Vehicle numbers'!$B$4:$D$4,0))*1000</f>
        <v>828738.24086688564</v>
      </c>
      <c r="M561" s="184">
        <f>VLOOKUP(F561,'Annual distance covered (GB)'!$A$8:$H$33,MATCH(J561,'Annual distance covered (GB)'!$A$7:$H$7,0))</f>
        <v>4.0999999999999996</v>
      </c>
      <c r="N561" s="2">
        <f t="shared" ca="1" si="30"/>
        <v>962.93979642949557</v>
      </c>
      <c r="O561" s="180">
        <f t="shared" ca="1" si="31"/>
        <v>1.1619347930924859E-3</v>
      </c>
      <c r="P561" s="180"/>
      <c r="Q561" s="185"/>
      <c r="R561" s="180"/>
      <c r="S561" s="180"/>
      <c r="T561" s="180"/>
    </row>
    <row r="562" spans="1:20" x14ac:dyDescent="0.25">
      <c r="A562" t="s">
        <v>236</v>
      </c>
      <c r="B562" t="s">
        <v>237</v>
      </c>
      <c r="C562" t="s">
        <v>238</v>
      </c>
      <c r="D562" t="s">
        <v>264</v>
      </c>
      <c r="E562" t="s">
        <v>229</v>
      </c>
      <c r="F562">
        <v>1998</v>
      </c>
      <c r="G562">
        <v>5.8399999999999997E-3</v>
      </c>
      <c r="H562" t="s">
        <v>240</v>
      </c>
      <c r="I562" t="s">
        <v>241</v>
      </c>
      <c r="J562" t="s">
        <v>3</v>
      </c>
      <c r="K562" s="183">
        <f ca="1">VLOOKUP(F562,
    OFFSET(INDIRECT(ADDRESS(MATCH(J562,'Vehicle numbers'!$A$5:$A$162,0),1,1,1,$L$6)),4,1,COUNTIF('Vehicle numbers'!$A$5:$A$162,J562),4),
    MATCH(K$8,'Vehicle numbers'!$B$4:$D$4,0))*1000</f>
        <v>813784</v>
      </c>
      <c r="L562" s="183">
        <f ca="1">VLOOKUP(F562,
    OFFSET(INDIRECT(ADDRESS(MATCH(J562,'Vehicle numbers'!$A$5:$A$162,0),1,1,1,$L$6)),4,1,COUNTIF('Vehicle numbers'!$A$5:$A$162,J562),4),
    MATCH(L$8,'Vehicle numbers'!$B$4:$D$4,0))*1000</f>
        <v>828738.24086688564</v>
      </c>
      <c r="M562" s="184">
        <f>VLOOKUP(F562,'Annual distance covered (GB)'!$A$8:$H$33,MATCH(J562,'Annual distance covered (GB)'!$A$7:$H$7,0))</f>
        <v>4.0999999999999996</v>
      </c>
      <c r="N562" s="2">
        <f t="shared" ca="1" si="30"/>
        <v>24383.999242202732</v>
      </c>
      <c r="O562" s="180">
        <f t="shared" ca="1" si="31"/>
        <v>2.9423041003509526E-2</v>
      </c>
      <c r="P562" s="180"/>
      <c r="Q562" s="185"/>
      <c r="R562" s="180"/>
      <c r="S562" s="180"/>
      <c r="T562" s="180"/>
    </row>
    <row r="563" spans="1:20" x14ac:dyDescent="0.25">
      <c r="A563" t="s">
        <v>243</v>
      </c>
      <c r="B563" t="s">
        <v>237</v>
      </c>
      <c r="C563" t="s">
        <v>238</v>
      </c>
      <c r="D563" t="s">
        <v>264</v>
      </c>
      <c r="E563" t="s">
        <v>229</v>
      </c>
      <c r="F563">
        <v>1998</v>
      </c>
      <c r="G563">
        <v>2.336E-3</v>
      </c>
      <c r="H563" t="s">
        <v>240</v>
      </c>
      <c r="I563" t="s">
        <v>241</v>
      </c>
      <c r="J563" t="s">
        <v>3</v>
      </c>
      <c r="K563" s="183">
        <f ca="1">VLOOKUP(F563,
    OFFSET(INDIRECT(ADDRESS(MATCH(J563,'Vehicle numbers'!$A$5:$A$162,0),1,1,1,$L$6)),4,1,COUNTIF('Vehicle numbers'!$A$5:$A$162,J563),4),
    MATCH(K$8,'Vehicle numbers'!$B$4:$D$4,0))*1000</f>
        <v>813784</v>
      </c>
      <c r="L563" s="183">
        <f ca="1">VLOOKUP(F563,
    OFFSET(INDIRECT(ADDRESS(MATCH(J563,'Vehicle numbers'!$A$5:$A$162,0),1,1,1,$L$6)),4,1,COUNTIF('Vehicle numbers'!$A$5:$A$162,J563),4),
    MATCH(L$8,'Vehicle numbers'!$B$4:$D$4,0))*1000</f>
        <v>828738.24086688564</v>
      </c>
      <c r="M563" s="184">
        <f>VLOOKUP(F563,'Annual distance covered (GB)'!$A$8:$H$33,MATCH(J563,'Annual distance covered (GB)'!$A$7:$H$7,0))</f>
        <v>4.0999999999999996</v>
      </c>
      <c r="N563" s="2">
        <f t="shared" ca="1" si="30"/>
        <v>9753.5996968810923</v>
      </c>
      <c r="O563" s="180">
        <f t="shared" ca="1" si="31"/>
        <v>1.176921640140381E-2</v>
      </c>
      <c r="P563" s="180"/>
      <c r="Q563" s="185"/>
      <c r="R563" s="180"/>
      <c r="S563" s="180"/>
      <c r="T563" s="180"/>
    </row>
    <row r="564" spans="1:20" x14ac:dyDescent="0.25">
      <c r="A564" t="s">
        <v>244</v>
      </c>
      <c r="B564" t="s">
        <v>237</v>
      </c>
      <c r="C564" t="s">
        <v>238</v>
      </c>
      <c r="D564" t="s">
        <v>264</v>
      </c>
      <c r="E564" t="s">
        <v>229</v>
      </c>
      <c r="F564">
        <v>1998</v>
      </c>
      <c r="G564">
        <v>5.8399999999999999E-4</v>
      </c>
      <c r="H564" t="s">
        <v>240</v>
      </c>
      <c r="I564" t="s">
        <v>241</v>
      </c>
      <c r="J564" t="s">
        <v>3</v>
      </c>
      <c r="K564" s="183">
        <f ca="1">VLOOKUP(F564,
    OFFSET(INDIRECT(ADDRESS(MATCH(J564,'Vehicle numbers'!$A$5:$A$162,0),1,1,1,$L$6)),4,1,COUNTIF('Vehicle numbers'!$A$5:$A$162,J564),4),
    MATCH(K$8,'Vehicle numbers'!$B$4:$D$4,0))*1000</f>
        <v>813784</v>
      </c>
      <c r="L564" s="183">
        <f ca="1">VLOOKUP(F564,
    OFFSET(INDIRECT(ADDRESS(MATCH(J564,'Vehicle numbers'!$A$5:$A$162,0),1,1,1,$L$6)),4,1,COUNTIF('Vehicle numbers'!$A$5:$A$162,J564),4),
    MATCH(L$8,'Vehicle numbers'!$B$4:$D$4,0))*1000</f>
        <v>828738.24086688564</v>
      </c>
      <c r="M564" s="184">
        <f>VLOOKUP(F564,'Annual distance covered (GB)'!$A$8:$H$33,MATCH(J564,'Annual distance covered (GB)'!$A$7:$H$7,0))</f>
        <v>4.0999999999999996</v>
      </c>
      <c r="N564" s="2">
        <f t="shared" ca="1" si="30"/>
        <v>2438.3999242202731</v>
      </c>
      <c r="O564" s="180">
        <f t="shared" ca="1" si="31"/>
        <v>2.9423041003509526E-3</v>
      </c>
      <c r="P564" s="180"/>
      <c r="Q564" s="185"/>
      <c r="R564" s="180"/>
      <c r="S564" s="180"/>
      <c r="T564" s="180"/>
    </row>
    <row r="565" spans="1:20" x14ac:dyDescent="0.25">
      <c r="A565" t="s">
        <v>246</v>
      </c>
      <c r="B565" t="s">
        <v>237</v>
      </c>
      <c r="C565" t="s">
        <v>238</v>
      </c>
      <c r="D565" t="s">
        <v>264</v>
      </c>
      <c r="E565" t="s">
        <v>229</v>
      </c>
      <c r="F565">
        <v>1998</v>
      </c>
      <c r="G565">
        <v>4.6720000000000003E-4</v>
      </c>
      <c r="H565" t="s">
        <v>240</v>
      </c>
      <c r="I565" t="s">
        <v>241</v>
      </c>
      <c r="J565" t="s">
        <v>3</v>
      </c>
      <c r="K565" s="183">
        <f ca="1">VLOOKUP(F565,
    OFFSET(INDIRECT(ADDRESS(MATCH(J565,'Vehicle numbers'!$A$5:$A$162,0),1,1,1,$L$6)),4,1,COUNTIF('Vehicle numbers'!$A$5:$A$162,J565),4),
    MATCH(K$8,'Vehicle numbers'!$B$4:$D$4,0))*1000</f>
        <v>813784</v>
      </c>
      <c r="L565" s="183">
        <f ca="1">VLOOKUP(F565,
    OFFSET(INDIRECT(ADDRESS(MATCH(J565,'Vehicle numbers'!$A$5:$A$162,0),1,1,1,$L$6)),4,1,COUNTIF('Vehicle numbers'!$A$5:$A$162,J565),4),
    MATCH(L$8,'Vehicle numbers'!$B$4:$D$4,0))*1000</f>
        <v>828738.24086688564</v>
      </c>
      <c r="M565" s="184">
        <f>VLOOKUP(F565,'Annual distance covered (GB)'!$A$8:$H$33,MATCH(J565,'Annual distance covered (GB)'!$A$7:$H$7,0))</f>
        <v>4.0999999999999996</v>
      </c>
      <c r="N565" s="2">
        <f t="shared" ca="1" si="30"/>
        <v>1950.7199393762187</v>
      </c>
      <c r="O565" s="180">
        <f t="shared" ca="1" si="31"/>
        <v>2.3538432802807626E-3</v>
      </c>
      <c r="P565" s="180"/>
      <c r="Q565" s="185"/>
      <c r="R565" s="180"/>
      <c r="S565" s="180"/>
      <c r="T565" s="180"/>
    </row>
    <row r="566" spans="1:20" x14ac:dyDescent="0.25">
      <c r="A566" t="s">
        <v>236</v>
      </c>
      <c r="B566" t="s">
        <v>237</v>
      </c>
      <c r="C566" t="s">
        <v>238</v>
      </c>
      <c r="D566" t="s">
        <v>264</v>
      </c>
      <c r="E566" t="s">
        <v>228</v>
      </c>
      <c r="F566">
        <v>1998</v>
      </c>
      <c r="G566">
        <v>3.7569999999999999E-3</v>
      </c>
      <c r="H566" t="s">
        <v>240</v>
      </c>
      <c r="I566" t="s">
        <v>241</v>
      </c>
      <c r="J566" t="s">
        <v>3</v>
      </c>
      <c r="K566" s="183">
        <f ca="1">VLOOKUP(F566,
    OFFSET(INDIRECT(ADDRESS(MATCH(J566,'Vehicle numbers'!$A$5:$A$162,0),1,1,1,$L$6)),4,1,COUNTIF('Vehicle numbers'!$A$5:$A$162,J566),4),
    MATCH(K$8,'Vehicle numbers'!$B$4:$D$4,0))*1000</f>
        <v>813784</v>
      </c>
      <c r="L566" s="183">
        <f ca="1">VLOOKUP(F566,
    OFFSET(INDIRECT(ADDRESS(MATCH(J566,'Vehicle numbers'!$A$5:$A$162,0),1,1,1,$L$6)),4,1,COUNTIF('Vehicle numbers'!$A$5:$A$162,J566),4),
    MATCH(L$8,'Vehicle numbers'!$B$4:$D$4,0))*1000</f>
        <v>828738.24086688564</v>
      </c>
      <c r="M566" s="184">
        <f>VLOOKUP(F566,'Annual distance covered (GB)'!$A$8:$H$33,MATCH(J566,'Annual distance covered (GB)'!$A$7:$H$7,0))</f>
        <v>4.0999999999999996</v>
      </c>
      <c r="N566" s="2">
        <f t="shared" ca="1" si="30"/>
        <v>15686.761156328022</v>
      </c>
      <c r="O566" s="180">
        <f t="shared" ca="1" si="31"/>
        <v>1.8928487166127616E-2</v>
      </c>
      <c r="P566" s="180"/>
      <c r="Q566" s="185"/>
      <c r="R566" s="180"/>
      <c r="S566" s="180"/>
      <c r="T566" s="180"/>
    </row>
    <row r="567" spans="1:20" x14ac:dyDescent="0.25">
      <c r="A567" t="s">
        <v>243</v>
      </c>
      <c r="B567" t="s">
        <v>237</v>
      </c>
      <c r="C567" t="s">
        <v>238</v>
      </c>
      <c r="D567" t="s">
        <v>264</v>
      </c>
      <c r="E567" t="s">
        <v>228</v>
      </c>
      <c r="F567">
        <v>1998</v>
      </c>
      <c r="G567">
        <v>2.6299000000000001E-3</v>
      </c>
      <c r="H567" t="s">
        <v>240</v>
      </c>
      <c r="I567" t="s">
        <v>241</v>
      </c>
      <c r="J567" t="s">
        <v>3</v>
      </c>
      <c r="K567" s="183">
        <f ca="1">VLOOKUP(F567,
    OFFSET(INDIRECT(ADDRESS(MATCH(J567,'Vehicle numbers'!$A$5:$A$162,0),1,1,1,$L$6)),4,1,COUNTIF('Vehicle numbers'!$A$5:$A$162,J567),4),
    MATCH(K$8,'Vehicle numbers'!$B$4:$D$4,0))*1000</f>
        <v>813784</v>
      </c>
      <c r="L567" s="183">
        <f ca="1">VLOOKUP(F567,
    OFFSET(INDIRECT(ADDRESS(MATCH(J567,'Vehicle numbers'!$A$5:$A$162,0),1,1,1,$L$6)),4,1,COUNTIF('Vehicle numbers'!$A$5:$A$162,J567),4),
    MATCH(L$8,'Vehicle numbers'!$B$4:$D$4,0))*1000</f>
        <v>828738.24086688564</v>
      </c>
      <c r="M567" s="184">
        <f>VLOOKUP(F567,'Annual distance covered (GB)'!$A$8:$H$33,MATCH(J567,'Annual distance covered (GB)'!$A$7:$H$7,0))</f>
        <v>4.0999999999999996</v>
      </c>
      <c r="N567" s="2">
        <f t="shared" ca="1" si="30"/>
        <v>10980.732809429619</v>
      </c>
      <c r="O567" s="180">
        <f t="shared" ca="1" si="31"/>
        <v>1.3249941016289336E-2</v>
      </c>
      <c r="P567" s="180"/>
      <c r="Q567" s="185"/>
      <c r="R567" s="180"/>
      <c r="S567" s="180"/>
      <c r="T567" s="180"/>
    </row>
    <row r="568" spans="1:20" x14ac:dyDescent="0.25">
      <c r="A568" t="s">
        <v>244</v>
      </c>
      <c r="B568" t="s">
        <v>237</v>
      </c>
      <c r="C568" t="s">
        <v>238</v>
      </c>
      <c r="D568" t="s">
        <v>264</v>
      </c>
      <c r="E568" t="s">
        <v>228</v>
      </c>
      <c r="F568">
        <v>1998</v>
      </c>
      <c r="G568">
        <v>3.7040845070422499E-4</v>
      </c>
      <c r="H568" t="s">
        <v>240</v>
      </c>
      <c r="I568" t="s">
        <v>241</v>
      </c>
      <c r="J568" t="s">
        <v>3</v>
      </c>
      <c r="K568" s="183">
        <f ca="1">VLOOKUP(F568,
    OFFSET(INDIRECT(ADDRESS(MATCH(J568,'Vehicle numbers'!$A$5:$A$162,0),1,1,1,$L$6)),4,1,COUNTIF('Vehicle numbers'!$A$5:$A$162,J568),4),
    MATCH(K$8,'Vehicle numbers'!$B$4:$D$4,0))*1000</f>
        <v>813784</v>
      </c>
      <c r="L568" s="183">
        <f ca="1">VLOOKUP(F568,
    OFFSET(INDIRECT(ADDRESS(MATCH(J568,'Vehicle numbers'!$A$5:$A$162,0),1,1,1,$L$6)),4,1,COUNTIF('Vehicle numbers'!$A$5:$A$162,J568),4),
    MATCH(L$8,'Vehicle numbers'!$B$4:$D$4,0))*1000</f>
        <v>828738.24086688564</v>
      </c>
      <c r="M568" s="184">
        <f>VLOOKUP(F568,'Annual distance covered (GB)'!$A$8:$H$33,MATCH(J568,'Annual distance covered (GB)'!$A$7:$H$7,0))</f>
        <v>4.0999999999999996</v>
      </c>
      <c r="N568" s="2">
        <f t="shared" ca="1" si="30"/>
        <v>1546.582085835156</v>
      </c>
      <c r="O568" s="180">
        <f t="shared" ca="1" si="31"/>
        <v>1.8661888755337073E-3</v>
      </c>
      <c r="P568" s="180"/>
      <c r="Q568" s="185"/>
      <c r="R568" s="180"/>
      <c r="S568" s="180"/>
      <c r="T568" s="180"/>
    </row>
    <row r="569" spans="1:20" x14ac:dyDescent="0.25">
      <c r="A569" t="s">
        <v>246</v>
      </c>
      <c r="B569" t="s">
        <v>237</v>
      </c>
      <c r="C569" t="s">
        <v>238</v>
      </c>
      <c r="D569" t="s">
        <v>264</v>
      </c>
      <c r="E569" t="s">
        <v>228</v>
      </c>
      <c r="F569">
        <v>1998</v>
      </c>
      <c r="G569">
        <v>2.9632676056337998E-4</v>
      </c>
      <c r="H569" t="s">
        <v>240</v>
      </c>
      <c r="I569" t="s">
        <v>241</v>
      </c>
      <c r="J569" t="s">
        <v>3</v>
      </c>
      <c r="K569" s="183">
        <f ca="1">VLOOKUP(F569,
    OFFSET(INDIRECT(ADDRESS(MATCH(J569,'Vehicle numbers'!$A$5:$A$162,0),1,1,1,$L$6)),4,1,COUNTIF('Vehicle numbers'!$A$5:$A$162,J569),4),
    MATCH(K$8,'Vehicle numbers'!$B$4:$D$4,0))*1000</f>
        <v>813784</v>
      </c>
      <c r="L569" s="183">
        <f ca="1">VLOOKUP(F569,
    OFFSET(INDIRECT(ADDRESS(MATCH(J569,'Vehicle numbers'!$A$5:$A$162,0),1,1,1,$L$6)),4,1,COUNTIF('Vehicle numbers'!$A$5:$A$162,J569),4),
    MATCH(L$8,'Vehicle numbers'!$B$4:$D$4,0))*1000</f>
        <v>828738.24086688564</v>
      </c>
      <c r="M569" s="184">
        <f>VLOOKUP(F569,'Annual distance covered (GB)'!$A$8:$H$33,MATCH(J569,'Annual distance covered (GB)'!$A$7:$H$7,0))</f>
        <v>4.0999999999999996</v>
      </c>
      <c r="N569" s="2">
        <f t="shared" ca="1" si="30"/>
        <v>1237.2656686681244</v>
      </c>
      <c r="O569" s="180">
        <f t="shared" ca="1" si="31"/>
        <v>1.4929511004269653E-3</v>
      </c>
      <c r="P569" s="180"/>
      <c r="Q569" s="185"/>
      <c r="R569" s="180"/>
      <c r="S569" s="180"/>
      <c r="T569" s="180"/>
    </row>
    <row r="570" spans="1:20" x14ac:dyDescent="0.25">
      <c r="A570" t="s">
        <v>236</v>
      </c>
      <c r="B570" t="s">
        <v>237</v>
      </c>
      <c r="C570" t="s">
        <v>238</v>
      </c>
      <c r="D570" t="s">
        <v>239</v>
      </c>
      <c r="E570" t="s">
        <v>229</v>
      </c>
      <c r="F570">
        <v>1999</v>
      </c>
      <c r="G570">
        <v>8.4410000000000006E-3</v>
      </c>
      <c r="H570" t="s">
        <v>240</v>
      </c>
      <c r="I570" t="s">
        <v>241</v>
      </c>
      <c r="J570" t="s">
        <v>242</v>
      </c>
      <c r="K570" s="183">
        <f ca="1">VLOOKUP(F570,
    OFFSET(INDIRECT(ADDRESS(MATCH(J570,'Vehicle numbers'!$A$5:$A$162,0),1,1,1,$L$6)),4,1,COUNTIF('Vehicle numbers'!$A$5:$A$162,J570),4),
    MATCH(K$8,'Vehicle numbers'!$B$4:$D$4,0))*1000</f>
        <v>168120.99999999997</v>
      </c>
      <c r="L570" s="183">
        <f ca="1">VLOOKUP(F570,
    OFFSET(INDIRECT(ADDRESS(MATCH(J570,'Vehicle numbers'!$A$5:$A$162,0),1,1,1,$L$6)),4,1,COUNTIF('Vehicle numbers'!$A$5:$A$162,J570),4),
    MATCH(L$8,'Vehicle numbers'!$B$4:$D$4,0))*1000</f>
        <v>173995.08660432082</v>
      </c>
      <c r="M570" s="184">
        <f>VLOOKUP(F570,'Annual distance covered (GB)'!$A$8:$H$33,MATCH(J570,'Annual distance covered (GB)'!$A$7:$H$7,0))</f>
        <v>5.3</v>
      </c>
      <c r="N570" s="2">
        <f t="shared" ca="1" si="30"/>
        <v>46300.404993685996</v>
      </c>
      <c r="O570" s="180">
        <f t="shared" ca="1" si="31"/>
        <v>0.26610179573045606</v>
      </c>
      <c r="P570" s="180"/>
      <c r="Q570" s="185"/>
      <c r="R570" s="180"/>
      <c r="S570" s="180"/>
      <c r="T570" s="180"/>
    </row>
    <row r="571" spans="1:20" x14ac:dyDescent="0.25">
      <c r="A571" t="s">
        <v>243</v>
      </c>
      <c r="B571" t="s">
        <v>237</v>
      </c>
      <c r="C571" t="s">
        <v>238</v>
      </c>
      <c r="D571" t="s">
        <v>239</v>
      </c>
      <c r="E571" t="s">
        <v>229</v>
      </c>
      <c r="F571">
        <v>1999</v>
      </c>
      <c r="G571">
        <v>3.3763999999999999E-3</v>
      </c>
      <c r="H571" t="s">
        <v>240</v>
      </c>
      <c r="I571" t="s">
        <v>241</v>
      </c>
      <c r="J571" t="s">
        <v>242</v>
      </c>
      <c r="K571" s="183">
        <f ca="1">VLOOKUP(F571,
    OFFSET(INDIRECT(ADDRESS(MATCH(J571,'Vehicle numbers'!$A$5:$A$162,0),1,1,1,$L$6)),4,1,COUNTIF('Vehicle numbers'!$A$5:$A$162,J571),4),
    MATCH(K$8,'Vehicle numbers'!$B$4:$D$4,0))*1000</f>
        <v>168120.99999999997</v>
      </c>
      <c r="L571" s="183">
        <f ca="1">VLOOKUP(F571,
    OFFSET(INDIRECT(ADDRESS(MATCH(J571,'Vehicle numbers'!$A$5:$A$162,0),1,1,1,$L$6)),4,1,COUNTIF('Vehicle numbers'!$A$5:$A$162,J571),4),
    MATCH(L$8,'Vehicle numbers'!$B$4:$D$4,0))*1000</f>
        <v>173995.08660432082</v>
      </c>
      <c r="M571" s="184">
        <f>VLOOKUP(F571,'Annual distance covered (GB)'!$A$8:$H$33,MATCH(J571,'Annual distance covered (GB)'!$A$7:$H$7,0))</f>
        <v>5.3</v>
      </c>
      <c r="N571" s="2">
        <f t="shared" ca="1" si="30"/>
        <v>18520.161997474395</v>
      </c>
      <c r="O571" s="180">
        <f t="shared" ca="1" si="31"/>
        <v>0.10644071829218242</v>
      </c>
      <c r="P571" s="180"/>
      <c r="Q571" s="185"/>
      <c r="R571" s="180"/>
      <c r="S571" s="180"/>
      <c r="T571" s="180"/>
    </row>
    <row r="572" spans="1:20" x14ac:dyDescent="0.25">
      <c r="A572" t="s">
        <v>244</v>
      </c>
      <c r="B572" t="s">
        <v>237</v>
      </c>
      <c r="C572" t="s">
        <v>238</v>
      </c>
      <c r="D572" t="s">
        <v>239</v>
      </c>
      <c r="E572" t="s">
        <v>229</v>
      </c>
      <c r="F572">
        <v>1999</v>
      </c>
      <c r="G572">
        <v>8.4409999999999997E-4</v>
      </c>
      <c r="H572" t="s">
        <v>240</v>
      </c>
      <c r="I572" t="s">
        <v>241</v>
      </c>
      <c r="J572" t="s">
        <v>242</v>
      </c>
      <c r="K572" s="183">
        <f ca="1">VLOOKUP(F572,
    OFFSET(INDIRECT(ADDRESS(MATCH(J572,'Vehicle numbers'!$A$5:$A$162,0),1,1,1,$L$6)),4,1,COUNTIF('Vehicle numbers'!$A$5:$A$162,J572),4),
    MATCH(K$8,'Vehicle numbers'!$B$4:$D$4,0))*1000</f>
        <v>168120.99999999997</v>
      </c>
      <c r="L572" s="183">
        <f ca="1">VLOOKUP(F572,
    OFFSET(INDIRECT(ADDRESS(MATCH(J572,'Vehicle numbers'!$A$5:$A$162,0),1,1,1,$L$6)),4,1,COUNTIF('Vehicle numbers'!$A$5:$A$162,J572),4),
    MATCH(L$8,'Vehicle numbers'!$B$4:$D$4,0))*1000</f>
        <v>173995.08660432082</v>
      </c>
      <c r="M572" s="184">
        <f>VLOOKUP(F572,'Annual distance covered (GB)'!$A$8:$H$33,MATCH(J572,'Annual distance covered (GB)'!$A$7:$H$7,0))</f>
        <v>5.3</v>
      </c>
      <c r="N572" s="2">
        <f t="shared" ca="1" si="30"/>
        <v>4630.0404993685988</v>
      </c>
      <c r="O572" s="180">
        <f t="shared" ca="1" si="31"/>
        <v>2.6610179573045605E-2</v>
      </c>
      <c r="P572" s="180"/>
      <c r="Q572" s="185"/>
      <c r="R572" s="180"/>
      <c r="S572" s="180"/>
      <c r="T572" s="180"/>
    </row>
    <row r="573" spans="1:20" x14ac:dyDescent="0.25">
      <c r="A573" t="s">
        <v>246</v>
      </c>
      <c r="B573" t="s">
        <v>237</v>
      </c>
      <c r="C573" t="s">
        <v>238</v>
      </c>
      <c r="D573" t="s">
        <v>239</v>
      </c>
      <c r="E573" t="s">
        <v>229</v>
      </c>
      <c r="F573">
        <v>1999</v>
      </c>
      <c r="G573">
        <v>6.7528E-4</v>
      </c>
      <c r="H573" t="s">
        <v>240</v>
      </c>
      <c r="I573" t="s">
        <v>241</v>
      </c>
      <c r="J573" t="s">
        <v>242</v>
      </c>
      <c r="K573" s="183">
        <f ca="1">VLOOKUP(F573,
    OFFSET(INDIRECT(ADDRESS(MATCH(J573,'Vehicle numbers'!$A$5:$A$162,0),1,1,1,$L$6)),4,1,COUNTIF('Vehicle numbers'!$A$5:$A$162,J573),4),
    MATCH(K$8,'Vehicle numbers'!$B$4:$D$4,0))*1000</f>
        <v>168120.99999999997</v>
      </c>
      <c r="L573" s="183">
        <f ca="1">VLOOKUP(F573,
    OFFSET(INDIRECT(ADDRESS(MATCH(J573,'Vehicle numbers'!$A$5:$A$162,0),1,1,1,$L$6)),4,1,COUNTIF('Vehicle numbers'!$A$5:$A$162,J573),4),
    MATCH(L$8,'Vehicle numbers'!$B$4:$D$4,0))*1000</f>
        <v>173995.08660432082</v>
      </c>
      <c r="M573" s="184">
        <f>VLOOKUP(F573,'Annual distance covered (GB)'!$A$8:$H$33,MATCH(J573,'Annual distance covered (GB)'!$A$7:$H$7,0))</f>
        <v>5.3</v>
      </c>
      <c r="N573" s="2">
        <f t="shared" ca="1" si="30"/>
        <v>3704.0323994948794</v>
      </c>
      <c r="O573" s="180">
        <f t="shared" ca="1" si="31"/>
        <v>2.1288143658436485E-2</v>
      </c>
      <c r="P573" s="180"/>
      <c r="Q573" s="185"/>
      <c r="R573" s="180"/>
      <c r="S573" s="180"/>
      <c r="T573" s="180"/>
    </row>
    <row r="574" spans="1:20" x14ac:dyDescent="0.25">
      <c r="A574" t="s">
        <v>236</v>
      </c>
      <c r="B574" t="s">
        <v>237</v>
      </c>
      <c r="C574" t="s">
        <v>238</v>
      </c>
      <c r="D574" t="s">
        <v>239</v>
      </c>
      <c r="E574" t="s">
        <v>228</v>
      </c>
      <c r="F574">
        <v>1999</v>
      </c>
      <c r="G574">
        <v>1.39232E-2</v>
      </c>
      <c r="H574" t="s">
        <v>240</v>
      </c>
      <c r="I574" t="s">
        <v>241</v>
      </c>
      <c r="J574" t="s">
        <v>242</v>
      </c>
      <c r="K574" s="183">
        <f ca="1">VLOOKUP(F574,
    OFFSET(INDIRECT(ADDRESS(MATCH(J574,'Vehicle numbers'!$A$5:$A$162,0),1,1,1,$L$6)),4,1,COUNTIF('Vehicle numbers'!$A$5:$A$162,J574),4),
    MATCH(K$8,'Vehicle numbers'!$B$4:$D$4,0))*1000</f>
        <v>168120.99999999997</v>
      </c>
      <c r="L574" s="183">
        <f ca="1">VLOOKUP(F574,
    OFFSET(INDIRECT(ADDRESS(MATCH(J574,'Vehicle numbers'!$A$5:$A$162,0),1,1,1,$L$6)),4,1,COUNTIF('Vehicle numbers'!$A$5:$A$162,J574),4),
    MATCH(L$8,'Vehicle numbers'!$B$4:$D$4,0))*1000</f>
        <v>173995.08660432082</v>
      </c>
      <c r="M574" s="184">
        <f>VLOOKUP(F574,'Annual distance covered (GB)'!$A$8:$H$33,MATCH(J574,'Annual distance covered (GB)'!$A$7:$H$7,0))</f>
        <v>5.3</v>
      </c>
      <c r="N574" s="2">
        <f t="shared" ca="1" si="30"/>
        <v>76371.259188258366</v>
      </c>
      <c r="O574" s="180">
        <f t="shared" ca="1" si="31"/>
        <v>0.43892767708971525</v>
      </c>
      <c r="P574" s="180"/>
      <c r="Q574" s="185"/>
      <c r="R574" s="180"/>
      <c r="S574" s="180"/>
      <c r="T574" s="180"/>
    </row>
    <row r="575" spans="1:20" x14ac:dyDescent="0.25">
      <c r="A575" t="s">
        <v>243</v>
      </c>
      <c r="B575" t="s">
        <v>237</v>
      </c>
      <c r="C575" t="s">
        <v>238</v>
      </c>
      <c r="D575" t="s">
        <v>239</v>
      </c>
      <c r="E575" t="s">
        <v>228</v>
      </c>
      <c r="F575">
        <v>1999</v>
      </c>
      <c r="G575">
        <v>9.7462399999999998E-3</v>
      </c>
      <c r="H575" t="s">
        <v>240</v>
      </c>
      <c r="I575" t="s">
        <v>241</v>
      </c>
      <c r="J575" t="s">
        <v>242</v>
      </c>
      <c r="K575" s="183">
        <f ca="1">VLOOKUP(F575,
    OFFSET(INDIRECT(ADDRESS(MATCH(J575,'Vehicle numbers'!$A$5:$A$162,0),1,1,1,$L$6)),4,1,COUNTIF('Vehicle numbers'!$A$5:$A$162,J575),4),
    MATCH(K$8,'Vehicle numbers'!$B$4:$D$4,0))*1000</f>
        <v>168120.99999999997</v>
      </c>
      <c r="L575" s="183">
        <f ca="1">VLOOKUP(F575,
    OFFSET(INDIRECT(ADDRESS(MATCH(J575,'Vehicle numbers'!$A$5:$A$162,0),1,1,1,$L$6)),4,1,COUNTIF('Vehicle numbers'!$A$5:$A$162,J575),4),
    MATCH(L$8,'Vehicle numbers'!$B$4:$D$4,0))*1000</f>
        <v>173995.08660432082</v>
      </c>
      <c r="M575" s="184">
        <f>VLOOKUP(F575,'Annual distance covered (GB)'!$A$8:$H$33,MATCH(J575,'Annual distance covered (GB)'!$A$7:$H$7,0))</f>
        <v>5.3</v>
      </c>
      <c r="N575" s="2">
        <f t="shared" ca="1" si="30"/>
        <v>53459.881431780843</v>
      </c>
      <c r="O575" s="180">
        <f t="shared" ca="1" si="31"/>
        <v>0.30724937396280061</v>
      </c>
      <c r="P575" s="180"/>
      <c r="Q575" s="185"/>
      <c r="R575" s="180"/>
      <c r="S575" s="180"/>
      <c r="T575" s="180"/>
    </row>
    <row r="576" spans="1:20" x14ac:dyDescent="0.25">
      <c r="A576" t="s">
        <v>244</v>
      </c>
      <c r="B576" t="s">
        <v>237</v>
      </c>
      <c r="C576" t="s">
        <v>238</v>
      </c>
      <c r="D576" t="s">
        <v>239</v>
      </c>
      <c r="E576" t="s">
        <v>228</v>
      </c>
      <c r="F576">
        <v>1999</v>
      </c>
      <c r="G576">
        <v>1.3727098591549301E-3</v>
      </c>
      <c r="H576" t="s">
        <v>240</v>
      </c>
      <c r="I576" t="s">
        <v>241</v>
      </c>
      <c r="J576" t="s">
        <v>242</v>
      </c>
      <c r="K576" s="183">
        <f ca="1">VLOOKUP(F576,
    OFFSET(INDIRECT(ADDRESS(MATCH(J576,'Vehicle numbers'!$A$5:$A$162,0),1,1,1,$L$6)),4,1,COUNTIF('Vehicle numbers'!$A$5:$A$162,J576),4),
    MATCH(K$8,'Vehicle numbers'!$B$4:$D$4,0))*1000</f>
        <v>168120.99999999997</v>
      </c>
      <c r="L576" s="183">
        <f ca="1">VLOOKUP(F576,
    OFFSET(INDIRECT(ADDRESS(MATCH(J576,'Vehicle numbers'!$A$5:$A$162,0),1,1,1,$L$6)),4,1,COUNTIF('Vehicle numbers'!$A$5:$A$162,J576),4),
    MATCH(L$8,'Vehicle numbers'!$B$4:$D$4,0))*1000</f>
        <v>173995.08660432082</v>
      </c>
      <c r="M576" s="184">
        <f>VLOOKUP(F576,'Annual distance covered (GB)'!$A$8:$H$33,MATCH(J576,'Annual distance covered (GB)'!$A$7:$H$7,0))</f>
        <v>5.3</v>
      </c>
      <c r="N576" s="2">
        <f t="shared" ca="1" si="30"/>
        <v>7529.5607650395586</v>
      </c>
      <c r="O576" s="180">
        <f t="shared" ca="1" si="31"/>
        <v>4.3274559713070523E-2</v>
      </c>
      <c r="P576" s="180"/>
      <c r="Q576" s="185"/>
      <c r="R576" s="180"/>
      <c r="S576" s="180"/>
      <c r="T576" s="180"/>
    </row>
    <row r="577" spans="1:20" x14ac:dyDescent="0.25">
      <c r="A577" t="s">
        <v>246</v>
      </c>
      <c r="B577" t="s">
        <v>237</v>
      </c>
      <c r="C577" t="s">
        <v>238</v>
      </c>
      <c r="D577" t="s">
        <v>239</v>
      </c>
      <c r="E577" t="s">
        <v>228</v>
      </c>
      <c r="F577">
        <v>1999</v>
      </c>
      <c r="G577">
        <v>1.09816788732394E-3</v>
      </c>
      <c r="H577" t="s">
        <v>240</v>
      </c>
      <c r="I577" t="s">
        <v>241</v>
      </c>
      <c r="J577" t="s">
        <v>242</v>
      </c>
      <c r="K577" s="183">
        <f ca="1">VLOOKUP(F577,
    OFFSET(INDIRECT(ADDRESS(MATCH(J577,'Vehicle numbers'!$A$5:$A$162,0),1,1,1,$L$6)),4,1,COUNTIF('Vehicle numbers'!$A$5:$A$162,J577),4),
    MATCH(K$8,'Vehicle numbers'!$B$4:$D$4,0))*1000</f>
        <v>168120.99999999997</v>
      </c>
      <c r="L577" s="183">
        <f ca="1">VLOOKUP(F577,
    OFFSET(INDIRECT(ADDRESS(MATCH(J577,'Vehicle numbers'!$A$5:$A$162,0),1,1,1,$L$6)),4,1,COUNTIF('Vehicle numbers'!$A$5:$A$162,J577),4),
    MATCH(L$8,'Vehicle numbers'!$B$4:$D$4,0))*1000</f>
        <v>173995.08660432082</v>
      </c>
      <c r="M577" s="184">
        <f>VLOOKUP(F577,'Annual distance covered (GB)'!$A$8:$H$33,MATCH(J577,'Annual distance covered (GB)'!$A$7:$H$7,0))</f>
        <v>5.3</v>
      </c>
      <c r="N577" s="2">
        <f t="shared" ca="1" si="30"/>
        <v>6023.6486120316249</v>
      </c>
      <c r="O577" s="180">
        <f t="shared" ca="1" si="31"/>
        <v>3.4619647770456292E-2</v>
      </c>
      <c r="P577" s="180"/>
      <c r="Q577" s="185"/>
      <c r="R577" s="180"/>
      <c r="S577" s="180"/>
      <c r="T577" s="180"/>
    </row>
    <row r="578" spans="1:20" x14ac:dyDescent="0.25">
      <c r="A578" t="s">
        <v>236</v>
      </c>
      <c r="B578" t="s">
        <v>237</v>
      </c>
      <c r="C578" t="s">
        <v>238</v>
      </c>
      <c r="D578" t="s">
        <v>248</v>
      </c>
      <c r="E578" t="s">
        <v>229</v>
      </c>
      <c r="F578">
        <v>1999</v>
      </c>
      <c r="G578">
        <v>2.7143E-2</v>
      </c>
      <c r="H578" t="s">
        <v>240</v>
      </c>
      <c r="I578" t="s">
        <v>241</v>
      </c>
      <c r="J578" t="s">
        <v>242</v>
      </c>
      <c r="K578" s="183">
        <f ca="1">VLOOKUP(F578,
    OFFSET(INDIRECT(ADDRESS(MATCH(J578,'Vehicle numbers'!$A$5:$A$162,0),1,1,1,$L$6)),4,1,COUNTIF('Vehicle numbers'!$A$5:$A$162,J578),4),
    MATCH(K$8,'Vehicle numbers'!$B$4:$D$4,0))*1000</f>
        <v>168120.99999999997</v>
      </c>
      <c r="L578" s="183">
        <f ca="1">VLOOKUP(F578,
    OFFSET(INDIRECT(ADDRESS(MATCH(J578,'Vehicle numbers'!$A$5:$A$162,0),1,1,1,$L$6)),4,1,COUNTIF('Vehicle numbers'!$A$5:$A$162,J578),4),
    MATCH(L$8,'Vehicle numbers'!$B$4:$D$4,0))*1000</f>
        <v>173995.08660432082</v>
      </c>
      <c r="M578" s="184">
        <f>VLOOKUP(F578,'Annual distance covered (GB)'!$A$8:$H$33,MATCH(J578,'Annual distance covered (GB)'!$A$7:$H$7,0))</f>
        <v>5.3</v>
      </c>
      <c r="N578" s="2">
        <f t="shared" ca="1" si="30"/>
        <v>148884.24271337746</v>
      </c>
      <c r="O578" s="180">
        <f t="shared" ca="1" si="31"/>
        <v>0.85568072995045263</v>
      </c>
      <c r="P578" s="180"/>
      <c r="Q578" s="185"/>
      <c r="R578" s="180"/>
      <c r="S578" s="180"/>
      <c r="T578" s="180"/>
    </row>
    <row r="579" spans="1:20" x14ac:dyDescent="0.25">
      <c r="A579" t="s">
        <v>243</v>
      </c>
      <c r="B579" t="s">
        <v>237</v>
      </c>
      <c r="C579" t="s">
        <v>238</v>
      </c>
      <c r="D579" t="s">
        <v>248</v>
      </c>
      <c r="E579" t="s">
        <v>229</v>
      </c>
      <c r="F579">
        <v>1999</v>
      </c>
      <c r="G579">
        <v>1.0857199999999999E-2</v>
      </c>
      <c r="H579" t="s">
        <v>240</v>
      </c>
      <c r="I579" t="s">
        <v>241</v>
      </c>
      <c r="J579" t="s">
        <v>242</v>
      </c>
      <c r="K579" s="183">
        <f ca="1">VLOOKUP(F579,
    OFFSET(INDIRECT(ADDRESS(MATCH(J579,'Vehicle numbers'!$A$5:$A$162,0),1,1,1,$L$6)),4,1,COUNTIF('Vehicle numbers'!$A$5:$A$162,J579),4),
    MATCH(K$8,'Vehicle numbers'!$B$4:$D$4,0))*1000</f>
        <v>168120.99999999997</v>
      </c>
      <c r="L579" s="183">
        <f ca="1">VLOOKUP(F579,
    OFFSET(INDIRECT(ADDRESS(MATCH(J579,'Vehicle numbers'!$A$5:$A$162,0),1,1,1,$L$6)),4,1,COUNTIF('Vehicle numbers'!$A$5:$A$162,J579),4),
    MATCH(L$8,'Vehicle numbers'!$B$4:$D$4,0))*1000</f>
        <v>173995.08660432082</v>
      </c>
      <c r="M579" s="184">
        <f>VLOOKUP(F579,'Annual distance covered (GB)'!$A$8:$H$33,MATCH(J579,'Annual distance covered (GB)'!$A$7:$H$7,0))</f>
        <v>5.3</v>
      </c>
      <c r="N579" s="2">
        <f t="shared" ca="1" si="30"/>
        <v>59553.69708535097</v>
      </c>
      <c r="O579" s="180">
        <f t="shared" ca="1" si="31"/>
        <v>0.34227229198018094</v>
      </c>
      <c r="P579" s="180"/>
      <c r="Q579" s="185"/>
      <c r="R579" s="180"/>
      <c r="S579" s="180"/>
      <c r="T579" s="180"/>
    </row>
    <row r="580" spans="1:20" x14ac:dyDescent="0.25">
      <c r="A580" t="s">
        <v>244</v>
      </c>
      <c r="B580" t="s">
        <v>237</v>
      </c>
      <c r="C580" t="s">
        <v>238</v>
      </c>
      <c r="D580" t="s">
        <v>248</v>
      </c>
      <c r="E580" t="s">
        <v>229</v>
      </c>
      <c r="F580">
        <v>1999</v>
      </c>
      <c r="G580">
        <v>2.7142999999999998E-3</v>
      </c>
      <c r="H580" t="s">
        <v>240</v>
      </c>
      <c r="I580" t="s">
        <v>241</v>
      </c>
      <c r="J580" t="s">
        <v>242</v>
      </c>
      <c r="K580" s="183">
        <f ca="1">VLOOKUP(F580,
    OFFSET(INDIRECT(ADDRESS(MATCH(J580,'Vehicle numbers'!$A$5:$A$162,0),1,1,1,$L$6)),4,1,COUNTIF('Vehicle numbers'!$A$5:$A$162,J580),4),
    MATCH(K$8,'Vehicle numbers'!$B$4:$D$4,0))*1000</f>
        <v>168120.99999999997</v>
      </c>
      <c r="L580" s="183">
        <f ca="1">VLOOKUP(F580,
    OFFSET(INDIRECT(ADDRESS(MATCH(J580,'Vehicle numbers'!$A$5:$A$162,0),1,1,1,$L$6)),4,1,COUNTIF('Vehicle numbers'!$A$5:$A$162,J580),4),
    MATCH(L$8,'Vehicle numbers'!$B$4:$D$4,0))*1000</f>
        <v>173995.08660432082</v>
      </c>
      <c r="M580" s="184">
        <f>VLOOKUP(F580,'Annual distance covered (GB)'!$A$8:$H$33,MATCH(J580,'Annual distance covered (GB)'!$A$7:$H$7,0))</f>
        <v>5.3</v>
      </c>
      <c r="N580" s="2">
        <f t="shared" ca="1" si="30"/>
        <v>14888.424271337743</v>
      </c>
      <c r="O580" s="180">
        <f t="shared" ca="1" si="31"/>
        <v>8.5568072995045236E-2</v>
      </c>
      <c r="P580" s="180"/>
      <c r="Q580" s="185"/>
      <c r="R580" s="180"/>
      <c r="S580" s="180"/>
      <c r="T580" s="180"/>
    </row>
    <row r="581" spans="1:20" x14ac:dyDescent="0.25">
      <c r="A581" t="s">
        <v>246</v>
      </c>
      <c r="B581" t="s">
        <v>237</v>
      </c>
      <c r="C581" t="s">
        <v>238</v>
      </c>
      <c r="D581" t="s">
        <v>248</v>
      </c>
      <c r="E581" t="s">
        <v>229</v>
      </c>
      <c r="F581">
        <v>1999</v>
      </c>
      <c r="G581">
        <v>2.1714400000000002E-3</v>
      </c>
      <c r="H581" t="s">
        <v>240</v>
      </c>
      <c r="I581" t="s">
        <v>241</v>
      </c>
      <c r="J581" t="s">
        <v>242</v>
      </c>
      <c r="K581" s="183">
        <f ca="1">VLOOKUP(F581,
    OFFSET(INDIRECT(ADDRESS(MATCH(J581,'Vehicle numbers'!$A$5:$A$162,0),1,1,1,$L$6)),4,1,COUNTIF('Vehicle numbers'!$A$5:$A$162,J581),4),
    MATCH(K$8,'Vehicle numbers'!$B$4:$D$4,0))*1000</f>
        <v>168120.99999999997</v>
      </c>
      <c r="L581" s="183">
        <f ca="1">VLOOKUP(F581,
    OFFSET(INDIRECT(ADDRESS(MATCH(J581,'Vehicle numbers'!$A$5:$A$162,0),1,1,1,$L$6)),4,1,COUNTIF('Vehicle numbers'!$A$5:$A$162,J581),4),
    MATCH(L$8,'Vehicle numbers'!$B$4:$D$4,0))*1000</f>
        <v>173995.08660432082</v>
      </c>
      <c r="M581" s="184">
        <f>VLOOKUP(F581,'Annual distance covered (GB)'!$A$8:$H$33,MATCH(J581,'Annual distance covered (GB)'!$A$7:$H$7,0))</f>
        <v>5.3</v>
      </c>
      <c r="N581" s="2">
        <f t="shared" ca="1" si="30"/>
        <v>11910.739417070195</v>
      </c>
      <c r="O581" s="180">
        <f t="shared" ca="1" si="31"/>
        <v>6.84544583960362E-2</v>
      </c>
      <c r="P581" s="180"/>
      <c r="Q581" s="185"/>
      <c r="R581" s="180"/>
      <c r="S581" s="180"/>
      <c r="T581" s="180"/>
    </row>
    <row r="582" spans="1:20" x14ac:dyDescent="0.25">
      <c r="A582" t="s">
        <v>236</v>
      </c>
      <c r="B582" t="s">
        <v>237</v>
      </c>
      <c r="C582" t="s">
        <v>238</v>
      </c>
      <c r="D582" t="s">
        <v>248</v>
      </c>
      <c r="E582" t="s">
        <v>228</v>
      </c>
      <c r="F582">
        <v>1999</v>
      </c>
      <c r="G582">
        <v>1.6955207511182801E-2</v>
      </c>
      <c r="H582" t="s">
        <v>240</v>
      </c>
      <c r="I582" t="s">
        <v>241</v>
      </c>
      <c r="J582" t="s">
        <v>242</v>
      </c>
      <c r="K582" s="183">
        <f ca="1">VLOOKUP(F582,
    OFFSET(INDIRECT(ADDRESS(MATCH(J582,'Vehicle numbers'!$A$5:$A$162,0),1,1,1,$L$6)),4,1,COUNTIF('Vehicle numbers'!$A$5:$A$162,J582),4),
    MATCH(K$8,'Vehicle numbers'!$B$4:$D$4,0))*1000</f>
        <v>168120.99999999997</v>
      </c>
      <c r="L582" s="183">
        <f ca="1">VLOOKUP(F582,
    OFFSET(INDIRECT(ADDRESS(MATCH(J582,'Vehicle numbers'!$A$5:$A$162,0),1,1,1,$L$6)),4,1,COUNTIF('Vehicle numbers'!$A$5:$A$162,J582),4),
    MATCH(L$8,'Vehicle numbers'!$B$4:$D$4,0))*1000</f>
        <v>173995.08660432082</v>
      </c>
      <c r="M582" s="184">
        <f>VLOOKUP(F582,'Annual distance covered (GB)'!$A$8:$H$33,MATCH(J582,'Annual distance covered (GB)'!$A$7:$H$7,0))</f>
        <v>5.3</v>
      </c>
      <c r="N582" s="2">
        <f t="shared" ca="1" si="30"/>
        <v>93002.366368884075</v>
      </c>
      <c r="O582" s="180">
        <f t="shared" ca="1" si="31"/>
        <v>0.53451145192610594</v>
      </c>
      <c r="P582" s="180"/>
      <c r="Q582" s="185"/>
      <c r="R582" s="180"/>
      <c r="S582" s="180"/>
      <c r="T582" s="180"/>
    </row>
    <row r="583" spans="1:20" x14ac:dyDescent="0.25">
      <c r="A583" t="s">
        <v>243</v>
      </c>
      <c r="B583" t="s">
        <v>237</v>
      </c>
      <c r="C583" t="s">
        <v>238</v>
      </c>
      <c r="D583" t="s">
        <v>248</v>
      </c>
      <c r="E583" t="s">
        <v>228</v>
      </c>
      <c r="F583">
        <v>1999</v>
      </c>
      <c r="G583">
        <v>1.1868645257828001E-2</v>
      </c>
      <c r="H583" t="s">
        <v>240</v>
      </c>
      <c r="I583" t="s">
        <v>241</v>
      </c>
      <c r="J583" t="s">
        <v>242</v>
      </c>
      <c r="K583" s="183">
        <f ca="1">VLOOKUP(F583,
    OFFSET(INDIRECT(ADDRESS(MATCH(J583,'Vehicle numbers'!$A$5:$A$162,0),1,1,1,$L$6)),4,1,COUNTIF('Vehicle numbers'!$A$5:$A$162,J583),4),
    MATCH(K$8,'Vehicle numbers'!$B$4:$D$4,0))*1000</f>
        <v>168120.99999999997</v>
      </c>
      <c r="L583" s="183">
        <f ca="1">VLOOKUP(F583,
    OFFSET(INDIRECT(ADDRESS(MATCH(J583,'Vehicle numbers'!$A$5:$A$162,0),1,1,1,$L$6)),4,1,COUNTIF('Vehicle numbers'!$A$5:$A$162,J583),4),
    MATCH(L$8,'Vehicle numbers'!$B$4:$D$4,0))*1000</f>
        <v>173995.08660432082</v>
      </c>
      <c r="M583" s="184">
        <f>VLOOKUP(F583,'Annual distance covered (GB)'!$A$8:$H$33,MATCH(J583,'Annual distance covered (GB)'!$A$7:$H$7,0))</f>
        <v>5.3</v>
      </c>
      <c r="N583" s="2">
        <f t="shared" ca="1" si="30"/>
        <v>65101.656458219077</v>
      </c>
      <c r="O583" s="180">
        <f t="shared" ca="1" si="31"/>
        <v>0.37415801634827545</v>
      </c>
      <c r="P583" s="180"/>
      <c r="Q583" s="185"/>
      <c r="R583" s="180"/>
      <c r="S583" s="180"/>
      <c r="T583" s="180"/>
    </row>
    <row r="584" spans="1:20" x14ac:dyDescent="0.25">
      <c r="A584" t="s">
        <v>244</v>
      </c>
      <c r="B584" t="s">
        <v>237</v>
      </c>
      <c r="C584" t="s">
        <v>238</v>
      </c>
      <c r="D584" t="s">
        <v>248</v>
      </c>
      <c r="E584" t="s">
        <v>228</v>
      </c>
      <c r="F584">
        <v>1999</v>
      </c>
      <c r="G584">
        <v>1.6716401771588701E-3</v>
      </c>
      <c r="H584" t="s">
        <v>240</v>
      </c>
      <c r="I584" t="s">
        <v>241</v>
      </c>
      <c r="J584" t="s">
        <v>242</v>
      </c>
      <c r="K584" s="183">
        <f ca="1">VLOOKUP(F584,
    OFFSET(INDIRECT(ADDRESS(MATCH(J584,'Vehicle numbers'!$A$5:$A$162,0),1,1,1,$L$6)),4,1,COUNTIF('Vehicle numbers'!$A$5:$A$162,J584),4),
    MATCH(K$8,'Vehicle numbers'!$B$4:$D$4,0))*1000</f>
        <v>168120.99999999997</v>
      </c>
      <c r="L584" s="183">
        <f ca="1">VLOOKUP(F584,
    OFFSET(INDIRECT(ADDRESS(MATCH(J584,'Vehicle numbers'!$A$5:$A$162,0),1,1,1,$L$6)),4,1,COUNTIF('Vehicle numbers'!$A$5:$A$162,J584),4),
    MATCH(L$8,'Vehicle numbers'!$B$4:$D$4,0))*1000</f>
        <v>173995.08660432082</v>
      </c>
      <c r="M584" s="184">
        <f>VLOOKUP(F584,'Annual distance covered (GB)'!$A$8:$H$33,MATCH(J584,'Annual distance covered (GB)'!$A$7:$H$7,0))</f>
        <v>5.3</v>
      </c>
      <c r="N584" s="2">
        <f t="shared" ca="1" si="30"/>
        <v>9169.2473884815408</v>
      </c>
      <c r="O584" s="180">
        <f t="shared" ca="1" si="31"/>
        <v>5.2698312161728829E-2</v>
      </c>
      <c r="P584" s="180"/>
      <c r="Q584" s="185"/>
      <c r="R584" s="180"/>
      <c r="S584" s="180"/>
      <c r="T584" s="180"/>
    </row>
    <row r="585" spans="1:20" x14ac:dyDescent="0.25">
      <c r="A585" t="s">
        <v>246</v>
      </c>
      <c r="B585" t="s">
        <v>237</v>
      </c>
      <c r="C585" t="s">
        <v>238</v>
      </c>
      <c r="D585" t="s">
        <v>248</v>
      </c>
      <c r="E585" t="s">
        <v>228</v>
      </c>
      <c r="F585">
        <v>1999</v>
      </c>
      <c r="G585">
        <v>1.3373121417270999E-3</v>
      </c>
      <c r="H585" t="s">
        <v>240</v>
      </c>
      <c r="I585" t="s">
        <v>241</v>
      </c>
      <c r="J585" t="s">
        <v>242</v>
      </c>
      <c r="K585" s="183">
        <f ca="1">VLOOKUP(F585,
    OFFSET(INDIRECT(ADDRESS(MATCH(J585,'Vehicle numbers'!$A$5:$A$162,0),1,1,1,$L$6)),4,1,COUNTIF('Vehicle numbers'!$A$5:$A$162,J585),4),
    MATCH(K$8,'Vehicle numbers'!$B$4:$D$4,0))*1000</f>
        <v>168120.99999999997</v>
      </c>
      <c r="L585" s="183">
        <f ca="1">VLOOKUP(F585,
    OFFSET(INDIRECT(ADDRESS(MATCH(J585,'Vehicle numbers'!$A$5:$A$162,0),1,1,1,$L$6)),4,1,COUNTIF('Vehicle numbers'!$A$5:$A$162,J585),4),
    MATCH(L$8,'Vehicle numbers'!$B$4:$D$4,0))*1000</f>
        <v>173995.08660432082</v>
      </c>
      <c r="M585" s="184">
        <f>VLOOKUP(F585,'Annual distance covered (GB)'!$A$8:$H$33,MATCH(J585,'Annual distance covered (GB)'!$A$7:$H$7,0))</f>
        <v>5.3</v>
      </c>
      <c r="N585" s="2">
        <f t="shared" ca="1" si="30"/>
        <v>7335.3979107852538</v>
      </c>
      <c r="O585" s="180">
        <f t="shared" ca="1" si="31"/>
        <v>4.2158649729383185E-2</v>
      </c>
      <c r="P585" s="180"/>
      <c r="Q585" s="185"/>
      <c r="R585" s="180"/>
      <c r="S585" s="180"/>
      <c r="T585" s="180"/>
    </row>
    <row r="586" spans="1:20" x14ac:dyDescent="0.25">
      <c r="A586" t="s">
        <v>236</v>
      </c>
      <c r="B586" t="s">
        <v>237</v>
      </c>
      <c r="C586" t="s">
        <v>238</v>
      </c>
      <c r="D586" t="s">
        <v>249</v>
      </c>
      <c r="E586" t="s">
        <v>229</v>
      </c>
      <c r="F586">
        <v>1999</v>
      </c>
      <c r="G586">
        <v>5.3595000000000101E-2</v>
      </c>
      <c r="H586" t="s">
        <v>240</v>
      </c>
      <c r="I586" t="s">
        <v>241</v>
      </c>
      <c r="J586" t="s">
        <v>242</v>
      </c>
      <c r="K586" s="183">
        <f ca="1">VLOOKUP(F586,
    OFFSET(INDIRECT(ADDRESS(MATCH(J586,'Vehicle numbers'!$A$5:$A$162,0),1,1,1,$L$6)),4,1,COUNTIF('Vehicle numbers'!$A$5:$A$162,J586),4),
    MATCH(K$8,'Vehicle numbers'!$B$4:$D$4,0))*1000</f>
        <v>168120.99999999997</v>
      </c>
      <c r="L586" s="183">
        <f ca="1">VLOOKUP(F586,
    OFFSET(INDIRECT(ADDRESS(MATCH(J586,'Vehicle numbers'!$A$5:$A$162,0),1,1,1,$L$6)),4,1,COUNTIF('Vehicle numbers'!$A$5:$A$162,J586),4),
    MATCH(L$8,'Vehicle numbers'!$B$4:$D$4,0))*1000</f>
        <v>173995.08660432082</v>
      </c>
      <c r="M586" s="184">
        <f>VLOOKUP(F586,'Annual distance covered (GB)'!$A$8:$H$33,MATCH(J586,'Annual distance covered (GB)'!$A$7:$H$7,0))</f>
        <v>5.3</v>
      </c>
      <c r="N586" s="2">
        <f t="shared" ca="1" si="30"/>
        <v>293978.22599651763</v>
      </c>
      <c r="O586" s="180">
        <f t="shared" ca="1" si="31"/>
        <v>1.6895777446006184</v>
      </c>
      <c r="P586" s="180"/>
      <c r="Q586" s="185"/>
      <c r="R586" s="180"/>
      <c r="S586" s="180"/>
      <c r="T586" s="180"/>
    </row>
    <row r="587" spans="1:20" x14ac:dyDescent="0.25">
      <c r="A587" t="s">
        <v>243</v>
      </c>
      <c r="B587" t="s">
        <v>237</v>
      </c>
      <c r="C587" t="s">
        <v>238</v>
      </c>
      <c r="D587" t="s">
        <v>249</v>
      </c>
      <c r="E587" t="s">
        <v>229</v>
      </c>
      <c r="F587">
        <v>1999</v>
      </c>
      <c r="G587">
        <v>2.1437999999999999E-2</v>
      </c>
      <c r="H587" t="s">
        <v>240</v>
      </c>
      <c r="I587" t="s">
        <v>241</v>
      </c>
      <c r="J587" t="s">
        <v>242</v>
      </c>
      <c r="K587" s="183">
        <f ca="1">VLOOKUP(F587,
    OFFSET(INDIRECT(ADDRESS(MATCH(J587,'Vehicle numbers'!$A$5:$A$162,0),1,1,1,$L$6)),4,1,COUNTIF('Vehicle numbers'!$A$5:$A$162,J587),4),
    MATCH(K$8,'Vehicle numbers'!$B$4:$D$4,0))*1000</f>
        <v>168120.99999999997</v>
      </c>
      <c r="L587" s="183">
        <f ca="1">VLOOKUP(F587,
    OFFSET(INDIRECT(ADDRESS(MATCH(J587,'Vehicle numbers'!$A$5:$A$162,0),1,1,1,$L$6)),4,1,COUNTIF('Vehicle numbers'!$A$5:$A$162,J587),4),
    MATCH(L$8,'Vehicle numbers'!$B$4:$D$4,0))*1000</f>
        <v>173995.08660432082</v>
      </c>
      <c r="M587" s="184">
        <f>VLOOKUP(F587,'Annual distance covered (GB)'!$A$8:$H$33,MATCH(J587,'Annual distance covered (GB)'!$A$7:$H$7,0))</f>
        <v>5.3</v>
      </c>
      <c r="N587" s="2">
        <f t="shared" ref="N587:N650" ca="1" si="32">M587*G587*1000000*(L587/K587)</f>
        <v>117591.29039860681</v>
      </c>
      <c r="O587" s="180">
        <f t="shared" ref="O587:O650" ca="1" si="33">N587/L587</f>
        <v>0.67583109784024598</v>
      </c>
      <c r="P587" s="180"/>
      <c r="Q587" s="185"/>
      <c r="R587" s="180"/>
      <c r="S587" s="180"/>
      <c r="T587" s="180"/>
    </row>
    <row r="588" spans="1:20" x14ac:dyDescent="0.25">
      <c r="A588" t="s">
        <v>244</v>
      </c>
      <c r="B588" t="s">
        <v>237</v>
      </c>
      <c r="C588" t="s">
        <v>238</v>
      </c>
      <c r="D588" t="s">
        <v>249</v>
      </c>
      <c r="E588" t="s">
        <v>229</v>
      </c>
      <c r="F588">
        <v>1999</v>
      </c>
      <c r="G588">
        <v>5.3594999999999997E-3</v>
      </c>
      <c r="H588" t="s">
        <v>240</v>
      </c>
      <c r="I588" t="s">
        <v>241</v>
      </c>
      <c r="J588" t="s">
        <v>242</v>
      </c>
      <c r="K588" s="183">
        <f ca="1">VLOOKUP(F588,
    OFFSET(INDIRECT(ADDRESS(MATCH(J588,'Vehicle numbers'!$A$5:$A$162,0),1,1,1,$L$6)),4,1,COUNTIF('Vehicle numbers'!$A$5:$A$162,J588),4),
    MATCH(K$8,'Vehicle numbers'!$B$4:$D$4,0))*1000</f>
        <v>168120.99999999997</v>
      </c>
      <c r="L588" s="183">
        <f ca="1">VLOOKUP(F588,
    OFFSET(INDIRECT(ADDRESS(MATCH(J588,'Vehicle numbers'!$A$5:$A$162,0),1,1,1,$L$6)),4,1,COUNTIF('Vehicle numbers'!$A$5:$A$162,J588),4),
    MATCH(L$8,'Vehicle numbers'!$B$4:$D$4,0))*1000</f>
        <v>173995.08660432082</v>
      </c>
      <c r="M588" s="184">
        <f>VLOOKUP(F588,'Annual distance covered (GB)'!$A$8:$H$33,MATCH(J588,'Annual distance covered (GB)'!$A$7:$H$7,0))</f>
        <v>5.3</v>
      </c>
      <c r="N588" s="2">
        <f t="shared" ca="1" si="32"/>
        <v>29397.822599651703</v>
      </c>
      <c r="O588" s="180">
        <f t="shared" ca="1" si="33"/>
        <v>0.16895777446006149</v>
      </c>
      <c r="P588" s="180"/>
      <c r="Q588" s="185"/>
      <c r="R588" s="180"/>
      <c r="S588" s="180"/>
      <c r="T588" s="180"/>
    </row>
    <row r="589" spans="1:20" x14ac:dyDescent="0.25">
      <c r="A589" t="s">
        <v>246</v>
      </c>
      <c r="B589" t="s">
        <v>237</v>
      </c>
      <c r="C589" t="s">
        <v>238</v>
      </c>
      <c r="D589" t="s">
        <v>249</v>
      </c>
      <c r="E589" t="s">
        <v>229</v>
      </c>
      <c r="F589">
        <v>1999</v>
      </c>
      <c r="G589">
        <v>4.2875999999999999E-3</v>
      </c>
      <c r="H589" t="s">
        <v>240</v>
      </c>
      <c r="I589" t="s">
        <v>241</v>
      </c>
      <c r="J589" t="s">
        <v>242</v>
      </c>
      <c r="K589" s="183">
        <f ca="1">VLOOKUP(F589,
    OFFSET(INDIRECT(ADDRESS(MATCH(J589,'Vehicle numbers'!$A$5:$A$162,0),1,1,1,$L$6)),4,1,COUNTIF('Vehicle numbers'!$A$5:$A$162,J589),4),
    MATCH(K$8,'Vehicle numbers'!$B$4:$D$4,0))*1000</f>
        <v>168120.99999999997</v>
      </c>
      <c r="L589" s="183">
        <f ca="1">VLOOKUP(F589,
    OFFSET(INDIRECT(ADDRESS(MATCH(J589,'Vehicle numbers'!$A$5:$A$162,0),1,1,1,$L$6)),4,1,COUNTIF('Vehicle numbers'!$A$5:$A$162,J589),4),
    MATCH(L$8,'Vehicle numbers'!$B$4:$D$4,0))*1000</f>
        <v>173995.08660432082</v>
      </c>
      <c r="M589" s="184">
        <f>VLOOKUP(F589,'Annual distance covered (GB)'!$A$8:$H$33,MATCH(J589,'Annual distance covered (GB)'!$A$7:$H$7,0))</f>
        <v>5.3</v>
      </c>
      <c r="N589" s="2">
        <f t="shared" ca="1" si="32"/>
        <v>23518.258079721367</v>
      </c>
      <c r="O589" s="180">
        <f t="shared" ca="1" si="33"/>
        <v>0.13516621956804922</v>
      </c>
      <c r="P589" s="180"/>
      <c r="Q589" s="185"/>
      <c r="R589" s="180"/>
      <c r="S589" s="180"/>
      <c r="T589" s="180"/>
    </row>
    <row r="590" spans="1:20" x14ac:dyDescent="0.25">
      <c r="A590" t="s">
        <v>236</v>
      </c>
      <c r="B590" t="s">
        <v>237</v>
      </c>
      <c r="C590" t="s">
        <v>238</v>
      </c>
      <c r="D590" t="s">
        <v>249</v>
      </c>
      <c r="E590" t="s">
        <v>228</v>
      </c>
      <c r="F590">
        <v>1999</v>
      </c>
      <c r="G590">
        <v>2.1562200648721899E-2</v>
      </c>
      <c r="H590" t="s">
        <v>240</v>
      </c>
      <c r="I590" t="s">
        <v>241</v>
      </c>
      <c r="J590" t="s">
        <v>242</v>
      </c>
      <c r="K590" s="183">
        <f ca="1">VLOOKUP(F590,
    OFFSET(INDIRECT(ADDRESS(MATCH(J590,'Vehicle numbers'!$A$5:$A$162,0),1,1,1,$L$6)),4,1,COUNTIF('Vehicle numbers'!$A$5:$A$162,J590),4),
    MATCH(K$8,'Vehicle numbers'!$B$4:$D$4,0))*1000</f>
        <v>168120.99999999997</v>
      </c>
      <c r="L590" s="183">
        <f ca="1">VLOOKUP(F590,
    OFFSET(INDIRECT(ADDRESS(MATCH(J590,'Vehicle numbers'!$A$5:$A$162,0),1,1,1,$L$6)),4,1,COUNTIF('Vehicle numbers'!$A$5:$A$162,J590),4),
    MATCH(L$8,'Vehicle numbers'!$B$4:$D$4,0))*1000</f>
        <v>173995.08660432082</v>
      </c>
      <c r="M590" s="184">
        <f>VLOOKUP(F590,'Annual distance covered (GB)'!$A$8:$H$33,MATCH(J590,'Annual distance covered (GB)'!$A$7:$H$7,0))</f>
        <v>5.3</v>
      </c>
      <c r="N590" s="2">
        <f t="shared" ca="1" si="32"/>
        <v>118272.55332199298</v>
      </c>
      <c r="O590" s="180">
        <f t="shared" ca="1" si="33"/>
        <v>0.67974651256075136</v>
      </c>
      <c r="P590" s="180"/>
      <c r="Q590" s="185"/>
      <c r="R590" s="180"/>
      <c r="S590" s="180"/>
      <c r="T590" s="180"/>
    </row>
    <row r="591" spans="1:20" x14ac:dyDescent="0.25">
      <c r="A591" t="s">
        <v>243</v>
      </c>
      <c r="B591" t="s">
        <v>237</v>
      </c>
      <c r="C591" t="s">
        <v>238</v>
      </c>
      <c r="D591" t="s">
        <v>249</v>
      </c>
      <c r="E591" t="s">
        <v>228</v>
      </c>
      <c r="F591">
        <v>1999</v>
      </c>
      <c r="G591">
        <v>1.5093540454105299E-2</v>
      </c>
      <c r="H591" t="s">
        <v>240</v>
      </c>
      <c r="I591" t="s">
        <v>241</v>
      </c>
      <c r="J591" t="s">
        <v>242</v>
      </c>
      <c r="K591" s="183">
        <f ca="1">VLOOKUP(F591,
    OFFSET(INDIRECT(ADDRESS(MATCH(J591,'Vehicle numbers'!$A$5:$A$162,0),1,1,1,$L$6)),4,1,COUNTIF('Vehicle numbers'!$A$5:$A$162,J591),4),
    MATCH(K$8,'Vehicle numbers'!$B$4:$D$4,0))*1000</f>
        <v>168120.99999999997</v>
      </c>
      <c r="L591" s="183">
        <f ca="1">VLOOKUP(F591,
    OFFSET(INDIRECT(ADDRESS(MATCH(J591,'Vehicle numbers'!$A$5:$A$162,0),1,1,1,$L$6)),4,1,COUNTIF('Vehicle numbers'!$A$5:$A$162,J591),4),
    MATCH(L$8,'Vehicle numbers'!$B$4:$D$4,0))*1000</f>
        <v>173995.08660432082</v>
      </c>
      <c r="M591" s="184">
        <f>VLOOKUP(F591,'Annual distance covered (GB)'!$A$8:$H$33,MATCH(J591,'Annual distance covered (GB)'!$A$7:$H$7,0))</f>
        <v>5.3</v>
      </c>
      <c r="N591" s="2">
        <f t="shared" ca="1" si="32"/>
        <v>82790.787325394922</v>
      </c>
      <c r="O591" s="180">
        <f t="shared" ca="1" si="33"/>
        <v>0.475822558792525</v>
      </c>
      <c r="P591" s="180"/>
      <c r="Q591" s="185"/>
      <c r="R591" s="180"/>
      <c r="S591" s="180"/>
      <c r="T591" s="180"/>
    </row>
    <row r="592" spans="1:20" x14ac:dyDescent="0.25">
      <c r="A592" t="s">
        <v>244</v>
      </c>
      <c r="B592" t="s">
        <v>237</v>
      </c>
      <c r="C592" t="s">
        <v>238</v>
      </c>
      <c r="D592" t="s">
        <v>249</v>
      </c>
      <c r="E592" t="s">
        <v>228</v>
      </c>
      <c r="F592">
        <v>1999</v>
      </c>
      <c r="G592">
        <v>2.1258507681838402E-3</v>
      </c>
      <c r="H592" t="s">
        <v>240</v>
      </c>
      <c r="I592" t="s">
        <v>241</v>
      </c>
      <c r="J592" t="s">
        <v>242</v>
      </c>
      <c r="K592" s="183">
        <f ca="1">VLOOKUP(F592,
    OFFSET(INDIRECT(ADDRESS(MATCH(J592,'Vehicle numbers'!$A$5:$A$162,0),1,1,1,$L$6)),4,1,COUNTIF('Vehicle numbers'!$A$5:$A$162,J592),4),
    MATCH(K$8,'Vehicle numbers'!$B$4:$D$4,0))*1000</f>
        <v>168120.99999999997</v>
      </c>
      <c r="L592" s="183">
        <f ca="1">VLOOKUP(F592,
    OFFSET(INDIRECT(ADDRESS(MATCH(J592,'Vehicle numbers'!$A$5:$A$162,0),1,1,1,$L$6)),4,1,COUNTIF('Vehicle numbers'!$A$5:$A$162,J592),4),
    MATCH(L$8,'Vehicle numbers'!$B$4:$D$4,0))*1000</f>
        <v>173995.08660432082</v>
      </c>
      <c r="M592" s="184">
        <f>VLOOKUP(F592,'Annual distance covered (GB)'!$A$8:$H$33,MATCH(J592,'Annual distance covered (GB)'!$A$7:$H$7,0))</f>
        <v>5.3</v>
      </c>
      <c r="N592" s="2">
        <f t="shared" ca="1" si="32"/>
        <v>11660.674271182357</v>
      </c>
      <c r="O592" s="180">
        <f t="shared" ca="1" si="33"/>
        <v>6.7017261801763928E-2</v>
      </c>
      <c r="P592" s="180"/>
      <c r="Q592" s="185"/>
      <c r="R592" s="180"/>
      <c r="S592" s="180"/>
      <c r="T592" s="180"/>
    </row>
    <row r="593" spans="1:20" x14ac:dyDescent="0.25">
      <c r="A593" t="s">
        <v>246</v>
      </c>
      <c r="B593" t="s">
        <v>237</v>
      </c>
      <c r="C593" t="s">
        <v>238</v>
      </c>
      <c r="D593" t="s">
        <v>249</v>
      </c>
      <c r="E593" t="s">
        <v>228</v>
      </c>
      <c r="F593">
        <v>1999</v>
      </c>
      <c r="G593">
        <v>1.7006806145470699E-3</v>
      </c>
      <c r="H593" t="s">
        <v>240</v>
      </c>
      <c r="I593" t="s">
        <v>241</v>
      </c>
      <c r="J593" t="s">
        <v>242</v>
      </c>
      <c r="K593" s="183">
        <f ca="1">VLOOKUP(F593,
    OFFSET(INDIRECT(ADDRESS(MATCH(J593,'Vehicle numbers'!$A$5:$A$162,0),1,1,1,$L$6)),4,1,COUNTIF('Vehicle numbers'!$A$5:$A$162,J593),4),
    MATCH(K$8,'Vehicle numbers'!$B$4:$D$4,0))*1000</f>
        <v>168120.99999999997</v>
      </c>
      <c r="L593" s="183">
        <f ca="1">VLOOKUP(F593,
    OFFSET(INDIRECT(ADDRESS(MATCH(J593,'Vehicle numbers'!$A$5:$A$162,0),1,1,1,$L$6)),4,1,COUNTIF('Vehicle numbers'!$A$5:$A$162,J593),4),
    MATCH(L$8,'Vehicle numbers'!$B$4:$D$4,0))*1000</f>
        <v>173995.08660432082</v>
      </c>
      <c r="M593" s="184">
        <f>VLOOKUP(F593,'Annual distance covered (GB)'!$A$8:$H$33,MATCH(J593,'Annual distance covered (GB)'!$A$7:$H$7,0))</f>
        <v>5.3</v>
      </c>
      <c r="N593" s="2">
        <f t="shared" ca="1" si="32"/>
        <v>9328.5394169458723</v>
      </c>
      <c r="O593" s="180">
        <f t="shared" ca="1" si="33"/>
        <v>5.3613809441411066E-2</v>
      </c>
      <c r="P593" s="180"/>
      <c r="Q593" s="185"/>
      <c r="R593" s="180"/>
      <c r="S593" s="180"/>
      <c r="T593" s="180"/>
    </row>
    <row r="594" spans="1:20" x14ac:dyDescent="0.25">
      <c r="A594" t="s">
        <v>236</v>
      </c>
      <c r="B594" t="s">
        <v>237</v>
      </c>
      <c r="C594" t="s">
        <v>238</v>
      </c>
      <c r="D594" t="s">
        <v>250</v>
      </c>
      <c r="E594" t="s">
        <v>229</v>
      </c>
      <c r="F594">
        <v>1999</v>
      </c>
      <c r="G594">
        <v>1.3600000000000001E-3</v>
      </c>
      <c r="H594" t="s">
        <v>240</v>
      </c>
      <c r="I594" t="s">
        <v>241</v>
      </c>
      <c r="J594" t="s">
        <v>2</v>
      </c>
      <c r="K594" s="183">
        <f ca="1">VLOOKUP(F594,
    OFFSET(INDIRECT(ADDRESS(MATCH(J594,'Vehicle numbers'!$A$5:$A$162,0),1,1,1,$L$6)),4,1,COUNTIF('Vehicle numbers'!$A$5:$A$162,J594),4),
    MATCH(K$8,'Vehicle numbers'!$B$4:$D$4,0))*1000</f>
        <v>23974937</v>
      </c>
      <c r="L594" s="183">
        <f ca="1">VLOOKUP(F594,
    OFFSET(INDIRECT(ADDRESS(MATCH(J594,'Vehicle numbers'!$A$5:$A$162,0),1,1,1,$L$6)),4,1,COUNTIF('Vehicle numbers'!$A$5:$A$162,J594),4),
    MATCH(L$8,'Vehicle numbers'!$B$4:$D$4,0))*1000</f>
        <v>24711746.717117552</v>
      </c>
      <c r="M594" s="184">
        <f>VLOOKUP(F594,'Annual distance covered (GB)'!$A$8:$H$33,MATCH(J594,'Annual distance covered (GB)'!$A$7:$H$7,0))</f>
        <v>377.4</v>
      </c>
      <c r="N594" s="2">
        <f t="shared" ca="1" si="32"/>
        <v>529037.88514708611</v>
      </c>
      <c r="O594" s="180">
        <f t="shared" ca="1" si="33"/>
        <v>2.1408356568361372E-2</v>
      </c>
      <c r="P594" s="180"/>
      <c r="Q594" s="185"/>
      <c r="R594" s="180"/>
      <c r="S594" s="180"/>
      <c r="T594" s="180"/>
    </row>
    <row r="595" spans="1:20" x14ac:dyDescent="0.25">
      <c r="A595" t="s">
        <v>243</v>
      </c>
      <c r="B595" t="s">
        <v>237</v>
      </c>
      <c r="C595" t="s">
        <v>238</v>
      </c>
      <c r="D595" t="s">
        <v>250</v>
      </c>
      <c r="E595" t="s">
        <v>229</v>
      </c>
      <c r="F595">
        <v>1999</v>
      </c>
      <c r="G595">
        <v>5.44E-4</v>
      </c>
      <c r="H595" t="s">
        <v>240</v>
      </c>
      <c r="I595" t="s">
        <v>241</v>
      </c>
      <c r="J595" t="s">
        <v>2</v>
      </c>
      <c r="K595" s="183">
        <f ca="1">VLOOKUP(F595,
    OFFSET(INDIRECT(ADDRESS(MATCH(J595,'Vehicle numbers'!$A$5:$A$162,0),1,1,1,$L$6)),4,1,COUNTIF('Vehicle numbers'!$A$5:$A$162,J595),4),
    MATCH(K$8,'Vehicle numbers'!$B$4:$D$4,0))*1000</f>
        <v>23974937</v>
      </c>
      <c r="L595" s="183">
        <f ca="1">VLOOKUP(F595,
    OFFSET(INDIRECT(ADDRESS(MATCH(J595,'Vehicle numbers'!$A$5:$A$162,0),1,1,1,$L$6)),4,1,COUNTIF('Vehicle numbers'!$A$5:$A$162,J595),4),
    MATCH(L$8,'Vehicle numbers'!$B$4:$D$4,0))*1000</f>
        <v>24711746.717117552</v>
      </c>
      <c r="M595" s="184">
        <f>VLOOKUP(F595,'Annual distance covered (GB)'!$A$8:$H$33,MATCH(J595,'Annual distance covered (GB)'!$A$7:$H$7,0))</f>
        <v>377.4</v>
      </c>
      <c r="N595" s="2">
        <f t="shared" ca="1" si="32"/>
        <v>211615.15405883439</v>
      </c>
      <c r="O595" s="180">
        <f t="shared" ca="1" si="33"/>
        <v>8.5633426273445459E-3</v>
      </c>
      <c r="P595" s="180"/>
      <c r="Q595" s="185"/>
      <c r="R595" s="180"/>
      <c r="S595" s="180"/>
      <c r="T595" s="180"/>
    </row>
    <row r="596" spans="1:20" x14ac:dyDescent="0.25">
      <c r="A596" t="s">
        <v>244</v>
      </c>
      <c r="B596" t="s">
        <v>237</v>
      </c>
      <c r="C596" t="s">
        <v>238</v>
      </c>
      <c r="D596" t="s">
        <v>250</v>
      </c>
      <c r="E596" t="s">
        <v>229</v>
      </c>
      <c r="F596">
        <v>1999</v>
      </c>
      <c r="G596">
        <v>1.36E-4</v>
      </c>
      <c r="H596" t="s">
        <v>240</v>
      </c>
      <c r="I596" t="s">
        <v>241</v>
      </c>
      <c r="J596" t="s">
        <v>2</v>
      </c>
      <c r="K596" s="183">
        <f ca="1">VLOOKUP(F596,
    OFFSET(INDIRECT(ADDRESS(MATCH(J596,'Vehicle numbers'!$A$5:$A$162,0),1,1,1,$L$6)),4,1,COUNTIF('Vehicle numbers'!$A$5:$A$162,J596),4),
    MATCH(K$8,'Vehicle numbers'!$B$4:$D$4,0))*1000</f>
        <v>23974937</v>
      </c>
      <c r="L596" s="183">
        <f ca="1">VLOOKUP(F596,
    OFFSET(INDIRECT(ADDRESS(MATCH(J596,'Vehicle numbers'!$A$5:$A$162,0),1,1,1,$L$6)),4,1,COUNTIF('Vehicle numbers'!$A$5:$A$162,J596),4),
    MATCH(L$8,'Vehicle numbers'!$B$4:$D$4,0))*1000</f>
        <v>24711746.717117552</v>
      </c>
      <c r="M596" s="184">
        <f>VLOOKUP(F596,'Annual distance covered (GB)'!$A$8:$H$33,MATCH(J596,'Annual distance covered (GB)'!$A$7:$H$7,0))</f>
        <v>377.4</v>
      </c>
      <c r="N596" s="2">
        <f t="shared" ca="1" si="32"/>
        <v>52903.788514708598</v>
      </c>
      <c r="O596" s="180">
        <f t="shared" ca="1" si="33"/>
        <v>2.1408356568361365E-3</v>
      </c>
      <c r="P596" s="180"/>
      <c r="Q596" s="185"/>
      <c r="R596" s="180"/>
      <c r="S596" s="180"/>
      <c r="T596" s="180"/>
    </row>
    <row r="597" spans="1:20" x14ac:dyDescent="0.25">
      <c r="A597" t="s">
        <v>246</v>
      </c>
      <c r="B597" t="s">
        <v>237</v>
      </c>
      <c r="C597" t="s">
        <v>238</v>
      </c>
      <c r="D597" t="s">
        <v>250</v>
      </c>
      <c r="E597" t="s">
        <v>229</v>
      </c>
      <c r="F597">
        <v>1999</v>
      </c>
      <c r="G597">
        <v>1.088E-4</v>
      </c>
      <c r="H597" t="s">
        <v>240</v>
      </c>
      <c r="I597" t="s">
        <v>241</v>
      </c>
      <c r="J597" t="s">
        <v>2</v>
      </c>
      <c r="K597" s="183">
        <f ca="1">VLOOKUP(F597,
    OFFSET(INDIRECT(ADDRESS(MATCH(J597,'Vehicle numbers'!$A$5:$A$162,0),1,1,1,$L$6)),4,1,COUNTIF('Vehicle numbers'!$A$5:$A$162,J597),4),
    MATCH(K$8,'Vehicle numbers'!$B$4:$D$4,0))*1000</f>
        <v>23974937</v>
      </c>
      <c r="L597" s="183">
        <f ca="1">VLOOKUP(F597,
    OFFSET(INDIRECT(ADDRESS(MATCH(J597,'Vehicle numbers'!$A$5:$A$162,0),1,1,1,$L$6)),4,1,COUNTIF('Vehicle numbers'!$A$5:$A$162,J597),4),
    MATCH(L$8,'Vehicle numbers'!$B$4:$D$4,0))*1000</f>
        <v>24711746.717117552</v>
      </c>
      <c r="M597" s="184">
        <f>VLOOKUP(F597,'Annual distance covered (GB)'!$A$8:$H$33,MATCH(J597,'Annual distance covered (GB)'!$A$7:$H$7,0))</f>
        <v>377.4</v>
      </c>
      <c r="N597" s="2">
        <f t="shared" ca="1" si="32"/>
        <v>42323.03081176689</v>
      </c>
      <c r="O597" s="180">
        <f t="shared" ca="1" si="33"/>
        <v>1.7126685254689098E-3</v>
      </c>
      <c r="P597" s="180"/>
      <c r="Q597" s="185"/>
      <c r="R597" s="180"/>
      <c r="S597" s="180"/>
      <c r="T597" s="180"/>
    </row>
    <row r="598" spans="1:20" x14ac:dyDescent="0.25">
      <c r="A598" t="s">
        <v>236</v>
      </c>
      <c r="B598" t="s">
        <v>237</v>
      </c>
      <c r="C598" t="s">
        <v>238</v>
      </c>
      <c r="D598" t="s">
        <v>250</v>
      </c>
      <c r="E598" t="s">
        <v>228</v>
      </c>
      <c r="F598">
        <v>1999</v>
      </c>
      <c r="G598">
        <v>5.7910000000000001E-3</v>
      </c>
      <c r="H598" t="s">
        <v>240</v>
      </c>
      <c r="I598" t="s">
        <v>241</v>
      </c>
      <c r="J598" t="s">
        <v>2</v>
      </c>
      <c r="K598" s="183">
        <f ca="1">VLOOKUP(F598,
    OFFSET(INDIRECT(ADDRESS(MATCH(J598,'Vehicle numbers'!$A$5:$A$162,0),1,1,1,$L$6)),4,1,COUNTIF('Vehicle numbers'!$A$5:$A$162,J598),4),
    MATCH(K$8,'Vehicle numbers'!$B$4:$D$4,0))*1000</f>
        <v>23974937</v>
      </c>
      <c r="L598" s="183">
        <f ca="1">VLOOKUP(F598,
    OFFSET(INDIRECT(ADDRESS(MATCH(J598,'Vehicle numbers'!$A$5:$A$162,0),1,1,1,$L$6)),4,1,COUNTIF('Vehicle numbers'!$A$5:$A$162,J598),4),
    MATCH(L$8,'Vehicle numbers'!$B$4:$D$4,0))*1000</f>
        <v>24711746.717117552</v>
      </c>
      <c r="M598" s="184">
        <f>VLOOKUP(F598,'Annual distance covered (GB)'!$A$8:$H$33,MATCH(J598,'Annual distance covered (GB)'!$A$7:$H$7,0))</f>
        <v>377.4</v>
      </c>
      <c r="N598" s="2">
        <f t="shared" ca="1" si="32"/>
        <v>2252689.9947696878</v>
      </c>
      <c r="O598" s="180">
        <f t="shared" ca="1" si="33"/>
        <v>9.1158671240721093E-2</v>
      </c>
      <c r="P598" s="180"/>
      <c r="Q598" s="185"/>
      <c r="R598" s="180"/>
      <c r="S598" s="180"/>
      <c r="T598" s="180"/>
    </row>
    <row r="599" spans="1:20" x14ac:dyDescent="0.25">
      <c r="A599" t="s">
        <v>243</v>
      </c>
      <c r="B599" t="s">
        <v>237</v>
      </c>
      <c r="C599" t="s">
        <v>238</v>
      </c>
      <c r="D599" t="s">
        <v>250</v>
      </c>
      <c r="E599" t="s">
        <v>228</v>
      </c>
      <c r="F599">
        <v>1999</v>
      </c>
      <c r="G599">
        <v>4.0537000000000004E-3</v>
      </c>
      <c r="H599" t="s">
        <v>240</v>
      </c>
      <c r="I599" t="s">
        <v>241</v>
      </c>
      <c r="J599" t="s">
        <v>2</v>
      </c>
      <c r="K599" s="183">
        <f ca="1">VLOOKUP(F599,
    OFFSET(INDIRECT(ADDRESS(MATCH(J599,'Vehicle numbers'!$A$5:$A$162,0),1,1,1,$L$6)),4,1,COUNTIF('Vehicle numbers'!$A$5:$A$162,J599),4),
    MATCH(K$8,'Vehicle numbers'!$B$4:$D$4,0))*1000</f>
        <v>23974937</v>
      </c>
      <c r="L599" s="183">
        <f ca="1">VLOOKUP(F599,
    OFFSET(INDIRECT(ADDRESS(MATCH(J599,'Vehicle numbers'!$A$5:$A$162,0),1,1,1,$L$6)),4,1,COUNTIF('Vehicle numbers'!$A$5:$A$162,J599),4),
    MATCH(L$8,'Vehicle numbers'!$B$4:$D$4,0))*1000</f>
        <v>24711746.717117552</v>
      </c>
      <c r="M599" s="184">
        <f>VLOOKUP(F599,'Annual distance covered (GB)'!$A$8:$H$33,MATCH(J599,'Annual distance covered (GB)'!$A$7:$H$7,0))</f>
        <v>377.4</v>
      </c>
      <c r="N599" s="2">
        <f t="shared" ca="1" si="32"/>
        <v>1576882.9963387817</v>
      </c>
      <c r="O599" s="180">
        <f t="shared" ca="1" si="33"/>
        <v>6.381106986850478E-2</v>
      </c>
      <c r="P599" s="180"/>
      <c r="Q599" s="185"/>
      <c r="R599" s="180"/>
      <c r="S599" s="180"/>
      <c r="T599" s="180"/>
    </row>
    <row r="600" spans="1:20" x14ac:dyDescent="0.25">
      <c r="A600" t="s">
        <v>244</v>
      </c>
      <c r="B600" t="s">
        <v>237</v>
      </c>
      <c r="C600" t="s">
        <v>238</v>
      </c>
      <c r="D600" t="s">
        <v>250</v>
      </c>
      <c r="E600" t="s">
        <v>228</v>
      </c>
      <c r="F600">
        <v>1999</v>
      </c>
      <c r="G600">
        <v>5.7094366197182997E-4</v>
      </c>
      <c r="H600" t="s">
        <v>240</v>
      </c>
      <c r="I600" t="s">
        <v>241</v>
      </c>
      <c r="J600" t="s">
        <v>2</v>
      </c>
      <c r="K600" s="183">
        <f ca="1">VLOOKUP(F600,
    OFFSET(INDIRECT(ADDRESS(MATCH(J600,'Vehicle numbers'!$A$5:$A$162,0),1,1,1,$L$6)),4,1,COUNTIF('Vehicle numbers'!$A$5:$A$162,J600),4),
    MATCH(K$8,'Vehicle numbers'!$B$4:$D$4,0))*1000</f>
        <v>23974937</v>
      </c>
      <c r="L600" s="183">
        <f ca="1">VLOOKUP(F600,
    OFFSET(INDIRECT(ADDRESS(MATCH(J600,'Vehicle numbers'!$A$5:$A$162,0),1,1,1,$L$6)),4,1,COUNTIF('Vehicle numbers'!$A$5:$A$162,J600),4),
    MATCH(L$8,'Vehicle numbers'!$B$4:$D$4,0))*1000</f>
        <v>24711746.717117552</v>
      </c>
      <c r="M600" s="184">
        <f>VLOOKUP(F600,'Annual distance covered (GB)'!$A$8:$H$33,MATCH(J600,'Annual distance covered (GB)'!$A$7:$H$7,0))</f>
        <v>377.4</v>
      </c>
      <c r="N600" s="2">
        <f t="shared" ca="1" si="32"/>
        <v>222096.1966674336</v>
      </c>
      <c r="O600" s="180">
        <f t="shared" ca="1" si="33"/>
        <v>8.9874746293668525E-3</v>
      </c>
      <c r="P600" s="180"/>
      <c r="Q600" s="185"/>
      <c r="R600" s="180"/>
      <c r="S600" s="180"/>
      <c r="T600" s="180"/>
    </row>
    <row r="601" spans="1:20" x14ac:dyDescent="0.25">
      <c r="A601" t="s">
        <v>246</v>
      </c>
      <c r="B601" t="s">
        <v>237</v>
      </c>
      <c r="C601" t="s">
        <v>238</v>
      </c>
      <c r="D601" t="s">
        <v>250</v>
      </c>
      <c r="E601" t="s">
        <v>228</v>
      </c>
      <c r="F601">
        <v>1999</v>
      </c>
      <c r="G601">
        <v>4.5675492957746402E-4</v>
      </c>
      <c r="H601" t="s">
        <v>240</v>
      </c>
      <c r="I601" t="s">
        <v>241</v>
      </c>
      <c r="J601" t="s">
        <v>2</v>
      </c>
      <c r="K601" s="183">
        <f ca="1">VLOOKUP(F601,
    OFFSET(INDIRECT(ADDRESS(MATCH(J601,'Vehicle numbers'!$A$5:$A$162,0),1,1,1,$L$6)),4,1,COUNTIF('Vehicle numbers'!$A$5:$A$162,J601),4),
    MATCH(K$8,'Vehicle numbers'!$B$4:$D$4,0))*1000</f>
        <v>23974937</v>
      </c>
      <c r="L601" s="183">
        <f ca="1">VLOOKUP(F601,
    OFFSET(INDIRECT(ADDRESS(MATCH(J601,'Vehicle numbers'!$A$5:$A$162,0),1,1,1,$L$6)),4,1,COUNTIF('Vehicle numbers'!$A$5:$A$162,J601),4),
    MATCH(L$8,'Vehicle numbers'!$B$4:$D$4,0))*1000</f>
        <v>24711746.717117552</v>
      </c>
      <c r="M601" s="184">
        <f>VLOOKUP(F601,'Annual distance covered (GB)'!$A$8:$H$33,MATCH(J601,'Annual distance covered (GB)'!$A$7:$H$7,0))</f>
        <v>377.4</v>
      </c>
      <c r="N601" s="2">
        <f t="shared" ca="1" si="32"/>
        <v>177676.95733394689</v>
      </c>
      <c r="O601" s="180">
        <f t="shared" ca="1" si="33"/>
        <v>7.1899797034934822E-3</v>
      </c>
      <c r="P601" s="180"/>
      <c r="Q601" s="185"/>
      <c r="R601" s="180"/>
      <c r="S601" s="180"/>
      <c r="T601" s="180"/>
    </row>
    <row r="602" spans="1:20" x14ac:dyDescent="0.25">
      <c r="A602" t="s">
        <v>236</v>
      </c>
      <c r="B602" t="s">
        <v>237</v>
      </c>
      <c r="C602" t="s">
        <v>238</v>
      </c>
      <c r="D602" t="s">
        <v>255</v>
      </c>
      <c r="E602" t="s">
        <v>229</v>
      </c>
      <c r="F602">
        <v>1999</v>
      </c>
      <c r="G602">
        <v>5.5269999999999998E-3</v>
      </c>
      <c r="H602" t="s">
        <v>240</v>
      </c>
      <c r="I602" t="s">
        <v>241</v>
      </c>
      <c r="J602" t="s">
        <v>2</v>
      </c>
      <c r="K602" s="183">
        <f ca="1">VLOOKUP(F602,
    OFFSET(INDIRECT(ADDRESS(MATCH(J602,'Vehicle numbers'!$A$5:$A$162,0),1,1,1,$L$6)),4,1,COUNTIF('Vehicle numbers'!$A$5:$A$162,J602),4),
    MATCH(K$8,'Vehicle numbers'!$B$4:$D$4,0))*1000</f>
        <v>23974937</v>
      </c>
      <c r="L602" s="183">
        <f ca="1">VLOOKUP(F602,
    OFFSET(INDIRECT(ADDRESS(MATCH(J602,'Vehicle numbers'!$A$5:$A$162,0),1,1,1,$L$6)),4,1,COUNTIF('Vehicle numbers'!$A$5:$A$162,J602),4),
    MATCH(L$8,'Vehicle numbers'!$B$4:$D$4,0))*1000</f>
        <v>24711746.717117552</v>
      </c>
      <c r="M602" s="184">
        <f>VLOOKUP(F602,'Annual distance covered (GB)'!$A$8:$H$33,MATCH(J602,'Annual distance covered (GB)'!$A$7:$H$7,0))</f>
        <v>377.4</v>
      </c>
      <c r="N602" s="2">
        <f t="shared" ca="1" si="32"/>
        <v>2149994.4052999592</v>
      </c>
      <c r="O602" s="180">
        <f t="shared" ca="1" si="33"/>
        <v>8.700293143627448E-2</v>
      </c>
      <c r="P602" s="180"/>
      <c r="Q602" s="185"/>
      <c r="R602" s="180"/>
      <c r="S602" s="180"/>
      <c r="T602" s="180"/>
    </row>
    <row r="603" spans="1:20" x14ac:dyDescent="0.25">
      <c r="A603" t="s">
        <v>243</v>
      </c>
      <c r="B603" t="s">
        <v>237</v>
      </c>
      <c r="C603" t="s">
        <v>238</v>
      </c>
      <c r="D603" t="s">
        <v>255</v>
      </c>
      <c r="E603" t="s">
        <v>229</v>
      </c>
      <c r="F603">
        <v>1999</v>
      </c>
      <c r="G603">
        <v>2.2108000000000002E-3</v>
      </c>
      <c r="H603" t="s">
        <v>240</v>
      </c>
      <c r="I603" t="s">
        <v>241</v>
      </c>
      <c r="J603" t="s">
        <v>2</v>
      </c>
      <c r="K603" s="183">
        <f ca="1">VLOOKUP(F603,
    OFFSET(INDIRECT(ADDRESS(MATCH(J603,'Vehicle numbers'!$A$5:$A$162,0),1,1,1,$L$6)),4,1,COUNTIF('Vehicle numbers'!$A$5:$A$162,J603),4),
    MATCH(K$8,'Vehicle numbers'!$B$4:$D$4,0))*1000</f>
        <v>23974937</v>
      </c>
      <c r="L603" s="183">
        <f ca="1">VLOOKUP(F603,
    OFFSET(INDIRECT(ADDRESS(MATCH(J603,'Vehicle numbers'!$A$5:$A$162,0),1,1,1,$L$6)),4,1,COUNTIF('Vehicle numbers'!$A$5:$A$162,J603),4),
    MATCH(L$8,'Vehicle numbers'!$B$4:$D$4,0))*1000</f>
        <v>24711746.717117552</v>
      </c>
      <c r="M603" s="184">
        <f>VLOOKUP(F603,'Annual distance covered (GB)'!$A$8:$H$33,MATCH(J603,'Annual distance covered (GB)'!$A$7:$H$7,0))</f>
        <v>377.4</v>
      </c>
      <c r="N603" s="2">
        <f t="shared" ca="1" si="32"/>
        <v>859997.76211998379</v>
      </c>
      <c r="O603" s="180">
        <f t="shared" ca="1" si="33"/>
        <v>3.4801172574509792E-2</v>
      </c>
      <c r="P603" s="180"/>
      <c r="Q603" s="185"/>
      <c r="R603" s="180"/>
      <c r="S603" s="180"/>
      <c r="T603" s="180"/>
    </row>
    <row r="604" spans="1:20" x14ac:dyDescent="0.25">
      <c r="A604" t="s">
        <v>244</v>
      </c>
      <c r="B604" t="s">
        <v>237</v>
      </c>
      <c r="C604" t="s">
        <v>238</v>
      </c>
      <c r="D604" t="s">
        <v>255</v>
      </c>
      <c r="E604" t="s">
        <v>229</v>
      </c>
      <c r="F604">
        <v>1999</v>
      </c>
      <c r="G604">
        <v>5.5270000000000004E-4</v>
      </c>
      <c r="H604" t="s">
        <v>240</v>
      </c>
      <c r="I604" t="s">
        <v>241</v>
      </c>
      <c r="J604" t="s">
        <v>2</v>
      </c>
      <c r="K604" s="183">
        <f ca="1">VLOOKUP(F604,
    OFFSET(INDIRECT(ADDRESS(MATCH(J604,'Vehicle numbers'!$A$5:$A$162,0),1,1,1,$L$6)),4,1,COUNTIF('Vehicle numbers'!$A$5:$A$162,J604),4),
    MATCH(K$8,'Vehicle numbers'!$B$4:$D$4,0))*1000</f>
        <v>23974937</v>
      </c>
      <c r="L604" s="183">
        <f ca="1">VLOOKUP(F604,
    OFFSET(INDIRECT(ADDRESS(MATCH(J604,'Vehicle numbers'!$A$5:$A$162,0),1,1,1,$L$6)),4,1,COUNTIF('Vehicle numbers'!$A$5:$A$162,J604),4),
    MATCH(L$8,'Vehicle numbers'!$B$4:$D$4,0))*1000</f>
        <v>24711746.717117552</v>
      </c>
      <c r="M604" s="184">
        <f>VLOOKUP(F604,'Annual distance covered (GB)'!$A$8:$H$33,MATCH(J604,'Annual distance covered (GB)'!$A$7:$H$7,0))</f>
        <v>377.4</v>
      </c>
      <c r="N604" s="2">
        <f t="shared" ca="1" si="32"/>
        <v>214999.44052999595</v>
      </c>
      <c r="O604" s="180">
        <f t="shared" ca="1" si="33"/>
        <v>8.700293143627448E-3</v>
      </c>
      <c r="P604" s="180"/>
      <c r="Q604" s="185"/>
      <c r="R604" s="180"/>
      <c r="S604" s="180"/>
      <c r="T604" s="180"/>
    </row>
    <row r="605" spans="1:20" x14ac:dyDescent="0.25">
      <c r="A605" t="s">
        <v>246</v>
      </c>
      <c r="B605" t="s">
        <v>237</v>
      </c>
      <c r="C605" t="s">
        <v>238</v>
      </c>
      <c r="D605" t="s">
        <v>255</v>
      </c>
      <c r="E605" t="s">
        <v>229</v>
      </c>
      <c r="F605">
        <v>1999</v>
      </c>
      <c r="G605">
        <v>4.4215999999999998E-4</v>
      </c>
      <c r="H605" t="s">
        <v>240</v>
      </c>
      <c r="I605" t="s">
        <v>241</v>
      </c>
      <c r="J605" t="s">
        <v>2</v>
      </c>
      <c r="K605" s="183">
        <f ca="1">VLOOKUP(F605,
    OFFSET(INDIRECT(ADDRESS(MATCH(J605,'Vehicle numbers'!$A$5:$A$162,0),1,1,1,$L$6)),4,1,COUNTIF('Vehicle numbers'!$A$5:$A$162,J605),4),
    MATCH(K$8,'Vehicle numbers'!$B$4:$D$4,0))*1000</f>
        <v>23974937</v>
      </c>
      <c r="L605" s="183">
        <f ca="1">VLOOKUP(F605,
    OFFSET(INDIRECT(ADDRESS(MATCH(J605,'Vehicle numbers'!$A$5:$A$162,0),1,1,1,$L$6)),4,1,COUNTIF('Vehicle numbers'!$A$5:$A$162,J605),4),
    MATCH(L$8,'Vehicle numbers'!$B$4:$D$4,0))*1000</f>
        <v>24711746.717117552</v>
      </c>
      <c r="M605" s="184">
        <f>VLOOKUP(F605,'Annual distance covered (GB)'!$A$8:$H$33,MATCH(J605,'Annual distance covered (GB)'!$A$7:$H$7,0))</f>
        <v>377.4</v>
      </c>
      <c r="N605" s="2">
        <f t="shared" ca="1" si="32"/>
        <v>171999.55242399673</v>
      </c>
      <c r="O605" s="180">
        <f t="shared" ca="1" si="33"/>
        <v>6.9602345149019579E-3</v>
      </c>
      <c r="P605" s="180"/>
      <c r="Q605" s="185"/>
      <c r="R605" s="180"/>
      <c r="S605" s="180"/>
      <c r="T605" s="180"/>
    </row>
    <row r="606" spans="1:20" x14ac:dyDescent="0.25">
      <c r="A606" t="s">
        <v>236</v>
      </c>
      <c r="B606" t="s">
        <v>237</v>
      </c>
      <c r="C606" t="s">
        <v>238</v>
      </c>
      <c r="D606" t="s">
        <v>255</v>
      </c>
      <c r="E606" t="s">
        <v>228</v>
      </c>
      <c r="F606">
        <v>1999</v>
      </c>
      <c r="G606">
        <v>6.7999999999999996E-3</v>
      </c>
      <c r="H606" t="s">
        <v>240</v>
      </c>
      <c r="I606" t="s">
        <v>241</v>
      </c>
      <c r="J606" t="s">
        <v>2</v>
      </c>
      <c r="K606" s="183">
        <f ca="1">VLOOKUP(F606,
    OFFSET(INDIRECT(ADDRESS(MATCH(J606,'Vehicle numbers'!$A$5:$A$162,0),1,1,1,$L$6)),4,1,COUNTIF('Vehicle numbers'!$A$5:$A$162,J606),4),
    MATCH(K$8,'Vehicle numbers'!$B$4:$D$4,0))*1000</f>
        <v>23974937</v>
      </c>
      <c r="L606" s="183">
        <f ca="1">VLOOKUP(F606,
    OFFSET(INDIRECT(ADDRESS(MATCH(J606,'Vehicle numbers'!$A$5:$A$162,0),1,1,1,$L$6)),4,1,COUNTIF('Vehicle numbers'!$A$5:$A$162,J606),4),
    MATCH(L$8,'Vehicle numbers'!$B$4:$D$4,0))*1000</f>
        <v>24711746.717117552</v>
      </c>
      <c r="M606" s="184">
        <f>VLOOKUP(F606,'Annual distance covered (GB)'!$A$8:$H$33,MATCH(J606,'Annual distance covered (GB)'!$A$7:$H$7,0))</f>
        <v>377.4</v>
      </c>
      <c r="N606" s="2">
        <f t="shared" ca="1" si="32"/>
        <v>2645189.4257354299</v>
      </c>
      <c r="O606" s="180">
        <f t="shared" ca="1" si="33"/>
        <v>0.10704178284180683</v>
      </c>
      <c r="P606" s="180"/>
      <c r="Q606" s="185"/>
      <c r="R606" s="180"/>
      <c r="S606" s="180"/>
      <c r="T606" s="180"/>
    </row>
    <row r="607" spans="1:20" x14ac:dyDescent="0.25">
      <c r="A607" t="s">
        <v>243</v>
      </c>
      <c r="B607" t="s">
        <v>237</v>
      </c>
      <c r="C607" t="s">
        <v>238</v>
      </c>
      <c r="D607" t="s">
        <v>255</v>
      </c>
      <c r="E607" t="s">
        <v>228</v>
      </c>
      <c r="F607">
        <v>1999</v>
      </c>
      <c r="G607">
        <v>4.7600000000000003E-3</v>
      </c>
      <c r="H607" t="s">
        <v>240</v>
      </c>
      <c r="I607" t="s">
        <v>241</v>
      </c>
      <c r="J607" t="s">
        <v>2</v>
      </c>
      <c r="K607" s="183">
        <f ca="1">VLOOKUP(F607,
    OFFSET(INDIRECT(ADDRESS(MATCH(J607,'Vehicle numbers'!$A$5:$A$162,0),1,1,1,$L$6)),4,1,COUNTIF('Vehicle numbers'!$A$5:$A$162,J607),4),
    MATCH(K$8,'Vehicle numbers'!$B$4:$D$4,0))*1000</f>
        <v>23974937</v>
      </c>
      <c r="L607" s="183">
        <f ca="1">VLOOKUP(F607,
    OFFSET(INDIRECT(ADDRESS(MATCH(J607,'Vehicle numbers'!$A$5:$A$162,0),1,1,1,$L$6)),4,1,COUNTIF('Vehicle numbers'!$A$5:$A$162,J607),4),
    MATCH(L$8,'Vehicle numbers'!$B$4:$D$4,0))*1000</f>
        <v>24711746.717117552</v>
      </c>
      <c r="M607" s="184">
        <f>VLOOKUP(F607,'Annual distance covered (GB)'!$A$8:$H$33,MATCH(J607,'Annual distance covered (GB)'!$A$7:$H$7,0))</f>
        <v>377.4</v>
      </c>
      <c r="N607" s="2">
        <f t="shared" ca="1" si="32"/>
        <v>1851632.5980148013</v>
      </c>
      <c r="O607" s="180">
        <f t="shared" ca="1" si="33"/>
        <v>7.4929247989264799E-2</v>
      </c>
      <c r="P607" s="180"/>
      <c r="Q607" s="185"/>
      <c r="R607" s="180"/>
      <c r="S607" s="180"/>
      <c r="T607" s="180"/>
    </row>
    <row r="608" spans="1:20" x14ac:dyDescent="0.25">
      <c r="A608" t="s">
        <v>244</v>
      </c>
      <c r="B608" t="s">
        <v>237</v>
      </c>
      <c r="C608" t="s">
        <v>238</v>
      </c>
      <c r="D608" t="s">
        <v>255</v>
      </c>
      <c r="E608" t="s">
        <v>228</v>
      </c>
      <c r="F608">
        <v>1999</v>
      </c>
      <c r="G608">
        <v>6.7042253521126696E-4</v>
      </c>
      <c r="H608" t="s">
        <v>240</v>
      </c>
      <c r="I608" t="s">
        <v>241</v>
      </c>
      <c r="J608" t="s">
        <v>2</v>
      </c>
      <c r="K608" s="183">
        <f ca="1">VLOOKUP(F608,
    OFFSET(INDIRECT(ADDRESS(MATCH(J608,'Vehicle numbers'!$A$5:$A$162,0),1,1,1,$L$6)),4,1,COUNTIF('Vehicle numbers'!$A$5:$A$162,J608),4),
    MATCH(K$8,'Vehicle numbers'!$B$4:$D$4,0))*1000</f>
        <v>23974937</v>
      </c>
      <c r="L608" s="183">
        <f ca="1">VLOOKUP(F608,
    OFFSET(INDIRECT(ADDRESS(MATCH(J608,'Vehicle numbers'!$A$5:$A$162,0),1,1,1,$L$6)),4,1,COUNTIF('Vehicle numbers'!$A$5:$A$162,J608),4),
    MATCH(L$8,'Vehicle numbers'!$B$4:$D$4,0))*1000</f>
        <v>24711746.717117552</v>
      </c>
      <c r="M608" s="184">
        <f>VLOOKUP(F608,'Annual distance covered (GB)'!$A$8:$H$33,MATCH(J608,'Annual distance covered (GB)'!$A$7:$H$7,0))</f>
        <v>377.4</v>
      </c>
      <c r="N608" s="2">
        <f t="shared" ca="1" si="32"/>
        <v>260793.32366405625</v>
      </c>
      <c r="O608" s="180">
        <f t="shared" ca="1" si="33"/>
        <v>1.0553415209755595E-2</v>
      </c>
      <c r="P608" s="180"/>
      <c r="Q608" s="185"/>
      <c r="R608" s="180"/>
      <c r="S608" s="180"/>
      <c r="T608" s="180"/>
    </row>
    <row r="609" spans="1:20" x14ac:dyDescent="0.25">
      <c r="A609" t="s">
        <v>246</v>
      </c>
      <c r="B609" t="s">
        <v>237</v>
      </c>
      <c r="C609" t="s">
        <v>238</v>
      </c>
      <c r="D609" t="s">
        <v>255</v>
      </c>
      <c r="E609" t="s">
        <v>228</v>
      </c>
      <c r="F609">
        <v>1999</v>
      </c>
      <c r="G609">
        <v>5.3633802816901305E-4</v>
      </c>
      <c r="H609" t="s">
        <v>240</v>
      </c>
      <c r="I609" t="s">
        <v>241</v>
      </c>
      <c r="J609" t="s">
        <v>2</v>
      </c>
      <c r="K609" s="183">
        <f ca="1">VLOOKUP(F609,
    OFFSET(INDIRECT(ADDRESS(MATCH(J609,'Vehicle numbers'!$A$5:$A$162,0),1,1,1,$L$6)),4,1,COUNTIF('Vehicle numbers'!$A$5:$A$162,J609),4),
    MATCH(K$8,'Vehicle numbers'!$B$4:$D$4,0))*1000</f>
        <v>23974937</v>
      </c>
      <c r="L609" s="183">
        <f ca="1">VLOOKUP(F609,
    OFFSET(INDIRECT(ADDRESS(MATCH(J609,'Vehicle numbers'!$A$5:$A$162,0),1,1,1,$L$6)),4,1,COUNTIF('Vehicle numbers'!$A$5:$A$162,J609),4),
    MATCH(L$8,'Vehicle numbers'!$B$4:$D$4,0))*1000</f>
        <v>24711746.717117552</v>
      </c>
      <c r="M609" s="184">
        <f>VLOOKUP(F609,'Annual distance covered (GB)'!$A$8:$H$33,MATCH(J609,'Annual distance covered (GB)'!$A$7:$H$7,0))</f>
        <v>377.4</v>
      </c>
      <c r="N609" s="2">
        <f t="shared" ca="1" si="32"/>
        <v>208634.6589312448</v>
      </c>
      <c r="O609" s="180">
        <f t="shared" ca="1" si="33"/>
        <v>8.4427321678044679E-3</v>
      </c>
      <c r="P609" s="180"/>
      <c r="Q609" s="185"/>
      <c r="R609" s="180"/>
      <c r="S609" s="180"/>
      <c r="T609" s="180"/>
    </row>
    <row r="610" spans="1:20" x14ac:dyDescent="0.25">
      <c r="A610" t="s">
        <v>236</v>
      </c>
      <c r="B610" t="s">
        <v>237</v>
      </c>
      <c r="C610" t="s">
        <v>238</v>
      </c>
      <c r="D610" t="s">
        <v>256</v>
      </c>
      <c r="E610" t="s">
        <v>229</v>
      </c>
      <c r="F610">
        <v>1999</v>
      </c>
      <c r="G610">
        <v>1.17140268552017E-2</v>
      </c>
      <c r="H610" t="s">
        <v>240</v>
      </c>
      <c r="I610" t="s">
        <v>241</v>
      </c>
      <c r="J610" t="s">
        <v>2</v>
      </c>
      <c r="K610" s="183">
        <f ca="1">VLOOKUP(F610,
    OFFSET(INDIRECT(ADDRESS(MATCH(J610,'Vehicle numbers'!$A$5:$A$162,0),1,1,1,$L$6)),4,1,COUNTIF('Vehicle numbers'!$A$5:$A$162,J610),4),
    MATCH(K$8,'Vehicle numbers'!$B$4:$D$4,0))*1000</f>
        <v>23974937</v>
      </c>
      <c r="L610" s="183">
        <f ca="1">VLOOKUP(F610,
    OFFSET(INDIRECT(ADDRESS(MATCH(J610,'Vehicle numbers'!$A$5:$A$162,0),1,1,1,$L$6)),4,1,COUNTIF('Vehicle numbers'!$A$5:$A$162,J610),4),
    MATCH(L$8,'Vehicle numbers'!$B$4:$D$4,0))*1000</f>
        <v>24711746.717117552</v>
      </c>
      <c r="M610" s="184">
        <f>VLOOKUP(F610,'Annual distance covered (GB)'!$A$8:$H$33,MATCH(J610,'Annual distance covered (GB)'!$A$7:$H$7,0))</f>
        <v>377.4</v>
      </c>
      <c r="N610" s="2">
        <f t="shared" ca="1" si="32"/>
        <v>4556738.2309059408</v>
      </c>
      <c r="O610" s="180">
        <f t="shared" ca="1" si="33"/>
        <v>0.18439563512317561</v>
      </c>
      <c r="P610" s="180"/>
      <c r="Q610" s="185"/>
      <c r="R610" s="180"/>
      <c r="S610" s="180"/>
      <c r="T610" s="180"/>
    </row>
    <row r="611" spans="1:20" x14ac:dyDescent="0.25">
      <c r="A611" t="s">
        <v>243</v>
      </c>
      <c r="B611" t="s">
        <v>237</v>
      </c>
      <c r="C611" t="s">
        <v>238</v>
      </c>
      <c r="D611" t="s">
        <v>256</v>
      </c>
      <c r="E611" t="s">
        <v>229</v>
      </c>
      <c r="F611">
        <v>1999</v>
      </c>
      <c r="G611">
        <v>4.6856107420806797E-3</v>
      </c>
      <c r="H611" t="s">
        <v>240</v>
      </c>
      <c r="I611" t="s">
        <v>241</v>
      </c>
      <c r="J611" t="s">
        <v>2</v>
      </c>
      <c r="K611" s="183">
        <f ca="1">VLOOKUP(F611,
    OFFSET(INDIRECT(ADDRESS(MATCH(J611,'Vehicle numbers'!$A$5:$A$162,0),1,1,1,$L$6)),4,1,COUNTIF('Vehicle numbers'!$A$5:$A$162,J611),4),
    MATCH(K$8,'Vehicle numbers'!$B$4:$D$4,0))*1000</f>
        <v>23974937</v>
      </c>
      <c r="L611" s="183">
        <f ca="1">VLOOKUP(F611,
    OFFSET(INDIRECT(ADDRESS(MATCH(J611,'Vehicle numbers'!$A$5:$A$162,0),1,1,1,$L$6)),4,1,COUNTIF('Vehicle numbers'!$A$5:$A$162,J611),4),
    MATCH(L$8,'Vehicle numbers'!$B$4:$D$4,0))*1000</f>
        <v>24711746.717117552</v>
      </c>
      <c r="M611" s="184">
        <f>VLOOKUP(F611,'Annual distance covered (GB)'!$A$8:$H$33,MATCH(J611,'Annual distance covered (GB)'!$A$7:$H$7,0))</f>
        <v>377.4</v>
      </c>
      <c r="N611" s="2">
        <f t="shared" ca="1" si="32"/>
        <v>1822695.2923623759</v>
      </c>
      <c r="O611" s="180">
        <f t="shared" ca="1" si="33"/>
        <v>7.3758254049270222E-2</v>
      </c>
      <c r="P611" s="180"/>
      <c r="Q611" s="185"/>
      <c r="R611" s="180"/>
      <c r="S611" s="180"/>
      <c r="T611" s="180"/>
    </row>
    <row r="612" spans="1:20" x14ac:dyDescent="0.25">
      <c r="A612" t="s">
        <v>244</v>
      </c>
      <c r="B612" t="s">
        <v>237</v>
      </c>
      <c r="C612" t="s">
        <v>238</v>
      </c>
      <c r="D612" t="s">
        <v>256</v>
      </c>
      <c r="E612" t="s">
        <v>229</v>
      </c>
      <c r="F612">
        <v>1999</v>
      </c>
      <c r="G612">
        <v>1.1714026855201699E-3</v>
      </c>
      <c r="H612" t="s">
        <v>240</v>
      </c>
      <c r="I612" t="s">
        <v>241</v>
      </c>
      <c r="J612" t="s">
        <v>2</v>
      </c>
      <c r="K612" s="183">
        <f ca="1">VLOOKUP(F612,
    OFFSET(INDIRECT(ADDRESS(MATCH(J612,'Vehicle numbers'!$A$5:$A$162,0),1,1,1,$L$6)),4,1,COUNTIF('Vehicle numbers'!$A$5:$A$162,J612),4),
    MATCH(K$8,'Vehicle numbers'!$B$4:$D$4,0))*1000</f>
        <v>23974937</v>
      </c>
      <c r="L612" s="183">
        <f ca="1">VLOOKUP(F612,
    OFFSET(INDIRECT(ADDRESS(MATCH(J612,'Vehicle numbers'!$A$5:$A$162,0),1,1,1,$L$6)),4,1,COUNTIF('Vehicle numbers'!$A$5:$A$162,J612),4),
    MATCH(L$8,'Vehicle numbers'!$B$4:$D$4,0))*1000</f>
        <v>24711746.717117552</v>
      </c>
      <c r="M612" s="184">
        <f>VLOOKUP(F612,'Annual distance covered (GB)'!$A$8:$H$33,MATCH(J612,'Annual distance covered (GB)'!$A$7:$H$7,0))</f>
        <v>377.4</v>
      </c>
      <c r="N612" s="2">
        <f t="shared" ca="1" si="32"/>
        <v>455673.82309059397</v>
      </c>
      <c r="O612" s="180">
        <f t="shared" ca="1" si="33"/>
        <v>1.8439563512317556E-2</v>
      </c>
      <c r="P612" s="180"/>
      <c r="Q612" s="185"/>
      <c r="R612" s="180"/>
      <c r="S612" s="180"/>
      <c r="T612" s="180"/>
    </row>
    <row r="613" spans="1:20" x14ac:dyDescent="0.25">
      <c r="A613" t="s">
        <v>246</v>
      </c>
      <c r="B613" t="s">
        <v>237</v>
      </c>
      <c r="C613" t="s">
        <v>238</v>
      </c>
      <c r="D613" t="s">
        <v>256</v>
      </c>
      <c r="E613" t="s">
        <v>229</v>
      </c>
      <c r="F613">
        <v>1999</v>
      </c>
      <c r="G613">
        <v>9.3712214841613602E-4</v>
      </c>
      <c r="H613" t="s">
        <v>240</v>
      </c>
      <c r="I613" t="s">
        <v>241</v>
      </c>
      <c r="J613" t="s">
        <v>2</v>
      </c>
      <c r="K613" s="183">
        <f ca="1">VLOOKUP(F613,
    OFFSET(INDIRECT(ADDRESS(MATCH(J613,'Vehicle numbers'!$A$5:$A$162,0),1,1,1,$L$6)),4,1,COUNTIF('Vehicle numbers'!$A$5:$A$162,J613),4),
    MATCH(K$8,'Vehicle numbers'!$B$4:$D$4,0))*1000</f>
        <v>23974937</v>
      </c>
      <c r="L613" s="183">
        <f ca="1">VLOOKUP(F613,
    OFFSET(INDIRECT(ADDRESS(MATCH(J613,'Vehicle numbers'!$A$5:$A$162,0),1,1,1,$L$6)),4,1,COUNTIF('Vehicle numbers'!$A$5:$A$162,J613),4),
    MATCH(L$8,'Vehicle numbers'!$B$4:$D$4,0))*1000</f>
        <v>24711746.717117552</v>
      </c>
      <c r="M613" s="184">
        <f>VLOOKUP(F613,'Annual distance covered (GB)'!$A$8:$H$33,MATCH(J613,'Annual distance covered (GB)'!$A$7:$H$7,0))</f>
        <v>377.4</v>
      </c>
      <c r="N613" s="2">
        <f t="shared" ca="1" si="32"/>
        <v>364539.05847247521</v>
      </c>
      <c r="O613" s="180">
        <f t="shared" ca="1" si="33"/>
        <v>1.4751650809854047E-2</v>
      </c>
      <c r="P613" s="180"/>
      <c r="Q613" s="185"/>
      <c r="R613" s="180"/>
      <c r="S613" s="180"/>
      <c r="T613" s="180"/>
    </row>
    <row r="614" spans="1:20" x14ac:dyDescent="0.25">
      <c r="A614" t="s">
        <v>236</v>
      </c>
      <c r="B614" t="s">
        <v>237</v>
      </c>
      <c r="C614" t="s">
        <v>238</v>
      </c>
      <c r="D614" t="s">
        <v>256</v>
      </c>
      <c r="E614" t="s">
        <v>228</v>
      </c>
      <c r="F614">
        <v>1999</v>
      </c>
      <c r="G614">
        <v>8.7661163559459108E-3</v>
      </c>
      <c r="H614" t="s">
        <v>240</v>
      </c>
      <c r="I614" t="s">
        <v>241</v>
      </c>
      <c r="J614" t="s">
        <v>2</v>
      </c>
      <c r="K614" s="183">
        <f ca="1">VLOOKUP(F614,
    OFFSET(INDIRECT(ADDRESS(MATCH(J614,'Vehicle numbers'!$A$5:$A$162,0),1,1,1,$L$6)),4,1,COUNTIF('Vehicle numbers'!$A$5:$A$162,J614),4),
    MATCH(K$8,'Vehicle numbers'!$B$4:$D$4,0))*1000</f>
        <v>23974937</v>
      </c>
      <c r="L614" s="183">
        <f ca="1">VLOOKUP(F614,
    OFFSET(INDIRECT(ADDRESS(MATCH(J614,'Vehicle numbers'!$A$5:$A$162,0),1,1,1,$L$6)),4,1,COUNTIF('Vehicle numbers'!$A$5:$A$162,J614),4),
    MATCH(L$8,'Vehicle numbers'!$B$4:$D$4,0))*1000</f>
        <v>24711746.717117552</v>
      </c>
      <c r="M614" s="184">
        <f>VLOOKUP(F614,'Annual distance covered (GB)'!$A$8:$H$33,MATCH(J614,'Annual distance covered (GB)'!$A$7:$H$7,0))</f>
        <v>377.4</v>
      </c>
      <c r="N614" s="2">
        <f t="shared" ca="1" si="32"/>
        <v>3410005.6308109597</v>
      </c>
      <c r="O614" s="180">
        <f t="shared" ca="1" si="33"/>
        <v>0.13799128284399609</v>
      </c>
      <c r="P614" s="180"/>
      <c r="Q614" s="185"/>
      <c r="R614" s="180"/>
      <c r="S614" s="180"/>
      <c r="T614" s="180"/>
    </row>
    <row r="615" spans="1:20" x14ac:dyDescent="0.25">
      <c r="A615" t="s">
        <v>243</v>
      </c>
      <c r="B615" t="s">
        <v>237</v>
      </c>
      <c r="C615" t="s">
        <v>238</v>
      </c>
      <c r="D615" t="s">
        <v>256</v>
      </c>
      <c r="E615" t="s">
        <v>228</v>
      </c>
      <c r="F615">
        <v>1999</v>
      </c>
      <c r="G615">
        <v>6.1362814491621401E-3</v>
      </c>
      <c r="H615" t="s">
        <v>240</v>
      </c>
      <c r="I615" t="s">
        <v>241</v>
      </c>
      <c r="J615" t="s">
        <v>2</v>
      </c>
      <c r="K615" s="183">
        <f ca="1">VLOOKUP(F615,
    OFFSET(INDIRECT(ADDRESS(MATCH(J615,'Vehicle numbers'!$A$5:$A$162,0),1,1,1,$L$6)),4,1,COUNTIF('Vehicle numbers'!$A$5:$A$162,J615),4),
    MATCH(K$8,'Vehicle numbers'!$B$4:$D$4,0))*1000</f>
        <v>23974937</v>
      </c>
      <c r="L615" s="183">
        <f ca="1">VLOOKUP(F615,
    OFFSET(INDIRECT(ADDRESS(MATCH(J615,'Vehicle numbers'!$A$5:$A$162,0),1,1,1,$L$6)),4,1,COUNTIF('Vehicle numbers'!$A$5:$A$162,J615),4),
    MATCH(L$8,'Vehicle numbers'!$B$4:$D$4,0))*1000</f>
        <v>24711746.717117552</v>
      </c>
      <c r="M615" s="184">
        <f>VLOOKUP(F615,'Annual distance covered (GB)'!$A$8:$H$33,MATCH(J615,'Annual distance covered (GB)'!$A$7:$H$7,0))</f>
        <v>377.4</v>
      </c>
      <c r="N615" s="2">
        <f t="shared" ca="1" si="32"/>
        <v>2387003.9415676729</v>
      </c>
      <c r="O615" s="180">
        <f t="shared" ca="1" si="33"/>
        <v>9.6593897990797303E-2</v>
      </c>
      <c r="P615" s="180"/>
      <c r="Q615" s="185"/>
      <c r="R615" s="180"/>
      <c r="S615" s="180"/>
      <c r="T615" s="180"/>
    </row>
    <row r="616" spans="1:20" x14ac:dyDescent="0.25">
      <c r="A616" t="s">
        <v>244</v>
      </c>
      <c r="B616" t="s">
        <v>237</v>
      </c>
      <c r="C616" t="s">
        <v>238</v>
      </c>
      <c r="D616" t="s">
        <v>256</v>
      </c>
      <c r="E616" t="s">
        <v>228</v>
      </c>
      <c r="F616">
        <v>1999</v>
      </c>
      <c r="G616">
        <v>8.6426499283973697E-4</v>
      </c>
      <c r="H616" t="s">
        <v>240</v>
      </c>
      <c r="I616" t="s">
        <v>241</v>
      </c>
      <c r="J616" t="s">
        <v>2</v>
      </c>
      <c r="K616" s="183">
        <f ca="1">VLOOKUP(F616,
    OFFSET(INDIRECT(ADDRESS(MATCH(J616,'Vehicle numbers'!$A$5:$A$162,0),1,1,1,$L$6)),4,1,COUNTIF('Vehicle numbers'!$A$5:$A$162,J616),4),
    MATCH(K$8,'Vehicle numbers'!$B$4:$D$4,0))*1000</f>
        <v>23974937</v>
      </c>
      <c r="L616" s="183">
        <f ca="1">VLOOKUP(F616,
    OFFSET(INDIRECT(ADDRESS(MATCH(J616,'Vehicle numbers'!$A$5:$A$162,0),1,1,1,$L$6)),4,1,COUNTIF('Vehicle numbers'!$A$5:$A$162,J616),4),
    MATCH(L$8,'Vehicle numbers'!$B$4:$D$4,0))*1000</f>
        <v>24711746.717117552</v>
      </c>
      <c r="M616" s="184">
        <f>VLOOKUP(F616,'Annual distance covered (GB)'!$A$8:$H$33,MATCH(J616,'Annual distance covered (GB)'!$A$7:$H$7,0))</f>
        <v>377.4</v>
      </c>
      <c r="N616" s="2">
        <f t="shared" ca="1" si="32"/>
        <v>336197.73824896757</v>
      </c>
      <c r="O616" s="180">
        <f t="shared" ca="1" si="33"/>
        <v>1.360477436490101E-2</v>
      </c>
      <c r="P616" s="180"/>
      <c r="Q616" s="185"/>
      <c r="R616" s="180"/>
      <c r="S616" s="180"/>
      <c r="T616" s="180"/>
    </row>
    <row r="617" spans="1:20" x14ac:dyDescent="0.25">
      <c r="A617" t="s">
        <v>246</v>
      </c>
      <c r="B617" t="s">
        <v>237</v>
      </c>
      <c r="C617" t="s">
        <v>238</v>
      </c>
      <c r="D617" t="s">
        <v>256</v>
      </c>
      <c r="E617" t="s">
        <v>228</v>
      </c>
      <c r="F617">
        <v>1999</v>
      </c>
      <c r="G617">
        <v>6.9141199427178899E-4</v>
      </c>
      <c r="H617" t="s">
        <v>240</v>
      </c>
      <c r="I617" t="s">
        <v>241</v>
      </c>
      <c r="J617" t="s">
        <v>2</v>
      </c>
      <c r="K617" s="183">
        <f ca="1">VLOOKUP(F617,
    OFFSET(INDIRECT(ADDRESS(MATCH(J617,'Vehicle numbers'!$A$5:$A$162,0),1,1,1,$L$6)),4,1,COUNTIF('Vehicle numbers'!$A$5:$A$162,J617),4),
    MATCH(K$8,'Vehicle numbers'!$B$4:$D$4,0))*1000</f>
        <v>23974937</v>
      </c>
      <c r="L617" s="183">
        <f ca="1">VLOOKUP(F617,
    OFFSET(INDIRECT(ADDRESS(MATCH(J617,'Vehicle numbers'!$A$5:$A$162,0),1,1,1,$L$6)),4,1,COUNTIF('Vehicle numbers'!$A$5:$A$162,J617),4),
    MATCH(L$8,'Vehicle numbers'!$B$4:$D$4,0))*1000</f>
        <v>24711746.717117552</v>
      </c>
      <c r="M617" s="184">
        <f>VLOOKUP(F617,'Annual distance covered (GB)'!$A$8:$H$33,MATCH(J617,'Annual distance covered (GB)'!$A$7:$H$7,0))</f>
        <v>377.4</v>
      </c>
      <c r="N617" s="2">
        <f t="shared" ca="1" si="32"/>
        <v>268958.19059917383</v>
      </c>
      <c r="O617" s="180">
        <f t="shared" ca="1" si="33"/>
        <v>1.0883819491920799E-2</v>
      </c>
      <c r="P617" s="180"/>
      <c r="Q617" s="185"/>
      <c r="R617" s="180"/>
      <c r="S617" s="180"/>
      <c r="T617" s="180"/>
    </row>
    <row r="618" spans="1:20" x14ac:dyDescent="0.25">
      <c r="A618" t="s">
        <v>236</v>
      </c>
      <c r="B618" t="s">
        <v>237</v>
      </c>
      <c r="C618" t="s">
        <v>238</v>
      </c>
      <c r="D618" t="s">
        <v>257</v>
      </c>
      <c r="E618" t="s">
        <v>229</v>
      </c>
      <c r="F618">
        <v>1999</v>
      </c>
      <c r="G618">
        <v>2.1210000000000001E-3</v>
      </c>
      <c r="H618" t="s">
        <v>240</v>
      </c>
      <c r="I618" t="s">
        <v>241</v>
      </c>
      <c r="J618" t="s">
        <v>188</v>
      </c>
      <c r="K618" s="183">
        <f ca="1">VLOOKUP(F618,
    OFFSET(INDIRECT(ADDRESS(MATCH(J618,'Vehicle numbers'!$A$5:$A$162,0),1,1,1,$L$6)),4,1,COUNTIF('Vehicle numbers'!$A$5:$A$162,J618),4),
    MATCH(K$8,'Vehicle numbers'!$B$4:$D$4,0))*1000</f>
        <v>2342160</v>
      </c>
      <c r="L618" s="183">
        <f ca="1">VLOOKUP(F618,
    OFFSET(INDIRECT(ADDRESS(MATCH(J618,'Vehicle numbers'!$A$5:$A$162,0),1,1,1,$L$6)),4,1,COUNTIF('Vehicle numbers'!$A$5:$A$162,J618),4),
    MATCH(L$8,'Vehicle numbers'!$B$4:$D$4,0))*1000</f>
        <v>2409369.6489692559</v>
      </c>
      <c r="M618" s="184">
        <f>VLOOKUP(F618,'Annual distance covered (GB)'!$A$8:$H$33,MATCH(J618,'Annual distance covered (GB)'!$A$7:$H$7,0))</f>
        <v>51.6</v>
      </c>
      <c r="N618" s="2">
        <f t="shared" ca="1" si="32"/>
        <v>112584.14801462396</v>
      </c>
      <c r="O618" s="180">
        <f t="shared" ca="1" si="33"/>
        <v>4.6727636028281588E-2</v>
      </c>
      <c r="P618" s="180"/>
      <c r="Q618" s="185"/>
      <c r="R618" s="180"/>
      <c r="S618" s="180"/>
      <c r="T618" s="180"/>
    </row>
    <row r="619" spans="1:20" x14ac:dyDescent="0.25">
      <c r="A619" t="s">
        <v>243</v>
      </c>
      <c r="B619" t="s">
        <v>237</v>
      </c>
      <c r="C619" t="s">
        <v>238</v>
      </c>
      <c r="D619" t="s">
        <v>257</v>
      </c>
      <c r="E619" t="s">
        <v>229</v>
      </c>
      <c r="F619">
        <v>1999</v>
      </c>
      <c r="G619">
        <v>8.4840000000000002E-4</v>
      </c>
      <c r="H619" t="s">
        <v>240</v>
      </c>
      <c r="I619" t="s">
        <v>241</v>
      </c>
      <c r="J619" t="s">
        <v>188</v>
      </c>
      <c r="K619" s="183">
        <f ca="1">VLOOKUP(F619,
    OFFSET(INDIRECT(ADDRESS(MATCH(J619,'Vehicle numbers'!$A$5:$A$162,0),1,1,1,$L$6)),4,1,COUNTIF('Vehicle numbers'!$A$5:$A$162,J619),4),
    MATCH(K$8,'Vehicle numbers'!$B$4:$D$4,0))*1000</f>
        <v>2342160</v>
      </c>
      <c r="L619" s="183">
        <f ca="1">VLOOKUP(F619,
    OFFSET(INDIRECT(ADDRESS(MATCH(J619,'Vehicle numbers'!$A$5:$A$162,0),1,1,1,$L$6)),4,1,COUNTIF('Vehicle numbers'!$A$5:$A$162,J619),4),
    MATCH(L$8,'Vehicle numbers'!$B$4:$D$4,0))*1000</f>
        <v>2409369.6489692559</v>
      </c>
      <c r="M619" s="184">
        <f>VLOOKUP(F619,'Annual distance covered (GB)'!$A$8:$H$33,MATCH(J619,'Annual distance covered (GB)'!$A$7:$H$7,0))</f>
        <v>51.6</v>
      </c>
      <c r="N619" s="2">
        <f t="shared" ca="1" si="32"/>
        <v>45033.659205849588</v>
      </c>
      <c r="O619" s="180">
        <f t="shared" ca="1" si="33"/>
        <v>1.8691054411312635E-2</v>
      </c>
      <c r="P619" s="180"/>
      <c r="Q619" s="185"/>
      <c r="R619" s="180"/>
      <c r="S619" s="180"/>
      <c r="T619" s="180"/>
    </row>
    <row r="620" spans="1:20" x14ac:dyDescent="0.25">
      <c r="A620" t="s">
        <v>244</v>
      </c>
      <c r="B620" t="s">
        <v>237</v>
      </c>
      <c r="C620" t="s">
        <v>238</v>
      </c>
      <c r="D620" t="s">
        <v>257</v>
      </c>
      <c r="E620" t="s">
        <v>229</v>
      </c>
      <c r="F620">
        <v>1999</v>
      </c>
      <c r="G620">
        <v>2.1210000000000001E-4</v>
      </c>
      <c r="H620" t="s">
        <v>240</v>
      </c>
      <c r="I620" t="s">
        <v>241</v>
      </c>
      <c r="J620" t="s">
        <v>188</v>
      </c>
      <c r="K620" s="183">
        <f ca="1">VLOOKUP(F620,
    OFFSET(INDIRECT(ADDRESS(MATCH(J620,'Vehicle numbers'!$A$5:$A$162,0),1,1,1,$L$6)),4,1,COUNTIF('Vehicle numbers'!$A$5:$A$162,J620),4),
    MATCH(K$8,'Vehicle numbers'!$B$4:$D$4,0))*1000</f>
        <v>2342160</v>
      </c>
      <c r="L620" s="183">
        <f ca="1">VLOOKUP(F620,
    OFFSET(INDIRECT(ADDRESS(MATCH(J620,'Vehicle numbers'!$A$5:$A$162,0),1,1,1,$L$6)),4,1,COUNTIF('Vehicle numbers'!$A$5:$A$162,J620),4),
    MATCH(L$8,'Vehicle numbers'!$B$4:$D$4,0))*1000</f>
        <v>2409369.6489692559</v>
      </c>
      <c r="M620" s="184">
        <f>VLOOKUP(F620,'Annual distance covered (GB)'!$A$8:$H$33,MATCH(J620,'Annual distance covered (GB)'!$A$7:$H$7,0))</f>
        <v>51.6</v>
      </c>
      <c r="N620" s="2">
        <f t="shared" ca="1" si="32"/>
        <v>11258.414801462397</v>
      </c>
      <c r="O620" s="180">
        <f t="shared" ca="1" si="33"/>
        <v>4.6727636028281588E-3</v>
      </c>
      <c r="P620" s="180"/>
      <c r="Q620" s="185"/>
      <c r="R620" s="180"/>
      <c r="S620" s="180"/>
      <c r="T620" s="180"/>
    </row>
    <row r="621" spans="1:20" x14ac:dyDescent="0.25">
      <c r="A621" t="s">
        <v>246</v>
      </c>
      <c r="B621" t="s">
        <v>237</v>
      </c>
      <c r="C621" t="s">
        <v>238</v>
      </c>
      <c r="D621" t="s">
        <v>257</v>
      </c>
      <c r="E621" t="s">
        <v>229</v>
      </c>
      <c r="F621">
        <v>1999</v>
      </c>
      <c r="G621">
        <v>1.6967999999999999E-4</v>
      </c>
      <c r="H621" t="s">
        <v>240</v>
      </c>
      <c r="I621" t="s">
        <v>241</v>
      </c>
      <c r="J621" t="s">
        <v>188</v>
      </c>
      <c r="K621" s="183">
        <f ca="1">VLOOKUP(F621,
    OFFSET(INDIRECT(ADDRESS(MATCH(J621,'Vehicle numbers'!$A$5:$A$162,0),1,1,1,$L$6)),4,1,COUNTIF('Vehicle numbers'!$A$5:$A$162,J621),4),
    MATCH(K$8,'Vehicle numbers'!$B$4:$D$4,0))*1000</f>
        <v>2342160</v>
      </c>
      <c r="L621" s="183">
        <f ca="1">VLOOKUP(F621,
    OFFSET(INDIRECT(ADDRESS(MATCH(J621,'Vehicle numbers'!$A$5:$A$162,0),1,1,1,$L$6)),4,1,COUNTIF('Vehicle numbers'!$A$5:$A$162,J621),4),
    MATCH(L$8,'Vehicle numbers'!$B$4:$D$4,0))*1000</f>
        <v>2409369.6489692559</v>
      </c>
      <c r="M621" s="184">
        <f>VLOOKUP(F621,'Annual distance covered (GB)'!$A$8:$H$33,MATCH(J621,'Annual distance covered (GB)'!$A$7:$H$7,0))</f>
        <v>51.6</v>
      </c>
      <c r="N621" s="2">
        <f t="shared" ca="1" si="32"/>
        <v>9006.7318411699162</v>
      </c>
      <c r="O621" s="180">
        <f t="shared" ca="1" si="33"/>
        <v>3.7382108822625265E-3</v>
      </c>
      <c r="P621" s="180"/>
      <c r="Q621" s="185"/>
      <c r="R621" s="180"/>
      <c r="S621" s="180"/>
      <c r="T621" s="180"/>
    </row>
    <row r="622" spans="1:20" x14ac:dyDescent="0.25">
      <c r="A622" t="s">
        <v>236</v>
      </c>
      <c r="B622" t="s">
        <v>237</v>
      </c>
      <c r="C622" t="s">
        <v>238</v>
      </c>
      <c r="D622" t="s">
        <v>257</v>
      </c>
      <c r="E622" t="s">
        <v>228</v>
      </c>
      <c r="F622">
        <v>1999</v>
      </c>
      <c r="G622">
        <v>9.1459999999999996E-3</v>
      </c>
      <c r="H622" t="s">
        <v>240</v>
      </c>
      <c r="I622" t="s">
        <v>241</v>
      </c>
      <c r="J622" t="s">
        <v>188</v>
      </c>
      <c r="K622" s="183">
        <f ca="1">VLOOKUP(F622,
    OFFSET(INDIRECT(ADDRESS(MATCH(J622,'Vehicle numbers'!$A$5:$A$162,0),1,1,1,$L$6)),4,1,COUNTIF('Vehicle numbers'!$A$5:$A$162,J622),4),
    MATCH(K$8,'Vehicle numbers'!$B$4:$D$4,0))*1000</f>
        <v>2342160</v>
      </c>
      <c r="L622" s="183">
        <f ca="1">VLOOKUP(F622,
    OFFSET(INDIRECT(ADDRESS(MATCH(J622,'Vehicle numbers'!$A$5:$A$162,0),1,1,1,$L$6)),4,1,COUNTIF('Vehicle numbers'!$A$5:$A$162,J622),4),
    MATCH(L$8,'Vehicle numbers'!$B$4:$D$4,0))*1000</f>
        <v>2409369.6489692559</v>
      </c>
      <c r="M622" s="184">
        <f>VLOOKUP(F622,'Annual distance covered (GB)'!$A$8:$H$33,MATCH(J622,'Annual distance covered (GB)'!$A$7:$H$7,0))</f>
        <v>51.6</v>
      </c>
      <c r="N622" s="2">
        <f t="shared" ca="1" si="32"/>
        <v>485476.01025070756</v>
      </c>
      <c r="O622" s="180">
        <f t="shared" ca="1" si="33"/>
        <v>0.20149503022850701</v>
      </c>
      <c r="P622" s="180"/>
      <c r="Q622" s="185"/>
      <c r="R622" s="180"/>
      <c r="S622" s="180"/>
      <c r="T622" s="180"/>
    </row>
    <row r="623" spans="1:20" x14ac:dyDescent="0.25">
      <c r="A623" t="s">
        <v>243</v>
      </c>
      <c r="B623" t="s">
        <v>237</v>
      </c>
      <c r="C623" t="s">
        <v>238</v>
      </c>
      <c r="D623" t="s">
        <v>257</v>
      </c>
      <c r="E623" t="s">
        <v>228</v>
      </c>
      <c r="F623">
        <v>1999</v>
      </c>
      <c r="G623">
        <v>6.4022000000000003E-3</v>
      </c>
      <c r="H623" t="s">
        <v>240</v>
      </c>
      <c r="I623" t="s">
        <v>241</v>
      </c>
      <c r="J623" t="s">
        <v>188</v>
      </c>
      <c r="K623" s="183">
        <f ca="1">VLOOKUP(F623,
    OFFSET(INDIRECT(ADDRESS(MATCH(J623,'Vehicle numbers'!$A$5:$A$162,0),1,1,1,$L$6)),4,1,COUNTIF('Vehicle numbers'!$A$5:$A$162,J623),4),
    MATCH(K$8,'Vehicle numbers'!$B$4:$D$4,0))*1000</f>
        <v>2342160</v>
      </c>
      <c r="L623" s="183">
        <f ca="1">VLOOKUP(F623,
    OFFSET(INDIRECT(ADDRESS(MATCH(J623,'Vehicle numbers'!$A$5:$A$162,0),1,1,1,$L$6)),4,1,COUNTIF('Vehicle numbers'!$A$5:$A$162,J623),4),
    MATCH(L$8,'Vehicle numbers'!$B$4:$D$4,0))*1000</f>
        <v>2409369.6489692559</v>
      </c>
      <c r="M623" s="184">
        <f>VLOOKUP(F623,'Annual distance covered (GB)'!$A$8:$H$33,MATCH(J623,'Annual distance covered (GB)'!$A$7:$H$7,0))</f>
        <v>51.6</v>
      </c>
      <c r="N623" s="2">
        <f t="shared" ca="1" si="32"/>
        <v>339833.20717549534</v>
      </c>
      <c r="O623" s="180">
        <f t="shared" ca="1" si="33"/>
        <v>0.14104652115995495</v>
      </c>
      <c r="P623" s="180"/>
      <c r="Q623" s="185"/>
      <c r="R623" s="180"/>
      <c r="S623" s="180"/>
      <c r="T623" s="180"/>
    </row>
    <row r="624" spans="1:20" x14ac:dyDescent="0.25">
      <c r="A624" t="s">
        <v>244</v>
      </c>
      <c r="B624" t="s">
        <v>237</v>
      </c>
      <c r="C624" t="s">
        <v>238</v>
      </c>
      <c r="D624" t="s">
        <v>257</v>
      </c>
      <c r="E624" t="s">
        <v>228</v>
      </c>
      <c r="F624">
        <v>1999</v>
      </c>
      <c r="G624">
        <v>9.0171830985915399E-4</v>
      </c>
      <c r="H624" t="s">
        <v>240</v>
      </c>
      <c r="I624" t="s">
        <v>241</v>
      </c>
      <c r="J624" t="s">
        <v>188</v>
      </c>
      <c r="K624" s="183">
        <f ca="1">VLOOKUP(F624,
    OFFSET(INDIRECT(ADDRESS(MATCH(J624,'Vehicle numbers'!$A$5:$A$162,0),1,1,1,$L$6)),4,1,COUNTIF('Vehicle numbers'!$A$5:$A$162,J624),4),
    MATCH(K$8,'Vehicle numbers'!$B$4:$D$4,0))*1000</f>
        <v>2342160</v>
      </c>
      <c r="L624" s="183">
        <f ca="1">VLOOKUP(F624,
    OFFSET(INDIRECT(ADDRESS(MATCH(J624,'Vehicle numbers'!$A$5:$A$162,0),1,1,1,$L$6)),4,1,COUNTIF('Vehicle numbers'!$A$5:$A$162,J624),4),
    MATCH(L$8,'Vehicle numbers'!$B$4:$D$4,0))*1000</f>
        <v>2409369.6489692559</v>
      </c>
      <c r="M624" s="184">
        <f>VLOOKUP(F624,'Annual distance covered (GB)'!$A$8:$H$33,MATCH(J624,'Annual distance covered (GB)'!$A$7:$H$7,0))</f>
        <v>51.6</v>
      </c>
      <c r="N624" s="2">
        <f t="shared" ca="1" si="32"/>
        <v>47863.831996548586</v>
      </c>
      <c r="O624" s="180">
        <f t="shared" ca="1" si="33"/>
        <v>1.9865707205627435E-2</v>
      </c>
      <c r="P624" s="180"/>
      <c r="Q624" s="185"/>
      <c r="R624" s="180"/>
      <c r="S624" s="180"/>
      <c r="T624" s="180"/>
    </row>
    <row r="625" spans="1:20" x14ac:dyDescent="0.25">
      <c r="A625" t="s">
        <v>246</v>
      </c>
      <c r="B625" t="s">
        <v>237</v>
      </c>
      <c r="C625" t="s">
        <v>238</v>
      </c>
      <c r="D625" t="s">
        <v>257</v>
      </c>
      <c r="E625" t="s">
        <v>228</v>
      </c>
      <c r="F625">
        <v>1999</v>
      </c>
      <c r="G625">
        <v>7.21374647887323E-4</v>
      </c>
      <c r="H625" t="s">
        <v>240</v>
      </c>
      <c r="I625" t="s">
        <v>241</v>
      </c>
      <c r="J625" t="s">
        <v>188</v>
      </c>
      <c r="K625" s="183">
        <f ca="1">VLOOKUP(F625,
    OFFSET(INDIRECT(ADDRESS(MATCH(J625,'Vehicle numbers'!$A$5:$A$162,0),1,1,1,$L$6)),4,1,COUNTIF('Vehicle numbers'!$A$5:$A$162,J625),4),
    MATCH(K$8,'Vehicle numbers'!$B$4:$D$4,0))*1000</f>
        <v>2342160</v>
      </c>
      <c r="L625" s="183">
        <f ca="1">VLOOKUP(F625,
    OFFSET(INDIRECT(ADDRESS(MATCH(J625,'Vehicle numbers'!$A$5:$A$162,0),1,1,1,$L$6)),4,1,COUNTIF('Vehicle numbers'!$A$5:$A$162,J625),4),
    MATCH(L$8,'Vehicle numbers'!$B$4:$D$4,0))*1000</f>
        <v>2409369.6489692559</v>
      </c>
      <c r="M625" s="184">
        <f>VLOOKUP(F625,'Annual distance covered (GB)'!$A$8:$H$33,MATCH(J625,'Annual distance covered (GB)'!$A$7:$H$7,0))</f>
        <v>51.6</v>
      </c>
      <c r="N625" s="2">
        <f t="shared" ca="1" si="32"/>
        <v>38291.065597238856</v>
      </c>
      <c r="O625" s="180">
        <f t="shared" ca="1" si="33"/>
        <v>1.5892565764501942E-2</v>
      </c>
      <c r="P625" s="180"/>
      <c r="Q625" s="185"/>
      <c r="R625" s="180"/>
      <c r="S625" s="180"/>
      <c r="T625" s="180"/>
    </row>
    <row r="626" spans="1:20" x14ac:dyDescent="0.25">
      <c r="A626" t="s">
        <v>236</v>
      </c>
      <c r="B626" t="s">
        <v>237</v>
      </c>
      <c r="C626" t="s">
        <v>238</v>
      </c>
      <c r="D626" t="s">
        <v>258</v>
      </c>
      <c r="E626" t="s">
        <v>229</v>
      </c>
      <c r="F626">
        <v>1999</v>
      </c>
      <c r="G626">
        <v>8.6219999999999995E-3</v>
      </c>
      <c r="H626" t="s">
        <v>240</v>
      </c>
      <c r="I626" t="s">
        <v>241</v>
      </c>
      <c r="J626" t="s">
        <v>188</v>
      </c>
      <c r="K626" s="183">
        <f ca="1">VLOOKUP(F626,
    OFFSET(INDIRECT(ADDRESS(MATCH(J626,'Vehicle numbers'!$A$5:$A$162,0),1,1,1,$L$6)),4,1,COUNTIF('Vehicle numbers'!$A$5:$A$162,J626),4),
    MATCH(K$8,'Vehicle numbers'!$B$4:$D$4,0))*1000</f>
        <v>2342160</v>
      </c>
      <c r="L626" s="183">
        <f ca="1">VLOOKUP(F626,
    OFFSET(INDIRECT(ADDRESS(MATCH(J626,'Vehicle numbers'!$A$5:$A$162,0),1,1,1,$L$6)),4,1,COUNTIF('Vehicle numbers'!$A$5:$A$162,J626),4),
    MATCH(L$8,'Vehicle numbers'!$B$4:$D$4,0))*1000</f>
        <v>2409369.6489692559</v>
      </c>
      <c r="M626" s="184">
        <f>VLOOKUP(F626,'Annual distance covered (GB)'!$A$8:$H$33,MATCH(J626,'Annual distance covered (GB)'!$A$7:$H$7,0))</f>
        <v>51.6</v>
      </c>
      <c r="N626" s="2">
        <f t="shared" ca="1" si="32"/>
        <v>457661.72757288441</v>
      </c>
      <c r="O626" s="180">
        <f t="shared" ca="1" si="33"/>
        <v>0.18995081463264679</v>
      </c>
      <c r="P626" s="180"/>
      <c r="Q626" s="185"/>
      <c r="R626" s="180"/>
      <c r="S626" s="180"/>
      <c r="T626" s="180"/>
    </row>
    <row r="627" spans="1:20" x14ac:dyDescent="0.25">
      <c r="A627" t="s">
        <v>243</v>
      </c>
      <c r="B627" t="s">
        <v>237</v>
      </c>
      <c r="C627" t="s">
        <v>238</v>
      </c>
      <c r="D627" t="s">
        <v>258</v>
      </c>
      <c r="E627" t="s">
        <v>229</v>
      </c>
      <c r="F627">
        <v>1999</v>
      </c>
      <c r="G627">
        <v>3.4488000000000001E-3</v>
      </c>
      <c r="H627" t="s">
        <v>240</v>
      </c>
      <c r="I627" t="s">
        <v>241</v>
      </c>
      <c r="J627" t="s">
        <v>188</v>
      </c>
      <c r="K627" s="183">
        <f ca="1">VLOOKUP(F627,
    OFFSET(INDIRECT(ADDRESS(MATCH(J627,'Vehicle numbers'!$A$5:$A$162,0),1,1,1,$L$6)),4,1,COUNTIF('Vehicle numbers'!$A$5:$A$162,J627),4),
    MATCH(K$8,'Vehicle numbers'!$B$4:$D$4,0))*1000</f>
        <v>2342160</v>
      </c>
      <c r="L627" s="183">
        <f ca="1">VLOOKUP(F627,
    OFFSET(INDIRECT(ADDRESS(MATCH(J627,'Vehicle numbers'!$A$5:$A$162,0),1,1,1,$L$6)),4,1,COUNTIF('Vehicle numbers'!$A$5:$A$162,J627),4),
    MATCH(L$8,'Vehicle numbers'!$B$4:$D$4,0))*1000</f>
        <v>2409369.6489692559</v>
      </c>
      <c r="M627" s="184">
        <f>VLOOKUP(F627,'Annual distance covered (GB)'!$A$8:$H$33,MATCH(J627,'Annual distance covered (GB)'!$A$7:$H$7,0))</f>
        <v>51.6</v>
      </c>
      <c r="N627" s="2">
        <f t="shared" ca="1" si="32"/>
        <v>183064.69102915376</v>
      </c>
      <c r="O627" s="180">
        <f t="shared" ca="1" si="33"/>
        <v>7.5980325853058722E-2</v>
      </c>
      <c r="P627" s="180"/>
      <c r="Q627" s="185"/>
      <c r="R627" s="180"/>
      <c r="S627" s="180"/>
      <c r="T627" s="180"/>
    </row>
    <row r="628" spans="1:20" x14ac:dyDescent="0.25">
      <c r="A628" t="s">
        <v>244</v>
      </c>
      <c r="B628" t="s">
        <v>237</v>
      </c>
      <c r="C628" t="s">
        <v>238</v>
      </c>
      <c r="D628" t="s">
        <v>258</v>
      </c>
      <c r="E628" t="s">
        <v>229</v>
      </c>
      <c r="F628">
        <v>1999</v>
      </c>
      <c r="G628">
        <v>8.6220000000000003E-4</v>
      </c>
      <c r="H628" t="s">
        <v>240</v>
      </c>
      <c r="I628" t="s">
        <v>241</v>
      </c>
      <c r="J628" t="s">
        <v>188</v>
      </c>
      <c r="K628" s="183">
        <f ca="1">VLOOKUP(F628,
    OFFSET(INDIRECT(ADDRESS(MATCH(J628,'Vehicle numbers'!$A$5:$A$162,0),1,1,1,$L$6)),4,1,COUNTIF('Vehicle numbers'!$A$5:$A$162,J628),4),
    MATCH(K$8,'Vehicle numbers'!$B$4:$D$4,0))*1000</f>
        <v>2342160</v>
      </c>
      <c r="L628" s="183">
        <f ca="1">VLOOKUP(F628,
    OFFSET(INDIRECT(ADDRESS(MATCH(J628,'Vehicle numbers'!$A$5:$A$162,0),1,1,1,$L$6)),4,1,COUNTIF('Vehicle numbers'!$A$5:$A$162,J628),4),
    MATCH(L$8,'Vehicle numbers'!$B$4:$D$4,0))*1000</f>
        <v>2409369.6489692559</v>
      </c>
      <c r="M628" s="184">
        <f>VLOOKUP(F628,'Annual distance covered (GB)'!$A$8:$H$33,MATCH(J628,'Annual distance covered (GB)'!$A$7:$H$7,0))</f>
        <v>51.6</v>
      </c>
      <c r="N628" s="2">
        <f t="shared" ca="1" si="32"/>
        <v>45766.172757288441</v>
      </c>
      <c r="O628" s="180">
        <f t="shared" ca="1" si="33"/>
        <v>1.8995081463264681E-2</v>
      </c>
      <c r="P628" s="180"/>
      <c r="Q628" s="185"/>
      <c r="R628" s="180"/>
      <c r="S628" s="180"/>
      <c r="T628" s="180"/>
    </row>
    <row r="629" spans="1:20" x14ac:dyDescent="0.25">
      <c r="A629" t="s">
        <v>246</v>
      </c>
      <c r="B629" t="s">
        <v>237</v>
      </c>
      <c r="C629" t="s">
        <v>238</v>
      </c>
      <c r="D629" t="s">
        <v>258</v>
      </c>
      <c r="E629" t="s">
        <v>229</v>
      </c>
      <c r="F629">
        <v>1999</v>
      </c>
      <c r="G629">
        <v>6.8975999999999998E-4</v>
      </c>
      <c r="H629" t="s">
        <v>240</v>
      </c>
      <c r="I629" t="s">
        <v>241</v>
      </c>
      <c r="J629" t="s">
        <v>188</v>
      </c>
      <c r="K629" s="183">
        <f ca="1">VLOOKUP(F629,
    OFFSET(INDIRECT(ADDRESS(MATCH(J629,'Vehicle numbers'!$A$5:$A$162,0),1,1,1,$L$6)),4,1,COUNTIF('Vehicle numbers'!$A$5:$A$162,J629),4),
    MATCH(K$8,'Vehicle numbers'!$B$4:$D$4,0))*1000</f>
        <v>2342160</v>
      </c>
      <c r="L629" s="183">
        <f ca="1">VLOOKUP(F629,
    OFFSET(INDIRECT(ADDRESS(MATCH(J629,'Vehicle numbers'!$A$5:$A$162,0),1,1,1,$L$6)),4,1,COUNTIF('Vehicle numbers'!$A$5:$A$162,J629),4),
    MATCH(L$8,'Vehicle numbers'!$B$4:$D$4,0))*1000</f>
        <v>2409369.6489692559</v>
      </c>
      <c r="M629" s="184">
        <f>VLOOKUP(F629,'Annual distance covered (GB)'!$A$8:$H$33,MATCH(J629,'Annual distance covered (GB)'!$A$7:$H$7,0))</f>
        <v>51.6</v>
      </c>
      <c r="N629" s="2">
        <f t="shared" ca="1" si="32"/>
        <v>36612.938205830753</v>
      </c>
      <c r="O629" s="180">
        <f t="shared" ca="1" si="33"/>
        <v>1.5196065170611743E-2</v>
      </c>
      <c r="P629" s="180"/>
      <c r="Q629" s="185"/>
      <c r="R629" s="180"/>
      <c r="S629" s="180"/>
      <c r="T629" s="180"/>
    </row>
    <row r="630" spans="1:20" x14ac:dyDescent="0.25">
      <c r="A630" t="s">
        <v>236</v>
      </c>
      <c r="B630" t="s">
        <v>237</v>
      </c>
      <c r="C630" t="s">
        <v>238</v>
      </c>
      <c r="D630" t="s">
        <v>258</v>
      </c>
      <c r="E630" t="s">
        <v>228</v>
      </c>
      <c r="F630">
        <v>1999</v>
      </c>
      <c r="G630">
        <v>1.0741000000000001E-2</v>
      </c>
      <c r="H630" t="s">
        <v>240</v>
      </c>
      <c r="I630" t="s">
        <v>241</v>
      </c>
      <c r="J630" t="s">
        <v>188</v>
      </c>
      <c r="K630" s="183">
        <f ca="1">VLOOKUP(F630,
    OFFSET(INDIRECT(ADDRESS(MATCH(J630,'Vehicle numbers'!$A$5:$A$162,0),1,1,1,$L$6)),4,1,COUNTIF('Vehicle numbers'!$A$5:$A$162,J630),4),
    MATCH(K$8,'Vehicle numbers'!$B$4:$D$4,0))*1000</f>
        <v>2342160</v>
      </c>
      <c r="L630" s="183">
        <f ca="1">VLOOKUP(F630,
    OFFSET(INDIRECT(ADDRESS(MATCH(J630,'Vehicle numbers'!$A$5:$A$162,0),1,1,1,$L$6)),4,1,COUNTIF('Vehicle numbers'!$A$5:$A$162,J630),4),
    MATCH(L$8,'Vehicle numbers'!$B$4:$D$4,0))*1000</f>
        <v>2409369.6489692559</v>
      </c>
      <c r="M630" s="184">
        <f>VLOOKUP(F630,'Annual distance covered (GB)'!$A$8:$H$33,MATCH(J630,'Annual distance covered (GB)'!$A$7:$H$7,0))</f>
        <v>51.6</v>
      </c>
      <c r="N630" s="2">
        <f t="shared" ca="1" si="32"/>
        <v>570139.71420324198</v>
      </c>
      <c r="O630" s="180">
        <f t="shared" ca="1" si="33"/>
        <v>0.23663438876934118</v>
      </c>
      <c r="P630" s="180"/>
      <c r="Q630" s="185"/>
      <c r="R630" s="180"/>
      <c r="S630" s="180"/>
      <c r="T630" s="180"/>
    </row>
    <row r="631" spans="1:20" x14ac:dyDescent="0.25">
      <c r="A631" t="s">
        <v>243</v>
      </c>
      <c r="B631" t="s">
        <v>237</v>
      </c>
      <c r="C631" t="s">
        <v>238</v>
      </c>
      <c r="D631" t="s">
        <v>258</v>
      </c>
      <c r="E631" t="s">
        <v>228</v>
      </c>
      <c r="F631">
        <v>1999</v>
      </c>
      <c r="G631">
        <v>7.5186999999999997E-3</v>
      </c>
      <c r="H631" t="s">
        <v>240</v>
      </c>
      <c r="I631" t="s">
        <v>241</v>
      </c>
      <c r="J631" t="s">
        <v>188</v>
      </c>
      <c r="K631" s="183">
        <f ca="1">VLOOKUP(F631,
    OFFSET(INDIRECT(ADDRESS(MATCH(J631,'Vehicle numbers'!$A$5:$A$162,0),1,1,1,$L$6)),4,1,COUNTIF('Vehicle numbers'!$A$5:$A$162,J631),4),
    MATCH(K$8,'Vehicle numbers'!$B$4:$D$4,0))*1000</f>
        <v>2342160</v>
      </c>
      <c r="L631" s="183">
        <f ca="1">VLOOKUP(F631,
    OFFSET(INDIRECT(ADDRESS(MATCH(J631,'Vehicle numbers'!$A$5:$A$162,0),1,1,1,$L$6)),4,1,COUNTIF('Vehicle numbers'!$A$5:$A$162,J631),4),
    MATCH(L$8,'Vehicle numbers'!$B$4:$D$4,0))*1000</f>
        <v>2409369.6489692559</v>
      </c>
      <c r="M631" s="184">
        <f>VLOOKUP(F631,'Annual distance covered (GB)'!$A$8:$H$33,MATCH(J631,'Annual distance covered (GB)'!$A$7:$H$7,0))</f>
        <v>51.6</v>
      </c>
      <c r="N631" s="2">
        <f t="shared" ca="1" si="32"/>
        <v>399097.79994226928</v>
      </c>
      <c r="O631" s="180">
        <f t="shared" ca="1" si="33"/>
        <v>0.16564407213853879</v>
      </c>
      <c r="P631" s="180"/>
      <c r="Q631" s="185"/>
      <c r="R631" s="180"/>
      <c r="S631" s="180"/>
      <c r="T631" s="180"/>
    </row>
    <row r="632" spans="1:20" x14ac:dyDescent="0.25">
      <c r="A632" t="s">
        <v>244</v>
      </c>
      <c r="B632" t="s">
        <v>237</v>
      </c>
      <c r="C632" t="s">
        <v>238</v>
      </c>
      <c r="D632" t="s">
        <v>258</v>
      </c>
      <c r="E632" t="s">
        <v>228</v>
      </c>
      <c r="F632">
        <v>1999</v>
      </c>
      <c r="G632">
        <v>1.05897183098591E-3</v>
      </c>
      <c r="H632" t="s">
        <v>240</v>
      </c>
      <c r="I632" t="s">
        <v>241</v>
      </c>
      <c r="J632" t="s">
        <v>188</v>
      </c>
      <c r="K632" s="183">
        <f ca="1">VLOOKUP(F632,
    OFFSET(INDIRECT(ADDRESS(MATCH(J632,'Vehicle numbers'!$A$5:$A$162,0),1,1,1,$L$6)),4,1,COUNTIF('Vehicle numbers'!$A$5:$A$162,J632),4),
    MATCH(K$8,'Vehicle numbers'!$B$4:$D$4,0))*1000</f>
        <v>2342160</v>
      </c>
      <c r="L632" s="183">
        <f ca="1">VLOOKUP(F632,
    OFFSET(INDIRECT(ADDRESS(MATCH(J632,'Vehicle numbers'!$A$5:$A$162,0),1,1,1,$L$6)),4,1,COUNTIF('Vehicle numbers'!$A$5:$A$162,J632),4),
    MATCH(L$8,'Vehicle numbers'!$B$4:$D$4,0))*1000</f>
        <v>2409369.6489692559</v>
      </c>
      <c r="M632" s="184">
        <f>VLOOKUP(F632,'Annual distance covered (GB)'!$A$8:$H$33,MATCH(J632,'Annual distance covered (GB)'!$A$7:$H$7,0))</f>
        <v>51.6</v>
      </c>
      <c r="N632" s="2">
        <f t="shared" ca="1" si="32"/>
        <v>56210.957738347497</v>
      </c>
      <c r="O632" s="180">
        <f t="shared" ca="1" si="33"/>
        <v>2.3330151005427877E-2</v>
      </c>
      <c r="P632" s="180"/>
      <c r="Q632" s="185"/>
      <c r="R632" s="180"/>
      <c r="S632" s="180"/>
      <c r="T632" s="180"/>
    </row>
    <row r="633" spans="1:20" x14ac:dyDescent="0.25">
      <c r="A633" t="s">
        <v>246</v>
      </c>
      <c r="B633" t="s">
        <v>237</v>
      </c>
      <c r="C633" t="s">
        <v>238</v>
      </c>
      <c r="D633" t="s">
        <v>258</v>
      </c>
      <c r="E633" t="s">
        <v>228</v>
      </c>
      <c r="F633">
        <v>1999</v>
      </c>
      <c r="G633">
        <v>8.47177464788731E-4</v>
      </c>
      <c r="H633" t="s">
        <v>240</v>
      </c>
      <c r="I633" t="s">
        <v>241</v>
      </c>
      <c r="J633" t="s">
        <v>188</v>
      </c>
      <c r="K633" s="183">
        <f ca="1">VLOOKUP(F633,
    OFFSET(INDIRECT(ADDRESS(MATCH(J633,'Vehicle numbers'!$A$5:$A$162,0),1,1,1,$L$6)),4,1,COUNTIF('Vehicle numbers'!$A$5:$A$162,J633),4),
    MATCH(K$8,'Vehicle numbers'!$B$4:$D$4,0))*1000</f>
        <v>2342160</v>
      </c>
      <c r="L633" s="183">
        <f ca="1">VLOOKUP(F633,
    OFFSET(INDIRECT(ADDRESS(MATCH(J633,'Vehicle numbers'!$A$5:$A$162,0),1,1,1,$L$6)),4,1,COUNTIF('Vehicle numbers'!$A$5:$A$162,J633),4),
    MATCH(L$8,'Vehicle numbers'!$B$4:$D$4,0))*1000</f>
        <v>2409369.6489692559</v>
      </c>
      <c r="M633" s="184">
        <f>VLOOKUP(F633,'Annual distance covered (GB)'!$A$8:$H$33,MATCH(J633,'Annual distance covered (GB)'!$A$7:$H$7,0))</f>
        <v>51.6</v>
      </c>
      <c r="N633" s="2">
        <f t="shared" ca="1" si="32"/>
        <v>44968.76619067815</v>
      </c>
      <c r="O633" s="180">
        <f t="shared" ca="1" si="33"/>
        <v>1.8664120804342366E-2</v>
      </c>
      <c r="P633" s="180"/>
      <c r="Q633" s="185"/>
      <c r="R633" s="180"/>
      <c r="S633" s="180"/>
      <c r="T633" s="180"/>
    </row>
    <row r="634" spans="1:20" x14ac:dyDescent="0.25">
      <c r="A634" t="s">
        <v>236</v>
      </c>
      <c r="B634" t="s">
        <v>237</v>
      </c>
      <c r="C634" t="s">
        <v>238</v>
      </c>
      <c r="D634" t="s">
        <v>259</v>
      </c>
      <c r="E634" t="s">
        <v>229</v>
      </c>
      <c r="F634">
        <v>1999</v>
      </c>
      <c r="G634">
        <v>1.8218999999999999E-2</v>
      </c>
      <c r="H634" t="s">
        <v>240</v>
      </c>
      <c r="I634" t="s">
        <v>241</v>
      </c>
      <c r="J634" t="s">
        <v>188</v>
      </c>
      <c r="K634" s="183">
        <f ca="1">VLOOKUP(F634,
    OFFSET(INDIRECT(ADDRESS(MATCH(J634,'Vehicle numbers'!$A$5:$A$162,0),1,1,1,$L$6)),4,1,COUNTIF('Vehicle numbers'!$A$5:$A$162,J634),4),
    MATCH(K$8,'Vehicle numbers'!$B$4:$D$4,0))*1000</f>
        <v>2342160</v>
      </c>
      <c r="L634" s="183">
        <f ca="1">VLOOKUP(F634,
    OFFSET(INDIRECT(ADDRESS(MATCH(J634,'Vehicle numbers'!$A$5:$A$162,0),1,1,1,$L$6)),4,1,COUNTIF('Vehicle numbers'!$A$5:$A$162,J634),4),
    MATCH(L$8,'Vehicle numbers'!$B$4:$D$4,0))*1000</f>
        <v>2409369.6489692559</v>
      </c>
      <c r="M634" s="184">
        <f>VLOOKUP(F634,'Annual distance covered (GB)'!$A$8:$H$33,MATCH(J634,'Annual distance covered (GB)'!$A$7:$H$7,0))</f>
        <v>51.6</v>
      </c>
      <c r="N634" s="2">
        <f t="shared" ca="1" si="32"/>
        <v>967077.12997568771</v>
      </c>
      <c r="O634" s="180">
        <f t="shared" ca="1" si="33"/>
        <v>0.40138180141407925</v>
      </c>
      <c r="P634" s="180"/>
      <c r="Q634" s="185"/>
      <c r="R634" s="180"/>
      <c r="S634" s="180"/>
      <c r="T634" s="180"/>
    </row>
    <row r="635" spans="1:20" x14ac:dyDescent="0.25">
      <c r="A635" t="s">
        <v>243</v>
      </c>
      <c r="B635" t="s">
        <v>237</v>
      </c>
      <c r="C635" t="s">
        <v>238</v>
      </c>
      <c r="D635" t="s">
        <v>259</v>
      </c>
      <c r="E635" t="s">
        <v>229</v>
      </c>
      <c r="F635">
        <v>1999</v>
      </c>
      <c r="G635">
        <v>7.2876E-3</v>
      </c>
      <c r="H635" t="s">
        <v>240</v>
      </c>
      <c r="I635" t="s">
        <v>241</v>
      </c>
      <c r="J635" t="s">
        <v>188</v>
      </c>
      <c r="K635" s="183">
        <f ca="1">VLOOKUP(F635,
    OFFSET(INDIRECT(ADDRESS(MATCH(J635,'Vehicle numbers'!$A$5:$A$162,0),1,1,1,$L$6)),4,1,COUNTIF('Vehicle numbers'!$A$5:$A$162,J635),4),
    MATCH(K$8,'Vehicle numbers'!$B$4:$D$4,0))*1000</f>
        <v>2342160</v>
      </c>
      <c r="L635" s="183">
        <f ca="1">VLOOKUP(F635,
    OFFSET(INDIRECT(ADDRESS(MATCH(J635,'Vehicle numbers'!$A$5:$A$162,0),1,1,1,$L$6)),4,1,COUNTIF('Vehicle numbers'!$A$5:$A$162,J635),4),
    MATCH(L$8,'Vehicle numbers'!$B$4:$D$4,0))*1000</f>
        <v>2409369.6489692559</v>
      </c>
      <c r="M635" s="184">
        <f>VLOOKUP(F635,'Annual distance covered (GB)'!$A$8:$H$33,MATCH(J635,'Annual distance covered (GB)'!$A$7:$H$7,0))</f>
        <v>51.6</v>
      </c>
      <c r="N635" s="2">
        <f t="shared" ca="1" si="32"/>
        <v>386830.85199027514</v>
      </c>
      <c r="O635" s="180">
        <f t="shared" ca="1" si="33"/>
        <v>0.16055272056563172</v>
      </c>
      <c r="P635" s="180"/>
      <c r="Q635" s="185"/>
      <c r="R635" s="180"/>
      <c r="S635" s="180"/>
      <c r="T635" s="180"/>
    </row>
    <row r="636" spans="1:20" x14ac:dyDescent="0.25">
      <c r="A636" t="s">
        <v>244</v>
      </c>
      <c r="B636" t="s">
        <v>237</v>
      </c>
      <c r="C636" t="s">
        <v>238</v>
      </c>
      <c r="D636" t="s">
        <v>259</v>
      </c>
      <c r="E636" t="s">
        <v>229</v>
      </c>
      <c r="F636">
        <v>1999</v>
      </c>
      <c r="G636">
        <v>1.8219E-3</v>
      </c>
      <c r="H636" t="s">
        <v>240</v>
      </c>
      <c r="I636" t="s">
        <v>241</v>
      </c>
      <c r="J636" t="s">
        <v>188</v>
      </c>
      <c r="K636" s="183">
        <f ca="1">VLOOKUP(F636,
    OFFSET(INDIRECT(ADDRESS(MATCH(J636,'Vehicle numbers'!$A$5:$A$162,0),1,1,1,$L$6)),4,1,COUNTIF('Vehicle numbers'!$A$5:$A$162,J636),4),
    MATCH(K$8,'Vehicle numbers'!$B$4:$D$4,0))*1000</f>
        <v>2342160</v>
      </c>
      <c r="L636" s="183">
        <f ca="1">VLOOKUP(F636,
    OFFSET(INDIRECT(ADDRESS(MATCH(J636,'Vehicle numbers'!$A$5:$A$162,0),1,1,1,$L$6)),4,1,COUNTIF('Vehicle numbers'!$A$5:$A$162,J636),4),
    MATCH(L$8,'Vehicle numbers'!$B$4:$D$4,0))*1000</f>
        <v>2409369.6489692559</v>
      </c>
      <c r="M636" s="184">
        <f>VLOOKUP(F636,'Annual distance covered (GB)'!$A$8:$H$33,MATCH(J636,'Annual distance covered (GB)'!$A$7:$H$7,0))</f>
        <v>51.6</v>
      </c>
      <c r="N636" s="2">
        <f t="shared" ca="1" si="32"/>
        <v>96707.712997568786</v>
      </c>
      <c r="O636" s="180">
        <f t="shared" ca="1" si="33"/>
        <v>4.013818014140793E-2</v>
      </c>
      <c r="P636" s="180"/>
      <c r="Q636" s="185"/>
      <c r="R636" s="180"/>
      <c r="S636" s="180"/>
      <c r="T636" s="180"/>
    </row>
    <row r="637" spans="1:20" x14ac:dyDescent="0.25">
      <c r="A637" t="s">
        <v>246</v>
      </c>
      <c r="B637" t="s">
        <v>237</v>
      </c>
      <c r="C637" t="s">
        <v>238</v>
      </c>
      <c r="D637" t="s">
        <v>259</v>
      </c>
      <c r="E637" t="s">
        <v>229</v>
      </c>
      <c r="F637">
        <v>1999</v>
      </c>
      <c r="G637">
        <v>1.4575199999999999E-3</v>
      </c>
      <c r="H637" t="s">
        <v>240</v>
      </c>
      <c r="I637" t="s">
        <v>241</v>
      </c>
      <c r="J637" t="s">
        <v>188</v>
      </c>
      <c r="K637" s="183">
        <f ca="1">VLOOKUP(F637,
    OFFSET(INDIRECT(ADDRESS(MATCH(J637,'Vehicle numbers'!$A$5:$A$162,0),1,1,1,$L$6)),4,1,COUNTIF('Vehicle numbers'!$A$5:$A$162,J637),4),
    MATCH(K$8,'Vehicle numbers'!$B$4:$D$4,0))*1000</f>
        <v>2342160</v>
      </c>
      <c r="L637" s="183">
        <f ca="1">VLOOKUP(F637,
    OFFSET(INDIRECT(ADDRESS(MATCH(J637,'Vehicle numbers'!$A$5:$A$162,0),1,1,1,$L$6)),4,1,COUNTIF('Vehicle numbers'!$A$5:$A$162,J637),4),
    MATCH(L$8,'Vehicle numbers'!$B$4:$D$4,0))*1000</f>
        <v>2409369.6489692559</v>
      </c>
      <c r="M637" s="184">
        <f>VLOOKUP(F637,'Annual distance covered (GB)'!$A$8:$H$33,MATCH(J637,'Annual distance covered (GB)'!$A$7:$H$7,0))</f>
        <v>51.6</v>
      </c>
      <c r="N637" s="2">
        <f t="shared" ca="1" si="32"/>
        <v>77366.170398055023</v>
      </c>
      <c r="O637" s="180">
        <f t="shared" ca="1" si="33"/>
        <v>3.2110544113126346E-2</v>
      </c>
      <c r="P637" s="180"/>
      <c r="Q637" s="185"/>
      <c r="R637" s="180"/>
      <c r="S637" s="180"/>
      <c r="T637" s="180"/>
    </row>
    <row r="638" spans="1:20" x14ac:dyDescent="0.25">
      <c r="A638" t="s">
        <v>236</v>
      </c>
      <c r="B638" t="s">
        <v>237</v>
      </c>
      <c r="C638" t="s">
        <v>238</v>
      </c>
      <c r="D638" t="s">
        <v>259</v>
      </c>
      <c r="E638" t="s">
        <v>228</v>
      </c>
      <c r="F638">
        <v>1999</v>
      </c>
      <c r="G638">
        <v>1.3802E-2</v>
      </c>
      <c r="H638" t="s">
        <v>240</v>
      </c>
      <c r="I638" t="s">
        <v>241</v>
      </c>
      <c r="J638" t="s">
        <v>188</v>
      </c>
      <c r="K638" s="183">
        <f ca="1">VLOOKUP(F638,
    OFFSET(INDIRECT(ADDRESS(MATCH(J638,'Vehicle numbers'!$A$5:$A$162,0),1,1,1,$L$6)),4,1,COUNTIF('Vehicle numbers'!$A$5:$A$162,J638),4),
    MATCH(K$8,'Vehicle numbers'!$B$4:$D$4,0))*1000</f>
        <v>2342160</v>
      </c>
      <c r="L638" s="183">
        <f ca="1">VLOOKUP(F638,
    OFFSET(INDIRECT(ADDRESS(MATCH(J638,'Vehicle numbers'!$A$5:$A$162,0),1,1,1,$L$6)),4,1,COUNTIF('Vehicle numbers'!$A$5:$A$162,J638),4),
    MATCH(L$8,'Vehicle numbers'!$B$4:$D$4,0))*1000</f>
        <v>2409369.6489692559</v>
      </c>
      <c r="M638" s="184">
        <f>VLOOKUP(F638,'Annual distance covered (GB)'!$A$8:$H$33,MATCH(J638,'Annual distance covered (GB)'!$A$7:$H$7,0))</f>
        <v>51.6</v>
      </c>
      <c r="N638" s="2">
        <f t="shared" ca="1" si="32"/>
        <v>732619.71282312123</v>
      </c>
      <c r="O638" s="180">
        <f t="shared" ca="1" si="33"/>
        <v>0.30407111384363156</v>
      </c>
      <c r="P638" s="180"/>
      <c r="Q638" s="185"/>
      <c r="R638" s="180"/>
      <c r="S638" s="180"/>
      <c r="T638" s="180"/>
    </row>
    <row r="639" spans="1:20" x14ac:dyDescent="0.25">
      <c r="A639" t="s">
        <v>243</v>
      </c>
      <c r="B639" t="s">
        <v>237</v>
      </c>
      <c r="C639" t="s">
        <v>238</v>
      </c>
      <c r="D639" t="s">
        <v>259</v>
      </c>
      <c r="E639" t="s">
        <v>228</v>
      </c>
      <c r="F639">
        <v>1999</v>
      </c>
      <c r="G639">
        <v>9.6614000000000005E-3</v>
      </c>
      <c r="H639" t="s">
        <v>240</v>
      </c>
      <c r="I639" t="s">
        <v>241</v>
      </c>
      <c r="J639" t="s">
        <v>188</v>
      </c>
      <c r="K639" s="183">
        <f ca="1">VLOOKUP(F639,
    OFFSET(INDIRECT(ADDRESS(MATCH(J639,'Vehicle numbers'!$A$5:$A$162,0),1,1,1,$L$6)),4,1,COUNTIF('Vehicle numbers'!$A$5:$A$162,J639),4),
    MATCH(K$8,'Vehicle numbers'!$B$4:$D$4,0))*1000</f>
        <v>2342160</v>
      </c>
      <c r="L639" s="183">
        <f ca="1">VLOOKUP(F639,
    OFFSET(INDIRECT(ADDRESS(MATCH(J639,'Vehicle numbers'!$A$5:$A$162,0),1,1,1,$L$6)),4,1,COUNTIF('Vehicle numbers'!$A$5:$A$162,J639),4),
    MATCH(L$8,'Vehicle numbers'!$B$4:$D$4,0))*1000</f>
        <v>2409369.6489692559</v>
      </c>
      <c r="M639" s="184">
        <f>VLOOKUP(F639,'Annual distance covered (GB)'!$A$8:$H$33,MATCH(J639,'Annual distance covered (GB)'!$A$7:$H$7,0))</f>
        <v>51.6</v>
      </c>
      <c r="N639" s="2">
        <f t="shared" ca="1" si="32"/>
        <v>512833.7989761848</v>
      </c>
      <c r="O639" s="180">
        <f t="shared" ca="1" si="33"/>
        <v>0.21284977969054208</v>
      </c>
      <c r="P639" s="180"/>
      <c r="Q639" s="185"/>
      <c r="R639" s="180"/>
      <c r="S639" s="180"/>
      <c r="T639" s="180"/>
    </row>
    <row r="640" spans="1:20" x14ac:dyDescent="0.25">
      <c r="A640" t="s">
        <v>244</v>
      </c>
      <c r="B640" t="s">
        <v>237</v>
      </c>
      <c r="C640" t="s">
        <v>238</v>
      </c>
      <c r="D640" t="s">
        <v>259</v>
      </c>
      <c r="E640" t="s">
        <v>228</v>
      </c>
      <c r="F640">
        <v>1999</v>
      </c>
      <c r="G640">
        <v>1.3607605633802801E-3</v>
      </c>
      <c r="H640" t="s">
        <v>240</v>
      </c>
      <c r="I640" t="s">
        <v>241</v>
      </c>
      <c r="J640" t="s">
        <v>188</v>
      </c>
      <c r="K640" s="183">
        <f ca="1">VLOOKUP(F640,
    OFFSET(INDIRECT(ADDRESS(MATCH(J640,'Vehicle numbers'!$A$5:$A$162,0),1,1,1,$L$6)),4,1,COUNTIF('Vehicle numbers'!$A$5:$A$162,J640),4),
    MATCH(K$8,'Vehicle numbers'!$B$4:$D$4,0))*1000</f>
        <v>2342160</v>
      </c>
      <c r="L640" s="183">
        <f ca="1">VLOOKUP(F640,
    OFFSET(INDIRECT(ADDRESS(MATCH(J640,'Vehicle numbers'!$A$5:$A$162,0),1,1,1,$L$6)),4,1,COUNTIF('Vehicle numbers'!$A$5:$A$162,J640),4),
    MATCH(L$8,'Vehicle numbers'!$B$4:$D$4,0))*1000</f>
        <v>2409369.6489692559</v>
      </c>
      <c r="M640" s="184">
        <f>VLOOKUP(F640,'Annual distance covered (GB)'!$A$8:$H$33,MATCH(J640,'Annual distance covered (GB)'!$A$7:$H$7,0))</f>
        <v>51.6</v>
      </c>
      <c r="N640" s="2">
        <f t="shared" ca="1" si="32"/>
        <v>72230.112531856939</v>
      </c>
      <c r="O640" s="180">
        <f t="shared" ca="1" si="33"/>
        <v>2.9978842209935474E-2</v>
      </c>
      <c r="P640" s="180"/>
      <c r="Q640" s="185"/>
      <c r="R640" s="180"/>
      <c r="S640" s="180"/>
      <c r="T640" s="180"/>
    </row>
    <row r="641" spans="1:20" x14ac:dyDescent="0.25">
      <c r="A641" t="s">
        <v>246</v>
      </c>
      <c r="B641" t="s">
        <v>237</v>
      </c>
      <c r="C641" t="s">
        <v>238</v>
      </c>
      <c r="D641" t="s">
        <v>259</v>
      </c>
      <c r="E641" t="s">
        <v>228</v>
      </c>
      <c r="F641">
        <v>1999</v>
      </c>
      <c r="G641">
        <v>1.0886084507042201E-3</v>
      </c>
      <c r="H641" t="s">
        <v>240</v>
      </c>
      <c r="I641" t="s">
        <v>241</v>
      </c>
      <c r="J641" t="s">
        <v>188</v>
      </c>
      <c r="K641" s="183">
        <f ca="1">VLOOKUP(F641,
    OFFSET(INDIRECT(ADDRESS(MATCH(J641,'Vehicle numbers'!$A$5:$A$162,0),1,1,1,$L$6)),4,1,COUNTIF('Vehicle numbers'!$A$5:$A$162,J641),4),
    MATCH(K$8,'Vehicle numbers'!$B$4:$D$4,0))*1000</f>
        <v>2342160</v>
      </c>
      <c r="L641" s="183">
        <f ca="1">VLOOKUP(F641,
    OFFSET(INDIRECT(ADDRESS(MATCH(J641,'Vehicle numbers'!$A$5:$A$162,0),1,1,1,$L$6)),4,1,COUNTIF('Vehicle numbers'!$A$5:$A$162,J641),4),
    MATCH(L$8,'Vehicle numbers'!$B$4:$D$4,0))*1000</f>
        <v>2409369.6489692559</v>
      </c>
      <c r="M641" s="184">
        <f>VLOOKUP(F641,'Annual distance covered (GB)'!$A$8:$H$33,MATCH(J641,'Annual distance covered (GB)'!$A$7:$H$7,0))</f>
        <v>51.6</v>
      </c>
      <c r="N641" s="2">
        <f t="shared" ca="1" si="32"/>
        <v>57784.090025485333</v>
      </c>
      <c r="O641" s="180">
        <f t="shared" ca="1" si="33"/>
        <v>2.3983073767948289E-2</v>
      </c>
      <c r="P641" s="180"/>
      <c r="Q641" s="185"/>
      <c r="R641" s="180"/>
      <c r="S641" s="180"/>
      <c r="T641" s="180"/>
    </row>
    <row r="642" spans="1:20" x14ac:dyDescent="0.25">
      <c r="A642" t="s">
        <v>236</v>
      </c>
      <c r="B642" t="s">
        <v>237</v>
      </c>
      <c r="C642" t="s">
        <v>238</v>
      </c>
      <c r="D642" t="s">
        <v>260</v>
      </c>
      <c r="E642" t="s">
        <v>229</v>
      </c>
      <c r="F642">
        <v>1999</v>
      </c>
      <c r="G642">
        <v>5.8399999999999997E-3</v>
      </c>
      <c r="H642" t="s">
        <v>240</v>
      </c>
      <c r="I642" t="s">
        <v>241</v>
      </c>
      <c r="J642" t="s">
        <v>3</v>
      </c>
      <c r="K642" s="183">
        <f ca="1">VLOOKUP(F642,
    OFFSET(INDIRECT(ADDRESS(MATCH(J642,'Vehicle numbers'!$A$5:$A$162,0),1,1,1,$L$6)),4,1,COUNTIF('Vehicle numbers'!$A$5:$A$162,J642),4),
    MATCH(K$8,'Vehicle numbers'!$B$4:$D$4,0))*1000</f>
        <v>889364</v>
      </c>
      <c r="L642" s="183">
        <f ca="1">VLOOKUP(F642,
    OFFSET(INDIRECT(ADDRESS(MATCH(J642,'Vehicle numbers'!$A$5:$A$162,0),1,1,1,$L$6)),4,1,COUNTIF('Vehicle numbers'!$A$5:$A$162,J642),4),
    MATCH(L$8,'Vehicle numbers'!$B$4:$D$4,0))*1000</f>
        <v>905707.11251429981</v>
      </c>
      <c r="M642" s="184">
        <f>VLOOKUP(F642,'Annual distance covered (GB)'!$A$8:$H$33,MATCH(J642,'Annual distance covered (GB)'!$A$7:$H$7,0))</f>
        <v>4.5</v>
      </c>
      <c r="N642" s="2">
        <f t="shared" ca="1" si="32"/>
        <v>26762.925997539583</v>
      </c>
      <c r="O642" s="180">
        <f t="shared" ca="1" si="33"/>
        <v>2.9549205949420031E-2</v>
      </c>
      <c r="P642" s="180"/>
      <c r="Q642" s="185"/>
      <c r="R642" s="180"/>
      <c r="S642" s="180"/>
      <c r="T642" s="180"/>
    </row>
    <row r="643" spans="1:20" x14ac:dyDescent="0.25">
      <c r="A643" t="s">
        <v>243</v>
      </c>
      <c r="B643" t="s">
        <v>237</v>
      </c>
      <c r="C643" t="s">
        <v>238</v>
      </c>
      <c r="D643" t="s">
        <v>260</v>
      </c>
      <c r="E643" t="s">
        <v>229</v>
      </c>
      <c r="F643">
        <v>1999</v>
      </c>
      <c r="G643">
        <v>2.336E-3</v>
      </c>
      <c r="H643" t="s">
        <v>240</v>
      </c>
      <c r="I643" t="s">
        <v>241</v>
      </c>
      <c r="J643" t="s">
        <v>3</v>
      </c>
      <c r="K643" s="183">
        <f ca="1">VLOOKUP(F643,
    OFFSET(INDIRECT(ADDRESS(MATCH(J643,'Vehicle numbers'!$A$5:$A$162,0),1,1,1,$L$6)),4,1,COUNTIF('Vehicle numbers'!$A$5:$A$162,J643),4),
    MATCH(K$8,'Vehicle numbers'!$B$4:$D$4,0))*1000</f>
        <v>889364</v>
      </c>
      <c r="L643" s="183">
        <f ca="1">VLOOKUP(F643,
    OFFSET(INDIRECT(ADDRESS(MATCH(J643,'Vehicle numbers'!$A$5:$A$162,0),1,1,1,$L$6)),4,1,COUNTIF('Vehicle numbers'!$A$5:$A$162,J643),4),
    MATCH(L$8,'Vehicle numbers'!$B$4:$D$4,0))*1000</f>
        <v>905707.11251429981</v>
      </c>
      <c r="M643" s="184">
        <f>VLOOKUP(F643,'Annual distance covered (GB)'!$A$8:$H$33,MATCH(J643,'Annual distance covered (GB)'!$A$7:$H$7,0))</f>
        <v>4.5</v>
      </c>
      <c r="N643" s="2">
        <f t="shared" ca="1" si="32"/>
        <v>10705.170399015835</v>
      </c>
      <c r="O643" s="180">
        <f t="shared" ca="1" si="33"/>
        <v>1.1819682379768014E-2</v>
      </c>
      <c r="P643" s="180"/>
      <c r="Q643" s="185"/>
      <c r="R643" s="180"/>
      <c r="S643" s="180"/>
      <c r="T643" s="180"/>
    </row>
    <row r="644" spans="1:20" x14ac:dyDescent="0.25">
      <c r="A644" t="s">
        <v>244</v>
      </c>
      <c r="B644" t="s">
        <v>237</v>
      </c>
      <c r="C644" t="s">
        <v>238</v>
      </c>
      <c r="D644" t="s">
        <v>260</v>
      </c>
      <c r="E644" t="s">
        <v>229</v>
      </c>
      <c r="F644">
        <v>1999</v>
      </c>
      <c r="G644">
        <v>5.8399999999999999E-4</v>
      </c>
      <c r="H644" t="s">
        <v>240</v>
      </c>
      <c r="I644" t="s">
        <v>241</v>
      </c>
      <c r="J644" t="s">
        <v>3</v>
      </c>
      <c r="K644" s="183">
        <f ca="1">VLOOKUP(F644,
    OFFSET(INDIRECT(ADDRESS(MATCH(J644,'Vehicle numbers'!$A$5:$A$162,0),1,1,1,$L$6)),4,1,COUNTIF('Vehicle numbers'!$A$5:$A$162,J644),4),
    MATCH(K$8,'Vehicle numbers'!$B$4:$D$4,0))*1000</f>
        <v>889364</v>
      </c>
      <c r="L644" s="183">
        <f ca="1">VLOOKUP(F644,
    OFFSET(INDIRECT(ADDRESS(MATCH(J644,'Vehicle numbers'!$A$5:$A$162,0),1,1,1,$L$6)),4,1,COUNTIF('Vehicle numbers'!$A$5:$A$162,J644),4),
    MATCH(L$8,'Vehicle numbers'!$B$4:$D$4,0))*1000</f>
        <v>905707.11251429981</v>
      </c>
      <c r="M644" s="184">
        <f>VLOOKUP(F644,'Annual distance covered (GB)'!$A$8:$H$33,MATCH(J644,'Annual distance covered (GB)'!$A$7:$H$7,0))</f>
        <v>4.5</v>
      </c>
      <c r="N644" s="2">
        <f t="shared" ca="1" si="32"/>
        <v>2676.2925997539587</v>
      </c>
      <c r="O644" s="180">
        <f t="shared" ca="1" si="33"/>
        <v>2.9549205949420034E-3</v>
      </c>
      <c r="P644" s="180"/>
      <c r="Q644" s="185"/>
      <c r="R644" s="180"/>
      <c r="S644" s="180"/>
      <c r="T644" s="180"/>
    </row>
    <row r="645" spans="1:20" x14ac:dyDescent="0.25">
      <c r="A645" t="s">
        <v>246</v>
      </c>
      <c r="B645" t="s">
        <v>237</v>
      </c>
      <c r="C645" t="s">
        <v>238</v>
      </c>
      <c r="D645" t="s">
        <v>260</v>
      </c>
      <c r="E645" t="s">
        <v>229</v>
      </c>
      <c r="F645">
        <v>1999</v>
      </c>
      <c r="G645">
        <v>4.6720000000000003E-4</v>
      </c>
      <c r="H645" t="s">
        <v>240</v>
      </c>
      <c r="I645" t="s">
        <v>241</v>
      </c>
      <c r="J645" t="s">
        <v>3</v>
      </c>
      <c r="K645" s="183">
        <f ca="1">VLOOKUP(F645,
    OFFSET(INDIRECT(ADDRESS(MATCH(J645,'Vehicle numbers'!$A$5:$A$162,0),1,1,1,$L$6)),4,1,COUNTIF('Vehicle numbers'!$A$5:$A$162,J645),4),
    MATCH(K$8,'Vehicle numbers'!$B$4:$D$4,0))*1000</f>
        <v>889364</v>
      </c>
      <c r="L645" s="183">
        <f ca="1">VLOOKUP(F645,
    OFFSET(INDIRECT(ADDRESS(MATCH(J645,'Vehicle numbers'!$A$5:$A$162,0),1,1,1,$L$6)),4,1,COUNTIF('Vehicle numbers'!$A$5:$A$162,J645),4),
    MATCH(L$8,'Vehicle numbers'!$B$4:$D$4,0))*1000</f>
        <v>905707.11251429981</v>
      </c>
      <c r="M645" s="184">
        <f>VLOOKUP(F645,'Annual distance covered (GB)'!$A$8:$H$33,MATCH(J645,'Annual distance covered (GB)'!$A$7:$H$7,0))</f>
        <v>4.5</v>
      </c>
      <c r="N645" s="2">
        <f t="shared" ca="1" si="32"/>
        <v>2141.0340798031671</v>
      </c>
      <c r="O645" s="180">
        <f t="shared" ca="1" si="33"/>
        <v>2.3639364759536026E-3</v>
      </c>
      <c r="P645" s="180"/>
      <c r="Q645" s="185"/>
      <c r="R645" s="180"/>
      <c r="S645" s="180"/>
      <c r="T645" s="180"/>
    </row>
    <row r="646" spans="1:20" x14ac:dyDescent="0.25">
      <c r="A646" t="s">
        <v>236</v>
      </c>
      <c r="B646" t="s">
        <v>237</v>
      </c>
      <c r="C646" t="s">
        <v>238</v>
      </c>
      <c r="D646" t="s">
        <v>260</v>
      </c>
      <c r="E646" t="s">
        <v>228</v>
      </c>
      <c r="F646">
        <v>1999</v>
      </c>
      <c r="G646">
        <v>3.7569999999999999E-3</v>
      </c>
      <c r="H646" t="s">
        <v>240</v>
      </c>
      <c r="I646" t="s">
        <v>241</v>
      </c>
      <c r="J646" t="s">
        <v>3</v>
      </c>
      <c r="K646" s="183">
        <f ca="1">VLOOKUP(F646,
    OFFSET(INDIRECT(ADDRESS(MATCH(J646,'Vehicle numbers'!$A$5:$A$162,0),1,1,1,$L$6)),4,1,COUNTIF('Vehicle numbers'!$A$5:$A$162,J646),4),
    MATCH(K$8,'Vehicle numbers'!$B$4:$D$4,0))*1000</f>
        <v>889364</v>
      </c>
      <c r="L646" s="183">
        <f ca="1">VLOOKUP(F646,
    OFFSET(INDIRECT(ADDRESS(MATCH(J646,'Vehicle numbers'!$A$5:$A$162,0),1,1,1,$L$6)),4,1,COUNTIF('Vehicle numbers'!$A$5:$A$162,J646),4),
    MATCH(L$8,'Vehicle numbers'!$B$4:$D$4,0))*1000</f>
        <v>905707.11251429981</v>
      </c>
      <c r="M646" s="184">
        <f>VLOOKUP(F646,'Annual distance covered (GB)'!$A$8:$H$33,MATCH(J646,'Annual distance covered (GB)'!$A$7:$H$7,0))</f>
        <v>4.5</v>
      </c>
      <c r="N646" s="2">
        <f t="shared" ca="1" si="32"/>
        <v>17217.176878896611</v>
      </c>
      <c r="O646" s="180">
        <f t="shared" ca="1" si="33"/>
        <v>1.9009651841090932E-2</v>
      </c>
      <c r="P646" s="180"/>
      <c r="Q646" s="185"/>
      <c r="R646" s="180"/>
      <c r="S646" s="180"/>
      <c r="T646" s="180"/>
    </row>
    <row r="647" spans="1:20" x14ac:dyDescent="0.25">
      <c r="A647" t="s">
        <v>243</v>
      </c>
      <c r="B647" t="s">
        <v>237</v>
      </c>
      <c r="C647" t="s">
        <v>238</v>
      </c>
      <c r="D647" t="s">
        <v>260</v>
      </c>
      <c r="E647" t="s">
        <v>228</v>
      </c>
      <c r="F647">
        <v>1999</v>
      </c>
      <c r="G647">
        <v>2.6299000000000001E-3</v>
      </c>
      <c r="H647" t="s">
        <v>240</v>
      </c>
      <c r="I647" t="s">
        <v>241</v>
      </c>
      <c r="J647" t="s">
        <v>3</v>
      </c>
      <c r="K647" s="183">
        <f ca="1">VLOOKUP(F647,
    OFFSET(INDIRECT(ADDRESS(MATCH(J647,'Vehicle numbers'!$A$5:$A$162,0),1,1,1,$L$6)),4,1,COUNTIF('Vehicle numbers'!$A$5:$A$162,J647),4),
    MATCH(K$8,'Vehicle numbers'!$B$4:$D$4,0))*1000</f>
        <v>889364</v>
      </c>
      <c r="L647" s="183">
        <f ca="1">VLOOKUP(F647,
    OFFSET(INDIRECT(ADDRESS(MATCH(J647,'Vehicle numbers'!$A$5:$A$162,0),1,1,1,$L$6)),4,1,COUNTIF('Vehicle numbers'!$A$5:$A$162,J647),4),
    MATCH(L$8,'Vehicle numbers'!$B$4:$D$4,0))*1000</f>
        <v>905707.11251429981</v>
      </c>
      <c r="M647" s="184">
        <f>VLOOKUP(F647,'Annual distance covered (GB)'!$A$8:$H$33,MATCH(J647,'Annual distance covered (GB)'!$A$7:$H$7,0))</f>
        <v>4.5</v>
      </c>
      <c r="N647" s="2">
        <f t="shared" ca="1" si="32"/>
        <v>12052.023815227631</v>
      </c>
      <c r="O647" s="180">
        <f t="shared" ca="1" si="33"/>
        <v>1.3306756288763655E-2</v>
      </c>
      <c r="P647" s="180"/>
      <c r="Q647" s="185"/>
      <c r="R647" s="180"/>
      <c r="S647" s="180"/>
      <c r="T647" s="180"/>
    </row>
    <row r="648" spans="1:20" x14ac:dyDescent="0.25">
      <c r="A648" t="s">
        <v>244</v>
      </c>
      <c r="B648" t="s">
        <v>237</v>
      </c>
      <c r="C648" t="s">
        <v>238</v>
      </c>
      <c r="D648" t="s">
        <v>260</v>
      </c>
      <c r="E648" t="s">
        <v>228</v>
      </c>
      <c r="F648">
        <v>1999</v>
      </c>
      <c r="G648">
        <v>3.7040845070422499E-4</v>
      </c>
      <c r="H648" t="s">
        <v>240</v>
      </c>
      <c r="I648" t="s">
        <v>241</v>
      </c>
      <c r="J648" t="s">
        <v>3</v>
      </c>
      <c r="K648" s="183">
        <f ca="1">VLOOKUP(F648,
    OFFSET(INDIRECT(ADDRESS(MATCH(J648,'Vehicle numbers'!$A$5:$A$162,0),1,1,1,$L$6)),4,1,COUNTIF('Vehicle numbers'!$A$5:$A$162,J648),4),
    MATCH(K$8,'Vehicle numbers'!$B$4:$D$4,0))*1000</f>
        <v>889364</v>
      </c>
      <c r="L648" s="183">
        <f ca="1">VLOOKUP(F648,
    OFFSET(INDIRECT(ADDRESS(MATCH(J648,'Vehicle numbers'!$A$5:$A$162,0),1,1,1,$L$6)),4,1,COUNTIF('Vehicle numbers'!$A$5:$A$162,J648),4),
    MATCH(L$8,'Vehicle numbers'!$B$4:$D$4,0))*1000</f>
        <v>905707.11251429981</v>
      </c>
      <c r="M648" s="184">
        <f>VLOOKUP(F648,'Annual distance covered (GB)'!$A$8:$H$33,MATCH(J648,'Annual distance covered (GB)'!$A$7:$H$7,0))</f>
        <v>4.5</v>
      </c>
      <c r="N648" s="2">
        <f t="shared" ca="1" si="32"/>
        <v>1697.4681429898053</v>
      </c>
      <c r="O648" s="180">
        <f t="shared" ca="1" si="33"/>
        <v>1.8741910265864282E-3</v>
      </c>
      <c r="P648" s="180"/>
      <c r="Q648" s="185"/>
      <c r="R648" s="180"/>
      <c r="S648" s="180"/>
      <c r="T648" s="180"/>
    </row>
    <row r="649" spans="1:20" x14ac:dyDescent="0.25">
      <c r="A649" t="s">
        <v>246</v>
      </c>
      <c r="B649" t="s">
        <v>237</v>
      </c>
      <c r="C649" t="s">
        <v>238</v>
      </c>
      <c r="D649" t="s">
        <v>260</v>
      </c>
      <c r="E649" t="s">
        <v>228</v>
      </c>
      <c r="F649">
        <v>1999</v>
      </c>
      <c r="G649">
        <v>2.9632676056337998E-4</v>
      </c>
      <c r="H649" t="s">
        <v>240</v>
      </c>
      <c r="I649" t="s">
        <v>241</v>
      </c>
      <c r="J649" t="s">
        <v>3</v>
      </c>
      <c r="K649" s="183">
        <f ca="1">VLOOKUP(F649,
    OFFSET(INDIRECT(ADDRESS(MATCH(J649,'Vehicle numbers'!$A$5:$A$162,0),1,1,1,$L$6)),4,1,COUNTIF('Vehicle numbers'!$A$5:$A$162,J649),4),
    MATCH(K$8,'Vehicle numbers'!$B$4:$D$4,0))*1000</f>
        <v>889364</v>
      </c>
      <c r="L649" s="183">
        <f ca="1">VLOOKUP(F649,
    OFFSET(INDIRECT(ADDRESS(MATCH(J649,'Vehicle numbers'!$A$5:$A$162,0),1,1,1,$L$6)),4,1,COUNTIF('Vehicle numbers'!$A$5:$A$162,J649),4),
    MATCH(L$8,'Vehicle numbers'!$B$4:$D$4,0))*1000</f>
        <v>905707.11251429981</v>
      </c>
      <c r="M649" s="184">
        <f>VLOOKUP(F649,'Annual distance covered (GB)'!$A$8:$H$33,MATCH(J649,'Annual distance covered (GB)'!$A$7:$H$7,0))</f>
        <v>4.5</v>
      </c>
      <c r="N649" s="2">
        <f t="shared" ca="1" si="32"/>
        <v>1357.9745143918442</v>
      </c>
      <c r="O649" s="180">
        <f t="shared" ca="1" si="33"/>
        <v>1.4993528212691426E-3</v>
      </c>
      <c r="P649" s="180"/>
      <c r="Q649" s="185"/>
      <c r="R649" s="180"/>
      <c r="S649" s="180"/>
      <c r="T649" s="180"/>
    </row>
    <row r="650" spans="1:20" x14ac:dyDescent="0.25">
      <c r="A650" t="s">
        <v>236</v>
      </c>
      <c r="B650" t="s">
        <v>237</v>
      </c>
      <c r="C650" t="s">
        <v>238</v>
      </c>
      <c r="D650" t="s">
        <v>261</v>
      </c>
      <c r="E650" t="s">
        <v>229</v>
      </c>
      <c r="F650">
        <v>1999</v>
      </c>
      <c r="G650">
        <v>5.8399999999999997E-3</v>
      </c>
      <c r="H650" t="s">
        <v>240</v>
      </c>
      <c r="I650" t="s">
        <v>241</v>
      </c>
      <c r="J650" t="s">
        <v>3</v>
      </c>
      <c r="K650" s="183">
        <f ca="1">VLOOKUP(F650,
    OFFSET(INDIRECT(ADDRESS(MATCH(J650,'Vehicle numbers'!$A$5:$A$162,0),1,1,1,$L$6)),4,1,COUNTIF('Vehicle numbers'!$A$5:$A$162,J650),4),
    MATCH(K$8,'Vehicle numbers'!$B$4:$D$4,0))*1000</f>
        <v>889364</v>
      </c>
      <c r="L650" s="183">
        <f ca="1">VLOOKUP(F650,
    OFFSET(INDIRECT(ADDRESS(MATCH(J650,'Vehicle numbers'!$A$5:$A$162,0),1,1,1,$L$6)),4,1,COUNTIF('Vehicle numbers'!$A$5:$A$162,J650),4),
    MATCH(L$8,'Vehicle numbers'!$B$4:$D$4,0))*1000</f>
        <v>905707.11251429981</v>
      </c>
      <c r="M650" s="184">
        <f>VLOOKUP(F650,'Annual distance covered (GB)'!$A$8:$H$33,MATCH(J650,'Annual distance covered (GB)'!$A$7:$H$7,0))</f>
        <v>4.5</v>
      </c>
      <c r="N650" s="2">
        <f t="shared" ca="1" si="32"/>
        <v>26762.925997539583</v>
      </c>
      <c r="O650" s="180">
        <f t="shared" ca="1" si="33"/>
        <v>2.9549205949420031E-2</v>
      </c>
      <c r="P650" s="180"/>
      <c r="Q650" s="185"/>
      <c r="R650" s="180"/>
      <c r="S650" s="180"/>
      <c r="T650" s="180"/>
    </row>
    <row r="651" spans="1:20" x14ac:dyDescent="0.25">
      <c r="A651" t="s">
        <v>243</v>
      </c>
      <c r="B651" t="s">
        <v>237</v>
      </c>
      <c r="C651" t="s">
        <v>238</v>
      </c>
      <c r="D651" t="s">
        <v>261</v>
      </c>
      <c r="E651" t="s">
        <v>229</v>
      </c>
      <c r="F651">
        <v>1999</v>
      </c>
      <c r="G651">
        <v>2.336E-3</v>
      </c>
      <c r="H651" t="s">
        <v>240</v>
      </c>
      <c r="I651" t="s">
        <v>241</v>
      </c>
      <c r="J651" t="s">
        <v>3</v>
      </c>
      <c r="K651" s="183">
        <f ca="1">VLOOKUP(F651,
    OFFSET(INDIRECT(ADDRESS(MATCH(J651,'Vehicle numbers'!$A$5:$A$162,0),1,1,1,$L$6)),4,1,COUNTIF('Vehicle numbers'!$A$5:$A$162,J651),4),
    MATCH(K$8,'Vehicle numbers'!$B$4:$D$4,0))*1000</f>
        <v>889364</v>
      </c>
      <c r="L651" s="183">
        <f ca="1">VLOOKUP(F651,
    OFFSET(INDIRECT(ADDRESS(MATCH(J651,'Vehicle numbers'!$A$5:$A$162,0),1,1,1,$L$6)),4,1,COUNTIF('Vehicle numbers'!$A$5:$A$162,J651),4),
    MATCH(L$8,'Vehicle numbers'!$B$4:$D$4,0))*1000</f>
        <v>905707.11251429981</v>
      </c>
      <c r="M651" s="184">
        <f>VLOOKUP(F651,'Annual distance covered (GB)'!$A$8:$H$33,MATCH(J651,'Annual distance covered (GB)'!$A$7:$H$7,0))</f>
        <v>4.5</v>
      </c>
      <c r="N651" s="2">
        <f t="shared" ref="N651:N714" ca="1" si="34">M651*G651*1000000*(L651/K651)</f>
        <v>10705.170399015835</v>
      </c>
      <c r="O651" s="180">
        <f t="shared" ref="O651:O714" ca="1" si="35">N651/L651</f>
        <v>1.1819682379768014E-2</v>
      </c>
      <c r="P651" s="180"/>
      <c r="Q651" s="185"/>
      <c r="R651" s="180"/>
      <c r="S651" s="180"/>
      <c r="T651" s="180"/>
    </row>
    <row r="652" spans="1:20" x14ac:dyDescent="0.25">
      <c r="A652" t="s">
        <v>244</v>
      </c>
      <c r="B652" t="s">
        <v>237</v>
      </c>
      <c r="C652" t="s">
        <v>238</v>
      </c>
      <c r="D652" t="s">
        <v>261</v>
      </c>
      <c r="E652" t="s">
        <v>229</v>
      </c>
      <c r="F652">
        <v>1999</v>
      </c>
      <c r="G652">
        <v>5.8399999999999999E-4</v>
      </c>
      <c r="H652" t="s">
        <v>240</v>
      </c>
      <c r="I652" t="s">
        <v>241</v>
      </c>
      <c r="J652" t="s">
        <v>3</v>
      </c>
      <c r="K652" s="183">
        <f ca="1">VLOOKUP(F652,
    OFFSET(INDIRECT(ADDRESS(MATCH(J652,'Vehicle numbers'!$A$5:$A$162,0),1,1,1,$L$6)),4,1,COUNTIF('Vehicle numbers'!$A$5:$A$162,J652),4),
    MATCH(K$8,'Vehicle numbers'!$B$4:$D$4,0))*1000</f>
        <v>889364</v>
      </c>
      <c r="L652" s="183">
        <f ca="1">VLOOKUP(F652,
    OFFSET(INDIRECT(ADDRESS(MATCH(J652,'Vehicle numbers'!$A$5:$A$162,0),1,1,1,$L$6)),4,1,COUNTIF('Vehicle numbers'!$A$5:$A$162,J652),4),
    MATCH(L$8,'Vehicle numbers'!$B$4:$D$4,0))*1000</f>
        <v>905707.11251429981</v>
      </c>
      <c r="M652" s="184">
        <f>VLOOKUP(F652,'Annual distance covered (GB)'!$A$8:$H$33,MATCH(J652,'Annual distance covered (GB)'!$A$7:$H$7,0))</f>
        <v>4.5</v>
      </c>
      <c r="N652" s="2">
        <f t="shared" ca="1" si="34"/>
        <v>2676.2925997539587</v>
      </c>
      <c r="O652" s="180">
        <f t="shared" ca="1" si="35"/>
        <v>2.9549205949420034E-3</v>
      </c>
      <c r="P652" s="180"/>
      <c r="Q652" s="185"/>
      <c r="R652" s="180"/>
      <c r="S652" s="180"/>
      <c r="T652" s="180"/>
    </row>
    <row r="653" spans="1:20" x14ac:dyDescent="0.25">
      <c r="A653" t="s">
        <v>246</v>
      </c>
      <c r="B653" t="s">
        <v>237</v>
      </c>
      <c r="C653" t="s">
        <v>238</v>
      </c>
      <c r="D653" t="s">
        <v>261</v>
      </c>
      <c r="E653" t="s">
        <v>229</v>
      </c>
      <c r="F653">
        <v>1999</v>
      </c>
      <c r="G653">
        <v>4.6720000000000003E-4</v>
      </c>
      <c r="H653" t="s">
        <v>240</v>
      </c>
      <c r="I653" t="s">
        <v>241</v>
      </c>
      <c r="J653" t="s">
        <v>3</v>
      </c>
      <c r="K653" s="183">
        <f ca="1">VLOOKUP(F653,
    OFFSET(INDIRECT(ADDRESS(MATCH(J653,'Vehicle numbers'!$A$5:$A$162,0),1,1,1,$L$6)),4,1,COUNTIF('Vehicle numbers'!$A$5:$A$162,J653),4),
    MATCH(K$8,'Vehicle numbers'!$B$4:$D$4,0))*1000</f>
        <v>889364</v>
      </c>
      <c r="L653" s="183">
        <f ca="1">VLOOKUP(F653,
    OFFSET(INDIRECT(ADDRESS(MATCH(J653,'Vehicle numbers'!$A$5:$A$162,0),1,1,1,$L$6)),4,1,COUNTIF('Vehicle numbers'!$A$5:$A$162,J653),4),
    MATCH(L$8,'Vehicle numbers'!$B$4:$D$4,0))*1000</f>
        <v>905707.11251429981</v>
      </c>
      <c r="M653" s="184">
        <f>VLOOKUP(F653,'Annual distance covered (GB)'!$A$8:$H$33,MATCH(J653,'Annual distance covered (GB)'!$A$7:$H$7,0))</f>
        <v>4.5</v>
      </c>
      <c r="N653" s="2">
        <f t="shared" ca="1" si="34"/>
        <v>2141.0340798031671</v>
      </c>
      <c r="O653" s="180">
        <f t="shared" ca="1" si="35"/>
        <v>2.3639364759536026E-3</v>
      </c>
      <c r="P653" s="180"/>
      <c r="Q653" s="185"/>
      <c r="R653" s="180"/>
      <c r="S653" s="180"/>
      <c r="T653" s="180"/>
    </row>
    <row r="654" spans="1:20" x14ac:dyDescent="0.25">
      <c r="A654" t="s">
        <v>236</v>
      </c>
      <c r="B654" t="s">
        <v>237</v>
      </c>
      <c r="C654" t="s">
        <v>238</v>
      </c>
      <c r="D654" t="s">
        <v>261</v>
      </c>
      <c r="E654" t="s">
        <v>228</v>
      </c>
      <c r="F654">
        <v>1999</v>
      </c>
      <c r="G654">
        <v>3.7569999999999999E-3</v>
      </c>
      <c r="H654" t="s">
        <v>240</v>
      </c>
      <c r="I654" t="s">
        <v>241</v>
      </c>
      <c r="J654" t="s">
        <v>3</v>
      </c>
      <c r="K654" s="183">
        <f ca="1">VLOOKUP(F654,
    OFFSET(INDIRECT(ADDRESS(MATCH(J654,'Vehicle numbers'!$A$5:$A$162,0),1,1,1,$L$6)),4,1,COUNTIF('Vehicle numbers'!$A$5:$A$162,J654),4),
    MATCH(K$8,'Vehicle numbers'!$B$4:$D$4,0))*1000</f>
        <v>889364</v>
      </c>
      <c r="L654" s="183">
        <f ca="1">VLOOKUP(F654,
    OFFSET(INDIRECT(ADDRESS(MATCH(J654,'Vehicle numbers'!$A$5:$A$162,0),1,1,1,$L$6)),4,1,COUNTIF('Vehicle numbers'!$A$5:$A$162,J654),4),
    MATCH(L$8,'Vehicle numbers'!$B$4:$D$4,0))*1000</f>
        <v>905707.11251429981</v>
      </c>
      <c r="M654" s="184">
        <f>VLOOKUP(F654,'Annual distance covered (GB)'!$A$8:$H$33,MATCH(J654,'Annual distance covered (GB)'!$A$7:$H$7,0))</f>
        <v>4.5</v>
      </c>
      <c r="N654" s="2">
        <f t="shared" ca="1" si="34"/>
        <v>17217.176878896611</v>
      </c>
      <c r="O654" s="180">
        <f t="shared" ca="1" si="35"/>
        <v>1.9009651841090932E-2</v>
      </c>
      <c r="P654" s="180"/>
      <c r="Q654" s="185"/>
      <c r="R654" s="180"/>
      <c r="S654" s="180"/>
      <c r="T654" s="180"/>
    </row>
    <row r="655" spans="1:20" x14ac:dyDescent="0.25">
      <c r="A655" t="s">
        <v>243</v>
      </c>
      <c r="B655" t="s">
        <v>237</v>
      </c>
      <c r="C655" t="s">
        <v>238</v>
      </c>
      <c r="D655" t="s">
        <v>261</v>
      </c>
      <c r="E655" t="s">
        <v>228</v>
      </c>
      <c r="F655">
        <v>1999</v>
      </c>
      <c r="G655">
        <v>2.6299000000000001E-3</v>
      </c>
      <c r="H655" t="s">
        <v>240</v>
      </c>
      <c r="I655" t="s">
        <v>241</v>
      </c>
      <c r="J655" t="s">
        <v>3</v>
      </c>
      <c r="K655" s="183">
        <f ca="1">VLOOKUP(F655,
    OFFSET(INDIRECT(ADDRESS(MATCH(J655,'Vehicle numbers'!$A$5:$A$162,0),1,1,1,$L$6)),4,1,COUNTIF('Vehicle numbers'!$A$5:$A$162,J655),4),
    MATCH(K$8,'Vehicle numbers'!$B$4:$D$4,0))*1000</f>
        <v>889364</v>
      </c>
      <c r="L655" s="183">
        <f ca="1">VLOOKUP(F655,
    OFFSET(INDIRECT(ADDRESS(MATCH(J655,'Vehicle numbers'!$A$5:$A$162,0),1,1,1,$L$6)),4,1,COUNTIF('Vehicle numbers'!$A$5:$A$162,J655),4),
    MATCH(L$8,'Vehicle numbers'!$B$4:$D$4,0))*1000</f>
        <v>905707.11251429981</v>
      </c>
      <c r="M655" s="184">
        <f>VLOOKUP(F655,'Annual distance covered (GB)'!$A$8:$H$33,MATCH(J655,'Annual distance covered (GB)'!$A$7:$H$7,0))</f>
        <v>4.5</v>
      </c>
      <c r="N655" s="2">
        <f t="shared" ca="1" si="34"/>
        <v>12052.023815227631</v>
      </c>
      <c r="O655" s="180">
        <f t="shared" ca="1" si="35"/>
        <v>1.3306756288763655E-2</v>
      </c>
      <c r="P655" s="180"/>
      <c r="Q655" s="185"/>
      <c r="R655" s="180"/>
      <c r="S655" s="180"/>
      <c r="T655" s="180"/>
    </row>
    <row r="656" spans="1:20" x14ac:dyDescent="0.25">
      <c r="A656" t="s">
        <v>244</v>
      </c>
      <c r="B656" t="s">
        <v>237</v>
      </c>
      <c r="C656" t="s">
        <v>238</v>
      </c>
      <c r="D656" t="s">
        <v>261</v>
      </c>
      <c r="E656" t="s">
        <v>228</v>
      </c>
      <c r="F656">
        <v>1999</v>
      </c>
      <c r="G656">
        <v>3.7040845070422499E-4</v>
      </c>
      <c r="H656" t="s">
        <v>240</v>
      </c>
      <c r="I656" t="s">
        <v>241</v>
      </c>
      <c r="J656" t="s">
        <v>3</v>
      </c>
      <c r="K656" s="183">
        <f ca="1">VLOOKUP(F656,
    OFFSET(INDIRECT(ADDRESS(MATCH(J656,'Vehicle numbers'!$A$5:$A$162,0),1,1,1,$L$6)),4,1,COUNTIF('Vehicle numbers'!$A$5:$A$162,J656),4),
    MATCH(K$8,'Vehicle numbers'!$B$4:$D$4,0))*1000</f>
        <v>889364</v>
      </c>
      <c r="L656" s="183">
        <f ca="1">VLOOKUP(F656,
    OFFSET(INDIRECT(ADDRESS(MATCH(J656,'Vehicle numbers'!$A$5:$A$162,0),1,1,1,$L$6)),4,1,COUNTIF('Vehicle numbers'!$A$5:$A$162,J656),4),
    MATCH(L$8,'Vehicle numbers'!$B$4:$D$4,0))*1000</f>
        <v>905707.11251429981</v>
      </c>
      <c r="M656" s="184">
        <f>VLOOKUP(F656,'Annual distance covered (GB)'!$A$8:$H$33,MATCH(J656,'Annual distance covered (GB)'!$A$7:$H$7,0))</f>
        <v>4.5</v>
      </c>
      <c r="N656" s="2">
        <f t="shared" ca="1" si="34"/>
        <v>1697.4681429898053</v>
      </c>
      <c r="O656" s="180">
        <f t="shared" ca="1" si="35"/>
        <v>1.8741910265864282E-3</v>
      </c>
      <c r="P656" s="180"/>
      <c r="Q656" s="185"/>
      <c r="R656" s="180"/>
      <c r="S656" s="180"/>
      <c r="T656" s="180"/>
    </row>
    <row r="657" spans="1:20" x14ac:dyDescent="0.25">
      <c r="A657" t="s">
        <v>246</v>
      </c>
      <c r="B657" t="s">
        <v>237</v>
      </c>
      <c r="C657" t="s">
        <v>238</v>
      </c>
      <c r="D657" t="s">
        <v>261</v>
      </c>
      <c r="E657" t="s">
        <v>228</v>
      </c>
      <c r="F657">
        <v>1999</v>
      </c>
      <c r="G657">
        <v>2.9632676056337998E-4</v>
      </c>
      <c r="H657" t="s">
        <v>240</v>
      </c>
      <c r="I657" t="s">
        <v>241</v>
      </c>
      <c r="J657" t="s">
        <v>3</v>
      </c>
      <c r="K657" s="183">
        <f ca="1">VLOOKUP(F657,
    OFFSET(INDIRECT(ADDRESS(MATCH(J657,'Vehicle numbers'!$A$5:$A$162,0),1,1,1,$L$6)),4,1,COUNTIF('Vehicle numbers'!$A$5:$A$162,J657),4),
    MATCH(K$8,'Vehicle numbers'!$B$4:$D$4,0))*1000</f>
        <v>889364</v>
      </c>
      <c r="L657" s="183">
        <f ca="1">VLOOKUP(F657,
    OFFSET(INDIRECT(ADDRESS(MATCH(J657,'Vehicle numbers'!$A$5:$A$162,0),1,1,1,$L$6)),4,1,COUNTIF('Vehicle numbers'!$A$5:$A$162,J657),4),
    MATCH(L$8,'Vehicle numbers'!$B$4:$D$4,0))*1000</f>
        <v>905707.11251429981</v>
      </c>
      <c r="M657" s="184">
        <f>VLOOKUP(F657,'Annual distance covered (GB)'!$A$8:$H$33,MATCH(J657,'Annual distance covered (GB)'!$A$7:$H$7,0))</f>
        <v>4.5</v>
      </c>
      <c r="N657" s="2">
        <f t="shared" ca="1" si="34"/>
        <v>1357.9745143918442</v>
      </c>
      <c r="O657" s="180">
        <f t="shared" ca="1" si="35"/>
        <v>1.4993528212691426E-3</v>
      </c>
      <c r="P657" s="180"/>
      <c r="Q657" s="185"/>
      <c r="R657" s="180"/>
      <c r="S657" s="180"/>
      <c r="T657" s="180"/>
    </row>
    <row r="658" spans="1:20" x14ac:dyDescent="0.25">
      <c r="A658" t="s">
        <v>236</v>
      </c>
      <c r="B658" t="s">
        <v>237</v>
      </c>
      <c r="C658" t="s">
        <v>238</v>
      </c>
      <c r="D658" t="s">
        <v>262</v>
      </c>
      <c r="E658" t="s">
        <v>229</v>
      </c>
      <c r="F658">
        <v>1999</v>
      </c>
      <c r="G658">
        <v>6.8000000000000102E-4</v>
      </c>
      <c r="H658" t="s">
        <v>240</v>
      </c>
      <c r="I658" t="s">
        <v>241</v>
      </c>
      <c r="J658" t="s">
        <v>3</v>
      </c>
      <c r="K658" s="183">
        <f ca="1">VLOOKUP(F658,
    OFFSET(INDIRECT(ADDRESS(MATCH(J658,'Vehicle numbers'!$A$5:$A$162,0),1,1,1,$L$6)),4,1,COUNTIF('Vehicle numbers'!$A$5:$A$162,J658),4),
    MATCH(K$8,'Vehicle numbers'!$B$4:$D$4,0))*1000</f>
        <v>889364</v>
      </c>
      <c r="L658" s="183">
        <f ca="1">VLOOKUP(F658,
    OFFSET(INDIRECT(ADDRESS(MATCH(J658,'Vehicle numbers'!$A$5:$A$162,0),1,1,1,$L$6)),4,1,COUNTIF('Vehicle numbers'!$A$5:$A$162,J658),4),
    MATCH(L$8,'Vehicle numbers'!$B$4:$D$4,0))*1000</f>
        <v>905707.11251429981</v>
      </c>
      <c r="M658" s="184">
        <f>VLOOKUP(F658,'Annual distance covered (GB)'!$A$8:$H$33,MATCH(J658,'Annual distance covered (GB)'!$A$7:$H$7,0))</f>
        <v>4.5</v>
      </c>
      <c r="N658" s="2">
        <f t="shared" ca="1" si="34"/>
        <v>3116.2311093025592</v>
      </c>
      <c r="O658" s="180">
        <f t="shared" ca="1" si="35"/>
        <v>3.4406609667132966E-3</v>
      </c>
      <c r="P658" s="180"/>
      <c r="Q658" s="185"/>
      <c r="R658" s="180"/>
      <c r="S658" s="180"/>
      <c r="T658" s="180"/>
    </row>
    <row r="659" spans="1:20" x14ac:dyDescent="0.25">
      <c r="A659" t="s">
        <v>243</v>
      </c>
      <c r="B659" t="s">
        <v>237</v>
      </c>
      <c r="C659" t="s">
        <v>238</v>
      </c>
      <c r="D659" t="s">
        <v>262</v>
      </c>
      <c r="E659" t="s">
        <v>229</v>
      </c>
      <c r="F659">
        <v>1999</v>
      </c>
      <c r="G659">
        <v>2.72E-4</v>
      </c>
      <c r="H659" t="s">
        <v>240</v>
      </c>
      <c r="I659" t="s">
        <v>241</v>
      </c>
      <c r="J659" t="s">
        <v>3</v>
      </c>
      <c r="K659" s="183">
        <f ca="1">VLOOKUP(F659,
    OFFSET(INDIRECT(ADDRESS(MATCH(J659,'Vehicle numbers'!$A$5:$A$162,0),1,1,1,$L$6)),4,1,COUNTIF('Vehicle numbers'!$A$5:$A$162,J659),4),
    MATCH(K$8,'Vehicle numbers'!$B$4:$D$4,0))*1000</f>
        <v>889364</v>
      </c>
      <c r="L659" s="183">
        <f ca="1">VLOOKUP(F659,
    OFFSET(INDIRECT(ADDRESS(MATCH(J659,'Vehicle numbers'!$A$5:$A$162,0),1,1,1,$L$6)),4,1,COUNTIF('Vehicle numbers'!$A$5:$A$162,J659),4),
    MATCH(L$8,'Vehicle numbers'!$B$4:$D$4,0))*1000</f>
        <v>905707.11251429981</v>
      </c>
      <c r="M659" s="184">
        <f>VLOOKUP(F659,'Annual distance covered (GB)'!$A$8:$H$33,MATCH(J659,'Annual distance covered (GB)'!$A$7:$H$7,0))</f>
        <v>4.5</v>
      </c>
      <c r="N659" s="2">
        <f t="shared" ca="1" si="34"/>
        <v>1246.4924437210218</v>
      </c>
      <c r="O659" s="180">
        <f t="shared" ca="1" si="35"/>
        <v>1.3762643866853165E-3</v>
      </c>
      <c r="P659" s="180"/>
      <c r="Q659" s="185"/>
      <c r="R659" s="180"/>
      <c r="S659" s="180"/>
      <c r="T659" s="180"/>
    </row>
    <row r="660" spans="1:20" x14ac:dyDescent="0.25">
      <c r="A660" t="s">
        <v>244</v>
      </c>
      <c r="B660" t="s">
        <v>237</v>
      </c>
      <c r="C660" t="s">
        <v>238</v>
      </c>
      <c r="D660" t="s">
        <v>262</v>
      </c>
      <c r="E660" t="s">
        <v>229</v>
      </c>
      <c r="F660">
        <v>1999</v>
      </c>
      <c r="G660" s="189">
        <v>6.7999999999999999E-5</v>
      </c>
      <c r="H660" t="s">
        <v>240</v>
      </c>
      <c r="I660" t="s">
        <v>241</v>
      </c>
      <c r="J660" t="s">
        <v>3</v>
      </c>
      <c r="K660" s="183">
        <f ca="1">VLOOKUP(F660,
    OFFSET(INDIRECT(ADDRESS(MATCH(J660,'Vehicle numbers'!$A$5:$A$162,0),1,1,1,$L$6)),4,1,COUNTIF('Vehicle numbers'!$A$5:$A$162,J660),4),
    MATCH(K$8,'Vehicle numbers'!$B$4:$D$4,0))*1000</f>
        <v>889364</v>
      </c>
      <c r="L660" s="183">
        <f ca="1">VLOOKUP(F660,
    OFFSET(INDIRECT(ADDRESS(MATCH(J660,'Vehicle numbers'!$A$5:$A$162,0),1,1,1,$L$6)),4,1,COUNTIF('Vehicle numbers'!$A$5:$A$162,J660),4),
    MATCH(L$8,'Vehicle numbers'!$B$4:$D$4,0))*1000</f>
        <v>905707.11251429981</v>
      </c>
      <c r="M660" s="184">
        <f>VLOOKUP(F660,'Annual distance covered (GB)'!$A$8:$H$33,MATCH(J660,'Annual distance covered (GB)'!$A$7:$H$7,0))</f>
        <v>4.5</v>
      </c>
      <c r="N660" s="2">
        <f t="shared" ca="1" si="34"/>
        <v>311.62311093025545</v>
      </c>
      <c r="O660" s="180">
        <f t="shared" ca="1" si="35"/>
        <v>3.4406609667132911E-4</v>
      </c>
      <c r="P660" s="180"/>
      <c r="Q660" s="185"/>
      <c r="R660" s="180"/>
      <c r="S660" s="180"/>
      <c r="T660" s="180"/>
    </row>
    <row r="661" spans="1:20" x14ac:dyDescent="0.25">
      <c r="A661" t="s">
        <v>246</v>
      </c>
      <c r="B661" t="s">
        <v>237</v>
      </c>
      <c r="C661" t="s">
        <v>238</v>
      </c>
      <c r="D661" t="s">
        <v>262</v>
      </c>
      <c r="E661" t="s">
        <v>229</v>
      </c>
      <c r="F661">
        <v>1999</v>
      </c>
      <c r="G661" s="189">
        <v>5.4400000000000001E-5</v>
      </c>
      <c r="H661" t="s">
        <v>240</v>
      </c>
      <c r="I661" t="s">
        <v>241</v>
      </c>
      <c r="J661" t="s">
        <v>3</v>
      </c>
      <c r="K661" s="183">
        <f ca="1">VLOOKUP(F661,
    OFFSET(INDIRECT(ADDRESS(MATCH(J661,'Vehicle numbers'!$A$5:$A$162,0),1,1,1,$L$6)),4,1,COUNTIF('Vehicle numbers'!$A$5:$A$162,J661),4),
    MATCH(K$8,'Vehicle numbers'!$B$4:$D$4,0))*1000</f>
        <v>889364</v>
      </c>
      <c r="L661" s="183">
        <f ca="1">VLOOKUP(F661,
    OFFSET(INDIRECT(ADDRESS(MATCH(J661,'Vehicle numbers'!$A$5:$A$162,0),1,1,1,$L$6)),4,1,COUNTIF('Vehicle numbers'!$A$5:$A$162,J661),4),
    MATCH(L$8,'Vehicle numbers'!$B$4:$D$4,0))*1000</f>
        <v>905707.11251429981</v>
      </c>
      <c r="M661" s="184">
        <f>VLOOKUP(F661,'Annual distance covered (GB)'!$A$8:$H$33,MATCH(J661,'Annual distance covered (GB)'!$A$7:$H$7,0))</f>
        <v>4.5</v>
      </c>
      <c r="N661" s="2">
        <f t="shared" ca="1" si="34"/>
        <v>249.29848874420435</v>
      </c>
      <c r="O661" s="180">
        <f t="shared" ca="1" si="35"/>
        <v>2.7525287733706327E-4</v>
      </c>
      <c r="P661" s="180"/>
      <c r="Q661" s="185"/>
      <c r="R661" s="180"/>
      <c r="S661" s="180"/>
      <c r="T661" s="180"/>
    </row>
    <row r="662" spans="1:20" x14ac:dyDescent="0.25">
      <c r="A662" t="s">
        <v>236</v>
      </c>
      <c r="B662" t="s">
        <v>237</v>
      </c>
      <c r="C662" t="s">
        <v>238</v>
      </c>
      <c r="D662" t="s">
        <v>262</v>
      </c>
      <c r="E662" t="s">
        <v>228</v>
      </c>
      <c r="F662">
        <v>1999</v>
      </c>
      <c r="G662">
        <v>2.49E-3</v>
      </c>
      <c r="H662" t="s">
        <v>240</v>
      </c>
      <c r="I662" t="s">
        <v>241</v>
      </c>
      <c r="J662" t="s">
        <v>3</v>
      </c>
      <c r="K662" s="183">
        <f ca="1">VLOOKUP(F662,
    OFFSET(INDIRECT(ADDRESS(MATCH(J662,'Vehicle numbers'!$A$5:$A$162,0),1,1,1,$L$6)),4,1,COUNTIF('Vehicle numbers'!$A$5:$A$162,J662),4),
    MATCH(K$8,'Vehicle numbers'!$B$4:$D$4,0))*1000</f>
        <v>889364</v>
      </c>
      <c r="L662" s="183">
        <f ca="1">VLOOKUP(F662,
    OFFSET(INDIRECT(ADDRESS(MATCH(J662,'Vehicle numbers'!$A$5:$A$162,0),1,1,1,$L$6)),4,1,COUNTIF('Vehicle numbers'!$A$5:$A$162,J662),4),
    MATCH(L$8,'Vehicle numbers'!$B$4:$D$4,0))*1000</f>
        <v>905707.11251429981</v>
      </c>
      <c r="M662" s="184">
        <f>VLOOKUP(F662,'Annual distance covered (GB)'!$A$8:$H$33,MATCH(J662,'Annual distance covered (GB)'!$A$7:$H$7,0))</f>
        <v>4.5</v>
      </c>
      <c r="N662" s="2">
        <f t="shared" ca="1" si="34"/>
        <v>11410.905091416707</v>
      </c>
      <c r="O662" s="180">
        <f t="shared" ca="1" si="35"/>
        <v>1.2598890892817788E-2</v>
      </c>
      <c r="P662" s="180"/>
      <c r="Q662" s="185"/>
      <c r="R662" s="180"/>
      <c r="S662" s="180"/>
      <c r="T662" s="180"/>
    </row>
    <row r="663" spans="1:20" x14ac:dyDescent="0.25">
      <c r="A663" t="s">
        <v>243</v>
      </c>
      <c r="B663" t="s">
        <v>237</v>
      </c>
      <c r="C663" t="s">
        <v>238</v>
      </c>
      <c r="D663" t="s">
        <v>262</v>
      </c>
      <c r="E663" t="s">
        <v>228</v>
      </c>
      <c r="F663">
        <v>1999</v>
      </c>
      <c r="G663">
        <v>1.743E-3</v>
      </c>
      <c r="H663" t="s">
        <v>240</v>
      </c>
      <c r="I663" t="s">
        <v>241</v>
      </c>
      <c r="J663" t="s">
        <v>3</v>
      </c>
      <c r="K663" s="183">
        <f ca="1">VLOOKUP(F663,
    OFFSET(INDIRECT(ADDRESS(MATCH(J663,'Vehicle numbers'!$A$5:$A$162,0),1,1,1,$L$6)),4,1,COUNTIF('Vehicle numbers'!$A$5:$A$162,J663),4),
    MATCH(K$8,'Vehicle numbers'!$B$4:$D$4,0))*1000</f>
        <v>889364</v>
      </c>
      <c r="L663" s="183">
        <f ca="1">VLOOKUP(F663,
    OFFSET(INDIRECT(ADDRESS(MATCH(J663,'Vehicle numbers'!$A$5:$A$162,0),1,1,1,$L$6)),4,1,COUNTIF('Vehicle numbers'!$A$5:$A$162,J663),4),
    MATCH(L$8,'Vehicle numbers'!$B$4:$D$4,0))*1000</f>
        <v>905707.11251429981</v>
      </c>
      <c r="M663" s="184">
        <f>VLOOKUP(F663,'Annual distance covered (GB)'!$A$8:$H$33,MATCH(J663,'Annual distance covered (GB)'!$A$7:$H$7,0))</f>
        <v>4.5</v>
      </c>
      <c r="N663" s="2">
        <f t="shared" ca="1" si="34"/>
        <v>7987.6335639916952</v>
      </c>
      <c r="O663" s="180">
        <f t="shared" ca="1" si="35"/>
        <v>8.8192236249724516E-3</v>
      </c>
      <c r="P663" s="180"/>
      <c r="Q663" s="185"/>
      <c r="R663" s="180"/>
      <c r="S663" s="180"/>
      <c r="T663" s="180"/>
    </row>
    <row r="664" spans="1:20" x14ac:dyDescent="0.25">
      <c r="A664" t="s">
        <v>244</v>
      </c>
      <c r="B664" t="s">
        <v>237</v>
      </c>
      <c r="C664" t="s">
        <v>238</v>
      </c>
      <c r="D664" t="s">
        <v>262</v>
      </c>
      <c r="E664" t="s">
        <v>228</v>
      </c>
      <c r="F664">
        <v>1999</v>
      </c>
      <c r="G664">
        <v>2.4549295774647798E-4</v>
      </c>
      <c r="H664" t="s">
        <v>240</v>
      </c>
      <c r="I664" t="s">
        <v>241</v>
      </c>
      <c r="J664" t="s">
        <v>3</v>
      </c>
      <c r="K664" s="183">
        <f ca="1">VLOOKUP(F664,
    OFFSET(INDIRECT(ADDRESS(MATCH(J664,'Vehicle numbers'!$A$5:$A$162,0),1,1,1,$L$6)),4,1,COUNTIF('Vehicle numbers'!$A$5:$A$162,J664),4),
    MATCH(K$8,'Vehicle numbers'!$B$4:$D$4,0))*1000</f>
        <v>889364</v>
      </c>
      <c r="L664" s="183">
        <f ca="1">VLOOKUP(F664,
    OFFSET(INDIRECT(ADDRESS(MATCH(J664,'Vehicle numbers'!$A$5:$A$162,0),1,1,1,$L$6)),4,1,COUNTIF('Vehicle numbers'!$A$5:$A$162,J664),4),
    MATCH(L$8,'Vehicle numbers'!$B$4:$D$4,0))*1000</f>
        <v>905707.11251429981</v>
      </c>
      <c r="M664" s="184">
        <f>VLOOKUP(F664,'Annual distance covered (GB)'!$A$8:$H$33,MATCH(J664,'Annual distance covered (GB)'!$A$7:$H$7,0))</f>
        <v>4.5</v>
      </c>
      <c r="N664" s="2">
        <f t="shared" ca="1" si="34"/>
        <v>1125.018811829812</v>
      </c>
      <c r="O664" s="180">
        <f t="shared" ca="1" si="35"/>
        <v>1.2421441725313266E-3</v>
      </c>
      <c r="P664" s="180"/>
      <c r="Q664" s="185"/>
      <c r="R664" s="180"/>
      <c r="S664" s="180"/>
      <c r="T664" s="180"/>
    </row>
    <row r="665" spans="1:20" x14ac:dyDescent="0.25">
      <c r="A665" t="s">
        <v>246</v>
      </c>
      <c r="B665" t="s">
        <v>237</v>
      </c>
      <c r="C665" t="s">
        <v>238</v>
      </c>
      <c r="D665" t="s">
        <v>262</v>
      </c>
      <c r="E665" t="s">
        <v>228</v>
      </c>
      <c r="F665">
        <v>1999</v>
      </c>
      <c r="G665">
        <v>1.96394366197183E-4</v>
      </c>
      <c r="H665" t="s">
        <v>240</v>
      </c>
      <c r="I665" t="s">
        <v>241</v>
      </c>
      <c r="J665" t="s">
        <v>3</v>
      </c>
      <c r="K665" s="183">
        <f ca="1">VLOOKUP(F665,
    OFFSET(INDIRECT(ADDRESS(MATCH(J665,'Vehicle numbers'!$A$5:$A$162,0),1,1,1,$L$6)),4,1,COUNTIF('Vehicle numbers'!$A$5:$A$162,J665),4),
    MATCH(K$8,'Vehicle numbers'!$B$4:$D$4,0))*1000</f>
        <v>889364</v>
      </c>
      <c r="L665" s="183">
        <f ca="1">VLOOKUP(F665,
    OFFSET(INDIRECT(ADDRESS(MATCH(J665,'Vehicle numbers'!$A$5:$A$162,0),1,1,1,$L$6)),4,1,COUNTIF('Vehicle numbers'!$A$5:$A$162,J665),4),
    MATCH(L$8,'Vehicle numbers'!$B$4:$D$4,0))*1000</f>
        <v>905707.11251429981</v>
      </c>
      <c r="M665" s="184">
        <f>VLOOKUP(F665,'Annual distance covered (GB)'!$A$8:$H$33,MATCH(J665,'Annual distance covered (GB)'!$A$7:$H$7,0))</f>
        <v>4.5</v>
      </c>
      <c r="N665" s="2">
        <f t="shared" ca="1" si="34"/>
        <v>900.01504946385251</v>
      </c>
      <c r="O665" s="180">
        <f t="shared" ca="1" si="35"/>
        <v>9.9371533802506437E-4</v>
      </c>
      <c r="P665" s="180"/>
      <c r="Q665" s="185"/>
      <c r="R665" s="180"/>
      <c r="S665" s="180"/>
      <c r="T665" s="180"/>
    </row>
    <row r="666" spans="1:20" x14ac:dyDescent="0.25">
      <c r="A666" t="s">
        <v>236</v>
      </c>
      <c r="B666" t="s">
        <v>237</v>
      </c>
      <c r="C666" t="s">
        <v>238</v>
      </c>
      <c r="D666" t="s">
        <v>263</v>
      </c>
      <c r="E666" t="s">
        <v>229</v>
      </c>
      <c r="F666">
        <v>1999</v>
      </c>
      <c r="G666">
        <v>2.764E-3</v>
      </c>
      <c r="H666" t="s">
        <v>240</v>
      </c>
      <c r="I666" t="s">
        <v>241</v>
      </c>
      <c r="J666" t="s">
        <v>3</v>
      </c>
      <c r="K666" s="183">
        <f ca="1">VLOOKUP(F666,
    OFFSET(INDIRECT(ADDRESS(MATCH(J666,'Vehicle numbers'!$A$5:$A$162,0),1,1,1,$L$6)),4,1,COUNTIF('Vehicle numbers'!$A$5:$A$162,J666),4),
    MATCH(K$8,'Vehicle numbers'!$B$4:$D$4,0))*1000</f>
        <v>889364</v>
      </c>
      <c r="L666" s="183">
        <f ca="1">VLOOKUP(F666,
    OFFSET(INDIRECT(ADDRESS(MATCH(J666,'Vehicle numbers'!$A$5:$A$162,0),1,1,1,$L$6)),4,1,COUNTIF('Vehicle numbers'!$A$5:$A$162,J666),4),
    MATCH(L$8,'Vehicle numbers'!$B$4:$D$4,0))*1000</f>
        <v>905707.11251429981</v>
      </c>
      <c r="M666" s="184">
        <f>VLOOKUP(F666,'Annual distance covered (GB)'!$A$8:$H$33,MATCH(J666,'Annual distance covered (GB)'!$A$7:$H$7,0))</f>
        <v>4.5</v>
      </c>
      <c r="N666" s="2">
        <f t="shared" ca="1" si="34"/>
        <v>12666.562920753324</v>
      </c>
      <c r="O666" s="180">
        <f t="shared" ca="1" si="35"/>
        <v>1.3985274870581672E-2</v>
      </c>
      <c r="P666" s="180"/>
      <c r="Q666" s="185"/>
      <c r="R666" s="180"/>
      <c r="S666" s="180"/>
      <c r="T666" s="180"/>
    </row>
    <row r="667" spans="1:20" x14ac:dyDescent="0.25">
      <c r="A667" t="s">
        <v>243</v>
      </c>
      <c r="B667" t="s">
        <v>237</v>
      </c>
      <c r="C667" t="s">
        <v>238</v>
      </c>
      <c r="D667" t="s">
        <v>263</v>
      </c>
      <c r="E667" t="s">
        <v>229</v>
      </c>
      <c r="F667">
        <v>1999</v>
      </c>
      <c r="G667">
        <v>1.1056E-3</v>
      </c>
      <c r="H667" t="s">
        <v>240</v>
      </c>
      <c r="I667" t="s">
        <v>241</v>
      </c>
      <c r="J667" t="s">
        <v>3</v>
      </c>
      <c r="K667" s="183">
        <f ca="1">VLOOKUP(F667,
    OFFSET(INDIRECT(ADDRESS(MATCH(J667,'Vehicle numbers'!$A$5:$A$162,0),1,1,1,$L$6)),4,1,COUNTIF('Vehicle numbers'!$A$5:$A$162,J667),4),
    MATCH(K$8,'Vehicle numbers'!$B$4:$D$4,0))*1000</f>
        <v>889364</v>
      </c>
      <c r="L667" s="183">
        <f ca="1">VLOOKUP(F667,
    OFFSET(INDIRECT(ADDRESS(MATCH(J667,'Vehicle numbers'!$A$5:$A$162,0),1,1,1,$L$6)),4,1,COUNTIF('Vehicle numbers'!$A$5:$A$162,J667),4),
    MATCH(L$8,'Vehicle numbers'!$B$4:$D$4,0))*1000</f>
        <v>905707.11251429981</v>
      </c>
      <c r="M667" s="184">
        <f>VLOOKUP(F667,'Annual distance covered (GB)'!$A$8:$H$33,MATCH(J667,'Annual distance covered (GB)'!$A$7:$H$7,0))</f>
        <v>4.5</v>
      </c>
      <c r="N667" s="2">
        <f t="shared" ca="1" si="34"/>
        <v>5066.6251683013297</v>
      </c>
      <c r="O667" s="180">
        <f t="shared" ca="1" si="35"/>
        <v>5.5941099482326685E-3</v>
      </c>
      <c r="P667" s="180"/>
      <c r="Q667" s="185"/>
      <c r="R667" s="180"/>
      <c r="S667" s="180"/>
      <c r="T667" s="180"/>
    </row>
    <row r="668" spans="1:20" x14ac:dyDescent="0.25">
      <c r="A668" t="s">
        <v>244</v>
      </c>
      <c r="B668" t="s">
        <v>237</v>
      </c>
      <c r="C668" t="s">
        <v>238</v>
      </c>
      <c r="D668" t="s">
        <v>263</v>
      </c>
      <c r="E668" t="s">
        <v>229</v>
      </c>
      <c r="F668">
        <v>1999</v>
      </c>
      <c r="G668">
        <v>2.764E-4</v>
      </c>
      <c r="H668" t="s">
        <v>240</v>
      </c>
      <c r="I668" t="s">
        <v>241</v>
      </c>
      <c r="J668" t="s">
        <v>3</v>
      </c>
      <c r="K668" s="183">
        <f ca="1">VLOOKUP(F668,
    OFFSET(INDIRECT(ADDRESS(MATCH(J668,'Vehicle numbers'!$A$5:$A$162,0),1,1,1,$L$6)),4,1,COUNTIF('Vehicle numbers'!$A$5:$A$162,J668),4),
    MATCH(K$8,'Vehicle numbers'!$B$4:$D$4,0))*1000</f>
        <v>889364</v>
      </c>
      <c r="L668" s="183">
        <f ca="1">VLOOKUP(F668,
    OFFSET(INDIRECT(ADDRESS(MATCH(J668,'Vehicle numbers'!$A$5:$A$162,0),1,1,1,$L$6)),4,1,COUNTIF('Vehicle numbers'!$A$5:$A$162,J668),4),
    MATCH(L$8,'Vehicle numbers'!$B$4:$D$4,0))*1000</f>
        <v>905707.11251429981</v>
      </c>
      <c r="M668" s="184">
        <f>VLOOKUP(F668,'Annual distance covered (GB)'!$A$8:$H$33,MATCH(J668,'Annual distance covered (GB)'!$A$7:$H$7,0))</f>
        <v>4.5</v>
      </c>
      <c r="N668" s="2">
        <f t="shared" ca="1" si="34"/>
        <v>1266.6562920753324</v>
      </c>
      <c r="O668" s="180">
        <f t="shared" ca="1" si="35"/>
        <v>1.3985274870581671E-3</v>
      </c>
      <c r="P668" s="180"/>
      <c r="Q668" s="185"/>
      <c r="R668" s="180"/>
      <c r="S668" s="180"/>
      <c r="T668" s="180"/>
    </row>
    <row r="669" spans="1:20" x14ac:dyDescent="0.25">
      <c r="A669" t="s">
        <v>246</v>
      </c>
      <c r="B669" t="s">
        <v>237</v>
      </c>
      <c r="C669" t="s">
        <v>238</v>
      </c>
      <c r="D669" t="s">
        <v>263</v>
      </c>
      <c r="E669" t="s">
        <v>229</v>
      </c>
      <c r="F669">
        <v>1999</v>
      </c>
      <c r="G669">
        <v>2.2112E-4</v>
      </c>
      <c r="H669" t="s">
        <v>240</v>
      </c>
      <c r="I669" t="s">
        <v>241</v>
      </c>
      <c r="J669" t="s">
        <v>3</v>
      </c>
      <c r="K669" s="183">
        <f ca="1">VLOOKUP(F669,
    OFFSET(INDIRECT(ADDRESS(MATCH(J669,'Vehicle numbers'!$A$5:$A$162,0),1,1,1,$L$6)),4,1,COUNTIF('Vehicle numbers'!$A$5:$A$162,J669),4),
    MATCH(K$8,'Vehicle numbers'!$B$4:$D$4,0))*1000</f>
        <v>889364</v>
      </c>
      <c r="L669" s="183">
        <f ca="1">VLOOKUP(F669,
    OFFSET(INDIRECT(ADDRESS(MATCH(J669,'Vehicle numbers'!$A$5:$A$162,0),1,1,1,$L$6)),4,1,COUNTIF('Vehicle numbers'!$A$5:$A$162,J669),4),
    MATCH(L$8,'Vehicle numbers'!$B$4:$D$4,0))*1000</f>
        <v>905707.11251429981</v>
      </c>
      <c r="M669" s="184">
        <f>VLOOKUP(F669,'Annual distance covered (GB)'!$A$8:$H$33,MATCH(J669,'Annual distance covered (GB)'!$A$7:$H$7,0))</f>
        <v>4.5</v>
      </c>
      <c r="N669" s="2">
        <f t="shared" ca="1" si="34"/>
        <v>1013.3250336602659</v>
      </c>
      <c r="O669" s="180">
        <f t="shared" ca="1" si="35"/>
        <v>1.1188219896465339E-3</v>
      </c>
      <c r="P669" s="180"/>
      <c r="Q669" s="185"/>
      <c r="R669" s="180"/>
      <c r="S669" s="180"/>
      <c r="T669" s="180"/>
    </row>
    <row r="670" spans="1:20" x14ac:dyDescent="0.25">
      <c r="A670" t="s">
        <v>236</v>
      </c>
      <c r="B670" t="s">
        <v>237</v>
      </c>
      <c r="C670" t="s">
        <v>238</v>
      </c>
      <c r="D670" t="s">
        <v>263</v>
      </c>
      <c r="E670" t="s">
        <v>228</v>
      </c>
      <c r="F670">
        <v>1999</v>
      </c>
      <c r="G670">
        <v>2.9239999999999999E-3</v>
      </c>
      <c r="H670" t="s">
        <v>240</v>
      </c>
      <c r="I670" t="s">
        <v>241</v>
      </c>
      <c r="J670" t="s">
        <v>3</v>
      </c>
      <c r="K670" s="183">
        <f ca="1">VLOOKUP(F670,
    OFFSET(INDIRECT(ADDRESS(MATCH(J670,'Vehicle numbers'!$A$5:$A$162,0),1,1,1,$L$6)),4,1,COUNTIF('Vehicle numbers'!$A$5:$A$162,J670),4),
    MATCH(K$8,'Vehicle numbers'!$B$4:$D$4,0))*1000</f>
        <v>889364</v>
      </c>
      <c r="L670" s="183">
        <f ca="1">VLOOKUP(F670,
    OFFSET(INDIRECT(ADDRESS(MATCH(J670,'Vehicle numbers'!$A$5:$A$162,0),1,1,1,$L$6)),4,1,COUNTIF('Vehicle numbers'!$A$5:$A$162,J670),4),
    MATCH(L$8,'Vehicle numbers'!$B$4:$D$4,0))*1000</f>
        <v>905707.11251429981</v>
      </c>
      <c r="M670" s="184">
        <f>VLOOKUP(F670,'Annual distance covered (GB)'!$A$8:$H$33,MATCH(J670,'Annual distance covered (GB)'!$A$7:$H$7,0))</f>
        <v>4.5</v>
      </c>
      <c r="N670" s="2">
        <f t="shared" ca="1" si="34"/>
        <v>13399.793770000984</v>
      </c>
      <c r="O670" s="180">
        <f t="shared" ca="1" si="35"/>
        <v>1.4794842156867152E-2</v>
      </c>
      <c r="P670" s="180"/>
      <c r="Q670" s="185"/>
      <c r="R670" s="180"/>
      <c r="S670" s="180"/>
      <c r="T670" s="180"/>
    </row>
    <row r="671" spans="1:20" x14ac:dyDescent="0.25">
      <c r="A671" t="s">
        <v>243</v>
      </c>
      <c r="B671" t="s">
        <v>237</v>
      </c>
      <c r="C671" t="s">
        <v>238</v>
      </c>
      <c r="D671" t="s">
        <v>263</v>
      </c>
      <c r="E671" t="s">
        <v>228</v>
      </c>
      <c r="F671">
        <v>1999</v>
      </c>
      <c r="G671">
        <v>2.0468000000000001E-3</v>
      </c>
      <c r="H671" t="s">
        <v>240</v>
      </c>
      <c r="I671" t="s">
        <v>241</v>
      </c>
      <c r="J671" t="s">
        <v>3</v>
      </c>
      <c r="K671" s="183">
        <f ca="1">VLOOKUP(F671,
    OFFSET(INDIRECT(ADDRESS(MATCH(J671,'Vehicle numbers'!$A$5:$A$162,0),1,1,1,$L$6)),4,1,COUNTIF('Vehicle numbers'!$A$5:$A$162,J671),4),
    MATCH(K$8,'Vehicle numbers'!$B$4:$D$4,0))*1000</f>
        <v>889364</v>
      </c>
      <c r="L671" s="183">
        <f ca="1">VLOOKUP(F671,
    OFFSET(INDIRECT(ADDRESS(MATCH(J671,'Vehicle numbers'!$A$5:$A$162,0),1,1,1,$L$6)),4,1,COUNTIF('Vehicle numbers'!$A$5:$A$162,J671),4),
    MATCH(L$8,'Vehicle numbers'!$B$4:$D$4,0))*1000</f>
        <v>905707.11251429981</v>
      </c>
      <c r="M671" s="184">
        <f>VLOOKUP(F671,'Annual distance covered (GB)'!$A$8:$H$33,MATCH(J671,'Annual distance covered (GB)'!$A$7:$H$7,0))</f>
        <v>4.5</v>
      </c>
      <c r="N671" s="2">
        <f t="shared" ca="1" si="34"/>
        <v>9379.8556390006888</v>
      </c>
      <c r="O671" s="180">
        <f t="shared" ca="1" si="35"/>
        <v>1.0356389509807006E-2</v>
      </c>
      <c r="P671" s="180"/>
      <c r="Q671" s="185"/>
      <c r="R671" s="180"/>
      <c r="S671" s="180"/>
      <c r="T671" s="180"/>
    </row>
    <row r="672" spans="1:20" x14ac:dyDescent="0.25">
      <c r="A672" t="s">
        <v>244</v>
      </c>
      <c r="B672" t="s">
        <v>237</v>
      </c>
      <c r="C672" t="s">
        <v>238</v>
      </c>
      <c r="D672" t="s">
        <v>263</v>
      </c>
      <c r="E672" t="s">
        <v>228</v>
      </c>
      <c r="F672">
        <v>1999</v>
      </c>
      <c r="G672">
        <v>2.8828169014084501E-4</v>
      </c>
      <c r="H672" t="s">
        <v>240</v>
      </c>
      <c r="I672" t="s">
        <v>241</v>
      </c>
      <c r="J672" t="s">
        <v>3</v>
      </c>
      <c r="K672" s="183">
        <f ca="1">VLOOKUP(F672,
    OFFSET(INDIRECT(ADDRESS(MATCH(J672,'Vehicle numbers'!$A$5:$A$162,0),1,1,1,$L$6)),4,1,COUNTIF('Vehicle numbers'!$A$5:$A$162,J672),4),
    MATCH(K$8,'Vehicle numbers'!$B$4:$D$4,0))*1000</f>
        <v>889364</v>
      </c>
      <c r="L672" s="183">
        <f ca="1">VLOOKUP(F672,
    OFFSET(INDIRECT(ADDRESS(MATCH(J672,'Vehicle numbers'!$A$5:$A$162,0),1,1,1,$L$6)),4,1,COUNTIF('Vehicle numbers'!$A$5:$A$162,J672),4),
    MATCH(L$8,'Vehicle numbers'!$B$4:$D$4,0))*1000</f>
        <v>905707.11251429981</v>
      </c>
      <c r="M672" s="184">
        <f>VLOOKUP(F672,'Annual distance covered (GB)'!$A$8:$H$33,MATCH(J672,'Annual distance covered (GB)'!$A$7:$H$7,0))</f>
        <v>4.5</v>
      </c>
      <c r="N672" s="2">
        <f t="shared" ca="1" si="34"/>
        <v>1321.1064280282658</v>
      </c>
      <c r="O672" s="180">
        <f t="shared" ca="1" si="35"/>
        <v>1.4586464098319725E-3</v>
      </c>
      <c r="P672" s="180"/>
      <c r="Q672" s="185"/>
      <c r="R672" s="180"/>
      <c r="S672" s="180"/>
      <c r="T672" s="180"/>
    </row>
    <row r="673" spans="1:20" x14ac:dyDescent="0.25">
      <c r="A673" t="s">
        <v>246</v>
      </c>
      <c r="B673" t="s">
        <v>237</v>
      </c>
      <c r="C673" t="s">
        <v>238</v>
      </c>
      <c r="D673" t="s">
        <v>263</v>
      </c>
      <c r="E673" t="s">
        <v>228</v>
      </c>
      <c r="F673">
        <v>1999</v>
      </c>
      <c r="G673">
        <v>2.3062535211267599E-4</v>
      </c>
      <c r="H673" t="s">
        <v>240</v>
      </c>
      <c r="I673" t="s">
        <v>241</v>
      </c>
      <c r="J673" t="s">
        <v>3</v>
      </c>
      <c r="K673" s="183">
        <f ca="1">VLOOKUP(F673,
    OFFSET(INDIRECT(ADDRESS(MATCH(J673,'Vehicle numbers'!$A$5:$A$162,0),1,1,1,$L$6)),4,1,COUNTIF('Vehicle numbers'!$A$5:$A$162,J673),4),
    MATCH(K$8,'Vehicle numbers'!$B$4:$D$4,0))*1000</f>
        <v>889364</v>
      </c>
      <c r="L673" s="183">
        <f ca="1">VLOOKUP(F673,
    OFFSET(INDIRECT(ADDRESS(MATCH(J673,'Vehicle numbers'!$A$5:$A$162,0),1,1,1,$L$6)),4,1,COUNTIF('Vehicle numbers'!$A$5:$A$162,J673),4),
    MATCH(L$8,'Vehicle numbers'!$B$4:$D$4,0))*1000</f>
        <v>905707.11251429981</v>
      </c>
      <c r="M673" s="184">
        <f>VLOOKUP(F673,'Annual distance covered (GB)'!$A$8:$H$33,MATCH(J673,'Annual distance covered (GB)'!$A$7:$H$7,0))</f>
        <v>4.5</v>
      </c>
      <c r="N673" s="2">
        <f t="shared" ca="1" si="34"/>
        <v>1056.8851424226127</v>
      </c>
      <c r="O673" s="180">
        <f t="shared" ca="1" si="35"/>
        <v>1.1669171278655781E-3</v>
      </c>
      <c r="P673" s="180"/>
      <c r="Q673" s="185"/>
      <c r="R673" s="180"/>
      <c r="S673" s="180"/>
      <c r="T673" s="180"/>
    </row>
    <row r="674" spans="1:20" x14ac:dyDescent="0.25">
      <c r="A674" t="s">
        <v>236</v>
      </c>
      <c r="B674" t="s">
        <v>237</v>
      </c>
      <c r="C674" t="s">
        <v>238</v>
      </c>
      <c r="D674" t="s">
        <v>264</v>
      </c>
      <c r="E674" t="s">
        <v>229</v>
      </c>
      <c r="F674">
        <v>1999</v>
      </c>
      <c r="G674">
        <v>5.8399999999999902E-3</v>
      </c>
      <c r="H674" t="s">
        <v>240</v>
      </c>
      <c r="I674" t="s">
        <v>241</v>
      </c>
      <c r="J674" t="s">
        <v>3</v>
      </c>
      <c r="K674" s="183">
        <f ca="1">VLOOKUP(F674,
    OFFSET(INDIRECT(ADDRESS(MATCH(J674,'Vehicle numbers'!$A$5:$A$162,0),1,1,1,$L$6)),4,1,COUNTIF('Vehicle numbers'!$A$5:$A$162,J674),4),
    MATCH(K$8,'Vehicle numbers'!$B$4:$D$4,0))*1000</f>
        <v>889364</v>
      </c>
      <c r="L674" s="183">
        <f ca="1">VLOOKUP(F674,
    OFFSET(INDIRECT(ADDRESS(MATCH(J674,'Vehicle numbers'!$A$5:$A$162,0),1,1,1,$L$6)),4,1,COUNTIF('Vehicle numbers'!$A$5:$A$162,J674),4),
    MATCH(L$8,'Vehicle numbers'!$B$4:$D$4,0))*1000</f>
        <v>905707.11251429981</v>
      </c>
      <c r="M674" s="184">
        <f>VLOOKUP(F674,'Annual distance covered (GB)'!$A$8:$H$33,MATCH(J674,'Annual distance covered (GB)'!$A$7:$H$7,0))</f>
        <v>4.5</v>
      </c>
      <c r="N674" s="2">
        <f t="shared" ca="1" si="34"/>
        <v>26762.925997539543</v>
      </c>
      <c r="O674" s="180">
        <f t="shared" ca="1" si="35"/>
        <v>2.9549205949419986E-2</v>
      </c>
      <c r="P674" s="180"/>
      <c r="Q674" s="185"/>
      <c r="R674" s="180"/>
      <c r="S674" s="180"/>
      <c r="T674" s="180"/>
    </row>
    <row r="675" spans="1:20" x14ac:dyDescent="0.25">
      <c r="A675" t="s">
        <v>243</v>
      </c>
      <c r="B675" t="s">
        <v>237</v>
      </c>
      <c r="C675" t="s">
        <v>238</v>
      </c>
      <c r="D675" t="s">
        <v>264</v>
      </c>
      <c r="E675" t="s">
        <v>229</v>
      </c>
      <c r="F675">
        <v>1999</v>
      </c>
      <c r="G675">
        <v>2.336E-3</v>
      </c>
      <c r="H675" t="s">
        <v>240</v>
      </c>
      <c r="I675" t="s">
        <v>241</v>
      </c>
      <c r="J675" t="s">
        <v>3</v>
      </c>
      <c r="K675" s="183">
        <f ca="1">VLOOKUP(F675,
    OFFSET(INDIRECT(ADDRESS(MATCH(J675,'Vehicle numbers'!$A$5:$A$162,0),1,1,1,$L$6)),4,1,COUNTIF('Vehicle numbers'!$A$5:$A$162,J675),4),
    MATCH(K$8,'Vehicle numbers'!$B$4:$D$4,0))*1000</f>
        <v>889364</v>
      </c>
      <c r="L675" s="183">
        <f ca="1">VLOOKUP(F675,
    OFFSET(INDIRECT(ADDRESS(MATCH(J675,'Vehicle numbers'!$A$5:$A$162,0),1,1,1,$L$6)),4,1,COUNTIF('Vehicle numbers'!$A$5:$A$162,J675),4),
    MATCH(L$8,'Vehicle numbers'!$B$4:$D$4,0))*1000</f>
        <v>905707.11251429981</v>
      </c>
      <c r="M675" s="184">
        <f>VLOOKUP(F675,'Annual distance covered (GB)'!$A$8:$H$33,MATCH(J675,'Annual distance covered (GB)'!$A$7:$H$7,0))</f>
        <v>4.5</v>
      </c>
      <c r="N675" s="2">
        <f t="shared" ca="1" si="34"/>
        <v>10705.170399015835</v>
      </c>
      <c r="O675" s="180">
        <f t="shared" ca="1" si="35"/>
        <v>1.1819682379768014E-2</v>
      </c>
      <c r="P675" s="180"/>
      <c r="Q675" s="185"/>
      <c r="R675" s="180"/>
      <c r="S675" s="180"/>
      <c r="T675" s="180"/>
    </row>
    <row r="676" spans="1:20" x14ac:dyDescent="0.25">
      <c r="A676" t="s">
        <v>244</v>
      </c>
      <c r="B676" t="s">
        <v>237</v>
      </c>
      <c r="C676" t="s">
        <v>238</v>
      </c>
      <c r="D676" t="s">
        <v>264</v>
      </c>
      <c r="E676" t="s">
        <v>229</v>
      </c>
      <c r="F676">
        <v>1999</v>
      </c>
      <c r="G676">
        <v>5.8399999999999999E-4</v>
      </c>
      <c r="H676" t="s">
        <v>240</v>
      </c>
      <c r="I676" t="s">
        <v>241</v>
      </c>
      <c r="J676" t="s">
        <v>3</v>
      </c>
      <c r="K676" s="183">
        <f ca="1">VLOOKUP(F676,
    OFFSET(INDIRECT(ADDRESS(MATCH(J676,'Vehicle numbers'!$A$5:$A$162,0),1,1,1,$L$6)),4,1,COUNTIF('Vehicle numbers'!$A$5:$A$162,J676),4),
    MATCH(K$8,'Vehicle numbers'!$B$4:$D$4,0))*1000</f>
        <v>889364</v>
      </c>
      <c r="L676" s="183">
        <f ca="1">VLOOKUP(F676,
    OFFSET(INDIRECT(ADDRESS(MATCH(J676,'Vehicle numbers'!$A$5:$A$162,0),1,1,1,$L$6)),4,1,COUNTIF('Vehicle numbers'!$A$5:$A$162,J676),4),
    MATCH(L$8,'Vehicle numbers'!$B$4:$D$4,0))*1000</f>
        <v>905707.11251429981</v>
      </c>
      <c r="M676" s="184">
        <f>VLOOKUP(F676,'Annual distance covered (GB)'!$A$8:$H$33,MATCH(J676,'Annual distance covered (GB)'!$A$7:$H$7,0))</f>
        <v>4.5</v>
      </c>
      <c r="N676" s="2">
        <f t="shared" ca="1" si="34"/>
        <v>2676.2925997539587</v>
      </c>
      <c r="O676" s="180">
        <f t="shared" ca="1" si="35"/>
        <v>2.9549205949420034E-3</v>
      </c>
      <c r="P676" s="180"/>
      <c r="Q676" s="185"/>
      <c r="R676" s="180"/>
      <c r="S676" s="180"/>
      <c r="T676" s="180"/>
    </row>
    <row r="677" spans="1:20" x14ac:dyDescent="0.25">
      <c r="A677" t="s">
        <v>246</v>
      </c>
      <c r="B677" t="s">
        <v>237</v>
      </c>
      <c r="C677" t="s">
        <v>238</v>
      </c>
      <c r="D677" t="s">
        <v>264</v>
      </c>
      <c r="E677" t="s">
        <v>229</v>
      </c>
      <c r="F677">
        <v>1999</v>
      </c>
      <c r="G677">
        <v>4.6720000000000003E-4</v>
      </c>
      <c r="H677" t="s">
        <v>240</v>
      </c>
      <c r="I677" t="s">
        <v>241</v>
      </c>
      <c r="J677" t="s">
        <v>3</v>
      </c>
      <c r="K677" s="183">
        <f ca="1">VLOOKUP(F677,
    OFFSET(INDIRECT(ADDRESS(MATCH(J677,'Vehicle numbers'!$A$5:$A$162,0),1,1,1,$L$6)),4,1,COUNTIF('Vehicle numbers'!$A$5:$A$162,J677),4),
    MATCH(K$8,'Vehicle numbers'!$B$4:$D$4,0))*1000</f>
        <v>889364</v>
      </c>
      <c r="L677" s="183">
        <f ca="1">VLOOKUP(F677,
    OFFSET(INDIRECT(ADDRESS(MATCH(J677,'Vehicle numbers'!$A$5:$A$162,0),1,1,1,$L$6)),4,1,COUNTIF('Vehicle numbers'!$A$5:$A$162,J677),4),
    MATCH(L$8,'Vehicle numbers'!$B$4:$D$4,0))*1000</f>
        <v>905707.11251429981</v>
      </c>
      <c r="M677" s="184">
        <f>VLOOKUP(F677,'Annual distance covered (GB)'!$A$8:$H$33,MATCH(J677,'Annual distance covered (GB)'!$A$7:$H$7,0))</f>
        <v>4.5</v>
      </c>
      <c r="N677" s="2">
        <f t="shared" ca="1" si="34"/>
        <v>2141.0340798031671</v>
      </c>
      <c r="O677" s="180">
        <f t="shared" ca="1" si="35"/>
        <v>2.3639364759536026E-3</v>
      </c>
      <c r="P677" s="180"/>
      <c r="Q677" s="185"/>
      <c r="R677" s="180"/>
      <c r="S677" s="180"/>
      <c r="T677" s="180"/>
    </row>
    <row r="678" spans="1:20" x14ac:dyDescent="0.25">
      <c r="A678" t="s">
        <v>236</v>
      </c>
      <c r="B678" t="s">
        <v>237</v>
      </c>
      <c r="C678" t="s">
        <v>238</v>
      </c>
      <c r="D678" t="s">
        <v>264</v>
      </c>
      <c r="E678" t="s">
        <v>228</v>
      </c>
      <c r="F678">
        <v>1999</v>
      </c>
      <c r="G678">
        <v>3.7569999999999999E-3</v>
      </c>
      <c r="H678" t="s">
        <v>240</v>
      </c>
      <c r="I678" t="s">
        <v>241</v>
      </c>
      <c r="J678" t="s">
        <v>3</v>
      </c>
      <c r="K678" s="183">
        <f ca="1">VLOOKUP(F678,
    OFFSET(INDIRECT(ADDRESS(MATCH(J678,'Vehicle numbers'!$A$5:$A$162,0),1,1,1,$L$6)),4,1,COUNTIF('Vehicle numbers'!$A$5:$A$162,J678),4),
    MATCH(K$8,'Vehicle numbers'!$B$4:$D$4,0))*1000</f>
        <v>889364</v>
      </c>
      <c r="L678" s="183">
        <f ca="1">VLOOKUP(F678,
    OFFSET(INDIRECT(ADDRESS(MATCH(J678,'Vehicle numbers'!$A$5:$A$162,0),1,1,1,$L$6)),4,1,COUNTIF('Vehicle numbers'!$A$5:$A$162,J678),4),
    MATCH(L$8,'Vehicle numbers'!$B$4:$D$4,0))*1000</f>
        <v>905707.11251429981</v>
      </c>
      <c r="M678" s="184">
        <f>VLOOKUP(F678,'Annual distance covered (GB)'!$A$8:$H$33,MATCH(J678,'Annual distance covered (GB)'!$A$7:$H$7,0))</f>
        <v>4.5</v>
      </c>
      <c r="N678" s="2">
        <f t="shared" ca="1" si="34"/>
        <v>17217.176878896611</v>
      </c>
      <c r="O678" s="180">
        <f t="shared" ca="1" si="35"/>
        <v>1.9009651841090932E-2</v>
      </c>
      <c r="P678" s="180"/>
      <c r="Q678" s="185"/>
      <c r="R678" s="180"/>
      <c r="S678" s="180"/>
      <c r="T678" s="180"/>
    </row>
    <row r="679" spans="1:20" x14ac:dyDescent="0.25">
      <c r="A679" t="s">
        <v>243</v>
      </c>
      <c r="B679" t="s">
        <v>237</v>
      </c>
      <c r="C679" t="s">
        <v>238</v>
      </c>
      <c r="D679" t="s">
        <v>264</v>
      </c>
      <c r="E679" t="s">
        <v>228</v>
      </c>
      <c r="F679">
        <v>1999</v>
      </c>
      <c r="G679">
        <v>2.6299000000000001E-3</v>
      </c>
      <c r="H679" t="s">
        <v>240</v>
      </c>
      <c r="I679" t="s">
        <v>241</v>
      </c>
      <c r="J679" t="s">
        <v>3</v>
      </c>
      <c r="K679" s="183">
        <f ca="1">VLOOKUP(F679,
    OFFSET(INDIRECT(ADDRESS(MATCH(J679,'Vehicle numbers'!$A$5:$A$162,0),1,1,1,$L$6)),4,1,COUNTIF('Vehicle numbers'!$A$5:$A$162,J679),4),
    MATCH(K$8,'Vehicle numbers'!$B$4:$D$4,0))*1000</f>
        <v>889364</v>
      </c>
      <c r="L679" s="183">
        <f ca="1">VLOOKUP(F679,
    OFFSET(INDIRECT(ADDRESS(MATCH(J679,'Vehicle numbers'!$A$5:$A$162,0),1,1,1,$L$6)),4,1,COUNTIF('Vehicle numbers'!$A$5:$A$162,J679),4),
    MATCH(L$8,'Vehicle numbers'!$B$4:$D$4,0))*1000</f>
        <v>905707.11251429981</v>
      </c>
      <c r="M679" s="184">
        <f>VLOOKUP(F679,'Annual distance covered (GB)'!$A$8:$H$33,MATCH(J679,'Annual distance covered (GB)'!$A$7:$H$7,0))</f>
        <v>4.5</v>
      </c>
      <c r="N679" s="2">
        <f t="shared" ca="1" si="34"/>
        <v>12052.023815227631</v>
      </c>
      <c r="O679" s="180">
        <f t="shared" ca="1" si="35"/>
        <v>1.3306756288763655E-2</v>
      </c>
      <c r="P679" s="180"/>
      <c r="Q679" s="185"/>
      <c r="R679" s="180"/>
      <c r="S679" s="180"/>
      <c r="T679" s="180"/>
    </row>
    <row r="680" spans="1:20" x14ac:dyDescent="0.25">
      <c r="A680" t="s">
        <v>244</v>
      </c>
      <c r="B680" t="s">
        <v>237</v>
      </c>
      <c r="C680" t="s">
        <v>238</v>
      </c>
      <c r="D680" t="s">
        <v>264</v>
      </c>
      <c r="E680" t="s">
        <v>228</v>
      </c>
      <c r="F680">
        <v>1999</v>
      </c>
      <c r="G680">
        <v>3.7040845070422499E-4</v>
      </c>
      <c r="H680" t="s">
        <v>240</v>
      </c>
      <c r="I680" t="s">
        <v>241</v>
      </c>
      <c r="J680" t="s">
        <v>3</v>
      </c>
      <c r="K680" s="183">
        <f ca="1">VLOOKUP(F680,
    OFFSET(INDIRECT(ADDRESS(MATCH(J680,'Vehicle numbers'!$A$5:$A$162,0),1,1,1,$L$6)),4,1,COUNTIF('Vehicle numbers'!$A$5:$A$162,J680),4),
    MATCH(K$8,'Vehicle numbers'!$B$4:$D$4,0))*1000</f>
        <v>889364</v>
      </c>
      <c r="L680" s="183">
        <f ca="1">VLOOKUP(F680,
    OFFSET(INDIRECT(ADDRESS(MATCH(J680,'Vehicle numbers'!$A$5:$A$162,0),1,1,1,$L$6)),4,1,COUNTIF('Vehicle numbers'!$A$5:$A$162,J680),4),
    MATCH(L$8,'Vehicle numbers'!$B$4:$D$4,0))*1000</f>
        <v>905707.11251429981</v>
      </c>
      <c r="M680" s="184">
        <f>VLOOKUP(F680,'Annual distance covered (GB)'!$A$8:$H$33,MATCH(J680,'Annual distance covered (GB)'!$A$7:$H$7,0))</f>
        <v>4.5</v>
      </c>
      <c r="N680" s="2">
        <f t="shared" ca="1" si="34"/>
        <v>1697.4681429898053</v>
      </c>
      <c r="O680" s="180">
        <f t="shared" ca="1" si="35"/>
        <v>1.8741910265864282E-3</v>
      </c>
      <c r="P680" s="180"/>
      <c r="Q680" s="185"/>
      <c r="R680" s="180"/>
      <c r="S680" s="180"/>
      <c r="T680" s="180"/>
    </row>
    <row r="681" spans="1:20" x14ac:dyDescent="0.25">
      <c r="A681" t="s">
        <v>246</v>
      </c>
      <c r="B681" t="s">
        <v>237</v>
      </c>
      <c r="C681" t="s">
        <v>238</v>
      </c>
      <c r="D681" t="s">
        <v>264</v>
      </c>
      <c r="E681" t="s">
        <v>228</v>
      </c>
      <c r="F681">
        <v>1999</v>
      </c>
      <c r="G681">
        <v>2.9632676056337998E-4</v>
      </c>
      <c r="H681" t="s">
        <v>240</v>
      </c>
      <c r="I681" t="s">
        <v>241</v>
      </c>
      <c r="J681" t="s">
        <v>3</v>
      </c>
      <c r="K681" s="183">
        <f ca="1">VLOOKUP(F681,
    OFFSET(INDIRECT(ADDRESS(MATCH(J681,'Vehicle numbers'!$A$5:$A$162,0),1,1,1,$L$6)),4,1,COUNTIF('Vehicle numbers'!$A$5:$A$162,J681),4),
    MATCH(K$8,'Vehicle numbers'!$B$4:$D$4,0))*1000</f>
        <v>889364</v>
      </c>
      <c r="L681" s="183">
        <f ca="1">VLOOKUP(F681,
    OFFSET(INDIRECT(ADDRESS(MATCH(J681,'Vehicle numbers'!$A$5:$A$162,0),1,1,1,$L$6)),4,1,COUNTIF('Vehicle numbers'!$A$5:$A$162,J681),4),
    MATCH(L$8,'Vehicle numbers'!$B$4:$D$4,0))*1000</f>
        <v>905707.11251429981</v>
      </c>
      <c r="M681" s="184">
        <f>VLOOKUP(F681,'Annual distance covered (GB)'!$A$8:$H$33,MATCH(J681,'Annual distance covered (GB)'!$A$7:$H$7,0))</f>
        <v>4.5</v>
      </c>
      <c r="N681" s="2">
        <f t="shared" ca="1" si="34"/>
        <v>1357.9745143918442</v>
      </c>
      <c r="O681" s="180">
        <f t="shared" ca="1" si="35"/>
        <v>1.4993528212691426E-3</v>
      </c>
      <c r="P681" s="180"/>
      <c r="Q681" s="185"/>
      <c r="R681" s="180"/>
      <c r="S681" s="180"/>
      <c r="T681" s="180"/>
    </row>
    <row r="682" spans="1:20" x14ac:dyDescent="0.25">
      <c r="A682" t="s">
        <v>236</v>
      </c>
      <c r="B682" t="s">
        <v>237</v>
      </c>
      <c r="C682" t="s">
        <v>238</v>
      </c>
      <c r="D682" t="s">
        <v>239</v>
      </c>
      <c r="E682" t="s">
        <v>229</v>
      </c>
      <c r="F682">
        <v>2000</v>
      </c>
      <c r="G682">
        <v>8.4410000000000006E-3</v>
      </c>
      <c r="H682" t="s">
        <v>240</v>
      </c>
      <c r="I682" t="s">
        <v>241</v>
      </c>
      <c r="J682" t="s">
        <v>242</v>
      </c>
      <c r="K682" s="183">
        <f ca="1">VLOOKUP(F682,
    OFFSET(INDIRECT(ADDRESS(MATCH(J682,'Vehicle numbers'!$A$5:$A$162,0),1,1,1,$L$6)),4,1,COUNTIF('Vehicle numbers'!$A$5:$A$162,J682),4),
    MATCH(K$8,'Vehicle numbers'!$B$4:$D$4,0))*1000</f>
        <v>172565</v>
      </c>
      <c r="L682" s="183">
        <f ca="1">VLOOKUP(F682,
    OFFSET(INDIRECT(ADDRESS(MATCH(J682,'Vehicle numbers'!$A$5:$A$162,0),1,1,1,$L$6)),4,1,COUNTIF('Vehicle numbers'!$A$5:$A$162,J682),4),
    MATCH(L$8,'Vehicle numbers'!$B$4:$D$4,0))*1000</f>
        <v>178594.35834830048</v>
      </c>
      <c r="M682" s="184">
        <f>VLOOKUP(F682,'Annual distance covered (GB)'!$A$8:$H$33,MATCH(J682,'Annual distance covered (GB)'!$A$7:$H$7,0))</f>
        <v>5.0999999999999996</v>
      </c>
      <c r="N682" s="2">
        <f t="shared" ca="1" si="34"/>
        <v>44553.219899584634</v>
      </c>
      <c r="O682" s="180">
        <f t="shared" ca="1" si="35"/>
        <v>0.24946599831947383</v>
      </c>
      <c r="P682" s="180"/>
      <c r="Q682" s="185"/>
      <c r="R682" s="180"/>
      <c r="S682" s="180"/>
      <c r="T682" s="180"/>
    </row>
    <row r="683" spans="1:20" x14ac:dyDescent="0.25">
      <c r="A683" t="s">
        <v>243</v>
      </c>
      <c r="B683" t="s">
        <v>237</v>
      </c>
      <c r="C683" t="s">
        <v>238</v>
      </c>
      <c r="D683" t="s">
        <v>239</v>
      </c>
      <c r="E683" t="s">
        <v>229</v>
      </c>
      <c r="F683">
        <v>2000</v>
      </c>
      <c r="G683">
        <v>3.3763999999999999E-3</v>
      </c>
      <c r="H683" t="s">
        <v>240</v>
      </c>
      <c r="I683" t="s">
        <v>241</v>
      </c>
      <c r="J683" t="s">
        <v>242</v>
      </c>
      <c r="K683" s="183">
        <f ca="1">VLOOKUP(F683,
    OFFSET(INDIRECT(ADDRESS(MATCH(J683,'Vehicle numbers'!$A$5:$A$162,0),1,1,1,$L$6)),4,1,COUNTIF('Vehicle numbers'!$A$5:$A$162,J683),4),
    MATCH(K$8,'Vehicle numbers'!$B$4:$D$4,0))*1000</f>
        <v>172565</v>
      </c>
      <c r="L683" s="183">
        <f ca="1">VLOOKUP(F683,
    OFFSET(INDIRECT(ADDRESS(MATCH(J683,'Vehicle numbers'!$A$5:$A$162,0),1,1,1,$L$6)),4,1,COUNTIF('Vehicle numbers'!$A$5:$A$162,J683),4),
    MATCH(L$8,'Vehicle numbers'!$B$4:$D$4,0))*1000</f>
        <v>178594.35834830048</v>
      </c>
      <c r="M683" s="184">
        <f>VLOOKUP(F683,'Annual distance covered (GB)'!$A$8:$H$33,MATCH(J683,'Annual distance covered (GB)'!$A$7:$H$7,0))</f>
        <v>5.0999999999999996</v>
      </c>
      <c r="N683" s="2">
        <f t="shared" ca="1" si="34"/>
        <v>17821.287959833855</v>
      </c>
      <c r="O683" s="180">
        <f t="shared" ca="1" si="35"/>
        <v>9.9786399327789543E-2</v>
      </c>
      <c r="P683" s="180"/>
      <c r="Q683" s="185"/>
      <c r="R683" s="180"/>
      <c r="S683" s="180"/>
      <c r="T683" s="180"/>
    </row>
    <row r="684" spans="1:20" x14ac:dyDescent="0.25">
      <c r="A684" t="s">
        <v>244</v>
      </c>
      <c r="B684" t="s">
        <v>237</v>
      </c>
      <c r="C684" t="s">
        <v>238</v>
      </c>
      <c r="D684" t="s">
        <v>239</v>
      </c>
      <c r="E684" t="s">
        <v>229</v>
      </c>
      <c r="F684">
        <v>2000</v>
      </c>
      <c r="G684">
        <v>8.4409999999999997E-4</v>
      </c>
      <c r="H684" t="s">
        <v>240</v>
      </c>
      <c r="I684" t="s">
        <v>241</v>
      </c>
      <c r="J684" t="s">
        <v>242</v>
      </c>
      <c r="K684" s="183">
        <f ca="1">VLOOKUP(F684,
    OFFSET(INDIRECT(ADDRESS(MATCH(J684,'Vehicle numbers'!$A$5:$A$162,0),1,1,1,$L$6)),4,1,COUNTIF('Vehicle numbers'!$A$5:$A$162,J684),4),
    MATCH(K$8,'Vehicle numbers'!$B$4:$D$4,0))*1000</f>
        <v>172565</v>
      </c>
      <c r="L684" s="183">
        <f ca="1">VLOOKUP(F684,
    OFFSET(INDIRECT(ADDRESS(MATCH(J684,'Vehicle numbers'!$A$5:$A$162,0),1,1,1,$L$6)),4,1,COUNTIF('Vehicle numbers'!$A$5:$A$162,J684),4),
    MATCH(L$8,'Vehicle numbers'!$B$4:$D$4,0))*1000</f>
        <v>178594.35834830048</v>
      </c>
      <c r="M684" s="184">
        <f>VLOOKUP(F684,'Annual distance covered (GB)'!$A$8:$H$33,MATCH(J684,'Annual distance covered (GB)'!$A$7:$H$7,0))</f>
        <v>5.0999999999999996</v>
      </c>
      <c r="N684" s="2">
        <f t="shared" ca="1" si="34"/>
        <v>4455.3219899584637</v>
      </c>
      <c r="O684" s="180">
        <f t="shared" ca="1" si="35"/>
        <v>2.4946599831947386E-2</v>
      </c>
      <c r="P684" s="180"/>
      <c r="Q684" s="185"/>
      <c r="R684" s="180"/>
      <c r="S684" s="180"/>
      <c r="T684" s="180"/>
    </row>
    <row r="685" spans="1:20" x14ac:dyDescent="0.25">
      <c r="A685" t="s">
        <v>246</v>
      </c>
      <c r="B685" t="s">
        <v>237</v>
      </c>
      <c r="C685" t="s">
        <v>238</v>
      </c>
      <c r="D685" t="s">
        <v>239</v>
      </c>
      <c r="E685" t="s">
        <v>229</v>
      </c>
      <c r="F685">
        <v>2000</v>
      </c>
      <c r="G685">
        <v>6.7528E-4</v>
      </c>
      <c r="H685" t="s">
        <v>240</v>
      </c>
      <c r="I685" t="s">
        <v>241</v>
      </c>
      <c r="J685" t="s">
        <v>242</v>
      </c>
      <c r="K685" s="183">
        <f ca="1">VLOOKUP(F685,
    OFFSET(INDIRECT(ADDRESS(MATCH(J685,'Vehicle numbers'!$A$5:$A$162,0),1,1,1,$L$6)),4,1,COUNTIF('Vehicle numbers'!$A$5:$A$162,J685),4),
    MATCH(K$8,'Vehicle numbers'!$B$4:$D$4,0))*1000</f>
        <v>172565</v>
      </c>
      <c r="L685" s="183">
        <f ca="1">VLOOKUP(F685,
    OFFSET(INDIRECT(ADDRESS(MATCH(J685,'Vehicle numbers'!$A$5:$A$162,0),1,1,1,$L$6)),4,1,COUNTIF('Vehicle numbers'!$A$5:$A$162,J685),4),
    MATCH(L$8,'Vehicle numbers'!$B$4:$D$4,0))*1000</f>
        <v>178594.35834830048</v>
      </c>
      <c r="M685" s="184">
        <f>VLOOKUP(F685,'Annual distance covered (GB)'!$A$8:$H$33,MATCH(J685,'Annual distance covered (GB)'!$A$7:$H$7,0))</f>
        <v>5.0999999999999996</v>
      </c>
      <c r="N685" s="2">
        <f t="shared" ca="1" si="34"/>
        <v>3564.2575919667706</v>
      </c>
      <c r="O685" s="180">
        <f t="shared" ca="1" si="35"/>
        <v>1.9957279865557905E-2</v>
      </c>
      <c r="P685" s="180"/>
      <c r="Q685" s="185"/>
      <c r="R685" s="180"/>
      <c r="S685" s="180"/>
      <c r="T685" s="180"/>
    </row>
    <row r="686" spans="1:20" x14ac:dyDescent="0.25">
      <c r="A686" t="s">
        <v>236</v>
      </c>
      <c r="B686" t="s">
        <v>237</v>
      </c>
      <c r="C686" t="s">
        <v>238</v>
      </c>
      <c r="D686" t="s">
        <v>239</v>
      </c>
      <c r="E686" t="s">
        <v>228</v>
      </c>
      <c r="F686">
        <v>2000</v>
      </c>
      <c r="G686">
        <v>1.38624E-2</v>
      </c>
      <c r="H686" t="s">
        <v>240</v>
      </c>
      <c r="I686" t="s">
        <v>241</v>
      </c>
      <c r="J686" t="s">
        <v>242</v>
      </c>
      <c r="K686" s="183">
        <f ca="1">VLOOKUP(F686,
    OFFSET(INDIRECT(ADDRESS(MATCH(J686,'Vehicle numbers'!$A$5:$A$162,0),1,1,1,$L$6)),4,1,COUNTIF('Vehicle numbers'!$A$5:$A$162,J686),4),
    MATCH(K$8,'Vehicle numbers'!$B$4:$D$4,0))*1000</f>
        <v>172565</v>
      </c>
      <c r="L686" s="183">
        <f ca="1">VLOOKUP(F686,
    OFFSET(INDIRECT(ADDRESS(MATCH(J686,'Vehicle numbers'!$A$5:$A$162,0),1,1,1,$L$6)),4,1,COUNTIF('Vehicle numbers'!$A$5:$A$162,J686),4),
    MATCH(L$8,'Vehicle numbers'!$B$4:$D$4,0))*1000</f>
        <v>178594.35834830048</v>
      </c>
      <c r="M686" s="184">
        <f>VLOOKUP(F686,'Annual distance covered (GB)'!$A$8:$H$33,MATCH(J686,'Annual distance covered (GB)'!$A$7:$H$7,0))</f>
        <v>5.0999999999999996</v>
      </c>
      <c r="N686" s="2">
        <f t="shared" ca="1" si="34"/>
        <v>73168.41079682525</v>
      </c>
      <c r="O686" s="180">
        <f t="shared" ca="1" si="35"/>
        <v>0.4096904934372555</v>
      </c>
      <c r="P686" s="180"/>
      <c r="Q686" s="185"/>
      <c r="R686" s="180"/>
      <c r="S686" s="180"/>
      <c r="T686" s="180"/>
    </row>
    <row r="687" spans="1:20" x14ac:dyDescent="0.25">
      <c r="A687" t="s">
        <v>243</v>
      </c>
      <c r="B687" t="s">
        <v>237</v>
      </c>
      <c r="C687" t="s">
        <v>238</v>
      </c>
      <c r="D687" t="s">
        <v>239</v>
      </c>
      <c r="E687" t="s">
        <v>228</v>
      </c>
      <c r="F687">
        <v>2000</v>
      </c>
      <c r="G687">
        <v>9.7036799999999993E-3</v>
      </c>
      <c r="H687" t="s">
        <v>240</v>
      </c>
      <c r="I687" t="s">
        <v>241</v>
      </c>
      <c r="J687" t="s">
        <v>242</v>
      </c>
      <c r="K687" s="183">
        <f ca="1">VLOOKUP(F687,
    OFFSET(INDIRECT(ADDRESS(MATCH(J687,'Vehicle numbers'!$A$5:$A$162,0),1,1,1,$L$6)),4,1,COUNTIF('Vehicle numbers'!$A$5:$A$162,J687),4),
    MATCH(K$8,'Vehicle numbers'!$B$4:$D$4,0))*1000</f>
        <v>172565</v>
      </c>
      <c r="L687" s="183">
        <f ca="1">VLOOKUP(F687,
    OFFSET(INDIRECT(ADDRESS(MATCH(J687,'Vehicle numbers'!$A$5:$A$162,0),1,1,1,$L$6)),4,1,COUNTIF('Vehicle numbers'!$A$5:$A$162,J687),4),
    MATCH(L$8,'Vehicle numbers'!$B$4:$D$4,0))*1000</f>
        <v>178594.35834830048</v>
      </c>
      <c r="M687" s="184">
        <f>VLOOKUP(F687,'Annual distance covered (GB)'!$A$8:$H$33,MATCH(J687,'Annual distance covered (GB)'!$A$7:$H$7,0))</f>
        <v>5.0999999999999996</v>
      </c>
      <c r="N687" s="2">
        <f t="shared" ca="1" si="34"/>
        <v>51217.887557777678</v>
      </c>
      <c r="O687" s="180">
        <f t="shared" ca="1" si="35"/>
        <v>0.28678334540607886</v>
      </c>
      <c r="P687" s="180"/>
      <c r="Q687" s="185"/>
      <c r="R687" s="180"/>
      <c r="S687" s="180"/>
      <c r="T687" s="180"/>
    </row>
    <row r="688" spans="1:20" x14ac:dyDescent="0.25">
      <c r="A688" t="s">
        <v>244</v>
      </c>
      <c r="B688" t="s">
        <v>237</v>
      </c>
      <c r="C688" t="s">
        <v>238</v>
      </c>
      <c r="D688" t="s">
        <v>239</v>
      </c>
      <c r="E688" t="s">
        <v>228</v>
      </c>
      <c r="F688">
        <v>2000</v>
      </c>
      <c r="G688">
        <v>1.3667154929577401E-3</v>
      </c>
      <c r="H688" t="s">
        <v>240</v>
      </c>
      <c r="I688" t="s">
        <v>241</v>
      </c>
      <c r="J688" t="s">
        <v>242</v>
      </c>
      <c r="K688" s="183">
        <f ca="1">VLOOKUP(F688,
    OFFSET(INDIRECT(ADDRESS(MATCH(J688,'Vehicle numbers'!$A$5:$A$162,0),1,1,1,$L$6)),4,1,COUNTIF('Vehicle numbers'!$A$5:$A$162,J688),4),
    MATCH(K$8,'Vehicle numbers'!$B$4:$D$4,0))*1000</f>
        <v>172565</v>
      </c>
      <c r="L688" s="183">
        <f ca="1">VLOOKUP(F688,
    OFFSET(INDIRECT(ADDRESS(MATCH(J688,'Vehicle numbers'!$A$5:$A$162,0),1,1,1,$L$6)),4,1,COUNTIF('Vehicle numbers'!$A$5:$A$162,J688),4),
    MATCH(L$8,'Vehicle numbers'!$B$4:$D$4,0))*1000</f>
        <v>178594.35834830048</v>
      </c>
      <c r="M688" s="184">
        <f>VLOOKUP(F688,'Annual distance covered (GB)'!$A$8:$H$33,MATCH(J688,'Annual distance covered (GB)'!$A$7:$H$7,0))</f>
        <v>5.0999999999999996</v>
      </c>
      <c r="N688" s="2">
        <f t="shared" ca="1" si="34"/>
        <v>7213.7869799686532</v>
      </c>
      <c r="O688" s="180">
        <f t="shared" ca="1" si="35"/>
        <v>4.0392020479729229E-2</v>
      </c>
      <c r="P688" s="180"/>
      <c r="Q688" s="185"/>
      <c r="R688" s="180"/>
      <c r="S688" s="180"/>
      <c r="T688" s="180"/>
    </row>
    <row r="689" spans="1:20" x14ac:dyDescent="0.25">
      <c r="A689" t="s">
        <v>246</v>
      </c>
      <c r="B689" t="s">
        <v>237</v>
      </c>
      <c r="C689" t="s">
        <v>238</v>
      </c>
      <c r="D689" t="s">
        <v>239</v>
      </c>
      <c r="E689" t="s">
        <v>228</v>
      </c>
      <c r="F689">
        <v>2000</v>
      </c>
      <c r="G689">
        <v>1.0933723943662001E-3</v>
      </c>
      <c r="H689" t="s">
        <v>240</v>
      </c>
      <c r="I689" t="s">
        <v>241</v>
      </c>
      <c r="J689" t="s">
        <v>242</v>
      </c>
      <c r="K689" s="183">
        <f ca="1">VLOOKUP(F689,
    OFFSET(INDIRECT(ADDRESS(MATCH(J689,'Vehicle numbers'!$A$5:$A$162,0),1,1,1,$L$6)),4,1,COUNTIF('Vehicle numbers'!$A$5:$A$162,J689),4),
    MATCH(K$8,'Vehicle numbers'!$B$4:$D$4,0))*1000</f>
        <v>172565</v>
      </c>
      <c r="L689" s="183">
        <f ca="1">VLOOKUP(F689,
    OFFSET(INDIRECT(ADDRESS(MATCH(J689,'Vehicle numbers'!$A$5:$A$162,0),1,1,1,$L$6)),4,1,COUNTIF('Vehicle numbers'!$A$5:$A$162,J689),4),
    MATCH(L$8,'Vehicle numbers'!$B$4:$D$4,0))*1000</f>
        <v>178594.35834830048</v>
      </c>
      <c r="M689" s="184">
        <f>VLOOKUP(F689,'Annual distance covered (GB)'!$A$8:$H$33,MATCH(J689,'Annual distance covered (GB)'!$A$7:$H$7,0))</f>
        <v>5.0999999999999996</v>
      </c>
      <c r="N689" s="2">
        <f t="shared" ca="1" si="34"/>
        <v>5771.0295839749651</v>
      </c>
      <c r="O689" s="180">
        <f t="shared" ca="1" si="35"/>
        <v>3.2313616383783619E-2</v>
      </c>
      <c r="P689" s="180"/>
      <c r="Q689" s="180"/>
      <c r="R689" s="180"/>
      <c r="S689" s="180"/>
      <c r="T689" s="180"/>
    </row>
    <row r="690" spans="1:20" x14ac:dyDescent="0.25">
      <c r="A690" t="s">
        <v>236</v>
      </c>
      <c r="B690" t="s">
        <v>237</v>
      </c>
      <c r="C690" t="s">
        <v>238</v>
      </c>
      <c r="D690" t="s">
        <v>248</v>
      </c>
      <c r="E690" t="s">
        <v>229</v>
      </c>
      <c r="F690">
        <v>2000</v>
      </c>
      <c r="G690">
        <v>2.7143E-2</v>
      </c>
      <c r="H690" t="s">
        <v>240</v>
      </c>
      <c r="I690" t="s">
        <v>241</v>
      </c>
      <c r="J690" t="s">
        <v>242</v>
      </c>
      <c r="K690" s="183">
        <f ca="1">VLOOKUP(F690,
    OFFSET(INDIRECT(ADDRESS(MATCH(J690,'Vehicle numbers'!$A$5:$A$162,0),1,1,1,$L$6)),4,1,COUNTIF('Vehicle numbers'!$A$5:$A$162,J690),4),
    MATCH(K$8,'Vehicle numbers'!$B$4:$D$4,0))*1000</f>
        <v>172565</v>
      </c>
      <c r="L690" s="183">
        <f ca="1">VLOOKUP(F690,
    OFFSET(INDIRECT(ADDRESS(MATCH(J690,'Vehicle numbers'!$A$5:$A$162,0),1,1,1,$L$6)),4,1,COUNTIF('Vehicle numbers'!$A$5:$A$162,J690),4),
    MATCH(L$8,'Vehicle numbers'!$B$4:$D$4,0))*1000</f>
        <v>178594.35834830048</v>
      </c>
      <c r="M690" s="184">
        <f>VLOOKUP(F690,'Annual distance covered (GB)'!$A$8:$H$33,MATCH(J690,'Annual distance covered (GB)'!$A$7:$H$7,0))</f>
        <v>5.0999999999999996</v>
      </c>
      <c r="N690" s="2">
        <f t="shared" ca="1" si="34"/>
        <v>143265.96940343868</v>
      </c>
      <c r="O690" s="180">
        <f t="shared" ca="1" si="35"/>
        <v>0.80218642250746108</v>
      </c>
      <c r="P690" s="180"/>
      <c r="Q690" s="180"/>
      <c r="R690" s="180"/>
      <c r="S690" s="180"/>
      <c r="T690" s="180"/>
    </row>
    <row r="691" spans="1:20" x14ac:dyDescent="0.25">
      <c r="A691" t="s">
        <v>243</v>
      </c>
      <c r="B691" t="s">
        <v>237</v>
      </c>
      <c r="C691" t="s">
        <v>238</v>
      </c>
      <c r="D691" t="s">
        <v>248</v>
      </c>
      <c r="E691" t="s">
        <v>229</v>
      </c>
      <c r="F691">
        <v>2000</v>
      </c>
      <c r="G691">
        <v>1.0857199999999999E-2</v>
      </c>
      <c r="H691" t="s">
        <v>240</v>
      </c>
      <c r="I691" t="s">
        <v>241</v>
      </c>
      <c r="J691" t="s">
        <v>242</v>
      </c>
      <c r="K691" s="183">
        <f ca="1">VLOOKUP(F691,
    OFFSET(INDIRECT(ADDRESS(MATCH(J691,'Vehicle numbers'!$A$5:$A$162,0),1,1,1,$L$6)),4,1,COUNTIF('Vehicle numbers'!$A$5:$A$162,J691),4),
    MATCH(K$8,'Vehicle numbers'!$B$4:$D$4,0))*1000</f>
        <v>172565</v>
      </c>
      <c r="L691" s="183">
        <f ca="1">VLOOKUP(F691,
    OFFSET(INDIRECT(ADDRESS(MATCH(J691,'Vehicle numbers'!$A$5:$A$162,0),1,1,1,$L$6)),4,1,COUNTIF('Vehicle numbers'!$A$5:$A$162,J691),4),
    MATCH(L$8,'Vehicle numbers'!$B$4:$D$4,0))*1000</f>
        <v>178594.35834830048</v>
      </c>
      <c r="M691" s="184">
        <f>VLOOKUP(F691,'Annual distance covered (GB)'!$A$8:$H$33,MATCH(J691,'Annual distance covered (GB)'!$A$7:$H$7,0))</f>
        <v>5.0999999999999996</v>
      </c>
      <c r="N691" s="2">
        <f t="shared" ca="1" si="34"/>
        <v>57306.387761375459</v>
      </c>
      <c r="O691" s="180">
        <f t="shared" ca="1" si="35"/>
        <v>0.32087456900298439</v>
      </c>
      <c r="P691" s="180"/>
      <c r="Q691" s="180"/>
      <c r="R691" s="180"/>
      <c r="S691" s="180"/>
      <c r="T691" s="180"/>
    </row>
    <row r="692" spans="1:20" x14ac:dyDescent="0.25">
      <c r="A692" t="s">
        <v>244</v>
      </c>
      <c r="B692" t="s">
        <v>237</v>
      </c>
      <c r="C692" t="s">
        <v>238</v>
      </c>
      <c r="D692" t="s">
        <v>248</v>
      </c>
      <c r="E692" t="s">
        <v>229</v>
      </c>
      <c r="F692">
        <v>2000</v>
      </c>
      <c r="G692">
        <v>2.7142999999999998E-3</v>
      </c>
      <c r="H692" t="s">
        <v>240</v>
      </c>
      <c r="I692" t="s">
        <v>241</v>
      </c>
      <c r="J692" t="s">
        <v>242</v>
      </c>
      <c r="K692" s="183">
        <f ca="1">VLOOKUP(F692,
    OFFSET(INDIRECT(ADDRESS(MATCH(J692,'Vehicle numbers'!$A$5:$A$162,0),1,1,1,$L$6)),4,1,COUNTIF('Vehicle numbers'!$A$5:$A$162,J692),4),
    MATCH(K$8,'Vehicle numbers'!$B$4:$D$4,0))*1000</f>
        <v>172565</v>
      </c>
      <c r="L692" s="183">
        <f ca="1">VLOOKUP(F692,
    OFFSET(INDIRECT(ADDRESS(MATCH(J692,'Vehicle numbers'!$A$5:$A$162,0),1,1,1,$L$6)),4,1,COUNTIF('Vehicle numbers'!$A$5:$A$162,J692),4),
    MATCH(L$8,'Vehicle numbers'!$B$4:$D$4,0))*1000</f>
        <v>178594.35834830048</v>
      </c>
      <c r="M692" s="184">
        <f>VLOOKUP(F692,'Annual distance covered (GB)'!$A$8:$H$33,MATCH(J692,'Annual distance covered (GB)'!$A$7:$H$7,0))</f>
        <v>5.0999999999999996</v>
      </c>
      <c r="N692" s="2">
        <f t="shared" ca="1" si="34"/>
        <v>14326.596940343865</v>
      </c>
      <c r="O692" s="180">
        <f t="shared" ca="1" si="35"/>
        <v>8.0218642250746097E-2</v>
      </c>
      <c r="P692" s="180"/>
      <c r="Q692" s="180"/>
      <c r="R692" s="180"/>
      <c r="S692" s="180"/>
      <c r="T692" s="180"/>
    </row>
    <row r="693" spans="1:20" x14ac:dyDescent="0.25">
      <c r="A693" t="s">
        <v>246</v>
      </c>
      <c r="B693" t="s">
        <v>237</v>
      </c>
      <c r="C693" t="s">
        <v>238</v>
      </c>
      <c r="D693" t="s">
        <v>248</v>
      </c>
      <c r="E693" t="s">
        <v>229</v>
      </c>
      <c r="F693">
        <v>2000</v>
      </c>
      <c r="G693">
        <v>2.1714400000000002E-3</v>
      </c>
      <c r="H693" t="s">
        <v>240</v>
      </c>
      <c r="I693" t="s">
        <v>241</v>
      </c>
      <c r="J693" t="s">
        <v>242</v>
      </c>
      <c r="K693" s="183">
        <f ca="1">VLOOKUP(F693,
    OFFSET(INDIRECT(ADDRESS(MATCH(J693,'Vehicle numbers'!$A$5:$A$162,0),1,1,1,$L$6)),4,1,COUNTIF('Vehicle numbers'!$A$5:$A$162,J693),4),
    MATCH(K$8,'Vehicle numbers'!$B$4:$D$4,0))*1000</f>
        <v>172565</v>
      </c>
      <c r="L693" s="183">
        <f ca="1">VLOOKUP(F693,
    OFFSET(INDIRECT(ADDRESS(MATCH(J693,'Vehicle numbers'!$A$5:$A$162,0),1,1,1,$L$6)),4,1,COUNTIF('Vehicle numbers'!$A$5:$A$162,J693),4),
    MATCH(L$8,'Vehicle numbers'!$B$4:$D$4,0))*1000</f>
        <v>178594.35834830048</v>
      </c>
      <c r="M693" s="184">
        <f>VLOOKUP(F693,'Annual distance covered (GB)'!$A$8:$H$33,MATCH(J693,'Annual distance covered (GB)'!$A$7:$H$7,0))</f>
        <v>5.0999999999999996</v>
      </c>
      <c r="N693" s="2">
        <f t="shared" ca="1" si="34"/>
        <v>11461.277552275093</v>
      </c>
      <c r="O693" s="180">
        <f t="shared" ca="1" si="35"/>
        <v>6.4174913800596881E-2</v>
      </c>
      <c r="P693" s="180"/>
      <c r="Q693" s="180"/>
      <c r="R693" s="180"/>
      <c r="S693" s="180"/>
      <c r="T693" s="180"/>
    </row>
    <row r="694" spans="1:20" x14ac:dyDescent="0.25">
      <c r="A694" t="s">
        <v>236</v>
      </c>
      <c r="B694" t="s">
        <v>237</v>
      </c>
      <c r="C694" t="s">
        <v>238</v>
      </c>
      <c r="D694" t="s">
        <v>248</v>
      </c>
      <c r="E694" t="s">
        <v>228</v>
      </c>
      <c r="F694">
        <v>2000</v>
      </c>
      <c r="G694">
        <v>1.6922771266774099E-2</v>
      </c>
      <c r="H694" t="s">
        <v>240</v>
      </c>
      <c r="I694" t="s">
        <v>241</v>
      </c>
      <c r="J694" t="s">
        <v>242</v>
      </c>
      <c r="K694" s="183">
        <f ca="1">VLOOKUP(F694,
    OFFSET(INDIRECT(ADDRESS(MATCH(J694,'Vehicle numbers'!$A$5:$A$162,0),1,1,1,$L$6)),4,1,COUNTIF('Vehicle numbers'!$A$5:$A$162,J694),4),
    MATCH(K$8,'Vehicle numbers'!$B$4:$D$4,0))*1000</f>
        <v>172565</v>
      </c>
      <c r="L694" s="183">
        <f ca="1">VLOOKUP(F694,
    OFFSET(INDIRECT(ADDRESS(MATCH(J694,'Vehicle numbers'!$A$5:$A$162,0),1,1,1,$L$6)),4,1,COUNTIF('Vehicle numbers'!$A$5:$A$162,J694),4),
    MATCH(L$8,'Vehicle numbers'!$B$4:$D$4,0))*1000</f>
        <v>178594.35834830048</v>
      </c>
      <c r="M694" s="184">
        <f>VLOOKUP(F694,'Annual distance covered (GB)'!$A$8:$H$33,MATCH(J694,'Annual distance covered (GB)'!$A$7:$H$7,0))</f>
        <v>5.0999999999999996</v>
      </c>
      <c r="N694" s="2">
        <f t="shared" ca="1" si="34"/>
        <v>89321.638379215583</v>
      </c>
      <c r="O694" s="180">
        <f t="shared" ca="1" si="35"/>
        <v>0.50013695396255264</v>
      </c>
      <c r="P694" s="180"/>
      <c r="Q694" s="180"/>
      <c r="R694" s="180"/>
      <c r="S694" s="180"/>
      <c r="T694" s="180"/>
    </row>
    <row r="695" spans="1:20" x14ac:dyDescent="0.25">
      <c r="A695" t="s">
        <v>243</v>
      </c>
      <c r="B695" t="s">
        <v>237</v>
      </c>
      <c r="C695" t="s">
        <v>238</v>
      </c>
      <c r="D695" t="s">
        <v>248</v>
      </c>
      <c r="E695" t="s">
        <v>228</v>
      </c>
      <c r="F695">
        <v>2000</v>
      </c>
      <c r="G695">
        <v>1.18459398867419E-2</v>
      </c>
      <c r="H695" t="s">
        <v>240</v>
      </c>
      <c r="I695" t="s">
        <v>241</v>
      </c>
      <c r="J695" t="s">
        <v>242</v>
      </c>
      <c r="K695" s="183">
        <f ca="1">VLOOKUP(F695,
    OFFSET(INDIRECT(ADDRESS(MATCH(J695,'Vehicle numbers'!$A$5:$A$162,0),1,1,1,$L$6)),4,1,COUNTIF('Vehicle numbers'!$A$5:$A$162,J695),4),
    MATCH(K$8,'Vehicle numbers'!$B$4:$D$4,0))*1000</f>
        <v>172565</v>
      </c>
      <c r="L695" s="183">
        <f ca="1">VLOOKUP(F695,
    OFFSET(INDIRECT(ADDRESS(MATCH(J695,'Vehicle numbers'!$A$5:$A$162,0),1,1,1,$L$6)),4,1,COUNTIF('Vehicle numbers'!$A$5:$A$162,J695),4),
    MATCH(L$8,'Vehicle numbers'!$B$4:$D$4,0))*1000</f>
        <v>178594.35834830048</v>
      </c>
      <c r="M695" s="184">
        <f>VLOOKUP(F695,'Annual distance covered (GB)'!$A$8:$H$33,MATCH(J695,'Annual distance covered (GB)'!$A$7:$H$7,0))</f>
        <v>5.0999999999999996</v>
      </c>
      <c r="N695" s="2">
        <f t="shared" ca="1" si="34"/>
        <v>62525.146865451075</v>
      </c>
      <c r="O695" s="180">
        <f t="shared" ca="1" si="35"/>
        <v>0.35009586777378776</v>
      </c>
      <c r="P695" s="180"/>
      <c r="Q695" s="180"/>
      <c r="R695" s="180"/>
      <c r="S695" s="180"/>
      <c r="T695" s="180"/>
    </row>
    <row r="696" spans="1:20" x14ac:dyDescent="0.25">
      <c r="A696" t="s">
        <v>244</v>
      </c>
      <c r="B696" t="s">
        <v>237</v>
      </c>
      <c r="C696" t="s">
        <v>238</v>
      </c>
      <c r="D696" t="s">
        <v>248</v>
      </c>
      <c r="E696" t="s">
        <v>228</v>
      </c>
      <c r="F696">
        <v>2000</v>
      </c>
      <c r="G696">
        <v>1.66844223756928E-3</v>
      </c>
      <c r="H696" t="s">
        <v>240</v>
      </c>
      <c r="I696" t="s">
        <v>241</v>
      </c>
      <c r="J696" t="s">
        <v>242</v>
      </c>
      <c r="K696" s="183">
        <f ca="1">VLOOKUP(F696,
    OFFSET(INDIRECT(ADDRESS(MATCH(J696,'Vehicle numbers'!$A$5:$A$162,0),1,1,1,$L$6)),4,1,COUNTIF('Vehicle numbers'!$A$5:$A$162,J696),4),
    MATCH(K$8,'Vehicle numbers'!$B$4:$D$4,0))*1000</f>
        <v>172565</v>
      </c>
      <c r="L696" s="183">
        <f ca="1">VLOOKUP(F696,
    OFFSET(INDIRECT(ADDRESS(MATCH(J696,'Vehicle numbers'!$A$5:$A$162,0),1,1,1,$L$6)),4,1,COUNTIF('Vehicle numbers'!$A$5:$A$162,J696),4),
    MATCH(L$8,'Vehicle numbers'!$B$4:$D$4,0))*1000</f>
        <v>178594.35834830048</v>
      </c>
      <c r="M696" s="184">
        <f>VLOOKUP(F696,'Annual distance covered (GB)'!$A$8:$H$33,MATCH(J696,'Annual distance covered (GB)'!$A$7:$H$7,0))</f>
        <v>5.0999999999999996</v>
      </c>
      <c r="N696" s="2">
        <f t="shared" ca="1" si="34"/>
        <v>8806.3587134438039</v>
      </c>
      <c r="O696" s="180">
        <f t="shared" ca="1" si="35"/>
        <v>4.930927715123766E-2</v>
      </c>
      <c r="P696" s="180"/>
      <c r="Q696" s="180"/>
      <c r="R696" s="180"/>
      <c r="S696" s="180"/>
      <c r="T696" s="180"/>
    </row>
    <row r="697" spans="1:20" x14ac:dyDescent="0.25">
      <c r="A697" t="s">
        <v>246</v>
      </c>
      <c r="B697" t="s">
        <v>237</v>
      </c>
      <c r="C697" t="s">
        <v>238</v>
      </c>
      <c r="D697" t="s">
        <v>248</v>
      </c>
      <c r="E697" t="s">
        <v>228</v>
      </c>
      <c r="F697">
        <v>2000</v>
      </c>
      <c r="G697">
        <v>1.3347537900554199E-3</v>
      </c>
      <c r="H697" t="s">
        <v>240</v>
      </c>
      <c r="I697" t="s">
        <v>241</v>
      </c>
      <c r="J697" t="s">
        <v>242</v>
      </c>
      <c r="K697" s="183">
        <f ca="1">VLOOKUP(F697,
    OFFSET(INDIRECT(ADDRESS(MATCH(J697,'Vehicle numbers'!$A$5:$A$162,0),1,1,1,$L$6)),4,1,COUNTIF('Vehicle numbers'!$A$5:$A$162,J697),4),
    MATCH(K$8,'Vehicle numbers'!$B$4:$D$4,0))*1000</f>
        <v>172565</v>
      </c>
      <c r="L697" s="183">
        <f ca="1">VLOOKUP(F697,
    OFFSET(INDIRECT(ADDRESS(MATCH(J697,'Vehicle numbers'!$A$5:$A$162,0),1,1,1,$L$6)),4,1,COUNTIF('Vehicle numbers'!$A$5:$A$162,J697),4),
    MATCH(L$8,'Vehicle numbers'!$B$4:$D$4,0))*1000</f>
        <v>178594.35834830048</v>
      </c>
      <c r="M697" s="184">
        <f>VLOOKUP(F697,'Annual distance covered (GB)'!$A$8:$H$33,MATCH(J697,'Annual distance covered (GB)'!$A$7:$H$7,0))</f>
        <v>5.0999999999999996</v>
      </c>
      <c r="N697" s="2">
        <f t="shared" ca="1" si="34"/>
        <v>7045.0869707550219</v>
      </c>
      <c r="O697" s="180">
        <f t="shared" ca="1" si="35"/>
        <v>3.9447421720990014E-2</v>
      </c>
      <c r="P697" s="180"/>
      <c r="Q697" s="180"/>
      <c r="R697" s="180"/>
      <c r="S697" s="180"/>
      <c r="T697" s="180"/>
    </row>
    <row r="698" spans="1:20" x14ac:dyDescent="0.25">
      <c r="A698" t="s">
        <v>236</v>
      </c>
      <c r="B698" t="s">
        <v>237</v>
      </c>
      <c r="C698" t="s">
        <v>238</v>
      </c>
      <c r="D698" t="s">
        <v>249</v>
      </c>
      <c r="E698" t="s">
        <v>229</v>
      </c>
      <c r="F698">
        <v>2000</v>
      </c>
      <c r="G698">
        <v>5.3595000000000101E-2</v>
      </c>
      <c r="H698" t="s">
        <v>240</v>
      </c>
      <c r="I698" t="s">
        <v>241</v>
      </c>
      <c r="J698" t="s">
        <v>242</v>
      </c>
      <c r="K698" s="183">
        <f ca="1">VLOOKUP(F698,
    OFFSET(INDIRECT(ADDRESS(MATCH(J698,'Vehicle numbers'!$A$5:$A$162,0),1,1,1,$L$6)),4,1,COUNTIF('Vehicle numbers'!$A$5:$A$162,J698),4),
    MATCH(K$8,'Vehicle numbers'!$B$4:$D$4,0))*1000</f>
        <v>172565</v>
      </c>
      <c r="L698" s="183">
        <f ca="1">VLOOKUP(F698,
    OFFSET(INDIRECT(ADDRESS(MATCH(J698,'Vehicle numbers'!$A$5:$A$162,0),1,1,1,$L$6)),4,1,COUNTIF('Vehicle numbers'!$A$5:$A$162,J698),4),
    MATCH(L$8,'Vehicle numbers'!$B$4:$D$4,0))*1000</f>
        <v>178594.35834830048</v>
      </c>
      <c r="M698" s="184">
        <f>VLOOKUP(F698,'Annual distance covered (GB)'!$A$8:$H$33,MATCH(J698,'Annual distance covered (GB)'!$A$7:$H$7,0))</f>
        <v>5.0999999999999996</v>
      </c>
      <c r="N698" s="2">
        <f t="shared" ca="1" si="34"/>
        <v>282884.70803438488</v>
      </c>
      <c r="O698" s="180">
        <f t="shared" ca="1" si="35"/>
        <v>1.5839509749949323</v>
      </c>
      <c r="P698" s="180"/>
      <c r="Q698" s="180"/>
      <c r="R698" s="180"/>
      <c r="S698" s="180"/>
      <c r="T698" s="180"/>
    </row>
    <row r="699" spans="1:20" x14ac:dyDescent="0.25">
      <c r="A699" t="s">
        <v>243</v>
      </c>
      <c r="B699" t="s">
        <v>237</v>
      </c>
      <c r="C699" t="s">
        <v>238</v>
      </c>
      <c r="D699" t="s">
        <v>249</v>
      </c>
      <c r="E699" t="s">
        <v>229</v>
      </c>
      <c r="F699">
        <v>2000</v>
      </c>
      <c r="G699">
        <v>2.1437999999999999E-2</v>
      </c>
      <c r="H699" t="s">
        <v>240</v>
      </c>
      <c r="I699" t="s">
        <v>241</v>
      </c>
      <c r="J699" t="s">
        <v>242</v>
      </c>
      <c r="K699" s="183">
        <f ca="1">VLOOKUP(F699,
    OFFSET(INDIRECT(ADDRESS(MATCH(J699,'Vehicle numbers'!$A$5:$A$162,0),1,1,1,$L$6)),4,1,COUNTIF('Vehicle numbers'!$A$5:$A$162,J699),4),
    MATCH(K$8,'Vehicle numbers'!$B$4:$D$4,0))*1000</f>
        <v>172565</v>
      </c>
      <c r="L699" s="183">
        <f ca="1">VLOOKUP(F699,
    OFFSET(INDIRECT(ADDRESS(MATCH(J699,'Vehicle numbers'!$A$5:$A$162,0),1,1,1,$L$6)),4,1,COUNTIF('Vehicle numbers'!$A$5:$A$162,J699),4),
    MATCH(L$8,'Vehicle numbers'!$B$4:$D$4,0))*1000</f>
        <v>178594.35834830048</v>
      </c>
      <c r="M699" s="184">
        <f>VLOOKUP(F699,'Annual distance covered (GB)'!$A$8:$H$33,MATCH(J699,'Annual distance covered (GB)'!$A$7:$H$7,0))</f>
        <v>5.0999999999999996</v>
      </c>
      <c r="N699" s="2">
        <f t="shared" ca="1" si="34"/>
        <v>113153.88321375372</v>
      </c>
      <c r="O699" s="180">
        <f t="shared" ca="1" si="35"/>
        <v>0.63358038999797173</v>
      </c>
      <c r="P699" s="180"/>
      <c r="Q699" s="180"/>
      <c r="R699" s="180"/>
      <c r="S699" s="180"/>
      <c r="T699" s="180"/>
    </row>
    <row r="700" spans="1:20" x14ac:dyDescent="0.25">
      <c r="A700" t="s">
        <v>244</v>
      </c>
      <c r="B700" t="s">
        <v>237</v>
      </c>
      <c r="C700" t="s">
        <v>238</v>
      </c>
      <c r="D700" t="s">
        <v>249</v>
      </c>
      <c r="E700" t="s">
        <v>229</v>
      </c>
      <c r="F700">
        <v>2000</v>
      </c>
      <c r="G700">
        <v>5.3594999999999997E-3</v>
      </c>
      <c r="H700" t="s">
        <v>240</v>
      </c>
      <c r="I700" t="s">
        <v>241</v>
      </c>
      <c r="J700" t="s">
        <v>242</v>
      </c>
      <c r="K700" s="183">
        <f ca="1">VLOOKUP(F700,
    OFFSET(INDIRECT(ADDRESS(MATCH(J700,'Vehicle numbers'!$A$5:$A$162,0),1,1,1,$L$6)),4,1,COUNTIF('Vehicle numbers'!$A$5:$A$162,J700),4),
    MATCH(K$8,'Vehicle numbers'!$B$4:$D$4,0))*1000</f>
        <v>172565</v>
      </c>
      <c r="L700" s="183">
        <f ca="1">VLOOKUP(F700,
    OFFSET(INDIRECT(ADDRESS(MATCH(J700,'Vehicle numbers'!$A$5:$A$162,0),1,1,1,$L$6)),4,1,COUNTIF('Vehicle numbers'!$A$5:$A$162,J700),4),
    MATCH(L$8,'Vehicle numbers'!$B$4:$D$4,0))*1000</f>
        <v>178594.35834830048</v>
      </c>
      <c r="M700" s="184">
        <f>VLOOKUP(F700,'Annual distance covered (GB)'!$A$8:$H$33,MATCH(J700,'Annual distance covered (GB)'!$A$7:$H$7,0))</f>
        <v>5.0999999999999996</v>
      </c>
      <c r="N700" s="2">
        <f t="shared" ca="1" si="34"/>
        <v>28288.470803438431</v>
      </c>
      <c r="O700" s="180">
        <f t="shared" ca="1" si="35"/>
        <v>0.15839509749949293</v>
      </c>
      <c r="P700" s="180"/>
      <c r="Q700" s="180"/>
      <c r="R700" s="180"/>
      <c r="S700" s="180"/>
      <c r="T700" s="180"/>
    </row>
    <row r="701" spans="1:20" x14ac:dyDescent="0.25">
      <c r="A701" t="s">
        <v>246</v>
      </c>
      <c r="B701" t="s">
        <v>237</v>
      </c>
      <c r="C701" t="s">
        <v>238</v>
      </c>
      <c r="D701" t="s">
        <v>249</v>
      </c>
      <c r="E701" t="s">
        <v>229</v>
      </c>
      <c r="F701">
        <v>2000</v>
      </c>
      <c r="G701">
        <v>4.2875999999999999E-3</v>
      </c>
      <c r="H701" t="s">
        <v>240</v>
      </c>
      <c r="I701" t="s">
        <v>241</v>
      </c>
      <c r="J701" t="s">
        <v>242</v>
      </c>
      <c r="K701" s="183">
        <f ca="1">VLOOKUP(F701,
    OFFSET(INDIRECT(ADDRESS(MATCH(J701,'Vehicle numbers'!$A$5:$A$162,0),1,1,1,$L$6)),4,1,COUNTIF('Vehicle numbers'!$A$5:$A$162,J701),4),
    MATCH(K$8,'Vehicle numbers'!$B$4:$D$4,0))*1000</f>
        <v>172565</v>
      </c>
      <c r="L701" s="183">
        <f ca="1">VLOOKUP(F701,
    OFFSET(INDIRECT(ADDRESS(MATCH(J701,'Vehicle numbers'!$A$5:$A$162,0),1,1,1,$L$6)),4,1,COUNTIF('Vehicle numbers'!$A$5:$A$162,J701),4),
    MATCH(L$8,'Vehicle numbers'!$B$4:$D$4,0))*1000</f>
        <v>178594.35834830048</v>
      </c>
      <c r="M701" s="184">
        <f>VLOOKUP(F701,'Annual distance covered (GB)'!$A$8:$H$33,MATCH(J701,'Annual distance covered (GB)'!$A$7:$H$7,0))</f>
        <v>5.0999999999999996</v>
      </c>
      <c r="N701" s="2">
        <f t="shared" ca="1" si="34"/>
        <v>22630.776642750749</v>
      </c>
      <c r="O701" s="180">
        <f t="shared" ca="1" si="35"/>
        <v>0.12671607799959436</v>
      </c>
      <c r="P701" s="180"/>
      <c r="Q701" s="180"/>
      <c r="R701" s="180"/>
      <c r="S701" s="180"/>
      <c r="T701" s="180"/>
    </row>
    <row r="702" spans="1:20" x14ac:dyDescent="0.25">
      <c r="A702" t="s">
        <v>236</v>
      </c>
      <c r="B702" t="s">
        <v>237</v>
      </c>
      <c r="C702" t="s">
        <v>238</v>
      </c>
      <c r="D702" t="s">
        <v>249</v>
      </c>
      <c r="E702" t="s">
        <v>228</v>
      </c>
      <c r="F702">
        <v>2000</v>
      </c>
      <c r="G702">
        <v>2.1520950973082799E-2</v>
      </c>
      <c r="H702" t="s">
        <v>240</v>
      </c>
      <c r="I702" t="s">
        <v>241</v>
      </c>
      <c r="J702" t="s">
        <v>242</v>
      </c>
      <c r="K702" s="183">
        <f ca="1">VLOOKUP(F702,
    OFFSET(INDIRECT(ADDRESS(MATCH(J702,'Vehicle numbers'!$A$5:$A$162,0),1,1,1,$L$6)),4,1,COUNTIF('Vehicle numbers'!$A$5:$A$162,J702),4),
    MATCH(K$8,'Vehicle numbers'!$B$4:$D$4,0))*1000</f>
        <v>172565</v>
      </c>
      <c r="L702" s="183">
        <f ca="1">VLOOKUP(F702,
    OFFSET(INDIRECT(ADDRESS(MATCH(J702,'Vehicle numbers'!$A$5:$A$162,0),1,1,1,$L$6)),4,1,COUNTIF('Vehicle numbers'!$A$5:$A$162,J702),4),
    MATCH(L$8,'Vehicle numbers'!$B$4:$D$4,0))*1000</f>
        <v>178594.35834830048</v>
      </c>
      <c r="M702" s="184">
        <f>VLOOKUP(F702,'Annual distance covered (GB)'!$A$8:$H$33,MATCH(J702,'Annual distance covered (GB)'!$A$7:$H$7,0))</f>
        <v>5.0999999999999996</v>
      </c>
      <c r="N702" s="2">
        <f t="shared" ca="1" si="34"/>
        <v>113591.71438833524</v>
      </c>
      <c r="O702" s="180">
        <f t="shared" ca="1" si="35"/>
        <v>0.63603192978137091</v>
      </c>
      <c r="P702" s="180"/>
      <c r="Q702" s="180"/>
      <c r="R702" s="180"/>
      <c r="S702" s="180"/>
      <c r="T702" s="180"/>
    </row>
    <row r="703" spans="1:20" x14ac:dyDescent="0.25">
      <c r="A703" t="s">
        <v>243</v>
      </c>
      <c r="B703" t="s">
        <v>237</v>
      </c>
      <c r="C703" t="s">
        <v>238</v>
      </c>
      <c r="D703" t="s">
        <v>249</v>
      </c>
      <c r="E703" t="s">
        <v>228</v>
      </c>
      <c r="F703">
        <v>2000</v>
      </c>
      <c r="G703">
        <v>1.5064665681157999E-2</v>
      </c>
      <c r="H703" t="s">
        <v>240</v>
      </c>
      <c r="I703" t="s">
        <v>241</v>
      </c>
      <c r="J703" t="s">
        <v>242</v>
      </c>
      <c r="K703" s="183">
        <f ca="1">VLOOKUP(F703,
    OFFSET(INDIRECT(ADDRESS(MATCH(J703,'Vehicle numbers'!$A$5:$A$162,0),1,1,1,$L$6)),4,1,COUNTIF('Vehicle numbers'!$A$5:$A$162,J703),4),
    MATCH(K$8,'Vehicle numbers'!$B$4:$D$4,0))*1000</f>
        <v>172565</v>
      </c>
      <c r="L703" s="183">
        <f ca="1">VLOOKUP(F703,
    OFFSET(INDIRECT(ADDRESS(MATCH(J703,'Vehicle numbers'!$A$5:$A$162,0),1,1,1,$L$6)),4,1,COUNTIF('Vehicle numbers'!$A$5:$A$162,J703),4),
    MATCH(L$8,'Vehicle numbers'!$B$4:$D$4,0))*1000</f>
        <v>178594.35834830048</v>
      </c>
      <c r="M703" s="184">
        <f>VLOOKUP(F703,'Annual distance covered (GB)'!$A$8:$H$33,MATCH(J703,'Annual distance covered (GB)'!$A$7:$H$7,0))</f>
        <v>5.0999999999999996</v>
      </c>
      <c r="N703" s="2">
        <f t="shared" ca="1" si="34"/>
        <v>79514.200071834886</v>
      </c>
      <c r="O703" s="180">
        <f t="shared" ca="1" si="35"/>
        <v>0.44522235084696082</v>
      </c>
      <c r="P703" s="180"/>
      <c r="Q703" s="180"/>
      <c r="R703" s="180"/>
      <c r="S703" s="180"/>
      <c r="T703" s="180"/>
    </row>
    <row r="704" spans="1:20" x14ac:dyDescent="0.25">
      <c r="A704" t="s">
        <v>244</v>
      </c>
      <c r="B704" t="s">
        <v>237</v>
      </c>
      <c r="C704" t="s">
        <v>238</v>
      </c>
      <c r="D704" t="s">
        <v>249</v>
      </c>
      <c r="E704" t="s">
        <v>228</v>
      </c>
      <c r="F704">
        <v>2000</v>
      </c>
      <c r="G704">
        <v>2.1217838987546401E-3</v>
      </c>
      <c r="H704" t="s">
        <v>240</v>
      </c>
      <c r="I704" t="s">
        <v>241</v>
      </c>
      <c r="J704" t="s">
        <v>242</v>
      </c>
      <c r="K704" s="183">
        <f ca="1">VLOOKUP(F704,
    OFFSET(INDIRECT(ADDRESS(MATCH(J704,'Vehicle numbers'!$A$5:$A$162,0),1,1,1,$L$6)),4,1,COUNTIF('Vehicle numbers'!$A$5:$A$162,J704),4),
    MATCH(K$8,'Vehicle numbers'!$B$4:$D$4,0))*1000</f>
        <v>172565</v>
      </c>
      <c r="L704" s="183">
        <f ca="1">VLOOKUP(F704,
    OFFSET(INDIRECT(ADDRESS(MATCH(J704,'Vehicle numbers'!$A$5:$A$162,0),1,1,1,$L$6)),4,1,COUNTIF('Vehicle numbers'!$A$5:$A$162,J704),4),
    MATCH(L$8,'Vehicle numbers'!$B$4:$D$4,0))*1000</f>
        <v>178594.35834830048</v>
      </c>
      <c r="M704" s="184">
        <f>VLOOKUP(F704,'Annual distance covered (GB)'!$A$8:$H$33,MATCH(J704,'Annual distance covered (GB)'!$A$7:$H$7,0))</f>
        <v>5.0999999999999996</v>
      </c>
      <c r="N704" s="2">
        <f t="shared" ca="1" si="34"/>
        <v>11199.183108709098</v>
      </c>
      <c r="O704" s="180">
        <f t="shared" ca="1" si="35"/>
        <v>6.2707373358726656E-2</v>
      </c>
      <c r="P704" s="180"/>
      <c r="Q704" s="180"/>
      <c r="R704" s="180"/>
      <c r="S704" s="180"/>
      <c r="T704" s="180"/>
    </row>
    <row r="705" spans="1:20" x14ac:dyDescent="0.25">
      <c r="A705" t="s">
        <v>246</v>
      </c>
      <c r="B705" t="s">
        <v>237</v>
      </c>
      <c r="C705" t="s">
        <v>238</v>
      </c>
      <c r="D705" t="s">
        <v>249</v>
      </c>
      <c r="E705" t="s">
        <v>228</v>
      </c>
      <c r="F705">
        <v>2000</v>
      </c>
      <c r="G705">
        <v>1.6974271190037199E-3</v>
      </c>
      <c r="H705" t="s">
        <v>240</v>
      </c>
      <c r="I705" t="s">
        <v>241</v>
      </c>
      <c r="J705" t="s">
        <v>242</v>
      </c>
      <c r="K705" s="183">
        <f ca="1">VLOOKUP(F705,
    OFFSET(INDIRECT(ADDRESS(MATCH(J705,'Vehicle numbers'!$A$5:$A$162,0),1,1,1,$L$6)),4,1,COUNTIF('Vehicle numbers'!$A$5:$A$162,J705),4),
    MATCH(K$8,'Vehicle numbers'!$B$4:$D$4,0))*1000</f>
        <v>172565</v>
      </c>
      <c r="L705" s="183">
        <f ca="1">VLOOKUP(F705,
    OFFSET(INDIRECT(ADDRESS(MATCH(J705,'Vehicle numbers'!$A$5:$A$162,0),1,1,1,$L$6)),4,1,COUNTIF('Vehicle numbers'!$A$5:$A$162,J705),4),
    MATCH(L$8,'Vehicle numbers'!$B$4:$D$4,0))*1000</f>
        <v>178594.35834830048</v>
      </c>
      <c r="M705" s="184">
        <f>VLOOKUP(F705,'Annual distance covered (GB)'!$A$8:$H$33,MATCH(J705,'Annual distance covered (GB)'!$A$7:$H$7,0))</f>
        <v>5.0999999999999996</v>
      </c>
      <c r="N705" s="2">
        <f t="shared" ca="1" si="34"/>
        <v>8959.3464869673189</v>
      </c>
      <c r="O705" s="180">
        <f t="shared" ca="1" si="35"/>
        <v>5.0165898686981548E-2</v>
      </c>
      <c r="P705" s="180"/>
      <c r="Q705" s="180"/>
      <c r="R705" s="180"/>
      <c r="S705" s="180"/>
      <c r="T705" s="180"/>
    </row>
    <row r="706" spans="1:20" x14ac:dyDescent="0.25">
      <c r="A706" t="s">
        <v>236</v>
      </c>
      <c r="B706" t="s">
        <v>237</v>
      </c>
      <c r="C706" t="s">
        <v>238</v>
      </c>
      <c r="D706" t="s">
        <v>250</v>
      </c>
      <c r="E706" t="s">
        <v>229</v>
      </c>
      <c r="F706">
        <v>2000</v>
      </c>
      <c r="G706">
        <v>1.3600000000000001E-3</v>
      </c>
      <c r="H706" t="s">
        <v>240</v>
      </c>
      <c r="I706" t="s">
        <v>241</v>
      </c>
      <c r="J706" t="s">
        <v>2</v>
      </c>
      <c r="K706" s="183">
        <f ca="1">VLOOKUP(F706,
    OFFSET(INDIRECT(ADDRESS(MATCH(J706,'Vehicle numbers'!$A$5:$A$162,0),1,1,1,$L$6)),4,1,COUNTIF('Vehicle numbers'!$A$5:$A$162,J706),4),
    MATCH(K$8,'Vehicle numbers'!$B$4:$D$4,0))*1000</f>
        <v>24405549</v>
      </c>
      <c r="L706" s="183">
        <f ca="1">VLOOKUP(F706,
    OFFSET(INDIRECT(ADDRESS(MATCH(J706,'Vehicle numbers'!$A$5:$A$162,0),1,1,1,$L$6)),4,1,COUNTIF('Vehicle numbers'!$A$5:$A$162,J706),4),
    MATCH(L$8,'Vehicle numbers'!$B$4:$D$4,0))*1000</f>
        <v>25155592.499792654</v>
      </c>
      <c r="M706" s="184">
        <f>VLOOKUP(F706,'Annual distance covered (GB)'!$A$8:$H$33,MATCH(J706,'Annual distance covered (GB)'!$A$7:$H$7,0))</f>
        <v>376</v>
      </c>
      <c r="N706" s="2">
        <f t="shared" ca="1" si="34"/>
        <v>527075.37046980474</v>
      </c>
      <c r="O706" s="180">
        <f t="shared" ca="1" si="35"/>
        <v>2.0952612047366769E-2</v>
      </c>
      <c r="P706" s="180"/>
      <c r="Q706" s="180"/>
      <c r="R706" s="180"/>
      <c r="S706" s="180"/>
      <c r="T706" s="180"/>
    </row>
    <row r="707" spans="1:20" x14ac:dyDescent="0.25">
      <c r="A707" t="s">
        <v>243</v>
      </c>
      <c r="B707" t="s">
        <v>237</v>
      </c>
      <c r="C707" t="s">
        <v>238</v>
      </c>
      <c r="D707" t="s">
        <v>250</v>
      </c>
      <c r="E707" t="s">
        <v>229</v>
      </c>
      <c r="F707">
        <v>2000</v>
      </c>
      <c r="G707">
        <v>5.44E-4</v>
      </c>
      <c r="H707" t="s">
        <v>240</v>
      </c>
      <c r="I707" t="s">
        <v>241</v>
      </c>
      <c r="J707" t="s">
        <v>2</v>
      </c>
      <c r="K707" s="183">
        <f ca="1">VLOOKUP(F707,
    OFFSET(INDIRECT(ADDRESS(MATCH(J707,'Vehicle numbers'!$A$5:$A$162,0),1,1,1,$L$6)),4,1,COUNTIF('Vehicle numbers'!$A$5:$A$162,J707),4),
    MATCH(K$8,'Vehicle numbers'!$B$4:$D$4,0))*1000</f>
        <v>24405549</v>
      </c>
      <c r="L707" s="183">
        <f ca="1">VLOOKUP(F707,
    OFFSET(INDIRECT(ADDRESS(MATCH(J707,'Vehicle numbers'!$A$5:$A$162,0),1,1,1,$L$6)),4,1,COUNTIF('Vehicle numbers'!$A$5:$A$162,J707),4),
    MATCH(L$8,'Vehicle numbers'!$B$4:$D$4,0))*1000</f>
        <v>25155592.499792654</v>
      </c>
      <c r="M707" s="184">
        <f>VLOOKUP(F707,'Annual distance covered (GB)'!$A$8:$H$33,MATCH(J707,'Annual distance covered (GB)'!$A$7:$H$7,0))</f>
        <v>376</v>
      </c>
      <c r="N707" s="2">
        <f t="shared" ca="1" si="34"/>
        <v>210830.14818792188</v>
      </c>
      <c r="O707" s="180">
        <f t="shared" ca="1" si="35"/>
        <v>8.381044818946708E-3</v>
      </c>
      <c r="P707" s="180"/>
      <c r="Q707" s="180"/>
      <c r="R707" s="180"/>
      <c r="S707" s="180"/>
      <c r="T707" s="180"/>
    </row>
    <row r="708" spans="1:20" x14ac:dyDescent="0.25">
      <c r="A708" t="s">
        <v>244</v>
      </c>
      <c r="B708" t="s">
        <v>237</v>
      </c>
      <c r="C708" t="s">
        <v>238</v>
      </c>
      <c r="D708" t="s">
        <v>250</v>
      </c>
      <c r="E708" t="s">
        <v>229</v>
      </c>
      <c r="F708">
        <v>2000</v>
      </c>
      <c r="G708">
        <v>1.36E-4</v>
      </c>
      <c r="H708" t="s">
        <v>240</v>
      </c>
      <c r="I708" t="s">
        <v>241</v>
      </c>
      <c r="J708" t="s">
        <v>2</v>
      </c>
      <c r="K708" s="183">
        <f ca="1">VLOOKUP(F708,
    OFFSET(INDIRECT(ADDRESS(MATCH(J708,'Vehicle numbers'!$A$5:$A$162,0),1,1,1,$L$6)),4,1,COUNTIF('Vehicle numbers'!$A$5:$A$162,J708),4),
    MATCH(K$8,'Vehicle numbers'!$B$4:$D$4,0))*1000</f>
        <v>24405549</v>
      </c>
      <c r="L708" s="183">
        <f ca="1">VLOOKUP(F708,
    OFFSET(INDIRECT(ADDRESS(MATCH(J708,'Vehicle numbers'!$A$5:$A$162,0),1,1,1,$L$6)),4,1,COUNTIF('Vehicle numbers'!$A$5:$A$162,J708),4),
    MATCH(L$8,'Vehicle numbers'!$B$4:$D$4,0))*1000</f>
        <v>25155592.499792654</v>
      </c>
      <c r="M708" s="184">
        <f>VLOOKUP(F708,'Annual distance covered (GB)'!$A$8:$H$33,MATCH(J708,'Annual distance covered (GB)'!$A$7:$H$7,0))</f>
        <v>376</v>
      </c>
      <c r="N708" s="2">
        <f t="shared" ca="1" si="34"/>
        <v>52707.537046980469</v>
      </c>
      <c r="O708" s="180">
        <f t="shared" ca="1" si="35"/>
        <v>2.095261204736677E-3</v>
      </c>
      <c r="P708" s="180"/>
      <c r="Q708" s="180"/>
      <c r="R708" s="180"/>
      <c r="S708" s="180"/>
      <c r="T708" s="180"/>
    </row>
    <row r="709" spans="1:20" x14ac:dyDescent="0.25">
      <c r="A709" t="s">
        <v>246</v>
      </c>
      <c r="B709" t="s">
        <v>237</v>
      </c>
      <c r="C709" t="s">
        <v>238</v>
      </c>
      <c r="D709" t="s">
        <v>250</v>
      </c>
      <c r="E709" t="s">
        <v>229</v>
      </c>
      <c r="F709">
        <v>2000</v>
      </c>
      <c r="G709">
        <v>1.088E-4</v>
      </c>
      <c r="H709" t="s">
        <v>240</v>
      </c>
      <c r="I709" t="s">
        <v>241</v>
      </c>
      <c r="J709" t="s">
        <v>2</v>
      </c>
      <c r="K709" s="183">
        <f ca="1">VLOOKUP(F709,
    OFFSET(INDIRECT(ADDRESS(MATCH(J709,'Vehicle numbers'!$A$5:$A$162,0),1,1,1,$L$6)),4,1,COUNTIF('Vehicle numbers'!$A$5:$A$162,J709),4),
    MATCH(K$8,'Vehicle numbers'!$B$4:$D$4,0))*1000</f>
        <v>24405549</v>
      </c>
      <c r="L709" s="183">
        <f ca="1">VLOOKUP(F709,
    OFFSET(INDIRECT(ADDRESS(MATCH(J709,'Vehicle numbers'!$A$5:$A$162,0),1,1,1,$L$6)),4,1,COUNTIF('Vehicle numbers'!$A$5:$A$162,J709),4),
    MATCH(L$8,'Vehicle numbers'!$B$4:$D$4,0))*1000</f>
        <v>25155592.499792654</v>
      </c>
      <c r="M709" s="184">
        <f>VLOOKUP(F709,'Annual distance covered (GB)'!$A$8:$H$33,MATCH(J709,'Annual distance covered (GB)'!$A$7:$H$7,0))</f>
        <v>376</v>
      </c>
      <c r="N709" s="2">
        <f t="shared" ca="1" si="34"/>
        <v>42166.029637584375</v>
      </c>
      <c r="O709" s="180">
        <f t="shared" ca="1" si="35"/>
        <v>1.6762089637893415E-3</v>
      </c>
      <c r="P709" s="180"/>
      <c r="Q709" s="180"/>
      <c r="R709" s="180"/>
      <c r="S709" s="180"/>
      <c r="T709" s="180"/>
    </row>
    <row r="710" spans="1:20" x14ac:dyDescent="0.25">
      <c r="A710" t="s">
        <v>236</v>
      </c>
      <c r="B710" t="s">
        <v>237</v>
      </c>
      <c r="C710" t="s">
        <v>238</v>
      </c>
      <c r="D710" t="s">
        <v>250</v>
      </c>
      <c r="E710" t="s">
        <v>228</v>
      </c>
      <c r="F710">
        <v>2000</v>
      </c>
      <c r="G710">
        <v>5.7910000000000097E-3</v>
      </c>
      <c r="H710" t="s">
        <v>240</v>
      </c>
      <c r="I710" t="s">
        <v>241</v>
      </c>
      <c r="J710" t="s">
        <v>2</v>
      </c>
      <c r="K710" s="183">
        <f ca="1">VLOOKUP(F710,
    OFFSET(INDIRECT(ADDRESS(MATCH(J710,'Vehicle numbers'!$A$5:$A$162,0),1,1,1,$L$6)),4,1,COUNTIF('Vehicle numbers'!$A$5:$A$162,J710),4),
    MATCH(K$8,'Vehicle numbers'!$B$4:$D$4,0))*1000</f>
        <v>24405549</v>
      </c>
      <c r="L710" s="183">
        <f ca="1">VLOOKUP(F710,
    OFFSET(INDIRECT(ADDRESS(MATCH(J710,'Vehicle numbers'!$A$5:$A$162,0),1,1,1,$L$6)),4,1,COUNTIF('Vehicle numbers'!$A$5:$A$162,J710),4),
    MATCH(L$8,'Vehicle numbers'!$B$4:$D$4,0))*1000</f>
        <v>25155592.499792654</v>
      </c>
      <c r="M710" s="184">
        <f>VLOOKUP(F710,'Annual distance covered (GB)'!$A$8:$H$33,MATCH(J710,'Annual distance covered (GB)'!$A$7:$H$7,0))</f>
        <v>376</v>
      </c>
      <c r="N710" s="2">
        <f t="shared" ca="1" si="34"/>
        <v>2244333.4341107677</v>
      </c>
      <c r="O710" s="180">
        <f t="shared" ca="1" si="35"/>
        <v>8.9218070857574383E-2</v>
      </c>
      <c r="P710" s="180"/>
      <c r="Q710" s="180"/>
      <c r="R710" s="180"/>
      <c r="S710" s="180"/>
      <c r="T710" s="180"/>
    </row>
    <row r="711" spans="1:20" x14ac:dyDescent="0.25">
      <c r="A711" t="s">
        <v>243</v>
      </c>
      <c r="B711" t="s">
        <v>237</v>
      </c>
      <c r="C711" t="s">
        <v>238</v>
      </c>
      <c r="D711" t="s">
        <v>250</v>
      </c>
      <c r="E711" t="s">
        <v>228</v>
      </c>
      <c r="F711">
        <v>2000</v>
      </c>
      <c r="G711">
        <v>4.0537000000000099E-3</v>
      </c>
      <c r="H711" t="s">
        <v>240</v>
      </c>
      <c r="I711" t="s">
        <v>241</v>
      </c>
      <c r="J711" t="s">
        <v>2</v>
      </c>
      <c r="K711" s="183">
        <f ca="1">VLOOKUP(F711,
    OFFSET(INDIRECT(ADDRESS(MATCH(J711,'Vehicle numbers'!$A$5:$A$162,0),1,1,1,$L$6)),4,1,COUNTIF('Vehicle numbers'!$A$5:$A$162,J711),4),
    MATCH(K$8,'Vehicle numbers'!$B$4:$D$4,0))*1000</f>
        <v>24405549</v>
      </c>
      <c r="L711" s="183">
        <f ca="1">VLOOKUP(F711,
    OFFSET(INDIRECT(ADDRESS(MATCH(J711,'Vehicle numbers'!$A$5:$A$162,0),1,1,1,$L$6)),4,1,COUNTIF('Vehicle numbers'!$A$5:$A$162,J711),4),
    MATCH(L$8,'Vehicle numbers'!$B$4:$D$4,0))*1000</f>
        <v>25155592.499792654</v>
      </c>
      <c r="M711" s="184">
        <f>VLOOKUP(F711,'Annual distance covered (GB)'!$A$8:$H$33,MATCH(J711,'Annual distance covered (GB)'!$A$7:$H$7,0))</f>
        <v>376</v>
      </c>
      <c r="N711" s="2">
        <f t="shared" ca="1" si="34"/>
        <v>1571033.4038775384</v>
      </c>
      <c r="O711" s="180">
        <f t="shared" ca="1" si="35"/>
        <v>6.2452649600302106E-2</v>
      </c>
      <c r="P711" s="180"/>
      <c r="Q711" s="180"/>
      <c r="R711" s="180"/>
      <c r="S711" s="180"/>
      <c r="T711" s="180"/>
    </row>
    <row r="712" spans="1:20" x14ac:dyDescent="0.25">
      <c r="A712" t="s">
        <v>244</v>
      </c>
      <c r="B712" t="s">
        <v>237</v>
      </c>
      <c r="C712" t="s">
        <v>238</v>
      </c>
      <c r="D712" t="s">
        <v>250</v>
      </c>
      <c r="E712" t="s">
        <v>228</v>
      </c>
      <c r="F712">
        <v>2000</v>
      </c>
      <c r="G712">
        <v>5.7094366197183095E-4</v>
      </c>
      <c r="H712" t="s">
        <v>240</v>
      </c>
      <c r="I712" t="s">
        <v>241</v>
      </c>
      <c r="J712" t="s">
        <v>2</v>
      </c>
      <c r="K712" s="183">
        <f ca="1">VLOOKUP(F712,
    OFFSET(INDIRECT(ADDRESS(MATCH(J712,'Vehicle numbers'!$A$5:$A$162,0),1,1,1,$L$6)),4,1,COUNTIF('Vehicle numbers'!$A$5:$A$162,J712),4),
    MATCH(K$8,'Vehicle numbers'!$B$4:$D$4,0))*1000</f>
        <v>24405549</v>
      </c>
      <c r="L712" s="183">
        <f ca="1">VLOOKUP(F712,
    OFFSET(INDIRECT(ADDRESS(MATCH(J712,'Vehicle numbers'!$A$5:$A$162,0),1,1,1,$L$6)),4,1,COUNTIF('Vehicle numbers'!$A$5:$A$162,J712),4),
    MATCH(L$8,'Vehicle numbers'!$B$4:$D$4,0))*1000</f>
        <v>25155592.499792654</v>
      </c>
      <c r="M712" s="184">
        <f>VLOOKUP(F712,'Annual distance covered (GB)'!$A$8:$H$33,MATCH(J712,'Annual distance covered (GB)'!$A$7:$H$7,0))</f>
        <v>376</v>
      </c>
      <c r="N712" s="2">
        <f t="shared" ca="1" si="34"/>
        <v>221272.31040528655</v>
      </c>
      <c r="O712" s="180">
        <f t="shared" ca="1" si="35"/>
        <v>8.7961478310284447E-3</v>
      </c>
      <c r="P712" s="180"/>
      <c r="Q712" s="180"/>
      <c r="R712" s="180"/>
      <c r="S712" s="180"/>
      <c r="T712" s="180"/>
    </row>
    <row r="713" spans="1:20" x14ac:dyDescent="0.25">
      <c r="A713" t="s">
        <v>246</v>
      </c>
      <c r="B713" t="s">
        <v>237</v>
      </c>
      <c r="C713" t="s">
        <v>238</v>
      </c>
      <c r="D713" t="s">
        <v>250</v>
      </c>
      <c r="E713" t="s">
        <v>228</v>
      </c>
      <c r="F713">
        <v>2000</v>
      </c>
      <c r="G713">
        <v>4.56754929577465E-4</v>
      </c>
      <c r="H713" t="s">
        <v>240</v>
      </c>
      <c r="I713" t="s">
        <v>241</v>
      </c>
      <c r="J713" t="s">
        <v>2</v>
      </c>
      <c r="K713" s="183">
        <f ca="1">VLOOKUP(F713,
    OFFSET(INDIRECT(ADDRESS(MATCH(J713,'Vehicle numbers'!$A$5:$A$162,0),1,1,1,$L$6)),4,1,COUNTIF('Vehicle numbers'!$A$5:$A$162,J713),4),
    MATCH(K$8,'Vehicle numbers'!$B$4:$D$4,0))*1000</f>
        <v>24405549</v>
      </c>
      <c r="L713" s="183">
        <f ca="1">VLOOKUP(F713,
    OFFSET(INDIRECT(ADDRESS(MATCH(J713,'Vehicle numbers'!$A$5:$A$162,0),1,1,1,$L$6)),4,1,COUNTIF('Vehicle numbers'!$A$5:$A$162,J713),4),
    MATCH(L$8,'Vehicle numbers'!$B$4:$D$4,0))*1000</f>
        <v>25155592.499792654</v>
      </c>
      <c r="M713" s="184">
        <f>VLOOKUP(F713,'Annual distance covered (GB)'!$A$8:$H$33,MATCH(J713,'Annual distance covered (GB)'!$A$7:$H$7,0))</f>
        <v>376</v>
      </c>
      <c r="N713" s="2">
        <f t="shared" ca="1" si="34"/>
        <v>177017.84832422936</v>
      </c>
      <c r="O713" s="180">
        <f t="shared" ca="1" si="35"/>
        <v>7.0369182648227597E-3</v>
      </c>
      <c r="P713" s="180"/>
      <c r="Q713" s="180"/>
      <c r="R713" s="180"/>
      <c r="S713" s="180"/>
      <c r="T713" s="180"/>
    </row>
    <row r="714" spans="1:20" x14ac:dyDescent="0.25">
      <c r="A714" t="s">
        <v>236</v>
      </c>
      <c r="B714" t="s">
        <v>237</v>
      </c>
      <c r="C714" t="s">
        <v>238</v>
      </c>
      <c r="D714" t="s">
        <v>255</v>
      </c>
      <c r="E714" t="s">
        <v>229</v>
      </c>
      <c r="F714">
        <v>2000</v>
      </c>
      <c r="G714">
        <v>5.5270000000000102E-3</v>
      </c>
      <c r="H714" t="s">
        <v>240</v>
      </c>
      <c r="I714" t="s">
        <v>241</v>
      </c>
      <c r="J714" t="s">
        <v>2</v>
      </c>
      <c r="K714" s="183">
        <f ca="1">VLOOKUP(F714,
    OFFSET(INDIRECT(ADDRESS(MATCH(J714,'Vehicle numbers'!$A$5:$A$162,0),1,1,1,$L$6)),4,1,COUNTIF('Vehicle numbers'!$A$5:$A$162,J714),4),
    MATCH(K$8,'Vehicle numbers'!$B$4:$D$4,0))*1000</f>
        <v>24405549</v>
      </c>
      <c r="L714" s="183">
        <f ca="1">VLOOKUP(F714,
    OFFSET(INDIRECT(ADDRESS(MATCH(J714,'Vehicle numbers'!$A$5:$A$162,0),1,1,1,$L$6)),4,1,COUNTIF('Vehicle numbers'!$A$5:$A$162,J714),4),
    MATCH(L$8,'Vehicle numbers'!$B$4:$D$4,0))*1000</f>
        <v>25155592.499792654</v>
      </c>
      <c r="M714" s="184">
        <f>VLOOKUP(F714,'Annual distance covered (GB)'!$A$8:$H$33,MATCH(J714,'Annual distance covered (GB)'!$A$7:$H$7,0))</f>
        <v>376</v>
      </c>
      <c r="N714" s="2">
        <f t="shared" ca="1" si="34"/>
        <v>2142018.8033725116</v>
      </c>
      <c r="O714" s="180">
        <f t="shared" ca="1" si="35"/>
        <v>8.515079910720319E-2</v>
      </c>
      <c r="P714" s="180"/>
      <c r="Q714" s="180"/>
      <c r="R714" s="180"/>
      <c r="S714" s="180"/>
      <c r="T714" s="180"/>
    </row>
    <row r="715" spans="1:20" x14ac:dyDescent="0.25">
      <c r="A715" t="s">
        <v>243</v>
      </c>
      <c r="B715" t="s">
        <v>237</v>
      </c>
      <c r="C715" t="s">
        <v>238</v>
      </c>
      <c r="D715" t="s">
        <v>255</v>
      </c>
      <c r="E715" t="s">
        <v>229</v>
      </c>
      <c r="F715">
        <v>2000</v>
      </c>
      <c r="G715">
        <v>2.2108000000000002E-3</v>
      </c>
      <c r="H715" t="s">
        <v>240</v>
      </c>
      <c r="I715" t="s">
        <v>241</v>
      </c>
      <c r="J715" t="s">
        <v>2</v>
      </c>
      <c r="K715" s="183">
        <f ca="1">VLOOKUP(F715,
    OFFSET(INDIRECT(ADDRESS(MATCH(J715,'Vehicle numbers'!$A$5:$A$162,0),1,1,1,$L$6)),4,1,COUNTIF('Vehicle numbers'!$A$5:$A$162,J715),4),
    MATCH(K$8,'Vehicle numbers'!$B$4:$D$4,0))*1000</f>
        <v>24405549</v>
      </c>
      <c r="L715" s="183">
        <f ca="1">VLOOKUP(F715,
    OFFSET(INDIRECT(ADDRESS(MATCH(J715,'Vehicle numbers'!$A$5:$A$162,0),1,1,1,$L$6)),4,1,COUNTIF('Vehicle numbers'!$A$5:$A$162,J715),4),
    MATCH(L$8,'Vehicle numbers'!$B$4:$D$4,0))*1000</f>
        <v>25155592.499792654</v>
      </c>
      <c r="M715" s="184">
        <f>VLOOKUP(F715,'Annual distance covered (GB)'!$A$8:$H$33,MATCH(J715,'Annual distance covered (GB)'!$A$7:$H$7,0))</f>
        <v>376</v>
      </c>
      <c r="N715" s="2">
        <f t="shared" ref="N715:N778" ca="1" si="36">M715*G715*1000000*(L715/K715)</f>
        <v>856807.52134900307</v>
      </c>
      <c r="O715" s="180">
        <f t="shared" ref="O715:O778" ca="1" si="37">N715/L715</f>
        <v>3.4060319642881212E-2</v>
      </c>
      <c r="P715" s="180"/>
      <c r="Q715" s="180"/>
      <c r="R715" s="180"/>
      <c r="S715" s="180"/>
      <c r="T715" s="180"/>
    </row>
    <row r="716" spans="1:20" x14ac:dyDescent="0.25">
      <c r="A716" t="s">
        <v>244</v>
      </c>
      <c r="B716" t="s">
        <v>237</v>
      </c>
      <c r="C716" t="s">
        <v>238</v>
      </c>
      <c r="D716" t="s">
        <v>255</v>
      </c>
      <c r="E716" t="s">
        <v>229</v>
      </c>
      <c r="F716">
        <v>2000</v>
      </c>
      <c r="G716">
        <v>5.5270000000000004E-4</v>
      </c>
      <c r="H716" t="s">
        <v>240</v>
      </c>
      <c r="I716" t="s">
        <v>241</v>
      </c>
      <c r="J716" t="s">
        <v>2</v>
      </c>
      <c r="K716" s="183">
        <f ca="1">VLOOKUP(F716,
    OFFSET(INDIRECT(ADDRESS(MATCH(J716,'Vehicle numbers'!$A$5:$A$162,0),1,1,1,$L$6)),4,1,COUNTIF('Vehicle numbers'!$A$5:$A$162,J716),4),
    MATCH(K$8,'Vehicle numbers'!$B$4:$D$4,0))*1000</f>
        <v>24405549</v>
      </c>
      <c r="L716" s="183">
        <f ca="1">VLOOKUP(F716,
    OFFSET(INDIRECT(ADDRESS(MATCH(J716,'Vehicle numbers'!$A$5:$A$162,0),1,1,1,$L$6)),4,1,COUNTIF('Vehicle numbers'!$A$5:$A$162,J716),4),
    MATCH(L$8,'Vehicle numbers'!$B$4:$D$4,0))*1000</f>
        <v>25155592.499792654</v>
      </c>
      <c r="M716" s="184">
        <f>VLOOKUP(F716,'Annual distance covered (GB)'!$A$8:$H$33,MATCH(J716,'Annual distance covered (GB)'!$A$7:$H$7,0))</f>
        <v>376</v>
      </c>
      <c r="N716" s="2">
        <f t="shared" ca="1" si="36"/>
        <v>214201.88033725077</v>
      </c>
      <c r="O716" s="180">
        <f t="shared" ca="1" si="37"/>
        <v>8.515079910720303E-3</v>
      </c>
      <c r="P716" s="180"/>
      <c r="Q716" s="180"/>
      <c r="R716" s="180"/>
      <c r="S716" s="180"/>
      <c r="T716" s="180"/>
    </row>
    <row r="717" spans="1:20" x14ac:dyDescent="0.25">
      <c r="A717" t="s">
        <v>246</v>
      </c>
      <c r="B717" t="s">
        <v>237</v>
      </c>
      <c r="C717" t="s">
        <v>238</v>
      </c>
      <c r="D717" t="s">
        <v>255</v>
      </c>
      <c r="E717" t="s">
        <v>229</v>
      </c>
      <c r="F717">
        <v>2000</v>
      </c>
      <c r="G717">
        <v>4.4215999999999998E-4</v>
      </c>
      <c r="H717" t="s">
        <v>240</v>
      </c>
      <c r="I717" t="s">
        <v>241</v>
      </c>
      <c r="J717" t="s">
        <v>2</v>
      </c>
      <c r="K717" s="183">
        <f ca="1">VLOOKUP(F717,
    OFFSET(INDIRECT(ADDRESS(MATCH(J717,'Vehicle numbers'!$A$5:$A$162,0),1,1,1,$L$6)),4,1,COUNTIF('Vehicle numbers'!$A$5:$A$162,J717),4),
    MATCH(K$8,'Vehicle numbers'!$B$4:$D$4,0))*1000</f>
        <v>24405549</v>
      </c>
      <c r="L717" s="183">
        <f ca="1">VLOOKUP(F717,
    OFFSET(INDIRECT(ADDRESS(MATCH(J717,'Vehicle numbers'!$A$5:$A$162,0),1,1,1,$L$6)),4,1,COUNTIF('Vehicle numbers'!$A$5:$A$162,J717),4),
    MATCH(L$8,'Vehicle numbers'!$B$4:$D$4,0))*1000</f>
        <v>25155592.499792654</v>
      </c>
      <c r="M717" s="184">
        <f>VLOOKUP(F717,'Annual distance covered (GB)'!$A$8:$H$33,MATCH(J717,'Annual distance covered (GB)'!$A$7:$H$7,0))</f>
        <v>376</v>
      </c>
      <c r="N717" s="2">
        <f t="shared" ca="1" si="36"/>
        <v>171361.50426980059</v>
      </c>
      <c r="O717" s="180">
        <f t="shared" ca="1" si="37"/>
        <v>6.8120639285762412E-3</v>
      </c>
      <c r="P717" s="180"/>
      <c r="Q717" s="180"/>
      <c r="R717" s="180"/>
      <c r="S717" s="180"/>
      <c r="T717" s="180"/>
    </row>
    <row r="718" spans="1:20" x14ac:dyDescent="0.25">
      <c r="A718" t="s">
        <v>236</v>
      </c>
      <c r="B718" t="s">
        <v>237</v>
      </c>
      <c r="C718" t="s">
        <v>238</v>
      </c>
      <c r="D718" t="s">
        <v>255</v>
      </c>
      <c r="E718" t="s">
        <v>228</v>
      </c>
      <c r="F718">
        <v>2000</v>
      </c>
      <c r="G718">
        <v>6.80000000000001E-3</v>
      </c>
      <c r="H718" t="s">
        <v>240</v>
      </c>
      <c r="I718" t="s">
        <v>241</v>
      </c>
      <c r="J718" t="s">
        <v>2</v>
      </c>
      <c r="K718" s="183">
        <f ca="1">VLOOKUP(F718,
    OFFSET(INDIRECT(ADDRESS(MATCH(J718,'Vehicle numbers'!$A$5:$A$162,0),1,1,1,$L$6)),4,1,COUNTIF('Vehicle numbers'!$A$5:$A$162,J718),4),
    MATCH(K$8,'Vehicle numbers'!$B$4:$D$4,0))*1000</f>
        <v>24405549</v>
      </c>
      <c r="L718" s="183">
        <f ca="1">VLOOKUP(F718,
    OFFSET(INDIRECT(ADDRESS(MATCH(J718,'Vehicle numbers'!$A$5:$A$162,0),1,1,1,$L$6)),4,1,COUNTIF('Vehicle numbers'!$A$5:$A$162,J718),4),
    MATCH(L$8,'Vehicle numbers'!$B$4:$D$4,0))*1000</f>
        <v>25155592.499792654</v>
      </c>
      <c r="M718" s="184">
        <f>VLOOKUP(F718,'Annual distance covered (GB)'!$A$8:$H$33,MATCH(J718,'Annual distance covered (GB)'!$A$7:$H$7,0))</f>
        <v>376</v>
      </c>
      <c r="N718" s="2">
        <f t="shared" ca="1" si="36"/>
        <v>2635376.8523490275</v>
      </c>
      <c r="O718" s="180">
        <f t="shared" ca="1" si="37"/>
        <v>0.104763060236834</v>
      </c>
      <c r="P718" s="180"/>
      <c r="Q718" s="180"/>
      <c r="R718" s="180"/>
      <c r="S718" s="180"/>
      <c r="T718" s="180"/>
    </row>
    <row r="719" spans="1:20" x14ac:dyDescent="0.25">
      <c r="A719" t="s">
        <v>243</v>
      </c>
      <c r="B719" t="s">
        <v>237</v>
      </c>
      <c r="C719" t="s">
        <v>238</v>
      </c>
      <c r="D719" t="s">
        <v>255</v>
      </c>
      <c r="E719" t="s">
        <v>228</v>
      </c>
      <c r="F719">
        <v>2000</v>
      </c>
      <c r="G719">
        <v>4.7600000000000099E-3</v>
      </c>
      <c r="H719" t="s">
        <v>240</v>
      </c>
      <c r="I719" t="s">
        <v>241</v>
      </c>
      <c r="J719" t="s">
        <v>2</v>
      </c>
      <c r="K719" s="183">
        <f ca="1">VLOOKUP(F719,
    OFFSET(INDIRECT(ADDRESS(MATCH(J719,'Vehicle numbers'!$A$5:$A$162,0),1,1,1,$L$6)),4,1,COUNTIF('Vehicle numbers'!$A$5:$A$162,J719),4),
    MATCH(K$8,'Vehicle numbers'!$B$4:$D$4,0))*1000</f>
        <v>24405549</v>
      </c>
      <c r="L719" s="183">
        <f ca="1">VLOOKUP(F719,
    OFFSET(INDIRECT(ADDRESS(MATCH(J719,'Vehicle numbers'!$A$5:$A$162,0),1,1,1,$L$6)),4,1,COUNTIF('Vehicle numbers'!$A$5:$A$162,J719),4),
    MATCH(L$8,'Vehicle numbers'!$B$4:$D$4,0))*1000</f>
        <v>25155592.499792654</v>
      </c>
      <c r="M719" s="184">
        <f>VLOOKUP(F719,'Annual distance covered (GB)'!$A$8:$H$33,MATCH(J719,'Annual distance covered (GB)'!$A$7:$H$7,0))</f>
        <v>376</v>
      </c>
      <c r="N719" s="2">
        <f t="shared" ca="1" si="36"/>
        <v>1844763.7966443202</v>
      </c>
      <c r="O719" s="180">
        <f t="shared" ca="1" si="37"/>
        <v>7.3334142165783836E-2</v>
      </c>
      <c r="P719" s="180"/>
      <c r="Q719" s="180"/>
      <c r="R719" s="180"/>
      <c r="S719" s="180"/>
      <c r="T719" s="180"/>
    </row>
    <row r="720" spans="1:20" x14ac:dyDescent="0.25">
      <c r="A720" t="s">
        <v>244</v>
      </c>
      <c r="B720" t="s">
        <v>237</v>
      </c>
      <c r="C720" t="s">
        <v>238</v>
      </c>
      <c r="D720" t="s">
        <v>255</v>
      </c>
      <c r="E720" t="s">
        <v>228</v>
      </c>
      <c r="F720">
        <v>2000</v>
      </c>
      <c r="G720">
        <v>6.7042253521126804E-4</v>
      </c>
      <c r="H720" t="s">
        <v>240</v>
      </c>
      <c r="I720" t="s">
        <v>241</v>
      </c>
      <c r="J720" t="s">
        <v>2</v>
      </c>
      <c r="K720" s="183">
        <f ca="1">VLOOKUP(F720,
    OFFSET(INDIRECT(ADDRESS(MATCH(J720,'Vehicle numbers'!$A$5:$A$162,0),1,1,1,$L$6)),4,1,COUNTIF('Vehicle numbers'!$A$5:$A$162,J720),4),
    MATCH(K$8,'Vehicle numbers'!$B$4:$D$4,0))*1000</f>
        <v>24405549</v>
      </c>
      <c r="L720" s="183">
        <f ca="1">VLOOKUP(F720,
    OFFSET(INDIRECT(ADDRESS(MATCH(J720,'Vehicle numbers'!$A$5:$A$162,0),1,1,1,$L$6)),4,1,COUNTIF('Vehicle numbers'!$A$5:$A$162,J720),4),
    MATCH(L$8,'Vehicle numbers'!$B$4:$D$4,0))*1000</f>
        <v>25155592.499792654</v>
      </c>
      <c r="M720" s="184">
        <f>VLOOKUP(F720,'Annual distance covered (GB)'!$A$8:$H$33,MATCH(J720,'Annual distance covered (GB)'!$A$7:$H$7,0))</f>
        <v>376</v>
      </c>
      <c r="N720" s="2">
        <f t="shared" ca="1" si="36"/>
        <v>259825.88685131233</v>
      </c>
      <c r="O720" s="180">
        <f t="shared" ca="1" si="37"/>
        <v>1.032875241771602E-2</v>
      </c>
      <c r="P720" s="180"/>
      <c r="Q720" s="180"/>
      <c r="R720" s="180"/>
      <c r="S720" s="180"/>
      <c r="T720" s="180"/>
    </row>
    <row r="721" spans="1:20" x14ac:dyDescent="0.25">
      <c r="A721" t="s">
        <v>246</v>
      </c>
      <c r="B721" t="s">
        <v>237</v>
      </c>
      <c r="C721" t="s">
        <v>238</v>
      </c>
      <c r="D721" t="s">
        <v>255</v>
      </c>
      <c r="E721" t="s">
        <v>228</v>
      </c>
      <c r="F721">
        <v>2000</v>
      </c>
      <c r="G721">
        <v>5.3633802816901402E-4</v>
      </c>
      <c r="H721" t="s">
        <v>240</v>
      </c>
      <c r="I721" t="s">
        <v>241</v>
      </c>
      <c r="J721" t="s">
        <v>2</v>
      </c>
      <c r="K721" s="183">
        <f ca="1">VLOOKUP(F721,
    OFFSET(INDIRECT(ADDRESS(MATCH(J721,'Vehicle numbers'!$A$5:$A$162,0),1,1,1,$L$6)),4,1,COUNTIF('Vehicle numbers'!$A$5:$A$162,J721),4),
    MATCH(K$8,'Vehicle numbers'!$B$4:$D$4,0))*1000</f>
        <v>24405549</v>
      </c>
      <c r="L721" s="183">
        <f ca="1">VLOOKUP(F721,
    OFFSET(INDIRECT(ADDRESS(MATCH(J721,'Vehicle numbers'!$A$5:$A$162,0),1,1,1,$L$6)),4,1,COUNTIF('Vehicle numbers'!$A$5:$A$162,J721),4),
    MATCH(L$8,'Vehicle numbers'!$B$4:$D$4,0))*1000</f>
        <v>25155592.499792654</v>
      </c>
      <c r="M721" s="184">
        <f>VLOOKUP(F721,'Annual distance covered (GB)'!$A$8:$H$33,MATCH(J721,'Annual distance covered (GB)'!$A$7:$H$7,0))</f>
        <v>376</v>
      </c>
      <c r="N721" s="2">
        <f t="shared" ca="1" si="36"/>
        <v>207860.70948104968</v>
      </c>
      <c r="O721" s="180">
        <f t="shared" ca="1" si="37"/>
        <v>8.2630019341728075E-3</v>
      </c>
      <c r="P721" s="180"/>
      <c r="Q721" s="180"/>
      <c r="R721" s="180"/>
      <c r="S721" s="180"/>
      <c r="T721" s="180"/>
    </row>
    <row r="722" spans="1:20" x14ac:dyDescent="0.25">
      <c r="A722" t="s">
        <v>236</v>
      </c>
      <c r="B722" t="s">
        <v>237</v>
      </c>
      <c r="C722" t="s">
        <v>238</v>
      </c>
      <c r="D722" t="s">
        <v>256</v>
      </c>
      <c r="E722" t="s">
        <v>229</v>
      </c>
      <c r="F722">
        <v>2000</v>
      </c>
      <c r="G722">
        <v>1.17159824014901E-2</v>
      </c>
      <c r="H722" t="s">
        <v>240</v>
      </c>
      <c r="I722" t="s">
        <v>241</v>
      </c>
      <c r="J722" t="s">
        <v>2</v>
      </c>
      <c r="K722" s="183">
        <f ca="1">VLOOKUP(F722,
    OFFSET(INDIRECT(ADDRESS(MATCH(J722,'Vehicle numbers'!$A$5:$A$162,0),1,1,1,$L$6)),4,1,COUNTIF('Vehicle numbers'!$A$5:$A$162,J722),4),
    MATCH(K$8,'Vehicle numbers'!$B$4:$D$4,0))*1000</f>
        <v>24405549</v>
      </c>
      <c r="L722" s="183">
        <f ca="1">VLOOKUP(F722,
    OFFSET(INDIRECT(ADDRESS(MATCH(J722,'Vehicle numbers'!$A$5:$A$162,0),1,1,1,$L$6)),4,1,COUNTIF('Vehicle numbers'!$A$5:$A$162,J722),4),
    MATCH(L$8,'Vehicle numbers'!$B$4:$D$4,0))*1000</f>
        <v>25155592.499792654</v>
      </c>
      <c r="M722" s="184">
        <f>VLOOKUP(F722,'Annual distance covered (GB)'!$A$8:$H$33,MATCH(J722,'Annual distance covered (GB)'!$A$7:$H$7,0))</f>
        <v>376</v>
      </c>
      <c r="N722" s="2">
        <f t="shared" ca="1" si="36"/>
        <v>4540592.4740316961</v>
      </c>
      <c r="O722" s="180">
        <f t="shared" ca="1" si="37"/>
        <v>0.18050031912661657</v>
      </c>
      <c r="P722" s="180"/>
      <c r="Q722" s="180"/>
      <c r="R722" s="180"/>
      <c r="S722" s="180"/>
      <c r="T722" s="180"/>
    </row>
    <row r="723" spans="1:20" x14ac:dyDescent="0.25">
      <c r="A723" t="s">
        <v>243</v>
      </c>
      <c r="B723" t="s">
        <v>237</v>
      </c>
      <c r="C723" t="s">
        <v>238</v>
      </c>
      <c r="D723" t="s">
        <v>256</v>
      </c>
      <c r="E723" t="s">
        <v>229</v>
      </c>
      <c r="F723">
        <v>2000</v>
      </c>
      <c r="G723">
        <v>4.6863929605960404E-3</v>
      </c>
      <c r="H723" t="s">
        <v>240</v>
      </c>
      <c r="I723" t="s">
        <v>241</v>
      </c>
      <c r="J723" t="s">
        <v>2</v>
      </c>
      <c r="K723" s="183">
        <f ca="1">VLOOKUP(F723,
    OFFSET(INDIRECT(ADDRESS(MATCH(J723,'Vehicle numbers'!$A$5:$A$162,0),1,1,1,$L$6)),4,1,COUNTIF('Vehicle numbers'!$A$5:$A$162,J723),4),
    MATCH(K$8,'Vehicle numbers'!$B$4:$D$4,0))*1000</f>
        <v>24405549</v>
      </c>
      <c r="L723" s="183">
        <f ca="1">VLOOKUP(F723,
    OFFSET(INDIRECT(ADDRESS(MATCH(J723,'Vehicle numbers'!$A$5:$A$162,0),1,1,1,$L$6)),4,1,COUNTIF('Vehicle numbers'!$A$5:$A$162,J723),4),
    MATCH(L$8,'Vehicle numbers'!$B$4:$D$4,0))*1000</f>
        <v>25155592.499792654</v>
      </c>
      <c r="M723" s="184">
        <f>VLOOKUP(F723,'Annual distance covered (GB)'!$A$8:$H$33,MATCH(J723,'Annual distance covered (GB)'!$A$7:$H$7,0))</f>
        <v>376</v>
      </c>
      <c r="N723" s="2">
        <f t="shared" ca="1" si="36"/>
        <v>1816236.9896126783</v>
      </c>
      <c r="O723" s="180">
        <f t="shared" ca="1" si="37"/>
        <v>7.2200127650646623E-2</v>
      </c>
      <c r="P723" s="180"/>
      <c r="Q723" s="180"/>
      <c r="R723" s="180"/>
      <c r="S723" s="180"/>
      <c r="T723" s="180"/>
    </row>
    <row r="724" spans="1:20" x14ac:dyDescent="0.25">
      <c r="A724" t="s">
        <v>244</v>
      </c>
      <c r="B724" t="s">
        <v>237</v>
      </c>
      <c r="C724" t="s">
        <v>238</v>
      </c>
      <c r="D724" t="s">
        <v>256</v>
      </c>
      <c r="E724" t="s">
        <v>229</v>
      </c>
      <c r="F724">
        <v>2000</v>
      </c>
      <c r="G724">
        <v>1.1715982401490101E-3</v>
      </c>
      <c r="H724" t="s">
        <v>240</v>
      </c>
      <c r="I724" t="s">
        <v>241</v>
      </c>
      <c r="J724" t="s">
        <v>2</v>
      </c>
      <c r="K724" s="183">
        <f ca="1">VLOOKUP(F724,
    OFFSET(INDIRECT(ADDRESS(MATCH(J724,'Vehicle numbers'!$A$5:$A$162,0),1,1,1,$L$6)),4,1,COUNTIF('Vehicle numbers'!$A$5:$A$162,J724),4),
    MATCH(K$8,'Vehicle numbers'!$B$4:$D$4,0))*1000</f>
        <v>24405549</v>
      </c>
      <c r="L724" s="183">
        <f ca="1">VLOOKUP(F724,
    OFFSET(INDIRECT(ADDRESS(MATCH(J724,'Vehicle numbers'!$A$5:$A$162,0),1,1,1,$L$6)),4,1,COUNTIF('Vehicle numbers'!$A$5:$A$162,J724),4),
    MATCH(L$8,'Vehicle numbers'!$B$4:$D$4,0))*1000</f>
        <v>25155592.499792654</v>
      </c>
      <c r="M724" s="184">
        <f>VLOOKUP(F724,'Annual distance covered (GB)'!$A$8:$H$33,MATCH(J724,'Annual distance covered (GB)'!$A$7:$H$7,0))</f>
        <v>376</v>
      </c>
      <c r="N724" s="2">
        <f t="shared" ca="1" si="36"/>
        <v>454059.24740316957</v>
      </c>
      <c r="O724" s="180">
        <f t="shared" ca="1" si="37"/>
        <v>1.8050031912661656E-2</v>
      </c>
      <c r="P724" s="180"/>
      <c r="Q724" s="180"/>
      <c r="R724" s="180"/>
      <c r="S724" s="180"/>
      <c r="T724" s="180"/>
    </row>
    <row r="725" spans="1:20" x14ac:dyDescent="0.25">
      <c r="A725" t="s">
        <v>246</v>
      </c>
      <c r="B725" t="s">
        <v>237</v>
      </c>
      <c r="C725" t="s">
        <v>238</v>
      </c>
      <c r="D725" t="s">
        <v>256</v>
      </c>
      <c r="E725" t="s">
        <v>229</v>
      </c>
      <c r="F725">
        <v>2000</v>
      </c>
      <c r="G725">
        <v>9.3727859211920799E-4</v>
      </c>
      <c r="H725" t="s">
        <v>240</v>
      </c>
      <c r="I725" t="s">
        <v>241</v>
      </c>
      <c r="J725" t="s">
        <v>2</v>
      </c>
      <c r="K725" s="183">
        <f ca="1">VLOOKUP(F725,
    OFFSET(INDIRECT(ADDRESS(MATCH(J725,'Vehicle numbers'!$A$5:$A$162,0),1,1,1,$L$6)),4,1,COUNTIF('Vehicle numbers'!$A$5:$A$162,J725),4),
    MATCH(K$8,'Vehicle numbers'!$B$4:$D$4,0))*1000</f>
        <v>24405549</v>
      </c>
      <c r="L725" s="183">
        <f ca="1">VLOOKUP(F725,
    OFFSET(INDIRECT(ADDRESS(MATCH(J725,'Vehicle numbers'!$A$5:$A$162,0),1,1,1,$L$6)),4,1,COUNTIF('Vehicle numbers'!$A$5:$A$162,J725),4),
    MATCH(L$8,'Vehicle numbers'!$B$4:$D$4,0))*1000</f>
        <v>25155592.499792654</v>
      </c>
      <c r="M725" s="184">
        <f>VLOOKUP(F725,'Annual distance covered (GB)'!$A$8:$H$33,MATCH(J725,'Annual distance covered (GB)'!$A$7:$H$7,0))</f>
        <v>376</v>
      </c>
      <c r="N725" s="2">
        <f t="shared" ca="1" si="36"/>
        <v>363247.39792253566</v>
      </c>
      <c r="O725" s="180">
        <f t="shared" ca="1" si="37"/>
        <v>1.4440025530129325E-2</v>
      </c>
      <c r="P725" s="180"/>
      <c r="Q725" s="180"/>
      <c r="R725" s="180"/>
      <c r="S725" s="180"/>
      <c r="T725" s="180"/>
    </row>
    <row r="726" spans="1:20" x14ac:dyDescent="0.25">
      <c r="A726" t="s">
        <v>236</v>
      </c>
      <c r="B726" t="s">
        <v>237</v>
      </c>
      <c r="C726" t="s">
        <v>238</v>
      </c>
      <c r="D726" t="s">
        <v>256</v>
      </c>
      <c r="E726" t="s">
        <v>228</v>
      </c>
      <c r="F726">
        <v>2000</v>
      </c>
      <c r="G726">
        <v>8.7676302597468701E-3</v>
      </c>
      <c r="H726" t="s">
        <v>240</v>
      </c>
      <c r="I726" t="s">
        <v>241</v>
      </c>
      <c r="J726" t="s">
        <v>2</v>
      </c>
      <c r="K726" s="183">
        <f ca="1">VLOOKUP(F726,
    OFFSET(INDIRECT(ADDRESS(MATCH(J726,'Vehicle numbers'!$A$5:$A$162,0),1,1,1,$L$6)),4,1,COUNTIF('Vehicle numbers'!$A$5:$A$162,J726),4),
    MATCH(K$8,'Vehicle numbers'!$B$4:$D$4,0))*1000</f>
        <v>24405549</v>
      </c>
      <c r="L726" s="183">
        <f ca="1">VLOOKUP(F726,
    OFFSET(INDIRECT(ADDRESS(MATCH(J726,'Vehicle numbers'!$A$5:$A$162,0),1,1,1,$L$6)),4,1,COUNTIF('Vehicle numbers'!$A$5:$A$162,J726),4),
    MATCH(L$8,'Vehicle numbers'!$B$4:$D$4,0))*1000</f>
        <v>25155592.499792654</v>
      </c>
      <c r="M726" s="184">
        <f>VLOOKUP(F726,'Annual distance covered (GB)'!$A$8:$H$33,MATCH(J726,'Annual distance covered (GB)'!$A$7:$H$7,0))</f>
        <v>376</v>
      </c>
      <c r="N726" s="2">
        <f t="shared" ca="1" si="36"/>
        <v>3397942.6230134936</v>
      </c>
      <c r="O726" s="180">
        <f t="shared" ca="1" si="37"/>
        <v>0.13507702603472771</v>
      </c>
      <c r="P726" s="180"/>
      <c r="Q726" s="180"/>
      <c r="R726" s="180"/>
      <c r="S726" s="180"/>
      <c r="T726" s="180"/>
    </row>
    <row r="727" spans="1:20" x14ac:dyDescent="0.25">
      <c r="A727" t="s">
        <v>243</v>
      </c>
      <c r="B727" t="s">
        <v>237</v>
      </c>
      <c r="C727" t="s">
        <v>238</v>
      </c>
      <c r="D727" t="s">
        <v>256</v>
      </c>
      <c r="E727" t="s">
        <v>228</v>
      </c>
      <c r="F727">
        <v>2000</v>
      </c>
      <c r="G727">
        <v>6.1373411818228104E-3</v>
      </c>
      <c r="H727" t="s">
        <v>240</v>
      </c>
      <c r="I727" t="s">
        <v>241</v>
      </c>
      <c r="J727" t="s">
        <v>2</v>
      </c>
      <c r="K727" s="183">
        <f ca="1">VLOOKUP(F727,
    OFFSET(INDIRECT(ADDRESS(MATCH(J727,'Vehicle numbers'!$A$5:$A$162,0),1,1,1,$L$6)),4,1,COUNTIF('Vehicle numbers'!$A$5:$A$162,J727),4),
    MATCH(K$8,'Vehicle numbers'!$B$4:$D$4,0))*1000</f>
        <v>24405549</v>
      </c>
      <c r="L727" s="183">
        <f ca="1">VLOOKUP(F727,
    OFFSET(INDIRECT(ADDRESS(MATCH(J727,'Vehicle numbers'!$A$5:$A$162,0),1,1,1,$L$6)),4,1,COUNTIF('Vehicle numbers'!$A$5:$A$162,J727),4),
    MATCH(L$8,'Vehicle numbers'!$B$4:$D$4,0))*1000</f>
        <v>25155592.499792654</v>
      </c>
      <c r="M727" s="184">
        <f>VLOOKUP(F727,'Annual distance covered (GB)'!$A$8:$H$33,MATCH(J727,'Annual distance covered (GB)'!$A$7:$H$7,0))</f>
        <v>376</v>
      </c>
      <c r="N727" s="2">
        <f t="shared" ca="1" si="36"/>
        <v>2378559.8361094464</v>
      </c>
      <c r="O727" s="180">
        <f t="shared" ca="1" si="37"/>
        <v>9.4553918224309433E-2</v>
      </c>
      <c r="P727" s="180"/>
      <c r="Q727" s="180"/>
      <c r="R727" s="180"/>
      <c r="S727" s="180"/>
      <c r="T727" s="180"/>
    </row>
    <row r="728" spans="1:20" x14ac:dyDescent="0.25">
      <c r="A728" t="s">
        <v>244</v>
      </c>
      <c r="B728" t="s">
        <v>237</v>
      </c>
      <c r="C728" t="s">
        <v>238</v>
      </c>
      <c r="D728" t="s">
        <v>256</v>
      </c>
      <c r="E728" t="s">
        <v>228</v>
      </c>
      <c r="F728">
        <v>2000</v>
      </c>
      <c r="G728">
        <v>8.6441425096095805E-4</v>
      </c>
      <c r="H728" t="s">
        <v>240</v>
      </c>
      <c r="I728" t="s">
        <v>241</v>
      </c>
      <c r="J728" t="s">
        <v>2</v>
      </c>
      <c r="K728" s="183">
        <f ca="1">VLOOKUP(F728,
    OFFSET(INDIRECT(ADDRESS(MATCH(J728,'Vehicle numbers'!$A$5:$A$162,0),1,1,1,$L$6)),4,1,COUNTIF('Vehicle numbers'!$A$5:$A$162,J728),4),
    MATCH(K$8,'Vehicle numbers'!$B$4:$D$4,0))*1000</f>
        <v>24405549</v>
      </c>
      <c r="L728" s="183">
        <f ca="1">VLOOKUP(F728,
    OFFSET(INDIRECT(ADDRESS(MATCH(J728,'Vehicle numbers'!$A$5:$A$162,0),1,1,1,$L$6)),4,1,COUNTIF('Vehicle numbers'!$A$5:$A$162,J728),4),
    MATCH(L$8,'Vehicle numbers'!$B$4:$D$4,0))*1000</f>
        <v>25155592.499792654</v>
      </c>
      <c r="M728" s="184">
        <f>VLOOKUP(F728,'Annual distance covered (GB)'!$A$8:$H$33,MATCH(J728,'Annual distance covered (GB)'!$A$7:$H$7,0))</f>
        <v>376</v>
      </c>
      <c r="N728" s="2">
        <f t="shared" ca="1" si="36"/>
        <v>335008.42762104829</v>
      </c>
      <c r="O728" s="180">
        <f t="shared" ca="1" si="37"/>
        <v>1.3317453271029478E-2</v>
      </c>
      <c r="P728" s="180"/>
      <c r="Q728" s="180"/>
      <c r="R728" s="180"/>
      <c r="S728" s="180"/>
      <c r="T728" s="180"/>
    </row>
    <row r="729" spans="1:20" x14ac:dyDescent="0.25">
      <c r="A729" t="s">
        <v>246</v>
      </c>
      <c r="B729" t="s">
        <v>237</v>
      </c>
      <c r="C729" t="s">
        <v>238</v>
      </c>
      <c r="D729" t="s">
        <v>256</v>
      </c>
      <c r="E729" t="s">
        <v>228</v>
      </c>
      <c r="F729">
        <v>2000</v>
      </c>
      <c r="G729">
        <v>6.9153140076876605E-4</v>
      </c>
      <c r="H729" t="s">
        <v>240</v>
      </c>
      <c r="I729" t="s">
        <v>241</v>
      </c>
      <c r="J729" t="s">
        <v>2</v>
      </c>
      <c r="K729" s="183">
        <f ca="1">VLOOKUP(F729,
    OFFSET(INDIRECT(ADDRESS(MATCH(J729,'Vehicle numbers'!$A$5:$A$162,0),1,1,1,$L$6)),4,1,COUNTIF('Vehicle numbers'!$A$5:$A$162,J729),4),
    MATCH(K$8,'Vehicle numbers'!$B$4:$D$4,0))*1000</f>
        <v>24405549</v>
      </c>
      <c r="L729" s="183">
        <f ca="1">VLOOKUP(F729,
    OFFSET(INDIRECT(ADDRESS(MATCH(J729,'Vehicle numbers'!$A$5:$A$162,0),1,1,1,$L$6)),4,1,COUNTIF('Vehicle numbers'!$A$5:$A$162,J729),4),
    MATCH(L$8,'Vehicle numbers'!$B$4:$D$4,0))*1000</f>
        <v>25155592.499792654</v>
      </c>
      <c r="M729" s="184">
        <f>VLOOKUP(F729,'Annual distance covered (GB)'!$A$8:$H$33,MATCH(J729,'Annual distance covered (GB)'!$A$7:$H$7,0))</f>
        <v>376</v>
      </c>
      <c r="N729" s="2">
        <f t="shared" ca="1" si="36"/>
        <v>268006.74209683848</v>
      </c>
      <c r="O729" s="180">
        <f t="shared" ca="1" si="37"/>
        <v>1.0653962616823576E-2</v>
      </c>
      <c r="P729" s="180"/>
      <c r="Q729" s="180"/>
      <c r="R729" s="180"/>
      <c r="S729" s="180"/>
      <c r="T729" s="180"/>
    </row>
    <row r="730" spans="1:20" x14ac:dyDescent="0.25">
      <c r="A730" t="s">
        <v>236</v>
      </c>
      <c r="B730" t="s">
        <v>237</v>
      </c>
      <c r="C730" t="s">
        <v>238</v>
      </c>
      <c r="D730" t="s">
        <v>257</v>
      </c>
      <c r="E730" t="s">
        <v>229</v>
      </c>
      <c r="F730">
        <v>2000</v>
      </c>
      <c r="G730">
        <v>2.1210000000000001E-3</v>
      </c>
      <c r="H730" t="s">
        <v>240</v>
      </c>
      <c r="I730" t="s">
        <v>241</v>
      </c>
      <c r="J730" t="s">
        <v>188</v>
      </c>
      <c r="K730" s="183">
        <f ca="1">VLOOKUP(F730,
    OFFSET(INDIRECT(ADDRESS(MATCH(J730,'Vehicle numbers'!$A$5:$A$162,0),1,1,1,$L$6)),4,1,COUNTIF('Vehicle numbers'!$A$5:$A$162,J730),4),
    MATCH(K$8,'Vehicle numbers'!$B$4:$D$4,0))*1000</f>
        <v>2382590</v>
      </c>
      <c r="L730" s="183">
        <f ca="1">VLOOKUP(F730,
    OFFSET(INDIRECT(ADDRESS(MATCH(J730,'Vehicle numbers'!$A$5:$A$162,0),1,1,1,$L$6)),4,1,COUNTIF('Vehicle numbers'!$A$5:$A$162,J730),4),
    MATCH(L$8,'Vehicle numbers'!$B$4:$D$4,0))*1000</f>
        <v>2450959.8114294754</v>
      </c>
      <c r="M730" s="184">
        <f>VLOOKUP(F730,'Annual distance covered (GB)'!$A$8:$H$33,MATCH(J730,'Annual distance covered (GB)'!$A$7:$H$7,0))</f>
        <v>52.2</v>
      </c>
      <c r="N730" s="2">
        <f t="shared" ca="1" si="36"/>
        <v>113893.26601479405</v>
      </c>
      <c r="O730" s="180">
        <f t="shared" ca="1" si="37"/>
        <v>4.6468842729970337E-2</v>
      </c>
      <c r="P730" s="180"/>
      <c r="Q730" s="180"/>
      <c r="R730" s="180"/>
      <c r="S730" s="180"/>
      <c r="T730" s="180"/>
    </row>
    <row r="731" spans="1:20" x14ac:dyDescent="0.25">
      <c r="A731" t="s">
        <v>243</v>
      </c>
      <c r="B731" t="s">
        <v>237</v>
      </c>
      <c r="C731" t="s">
        <v>238</v>
      </c>
      <c r="D731" t="s">
        <v>257</v>
      </c>
      <c r="E731" t="s">
        <v>229</v>
      </c>
      <c r="F731">
        <v>2000</v>
      </c>
      <c r="G731">
        <v>8.4840000000000002E-4</v>
      </c>
      <c r="H731" t="s">
        <v>240</v>
      </c>
      <c r="I731" t="s">
        <v>241</v>
      </c>
      <c r="J731" t="s">
        <v>188</v>
      </c>
      <c r="K731" s="183">
        <f ca="1">VLOOKUP(F731,
    OFFSET(INDIRECT(ADDRESS(MATCH(J731,'Vehicle numbers'!$A$5:$A$162,0),1,1,1,$L$6)),4,1,COUNTIF('Vehicle numbers'!$A$5:$A$162,J731),4),
    MATCH(K$8,'Vehicle numbers'!$B$4:$D$4,0))*1000</f>
        <v>2382590</v>
      </c>
      <c r="L731" s="183">
        <f ca="1">VLOOKUP(F731,
    OFFSET(INDIRECT(ADDRESS(MATCH(J731,'Vehicle numbers'!$A$5:$A$162,0),1,1,1,$L$6)),4,1,COUNTIF('Vehicle numbers'!$A$5:$A$162,J731),4),
    MATCH(L$8,'Vehicle numbers'!$B$4:$D$4,0))*1000</f>
        <v>2450959.8114294754</v>
      </c>
      <c r="M731" s="184">
        <f>VLOOKUP(F731,'Annual distance covered (GB)'!$A$8:$H$33,MATCH(J731,'Annual distance covered (GB)'!$A$7:$H$7,0))</f>
        <v>52.2</v>
      </c>
      <c r="N731" s="2">
        <f t="shared" ca="1" si="36"/>
        <v>45557.306405917618</v>
      </c>
      <c r="O731" s="180">
        <f t="shared" ca="1" si="37"/>
        <v>1.8587537091988134E-2</v>
      </c>
      <c r="P731" s="180"/>
      <c r="Q731" s="180"/>
      <c r="R731" s="180"/>
      <c r="S731" s="180"/>
      <c r="T731" s="180"/>
    </row>
    <row r="732" spans="1:20" x14ac:dyDescent="0.25">
      <c r="A732" t="s">
        <v>244</v>
      </c>
      <c r="B732" t="s">
        <v>237</v>
      </c>
      <c r="C732" t="s">
        <v>238</v>
      </c>
      <c r="D732" t="s">
        <v>257</v>
      </c>
      <c r="E732" t="s">
        <v>229</v>
      </c>
      <c r="F732">
        <v>2000</v>
      </c>
      <c r="G732">
        <v>2.1210000000000001E-4</v>
      </c>
      <c r="H732" t="s">
        <v>240</v>
      </c>
      <c r="I732" t="s">
        <v>241</v>
      </c>
      <c r="J732" t="s">
        <v>188</v>
      </c>
      <c r="K732" s="183">
        <f ca="1">VLOOKUP(F732,
    OFFSET(INDIRECT(ADDRESS(MATCH(J732,'Vehicle numbers'!$A$5:$A$162,0),1,1,1,$L$6)),4,1,COUNTIF('Vehicle numbers'!$A$5:$A$162,J732),4),
    MATCH(K$8,'Vehicle numbers'!$B$4:$D$4,0))*1000</f>
        <v>2382590</v>
      </c>
      <c r="L732" s="183">
        <f ca="1">VLOOKUP(F732,
    OFFSET(INDIRECT(ADDRESS(MATCH(J732,'Vehicle numbers'!$A$5:$A$162,0),1,1,1,$L$6)),4,1,COUNTIF('Vehicle numbers'!$A$5:$A$162,J732),4),
    MATCH(L$8,'Vehicle numbers'!$B$4:$D$4,0))*1000</f>
        <v>2450959.8114294754</v>
      </c>
      <c r="M732" s="184">
        <f>VLOOKUP(F732,'Annual distance covered (GB)'!$A$8:$H$33,MATCH(J732,'Annual distance covered (GB)'!$A$7:$H$7,0))</f>
        <v>52.2</v>
      </c>
      <c r="N732" s="2">
        <f t="shared" ca="1" si="36"/>
        <v>11389.326601479404</v>
      </c>
      <c r="O732" s="180">
        <f t="shared" ca="1" si="37"/>
        <v>4.6468842729970334E-3</v>
      </c>
      <c r="P732" s="180"/>
      <c r="Q732" s="180"/>
      <c r="R732" s="180"/>
      <c r="S732" s="180"/>
      <c r="T732" s="180"/>
    </row>
    <row r="733" spans="1:20" x14ac:dyDescent="0.25">
      <c r="A733" t="s">
        <v>246</v>
      </c>
      <c r="B733" t="s">
        <v>237</v>
      </c>
      <c r="C733" t="s">
        <v>238</v>
      </c>
      <c r="D733" t="s">
        <v>257</v>
      </c>
      <c r="E733" t="s">
        <v>229</v>
      </c>
      <c r="F733">
        <v>2000</v>
      </c>
      <c r="G733">
        <v>1.6967999999999999E-4</v>
      </c>
      <c r="H733" t="s">
        <v>240</v>
      </c>
      <c r="I733" t="s">
        <v>241</v>
      </c>
      <c r="J733" t="s">
        <v>188</v>
      </c>
      <c r="K733" s="183">
        <f ca="1">VLOOKUP(F733,
    OFFSET(INDIRECT(ADDRESS(MATCH(J733,'Vehicle numbers'!$A$5:$A$162,0),1,1,1,$L$6)),4,1,COUNTIF('Vehicle numbers'!$A$5:$A$162,J733),4),
    MATCH(K$8,'Vehicle numbers'!$B$4:$D$4,0))*1000</f>
        <v>2382590</v>
      </c>
      <c r="L733" s="183">
        <f ca="1">VLOOKUP(F733,
    OFFSET(INDIRECT(ADDRESS(MATCH(J733,'Vehicle numbers'!$A$5:$A$162,0),1,1,1,$L$6)),4,1,COUNTIF('Vehicle numbers'!$A$5:$A$162,J733),4),
    MATCH(L$8,'Vehicle numbers'!$B$4:$D$4,0))*1000</f>
        <v>2450959.8114294754</v>
      </c>
      <c r="M733" s="184">
        <f>VLOOKUP(F733,'Annual distance covered (GB)'!$A$8:$H$33,MATCH(J733,'Annual distance covered (GB)'!$A$7:$H$7,0))</f>
        <v>52.2</v>
      </c>
      <c r="N733" s="2">
        <f t="shared" ca="1" si="36"/>
        <v>9111.4612811835232</v>
      </c>
      <c r="O733" s="180">
        <f t="shared" ca="1" si="37"/>
        <v>3.7175074183976265E-3</v>
      </c>
      <c r="P733" s="180"/>
      <c r="Q733" s="180"/>
      <c r="R733" s="180"/>
      <c r="S733" s="180"/>
      <c r="T733" s="180"/>
    </row>
    <row r="734" spans="1:20" x14ac:dyDescent="0.25">
      <c r="A734" t="s">
        <v>236</v>
      </c>
      <c r="B734" t="s">
        <v>237</v>
      </c>
      <c r="C734" t="s">
        <v>238</v>
      </c>
      <c r="D734" t="s">
        <v>257</v>
      </c>
      <c r="E734" t="s">
        <v>228</v>
      </c>
      <c r="F734">
        <v>2000</v>
      </c>
      <c r="G734">
        <v>9.1459999999999996E-3</v>
      </c>
      <c r="H734" t="s">
        <v>240</v>
      </c>
      <c r="I734" t="s">
        <v>241</v>
      </c>
      <c r="J734" t="s">
        <v>188</v>
      </c>
      <c r="K734" s="183">
        <f ca="1">VLOOKUP(F734,
    OFFSET(INDIRECT(ADDRESS(MATCH(J734,'Vehicle numbers'!$A$5:$A$162,0),1,1,1,$L$6)),4,1,COUNTIF('Vehicle numbers'!$A$5:$A$162,J734),4),
    MATCH(K$8,'Vehicle numbers'!$B$4:$D$4,0))*1000</f>
        <v>2382590</v>
      </c>
      <c r="L734" s="183">
        <f ca="1">VLOOKUP(F734,
    OFFSET(INDIRECT(ADDRESS(MATCH(J734,'Vehicle numbers'!$A$5:$A$162,0),1,1,1,$L$6)),4,1,COUNTIF('Vehicle numbers'!$A$5:$A$162,J734),4),
    MATCH(L$8,'Vehicle numbers'!$B$4:$D$4,0))*1000</f>
        <v>2450959.8114294754</v>
      </c>
      <c r="M734" s="184">
        <f>VLOOKUP(F734,'Annual distance covered (GB)'!$A$8:$H$33,MATCH(J734,'Annual distance covered (GB)'!$A$7:$H$7,0))</f>
        <v>52.2</v>
      </c>
      <c r="N734" s="2">
        <f t="shared" ca="1" si="36"/>
        <v>491121.08013734379</v>
      </c>
      <c r="O734" s="180">
        <f t="shared" ca="1" si="37"/>
        <v>0.20037908326652928</v>
      </c>
      <c r="P734" s="180"/>
      <c r="Q734" s="180"/>
      <c r="R734" s="180"/>
      <c r="S734" s="180"/>
      <c r="T734" s="180"/>
    </row>
    <row r="735" spans="1:20" x14ac:dyDescent="0.25">
      <c r="A735" t="s">
        <v>243</v>
      </c>
      <c r="B735" t="s">
        <v>237</v>
      </c>
      <c r="C735" t="s">
        <v>238</v>
      </c>
      <c r="D735" t="s">
        <v>257</v>
      </c>
      <c r="E735" t="s">
        <v>228</v>
      </c>
      <c r="F735">
        <v>2000</v>
      </c>
      <c r="G735">
        <v>6.4022000000000003E-3</v>
      </c>
      <c r="H735" t="s">
        <v>240</v>
      </c>
      <c r="I735" t="s">
        <v>241</v>
      </c>
      <c r="J735" t="s">
        <v>188</v>
      </c>
      <c r="K735" s="183">
        <f ca="1">VLOOKUP(F735,
    OFFSET(INDIRECT(ADDRESS(MATCH(J735,'Vehicle numbers'!$A$5:$A$162,0),1,1,1,$L$6)),4,1,COUNTIF('Vehicle numbers'!$A$5:$A$162,J735),4),
    MATCH(K$8,'Vehicle numbers'!$B$4:$D$4,0))*1000</f>
        <v>2382590</v>
      </c>
      <c r="L735" s="183">
        <f ca="1">VLOOKUP(F735,
    OFFSET(INDIRECT(ADDRESS(MATCH(J735,'Vehicle numbers'!$A$5:$A$162,0),1,1,1,$L$6)),4,1,COUNTIF('Vehicle numbers'!$A$5:$A$162,J735),4),
    MATCH(L$8,'Vehicle numbers'!$B$4:$D$4,0))*1000</f>
        <v>2450959.8114294754</v>
      </c>
      <c r="M735" s="184">
        <f>VLOOKUP(F735,'Annual distance covered (GB)'!$A$8:$H$33,MATCH(J735,'Annual distance covered (GB)'!$A$7:$H$7,0))</f>
        <v>52.2</v>
      </c>
      <c r="N735" s="2">
        <f t="shared" ca="1" si="36"/>
        <v>343784.75609614066</v>
      </c>
      <c r="O735" s="180">
        <f t="shared" ca="1" si="37"/>
        <v>0.1402653582865705</v>
      </c>
      <c r="P735" s="180"/>
      <c r="Q735" s="180"/>
      <c r="R735" s="180"/>
      <c r="S735" s="180"/>
      <c r="T735" s="180"/>
    </row>
    <row r="736" spans="1:20" x14ac:dyDescent="0.25">
      <c r="A736" t="s">
        <v>244</v>
      </c>
      <c r="B736" t="s">
        <v>237</v>
      </c>
      <c r="C736" t="s">
        <v>238</v>
      </c>
      <c r="D736" t="s">
        <v>257</v>
      </c>
      <c r="E736" t="s">
        <v>228</v>
      </c>
      <c r="F736">
        <v>2000</v>
      </c>
      <c r="G736">
        <v>9.0171830985915399E-4</v>
      </c>
      <c r="H736" t="s">
        <v>240</v>
      </c>
      <c r="I736" t="s">
        <v>241</v>
      </c>
      <c r="J736" t="s">
        <v>188</v>
      </c>
      <c r="K736" s="183">
        <f ca="1">VLOOKUP(F736,
    OFFSET(INDIRECT(ADDRESS(MATCH(J736,'Vehicle numbers'!$A$5:$A$162,0),1,1,1,$L$6)),4,1,COUNTIF('Vehicle numbers'!$A$5:$A$162,J736),4),
    MATCH(K$8,'Vehicle numbers'!$B$4:$D$4,0))*1000</f>
        <v>2382590</v>
      </c>
      <c r="L736" s="183">
        <f ca="1">VLOOKUP(F736,
    OFFSET(INDIRECT(ADDRESS(MATCH(J736,'Vehicle numbers'!$A$5:$A$162,0),1,1,1,$L$6)),4,1,COUNTIF('Vehicle numbers'!$A$5:$A$162,J736),4),
    MATCH(L$8,'Vehicle numbers'!$B$4:$D$4,0))*1000</f>
        <v>2450959.8114294754</v>
      </c>
      <c r="M736" s="184">
        <f>VLOOKUP(F736,'Annual distance covered (GB)'!$A$8:$H$33,MATCH(J736,'Annual distance covered (GB)'!$A$7:$H$7,0))</f>
        <v>52.2</v>
      </c>
      <c r="N736" s="2">
        <f t="shared" ca="1" si="36"/>
        <v>48420.388182554976</v>
      </c>
      <c r="O736" s="180">
        <f t="shared" ca="1" si="37"/>
        <v>1.9755684265714137E-2</v>
      </c>
      <c r="P736" s="180"/>
      <c r="Q736" s="180"/>
      <c r="R736" s="180"/>
      <c r="S736" s="180"/>
      <c r="T736" s="180"/>
    </row>
    <row r="737" spans="1:20" x14ac:dyDescent="0.25">
      <c r="A737" t="s">
        <v>246</v>
      </c>
      <c r="B737" t="s">
        <v>237</v>
      </c>
      <c r="C737" t="s">
        <v>238</v>
      </c>
      <c r="D737" t="s">
        <v>257</v>
      </c>
      <c r="E737" t="s">
        <v>228</v>
      </c>
      <c r="F737">
        <v>2000</v>
      </c>
      <c r="G737">
        <v>7.21374647887323E-4</v>
      </c>
      <c r="H737" t="s">
        <v>240</v>
      </c>
      <c r="I737" t="s">
        <v>241</v>
      </c>
      <c r="J737" t="s">
        <v>188</v>
      </c>
      <c r="K737" s="183">
        <f ca="1">VLOOKUP(F737,
    OFFSET(INDIRECT(ADDRESS(MATCH(J737,'Vehicle numbers'!$A$5:$A$162,0),1,1,1,$L$6)),4,1,COUNTIF('Vehicle numbers'!$A$5:$A$162,J737),4),
    MATCH(K$8,'Vehicle numbers'!$B$4:$D$4,0))*1000</f>
        <v>2382590</v>
      </c>
      <c r="L737" s="183">
        <f ca="1">VLOOKUP(F737,
    OFFSET(INDIRECT(ADDRESS(MATCH(J737,'Vehicle numbers'!$A$5:$A$162,0),1,1,1,$L$6)),4,1,COUNTIF('Vehicle numbers'!$A$5:$A$162,J737),4),
    MATCH(L$8,'Vehicle numbers'!$B$4:$D$4,0))*1000</f>
        <v>2450959.8114294754</v>
      </c>
      <c r="M737" s="184">
        <f>VLOOKUP(F737,'Annual distance covered (GB)'!$A$8:$H$33,MATCH(J737,'Annual distance covered (GB)'!$A$7:$H$7,0))</f>
        <v>52.2</v>
      </c>
      <c r="N737" s="2">
        <f t="shared" ca="1" si="36"/>
        <v>38736.310546043969</v>
      </c>
      <c r="O737" s="180">
        <f t="shared" ca="1" si="37"/>
        <v>1.5804547412571306E-2</v>
      </c>
      <c r="P737" s="180"/>
      <c r="Q737" s="180"/>
      <c r="R737" s="180"/>
      <c r="S737" s="180"/>
      <c r="T737" s="180"/>
    </row>
    <row r="738" spans="1:20" x14ac:dyDescent="0.25">
      <c r="A738" t="s">
        <v>236</v>
      </c>
      <c r="B738" t="s">
        <v>237</v>
      </c>
      <c r="C738" t="s">
        <v>238</v>
      </c>
      <c r="D738" t="s">
        <v>258</v>
      </c>
      <c r="E738" t="s">
        <v>229</v>
      </c>
      <c r="F738">
        <v>2000</v>
      </c>
      <c r="G738">
        <v>8.6219999999999995E-3</v>
      </c>
      <c r="H738" t="s">
        <v>240</v>
      </c>
      <c r="I738" t="s">
        <v>241</v>
      </c>
      <c r="J738" t="s">
        <v>188</v>
      </c>
      <c r="K738" s="183">
        <f ca="1">VLOOKUP(F738,
    OFFSET(INDIRECT(ADDRESS(MATCH(J738,'Vehicle numbers'!$A$5:$A$162,0),1,1,1,$L$6)),4,1,COUNTIF('Vehicle numbers'!$A$5:$A$162,J738),4),
    MATCH(K$8,'Vehicle numbers'!$B$4:$D$4,0))*1000</f>
        <v>2382590</v>
      </c>
      <c r="L738" s="183">
        <f ca="1">VLOOKUP(F738,
    OFFSET(INDIRECT(ADDRESS(MATCH(J738,'Vehicle numbers'!$A$5:$A$162,0),1,1,1,$L$6)),4,1,COUNTIF('Vehicle numbers'!$A$5:$A$162,J738),4),
    MATCH(L$8,'Vehicle numbers'!$B$4:$D$4,0))*1000</f>
        <v>2450959.8114294754</v>
      </c>
      <c r="M738" s="184">
        <f>VLOOKUP(F738,'Annual distance covered (GB)'!$A$8:$H$33,MATCH(J738,'Annual distance covered (GB)'!$A$7:$H$7,0))</f>
        <v>52.2</v>
      </c>
      <c r="N738" s="2">
        <f t="shared" ca="1" si="36"/>
        <v>462983.375567918</v>
      </c>
      <c r="O738" s="180">
        <f t="shared" ca="1" si="37"/>
        <v>0.1888988034030194</v>
      </c>
      <c r="P738" s="180"/>
      <c r="Q738" s="180"/>
      <c r="R738" s="180"/>
      <c r="S738" s="180"/>
      <c r="T738" s="180"/>
    </row>
    <row r="739" spans="1:20" x14ac:dyDescent="0.25">
      <c r="A739" t="s">
        <v>243</v>
      </c>
      <c r="B739" t="s">
        <v>237</v>
      </c>
      <c r="C739" t="s">
        <v>238</v>
      </c>
      <c r="D739" t="s">
        <v>258</v>
      </c>
      <c r="E739" t="s">
        <v>229</v>
      </c>
      <c r="F739">
        <v>2000</v>
      </c>
      <c r="G739">
        <v>3.4488000000000001E-3</v>
      </c>
      <c r="H739" t="s">
        <v>240</v>
      </c>
      <c r="I739" t="s">
        <v>241</v>
      </c>
      <c r="J739" t="s">
        <v>188</v>
      </c>
      <c r="K739" s="183">
        <f ca="1">VLOOKUP(F739,
    OFFSET(INDIRECT(ADDRESS(MATCH(J739,'Vehicle numbers'!$A$5:$A$162,0),1,1,1,$L$6)),4,1,COUNTIF('Vehicle numbers'!$A$5:$A$162,J739),4),
    MATCH(K$8,'Vehicle numbers'!$B$4:$D$4,0))*1000</f>
        <v>2382590</v>
      </c>
      <c r="L739" s="183">
        <f ca="1">VLOOKUP(F739,
    OFFSET(INDIRECT(ADDRESS(MATCH(J739,'Vehicle numbers'!$A$5:$A$162,0),1,1,1,$L$6)),4,1,COUNTIF('Vehicle numbers'!$A$5:$A$162,J739),4),
    MATCH(L$8,'Vehicle numbers'!$B$4:$D$4,0))*1000</f>
        <v>2450959.8114294754</v>
      </c>
      <c r="M739" s="184">
        <f>VLOOKUP(F739,'Annual distance covered (GB)'!$A$8:$H$33,MATCH(J739,'Annual distance covered (GB)'!$A$7:$H$7,0))</f>
        <v>52.2</v>
      </c>
      <c r="N739" s="2">
        <f t="shared" ca="1" si="36"/>
        <v>185193.35022716722</v>
      </c>
      <c r="O739" s="180">
        <f t="shared" ca="1" si="37"/>
        <v>7.5559521361207777E-2</v>
      </c>
      <c r="P739" s="180"/>
      <c r="Q739" s="180"/>
      <c r="R739" s="180"/>
      <c r="S739" s="180"/>
      <c r="T739" s="180"/>
    </row>
    <row r="740" spans="1:20" x14ac:dyDescent="0.25">
      <c r="A740" t="s">
        <v>244</v>
      </c>
      <c r="B740" t="s">
        <v>237</v>
      </c>
      <c r="C740" t="s">
        <v>238</v>
      </c>
      <c r="D740" t="s">
        <v>258</v>
      </c>
      <c r="E740" t="s">
        <v>229</v>
      </c>
      <c r="F740">
        <v>2000</v>
      </c>
      <c r="G740">
        <v>8.6220000000000003E-4</v>
      </c>
      <c r="H740" t="s">
        <v>240</v>
      </c>
      <c r="I740" t="s">
        <v>241</v>
      </c>
      <c r="J740" t="s">
        <v>188</v>
      </c>
      <c r="K740" s="183">
        <f ca="1">VLOOKUP(F740,
    OFFSET(INDIRECT(ADDRESS(MATCH(J740,'Vehicle numbers'!$A$5:$A$162,0),1,1,1,$L$6)),4,1,COUNTIF('Vehicle numbers'!$A$5:$A$162,J740),4),
    MATCH(K$8,'Vehicle numbers'!$B$4:$D$4,0))*1000</f>
        <v>2382590</v>
      </c>
      <c r="L740" s="183">
        <f ca="1">VLOOKUP(F740,
    OFFSET(INDIRECT(ADDRESS(MATCH(J740,'Vehicle numbers'!$A$5:$A$162,0),1,1,1,$L$6)),4,1,COUNTIF('Vehicle numbers'!$A$5:$A$162,J740),4),
    MATCH(L$8,'Vehicle numbers'!$B$4:$D$4,0))*1000</f>
        <v>2450959.8114294754</v>
      </c>
      <c r="M740" s="184">
        <f>VLOOKUP(F740,'Annual distance covered (GB)'!$A$8:$H$33,MATCH(J740,'Annual distance covered (GB)'!$A$7:$H$7,0))</f>
        <v>52.2</v>
      </c>
      <c r="N740" s="2">
        <f t="shared" ca="1" si="36"/>
        <v>46298.337556791805</v>
      </c>
      <c r="O740" s="180">
        <f t="shared" ca="1" si="37"/>
        <v>1.8889880340301944E-2</v>
      </c>
      <c r="P740" s="180"/>
      <c r="Q740" s="180"/>
      <c r="R740" s="180"/>
      <c r="S740" s="180"/>
      <c r="T740" s="180"/>
    </row>
    <row r="741" spans="1:20" x14ac:dyDescent="0.25">
      <c r="A741" t="s">
        <v>246</v>
      </c>
      <c r="B741" t="s">
        <v>237</v>
      </c>
      <c r="C741" t="s">
        <v>238</v>
      </c>
      <c r="D741" t="s">
        <v>258</v>
      </c>
      <c r="E741" t="s">
        <v>229</v>
      </c>
      <c r="F741">
        <v>2000</v>
      </c>
      <c r="G741">
        <v>6.8975999999999998E-4</v>
      </c>
      <c r="H741" t="s">
        <v>240</v>
      </c>
      <c r="I741" t="s">
        <v>241</v>
      </c>
      <c r="J741" t="s">
        <v>188</v>
      </c>
      <c r="K741" s="183">
        <f ca="1">VLOOKUP(F741,
    OFFSET(INDIRECT(ADDRESS(MATCH(J741,'Vehicle numbers'!$A$5:$A$162,0),1,1,1,$L$6)),4,1,COUNTIF('Vehicle numbers'!$A$5:$A$162,J741),4),
    MATCH(K$8,'Vehicle numbers'!$B$4:$D$4,0))*1000</f>
        <v>2382590</v>
      </c>
      <c r="L741" s="183">
        <f ca="1">VLOOKUP(F741,
    OFFSET(INDIRECT(ADDRESS(MATCH(J741,'Vehicle numbers'!$A$5:$A$162,0),1,1,1,$L$6)),4,1,COUNTIF('Vehicle numbers'!$A$5:$A$162,J741),4),
    MATCH(L$8,'Vehicle numbers'!$B$4:$D$4,0))*1000</f>
        <v>2450959.8114294754</v>
      </c>
      <c r="M741" s="184">
        <f>VLOOKUP(F741,'Annual distance covered (GB)'!$A$8:$H$33,MATCH(J741,'Annual distance covered (GB)'!$A$7:$H$7,0))</f>
        <v>52.2</v>
      </c>
      <c r="N741" s="2">
        <f t="shared" ca="1" si="36"/>
        <v>37038.670045433442</v>
      </c>
      <c r="O741" s="180">
        <f t="shared" ca="1" si="37"/>
        <v>1.5111904272241553E-2</v>
      </c>
      <c r="P741" s="180"/>
      <c r="Q741" s="180"/>
      <c r="R741" s="180"/>
      <c r="S741" s="180"/>
      <c r="T741" s="180"/>
    </row>
    <row r="742" spans="1:20" x14ac:dyDescent="0.25">
      <c r="A742" t="s">
        <v>236</v>
      </c>
      <c r="B742" t="s">
        <v>237</v>
      </c>
      <c r="C742" t="s">
        <v>238</v>
      </c>
      <c r="D742" t="s">
        <v>258</v>
      </c>
      <c r="E742" t="s">
        <v>228</v>
      </c>
      <c r="F742">
        <v>2000</v>
      </c>
      <c r="G742">
        <v>1.0741000000000001E-2</v>
      </c>
      <c r="H742" t="s">
        <v>240</v>
      </c>
      <c r="I742" t="s">
        <v>241</v>
      </c>
      <c r="J742" t="s">
        <v>188</v>
      </c>
      <c r="K742" s="183">
        <f ca="1">VLOOKUP(F742,
    OFFSET(INDIRECT(ADDRESS(MATCH(J742,'Vehicle numbers'!$A$5:$A$162,0),1,1,1,$L$6)),4,1,COUNTIF('Vehicle numbers'!$A$5:$A$162,J742),4),
    MATCH(K$8,'Vehicle numbers'!$B$4:$D$4,0))*1000</f>
        <v>2382590</v>
      </c>
      <c r="L742" s="183">
        <f ca="1">VLOOKUP(F742,
    OFFSET(INDIRECT(ADDRESS(MATCH(J742,'Vehicle numbers'!$A$5:$A$162,0),1,1,1,$L$6)),4,1,COUNTIF('Vehicle numbers'!$A$5:$A$162,J742),4),
    MATCH(L$8,'Vehicle numbers'!$B$4:$D$4,0))*1000</f>
        <v>2450959.8114294754</v>
      </c>
      <c r="M742" s="184">
        <f>VLOOKUP(F742,'Annual distance covered (GB)'!$A$8:$H$33,MATCH(J742,'Annual distance covered (GB)'!$A$7:$H$7,0))</f>
        <v>52.2</v>
      </c>
      <c r="N742" s="2">
        <f t="shared" ca="1" si="36"/>
        <v>576769.24576374481</v>
      </c>
      <c r="O742" s="180">
        <f t="shared" ca="1" si="37"/>
        <v>0.2353238282709153</v>
      </c>
      <c r="P742" s="180"/>
      <c r="Q742" s="180"/>
      <c r="R742" s="180"/>
      <c r="S742" s="180"/>
      <c r="T742" s="180"/>
    </row>
    <row r="743" spans="1:20" x14ac:dyDescent="0.25">
      <c r="A743" t="s">
        <v>243</v>
      </c>
      <c r="B743" t="s">
        <v>237</v>
      </c>
      <c r="C743" t="s">
        <v>238</v>
      </c>
      <c r="D743" t="s">
        <v>258</v>
      </c>
      <c r="E743" t="s">
        <v>228</v>
      </c>
      <c r="F743">
        <v>2000</v>
      </c>
      <c r="G743">
        <v>7.5186999999999997E-3</v>
      </c>
      <c r="H743" t="s">
        <v>240</v>
      </c>
      <c r="I743" t="s">
        <v>241</v>
      </c>
      <c r="J743" t="s">
        <v>188</v>
      </c>
      <c r="K743" s="183">
        <f ca="1">VLOOKUP(F743,
    OFFSET(INDIRECT(ADDRESS(MATCH(J743,'Vehicle numbers'!$A$5:$A$162,0),1,1,1,$L$6)),4,1,COUNTIF('Vehicle numbers'!$A$5:$A$162,J743),4),
    MATCH(K$8,'Vehicle numbers'!$B$4:$D$4,0))*1000</f>
        <v>2382590</v>
      </c>
      <c r="L743" s="183">
        <f ca="1">VLOOKUP(F743,
    OFFSET(INDIRECT(ADDRESS(MATCH(J743,'Vehicle numbers'!$A$5:$A$162,0),1,1,1,$L$6)),4,1,COUNTIF('Vehicle numbers'!$A$5:$A$162,J743),4),
    MATCH(L$8,'Vehicle numbers'!$B$4:$D$4,0))*1000</f>
        <v>2450959.8114294754</v>
      </c>
      <c r="M743" s="184">
        <f>VLOOKUP(F743,'Annual distance covered (GB)'!$A$8:$H$33,MATCH(J743,'Annual distance covered (GB)'!$A$7:$H$7,0))</f>
        <v>52.2</v>
      </c>
      <c r="N743" s="2">
        <f t="shared" ca="1" si="36"/>
        <v>403738.47203462134</v>
      </c>
      <c r="O743" s="180">
        <f t="shared" ca="1" si="37"/>
        <v>0.1647266797896407</v>
      </c>
      <c r="P743" s="180"/>
      <c r="Q743" s="180"/>
      <c r="R743" s="180"/>
      <c r="S743" s="180"/>
      <c r="T743" s="180"/>
    </row>
    <row r="744" spans="1:20" x14ac:dyDescent="0.25">
      <c r="A744" t="s">
        <v>244</v>
      </c>
      <c r="B744" t="s">
        <v>237</v>
      </c>
      <c r="C744" t="s">
        <v>238</v>
      </c>
      <c r="D744" t="s">
        <v>258</v>
      </c>
      <c r="E744" t="s">
        <v>228</v>
      </c>
      <c r="F744">
        <v>2000</v>
      </c>
      <c r="G744">
        <v>1.05897183098591E-3</v>
      </c>
      <c r="H744" t="s">
        <v>240</v>
      </c>
      <c r="I744" t="s">
        <v>241</v>
      </c>
      <c r="J744" t="s">
        <v>188</v>
      </c>
      <c r="K744" s="183">
        <f ca="1">VLOOKUP(F744,
    OFFSET(INDIRECT(ADDRESS(MATCH(J744,'Vehicle numbers'!$A$5:$A$162,0),1,1,1,$L$6)),4,1,COUNTIF('Vehicle numbers'!$A$5:$A$162,J744),4),
    MATCH(K$8,'Vehicle numbers'!$B$4:$D$4,0))*1000</f>
        <v>2382590</v>
      </c>
      <c r="L744" s="183">
        <f ca="1">VLOOKUP(F744,
    OFFSET(INDIRECT(ADDRESS(MATCH(J744,'Vehicle numbers'!$A$5:$A$162,0),1,1,1,$L$6)),4,1,COUNTIF('Vehicle numbers'!$A$5:$A$162,J744),4),
    MATCH(L$8,'Vehicle numbers'!$B$4:$D$4,0))*1000</f>
        <v>2450959.8114294754</v>
      </c>
      <c r="M744" s="184">
        <f>VLOOKUP(F744,'Annual distance covered (GB)'!$A$8:$H$33,MATCH(J744,'Annual distance covered (GB)'!$A$7:$H$7,0))</f>
        <v>52.2</v>
      </c>
      <c r="N744" s="2">
        <f t="shared" ca="1" si="36"/>
        <v>56864.573526002714</v>
      </c>
      <c r="O744" s="180">
        <f t="shared" ca="1" si="37"/>
        <v>2.3200940815442231E-2</v>
      </c>
      <c r="P744" s="180"/>
      <c r="Q744" s="180"/>
      <c r="R744" s="180"/>
      <c r="S744" s="180"/>
      <c r="T744" s="180"/>
    </row>
    <row r="745" spans="1:20" x14ac:dyDescent="0.25">
      <c r="A745" t="s">
        <v>246</v>
      </c>
      <c r="B745" t="s">
        <v>237</v>
      </c>
      <c r="C745" t="s">
        <v>238</v>
      </c>
      <c r="D745" t="s">
        <v>258</v>
      </c>
      <c r="E745" t="s">
        <v>228</v>
      </c>
      <c r="F745">
        <v>2000</v>
      </c>
      <c r="G745">
        <v>8.47177464788731E-4</v>
      </c>
      <c r="H745" t="s">
        <v>240</v>
      </c>
      <c r="I745" t="s">
        <v>241</v>
      </c>
      <c r="J745" t="s">
        <v>188</v>
      </c>
      <c r="K745" s="183">
        <f ca="1">VLOOKUP(F745,
    OFFSET(INDIRECT(ADDRESS(MATCH(J745,'Vehicle numbers'!$A$5:$A$162,0),1,1,1,$L$6)),4,1,COUNTIF('Vehicle numbers'!$A$5:$A$162,J745),4),
    MATCH(K$8,'Vehicle numbers'!$B$4:$D$4,0))*1000</f>
        <v>2382590</v>
      </c>
      <c r="L745" s="183">
        <f ca="1">VLOOKUP(F745,
    OFFSET(INDIRECT(ADDRESS(MATCH(J745,'Vehicle numbers'!$A$5:$A$162,0),1,1,1,$L$6)),4,1,COUNTIF('Vehicle numbers'!$A$5:$A$162,J745),4),
    MATCH(L$8,'Vehicle numbers'!$B$4:$D$4,0))*1000</f>
        <v>2450959.8114294754</v>
      </c>
      <c r="M745" s="184">
        <f>VLOOKUP(F745,'Annual distance covered (GB)'!$A$8:$H$33,MATCH(J745,'Annual distance covered (GB)'!$A$7:$H$7,0))</f>
        <v>52.2</v>
      </c>
      <c r="N745" s="2">
        <f t="shared" ca="1" si="36"/>
        <v>45491.658820802331</v>
      </c>
      <c r="O745" s="180">
        <f t="shared" ca="1" si="37"/>
        <v>1.8560752652353851E-2</v>
      </c>
      <c r="P745" s="180"/>
      <c r="Q745" s="180"/>
      <c r="R745" s="180"/>
      <c r="S745" s="180"/>
      <c r="T745" s="180"/>
    </row>
    <row r="746" spans="1:20" x14ac:dyDescent="0.25">
      <c r="A746" t="s">
        <v>236</v>
      </c>
      <c r="B746" t="s">
        <v>237</v>
      </c>
      <c r="C746" t="s">
        <v>238</v>
      </c>
      <c r="D746" t="s">
        <v>259</v>
      </c>
      <c r="E746" t="s">
        <v>229</v>
      </c>
      <c r="F746">
        <v>2000</v>
      </c>
      <c r="G746">
        <v>1.8218999999999999E-2</v>
      </c>
      <c r="H746" t="s">
        <v>240</v>
      </c>
      <c r="I746" t="s">
        <v>241</v>
      </c>
      <c r="J746" t="s">
        <v>188</v>
      </c>
      <c r="K746" s="183">
        <f ca="1">VLOOKUP(F746,
    OFFSET(INDIRECT(ADDRESS(MATCH(J746,'Vehicle numbers'!$A$5:$A$162,0),1,1,1,$L$6)),4,1,COUNTIF('Vehicle numbers'!$A$5:$A$162,J746),4),
    MATCH(K$8,'Vehicle numbers'!$B$4:$D$4,0))*1000</f>
        <v>2382590</v>
      </c>
      <c r="L746" s="183">
        <f ca="1">VLOOKUP(F746,
    OFFSET(INDIRECT(ADDRESS(MATCH(J746,'Vehicle numbers'!$A$5:$A$162,0),1,1,1,$L$6)),4,1,COUNTIF('Vehicle numbers'!$A$5:$A$162,J746),4),
    MATCH(L$8,'Vehicle numbers'!$B$4:$D$4,0))*1000</f>
        <v>2450959.8114294754</v>
      </c>
      <c r="M746" s="184">
        <f>VLOOKUP(F746,'Annual distance covered (GB)'!$A$8:$H$33,MATCH(J746,'Annual distance covered (GB)'!$A$7:$H$7,0))</f>
        <v>52.2</v>
      </c>
      <c r="N746" s="2">
        <f t="shared" ca="1" si="36"/>
        <v>978322.21288238198</v>
      </c>
      <c r="O746" s="180">
        <f t="shared" ca="1" si="37"/>
        <v>0.39915881456734054</v>
      </c>
      <c r="P746" s="180"/>
      <c r="Q746" s="180"/>
      <c r="R746" s="180"/>
      <c r="S746" s="180"/>
      <c r="T746" s="180"/>
    </row>
    <row r="747" spans="1:20" x14ac:dyDescent="0.25">
      <c r="A747" t="s">
        <v>243</v>
      </c>
      <c r="B747" t="s">
        <v>237</v>
      </c>
      <c r="C747" t="s">
        <v>238</v>
      </c>
      <c r="D747" t="s">
        <v>259</v>
      </c>
      <c r="E747" t="s">
        <v>229</v>
      </c>
      <c r="F747">
        <v>2000</v>
      </c>
      <c r="G747">
        <v>7.2876E-3</v>
      </c>
      <c r="H747" t="s">
        <v>240</v>
      </c>
      <c r="I747" t="s">
        <v>241</v>
      </c>
      <c r="J747" t="s">
        <v>188</v>
      </c>
      <c r="K747" s="183">
        <f ca="1">VLOOKUP(F747,
    OFFSET(INDIRECT(ADDRESS(MATCH(J747,'Vehicle numbers'!$A$5:$A$162,0),1,1,1,$L$6)),4,1,COUNTIF('Vehicle numbers'!$A$5:$A$162,J747),4),
    MATCH(K$8,'Vehicle numbers'!$B$4:$D$4,0))*1000</f>
        <v>2382590</v>
      </c>
      <c r="L747" s="183">
        <f ca="1">VLOOKUP(F747,
    OFFSET(INDIRECT(ADDRESS(MATCH(J747,'Vehicle numbers'!$A$5:$A$162,0),1,1,1,$L$6)),4,1,COUNTIF('Vehicle numbers'!$A$5:$A$162,J747),4),
    MATCH(L$8,'Vehicle numbers'!$B$4:$D$4,0))*1000</f>
        <v>2450959.8114294754</v>
      </c>
      <c r="M747" s="184">
        <f>VLOOKUP(F747,'Annual distance covered (GB)'!$A$8:$H$33,MATCH(J747,'Annual distance covered (GB)'!$A$7:$H$7,0))</f>
        <v>52.2</v>
      </c>
      <c r="N747" s="2">
        <f t="shared" ca="1" si="36"/>
        <v>391328.88515295286</v>
      </c>
      <c r="O747" s="180">
        <f t="shared" ca="1" si="37"/>
        <v>0.15966352582693624</v>
      </c>
      <c r="P747" s="180"/>
      <c r="Q747" s="180"/>
      <c r="R747" s="180"/>
      <c r="S747" s="180"/>
      <c r="T747" s="180"/>
    </row>
    <row r="748" spans="1:20" x14ac:dyDescent="0.25">
      <c r="A748" t="s">
        <v>244</v>
      </c>
      <c r="B748" t="s">
        <v>237</v>
      </c>
      <c r="C748" t="s">
        <v>238</v>
      </c>
      <c r="D748" t="s">
        <v>259</v>
      </c>
      <c r="E748" t="s">
        <v>229</v>
      </c>
      <c r="F748">
        <v>2000</v>
      </c>
      <c r="G748">
        <v>1.8219E-3</v>
      </c>
      <c r="H748" t="s">
        <v>240</v>
      </c>
      <c r="I748" t="s">
        <v>241</v>
      </c>
      <c r="J748" t="s">
        <v>188</v>
      </c>
      <c r="K748" s="183">
        <f ca="1">VLOOKUP(F748,
    OFFSET(INDIRECT(ADDRESS(MATCH(J748,'Vehicle numbers'!$A$5:$A$162,0),1,1,1,$L$6)),4,1,COUNTIF('Vehicle numbers'!$A$5:$A$162,J748),4),
    MATCH(K$8,'Vehicle numbers'!$B$4:$D$4,0))*1000</f>
        <v>2382590</v>
      </c>
      <c r="L748" s="183">
        <f ca="1">VLOOKUP(F748,
    OFFSET(INDIRECT(ADDRESS(MATCH(J748,'Vehicle numbers'!$A$5:$A$162,0),1,1,1,$L$6)),4,1,COUNTIF('Vehicle numbers'!$A$5:$A$162,J748),4),
    MATCH(L$8,'Vehicle numbers'!$B$4:$D$4,0))*1000</f>
        <v>2450959.8114294754</v>
      </c>
      <c r="M748" s="184">
        <f>VLOOKUP(F748,'Annual distance covered (GB)'!$A$8:$H$33,MATCH(J748,'Annual distance covered (GB)'!$A$7:$H$7,0))</f>
        <v>52.2</v>
      </c>
      <c r="N748" s="2">
        <f t="shared" ca="1" si="36"/>
        <v>97832.221288238215</v>
      </c>
      <c r="O748" s="180">
        <f t="shared" ca="1" si="37"/>
        <v>3.9915881456734061E-2</v>
      </c>
      <c r="P748" s="180"/>
      <c r="Q748" s="180"/>
      <c r="R748" s="180"/>
      <c r="S748" s="180"/>
      <c r="T748" s="180"/>
    </row>
    <row r="749" spans="1:20" x14ac:dyDescent="0.25">
      <c r="A749" t="s">
        <v>246</v>
      </c>
      <c r="B749" t="s">
        <v>237</v>
      </c>
      <c r="C749" t="s">
        <v>238</v>
      </c>
      <c r="D749" t="s">
        <v>259</v>
      </c>
      <c r="E749" t="s">
        <v>229</v>
      </c>
      <c r="F749">
        <v>2000</v>
      </c>
      <c r="G749">
        <v>1.4575199999999999E-3</v>
      </c>
      <c r="H749" t="s">
        <v>240</v>
      </c>
      <c r="I749" t="s">
        <v>241</v>
      </c>
      <c r="J749" t="s">
        <v>188</v>
      </c>
      <c r="K749" s="183">
        <f ca="1">VLOOKUP(F749,
    OFFSET(INDIRECT(ADDRESS(MATCH(J749,'Vehicle numbers'!$A$5:$A$162,0),1,1,1,$L$6)),4,1,COUNTIF('Vehicle numbers'!$A$5:$A$162,J749),4),
    MATCH(K$8,'Vehicle numbers'!$B$4:$D$4,0))*1000</f>
        <v>2382590</v>
      </c>
      <c r="L749" s="183">
        <f ca="1">VLOOKUP(F749,
    OFFSET(INDIRECT(ADDRESS(MATCH(J749,'Vehicle numbers'!$A$5:$A$162,0),1,1,1,$L$6)),4,1,COUNTIF('Vehicle numbers'!$A$5:$A$162,J749),4),
    MATCH(L$8,'Vehicle numbers'!$B$4:$D$4,0))*1000</f>
        <v>2450959.8114294754</v>
      </c>
      <c r="M749" s="184">
        <f>VLOOKUP(F749,'Annual distance covered (GB)'!$A$8:$H$33,MATCH(J749,'Annual distance covered (GB)'!$A$7:$H$7,0))</f>
        <v>52.2</v>
      </c>
      <c r="N749" s="2">
        <f t="shared" ca="1" si="36"/>
        <v>78265.777030590572</v>
      </c>
      <c r="O749" s="180">
        <f t="shared" ca="1" si="37"/>
        <v>3.1932705165387251E-2</v>
      </c>
      <c r="P749" s="180"/>
      <c r="Q749" s="180"/>
      <c r="R749" s="180"/>
      <c r="S749" s="180"/>
      <c r="T749" s="180"/>
    </row>
    <row r="750" spans="1:20" x14ac:dyDescent="0.25">
      <c r="A750" t="s">
        <v>236</v>
      </c>
      <c r="B750" t="s">
        <v>237</v>
      </c>
      <c r="C750" t="s">
        <v>238</v>
      </c>
      <c r="D750" t="s">
        <v>259</v>
      </c>
      <c r="E750" t="s">
        <v>228</v>
      </c>
      <c r="F750">
        <v>2000</v>
      </c>
      <c r="G750">
        <v>1.3802E-2</v>
      </c>
      <c r="H750" t="s">
        <v>240</v>
      </c>
      <c r="I750" t="s">
        <v>241</v>
      </c>
      <c r="J750" t="s">
        <v>188</v>
      </c>
      <c r="K750" s="183">
        <f ca="1">VLOOKUP(F750,
    OFFSET(INDIRECT(ADDRESS(MATCH(J750,'Vehicle numbers'!$A$5:$A$162,0),1,1,1,$L$6)),4,1,COUNTIF('Vehicle numbers'!$A$5:$A$162,J750),4),
    MATCH(K$8,'Vehicle numbers'!$B$4:$D$4,0))*1000</f>
        <v>2382590</v>
      </c>
      <c r="L750" s="183">
        <f ca="1">VLOOKUP(F750,
    OFFSET(INDIRECT(ADDRESS(MATCH(J750,'Vehicle numbers'!$A$5:$A$162,0),1,1,1,$L$6)),4,1,COUNTIF('Vehicle numbers'!$A$5:$A$162,J750),4),
    MATCH(L$8,'Vehicle numbers'!$B$4:$D$4,0))*1000</f>
        <v>2450959.8114294754</v>
      </c>
      <c r="M750" s="184">
        <f>VLOOKUP(F750,'Annual distance covered (GB)'!$A$8:$H$33,MATCH(J750,'Annual distance covered (GB)'!$A$7:$H$7,0))</f>
        <v>52.2</v>
      </c>
      <c r="N750" s="2">
        <f t="shared" ca="1" si="36"/>
        <v>741138.54669315764</v>
      </c>
      <c r="O750" s="180">
        <f t="shared" ca="1" si="37"/>
        <v>0.30238706617588429</v>
      </c>
      <c r="P750" s="180"/>
      <c r="Q750" s="180"/>
      <c r="R750" s="180"/>
      <c r="S750" s="180"/>
      <c r="T750" s="180"/>
    </row>
    <row r="751" spans="1:20" x14ac:dyDescent="0.25">
      <c r="A751" t="s">
        <v>243</v>
      </c>
      <c r="B751" t="s">
        <v>237</v>
      </c>
      <c r="C751" t="s">
        <v>238</v>
      </c>
      <c r="D751" t="s">
        <v>259</v>
      </c>
      <c r="E751" t="s">
        <v>228</v>
      </c>
      <c r="F751">
        <v>2000</v>
      </c>
      <c r="G751">
        <v>9.6614000000000005E-3</v>
      </c>
      <c r="H751" t="s">
        <v>240</v>
      </c>
      <c r="I751" t="s">
        <v>241</v>
      </c>
      <c r="J751" t="s">
        <v>188</v>
      </c>
      <c r="K751" s="183">
        <f ca="1">VLOOKUP(F751,
    OFFSET(INDIRECT(ADDRESS(MATCH(J751,'Vehicle numbers'!$A$5:$A$162,0),1,1,1,$L$6)),4,1,COUNTIF('Vehicle numbers'!$A$5:$A$162,J751),4),
    MATCH(K$8,'Vehicle numbers'!$B$4:$D$4,0))*1000</f>
        <v>2382590</v>
      </c>
      <c r="L751" s="183">
        <f ca="1">VLOOKUP(F751,
    OFFSET(INDIRECT(ADDRESS(MATCH(J751,'Vehicle numbers'!$A$5:$A$162,0),1,1,1,$L$6)),4,1,COUNTIF('Vehicle numbers'!$A$5:$A$162,J751),4),
    MATCH(L$8,'Vehicle numbers'!$B$4:$D$4,0))*1000</f>
        <v>2450959.8114294754</v>
      </c>
      <c r="M751" s="184">
        <f>VLOOKUP(F751,'Annual distance covered (GB)'!$A$8:$H$33,MATCH(J751,'Annual distance covered (GB)'!$A$7:$H$7,0))</f>
        <v>52.2</v>
      </c>
      <c r="N751" s="2">
        <f t="shared" ca="1" si="36"/>
        <v>518796.98268521036</v>
      </c>
      <c r="O751" s="180">
        <f t="shared" ca="1" si="37"/>
        <v>0.211670946323119</v>
      </c>
      <c r="P751" s="180"/>
      <c r="Q751" s="180"/>
      <c r="R751" s="180"/>
      <c r="S751" s="180"/>
      <c r="T751" s="180"/>
    </row>
    <row r="752" spans="1:20" x14ac:dyDescent="0.25">
      <c r="A752" t="s">
        <v>244</v>
      </c>
      <c r="B752" t="s">
        <v>237</v>
      </c>
      <c r="C752" t="s">
        <v>238</v>
      </c>
      <c r="D752" t="s">
        <v>259</v>
      </c>
      <c r="E752" t="s">
        <v>228</v>
      </c>
      <c r="F752">
        <v>2000</v>
      </c>
      <c r="G752">
        <v>1.3607605633802801E-3</v>
      </c>
      <c r="H752" t="s">
        <v>240</v>
      </c>
      <c r="I752" t="s">
        <v>241</v>
      </c>
      <c r="J752" t="s">
        <v>188</v>
      </c>
      <c r="K752" s="183">
        <f ca="1">VLOOKUP(F752,
    OFFSET(INDIRECT(ADDRESS(MATCH(J752,'Vehicle numbers'!$A$5:$A$162,0),1,1,1,$L$6)),4,1,COUNTIF('Vehicle numbers'!$A$5:$A$162,J752),4),
    MATCH(K$8,'Vehicle numbers'!$B$4:$D$4,0))*1000</f>
        <v>2382590</v>
      </c>
      <c r="L752" s="183">
        <f ca="1">VLOOKUP(F752,
    OFFSET(INDIRECT(ADDRESS(MATCH(J752,'Vehicle numbers'!$A$5:$A$162,0),1,1,1,$L$6)),4,1,COUNTIF('Vehicle numbers'!$A$5:$A$162,J752),4),
    MATCH(L$8,'Vehicle numbers'!$B$4:$D$4,0))*1000</f>
        <v>2450959.8114294754</v>
      </c>
      <c r="M752" s="184">
        <f>VLOOKUP(F752,'Annual distance covered (GB)'!$A$8:$H$33,MATCH(J752,'Annual distance covered (GB)'!$A$7:$H$7,0))</f>
        <v>52.2</v>
      </c>
      <c r="N752" s="2">
        <f t="shared" ca="1" si="36"/>
        <v>73069.997561297147</v>
      </c>
      <c r="O752" s="180">
        <f t="shared" ca="1" si="37"/>
        <v>2.981280934128433E-2</v>
      </c>
      <c r="P752" s="180"/>
      <c r="Q752" s="180"/>
      <c r="R752" s="180"/>
      <c r="S752" s="180"/>
      <c r="T752" s="180"/>
    </row>
    <row r="753" spans="1:20" x14ac:dyDescent="0.25">
      <c r="A753" t="s">
        <v>246</v>
      </c>
      <c r="B753" t="s">
        <v>237</v>
      </c>
      <c r="C753" t="s">
        <v>238</v>
      </c>
      <c r="D753" t="s">
        <v>259</v>
      </c>
      <c r="E753" t="s">
        <v>228</v>
      </c>
      <c r="F753">
        <v>2000</v>
      </c>
      <c r="G753">
        <v>1.0886084507042201E-3</v>
      </c>
      <c r="H753" t="s">
        <v>240</v>
      </c>
      <c r="I753" t="s">
        <v>241</v>
      </c>
      <c r="J753" t="s">
        <v>188</v>
      </c>
      <c r="K753" s="183">
        <f ca="1">VLOOKUP(F753,
    OFFSET(INDIRECT(ADDRESS(MATCH(J753,'Vehicle numbers'!$A$5:$A$162,0),1,1,1,$L$6)),4,1,COUNTIF('Vehicle numbers'!$A$5:$A$162,J753),4),
    MATCH(K$8,'Vehicle numbers'!$B$4:$D$4,0))*1000</f>
        <v>2382590</v>
      </c>
      <c r="L753" s="183">
        <f ca="1">VLOOKUP(F753,
    OFFSET(INDIRECT(ADDRESS(MATCH(J753,'Vehicle numbers'!$A$5:$A$162,0),1,1,1,$L$6)),4,1,COUNTIF('Vehicle numbers'!$A$5:$A$162,J753),4),
    MATCH(L$8,'Vehicle numbers'!$B$4:$D$4,0))*1000</f>
        <v>2450959.8114294754</v>
      </c>
      <c r="M753" s="184">
        <f>VLOOKUP(F753,'Annual distance covered (GB)'!$A$8:$H$33,MATCH(J753,'Annual distance covered (GB)'!$A$7:$H$7,0))</f>
        <v>52.2</v>
      </c>
      <c r="N753" s="2">
        <f t="shared" ca="1" si="36"/>
        <v>58455.998049037502</v>
      </c>
      <c r="O753" s="180">
        <f t="shared" ca="1" si="37"/>
        <v>2.3850247473027376E-2</v>
      </c>
      <c r="P753" s="180"/>
      <c r="Q753" s="180"/>
      <c r="R753" s="180"/>
      <c r="S753" s="180"/>
      <c r="T753" s="180"/>
    </row>
    <row r="754" spans="1:20" x14ac:dyDescent="0.25">
      <c r="A754" t="s">
        <v>236</v>
      </c>
      <c r="B754" t="s">
        <v>237</v>
      </c>
      <c r="C754" t="s">
        <v>238</v>
      </c>
      <c r="D754" t="s">
        <v>260</v>
      </c>
      <c r="E754" t="s">
        <v>229</v>
      </c>
      <c r="F754">
        <v>2000</v>
      </c>
      <c r="G754">
        <v>5.8399999999999902E-3</v>
      </c>
      <c r="H754" t="s">
        <v>240</v>
      </c>
      <c r="I754" t="s">
        <v>241</v>
      </c>
      <c r="J754" t="s">
        <v>3</v>
      </c>
      <c r="K754" s="183">
        <f ca="1">VLOOKUP(F754,
    OFFSET(INDIRECT(ADDRESS(MATCH(J754,'Vehicle numbers'!$A$5:$A$162,0),1,1,1,$L$6)),4,1,COUNTIF('Vehicle numbers'!$A$5:$A$162,J754),4),
    MATCH(K$8,'Vehicle numbers'!$B$4:$D$4,0))*1000</f>
        <v>953737</v>
      </c>
      <c r="L754" s="183">
        <f ca="1">VLOOKUP(F754,
    OFFSET(INDIRECT(ADDRESS(MATCH(J754,'Vehicle numbers'!$A$5:$A$162,0),1,1,1,$L$6)),4,1,COUNTIF('Vehicle numbers'!$A$5:$A$162,J754),4),
    MATCH(L$8,'Vehicle numbers'!$B$4:$D$4,0))*1000</f>
        <v>971263.04231793806</v>
      </c>
      <c r="M754" s="184">
        <f>VLOOKUP(F754,'Annual distance covered (GB)'!$A$8:$H$33,MATCH(J754,'Annual distance covered (GB)'!$A$7:$H$7,0))</f>
        <v>4.5999999999999996</v>
      </c>
      <c r="N754" s="2">
        <f t="shared" ca="1" si="36"/>
        <v>27357.65768637375</v>
      </c>
      <c r="O754" s="180">
        <f t="shared" ca="1" si="37"/>
        <v>2.8167094282805376E-2</v>
      </c>
      <c r="P754" s="180"/>
      <c r="Q754" s="180"/>
      <c r="R754" s="180"/>
      <c r="S754" s="180"/>
      <c r="T754" s="180"/>
    </row>
    <row r="755" spans="1:20" x14ac:dyDescent="0.25">
      <c r="A755" t="s">
        <v>243</v>
      </c>
      <c r="B755" t="s">
        <v>237</v>
      </c>
      <c r="C755" t="s">
        <v>238</v>
      </c>
      <c r="D755" t="s">
        <v>260</v>
      </c>
      <c r="E755" t="s">
        <v>229</v>
      </c>
      <c r="F755">
        <v>2000</v>
      </c>
      <c r="G755">
        <v>2.336E-3</v>
      </c>
      <c r="H755" t="s">
        <v>240</v>
      </c>
      <c r="I755" t="s">
        <v>241</v>
      </c>
      <c r="J755" t="s">
        <v>3</v>
      </c>
      <c r="K755" s="183">
        <f ca="1">VLOOKUP(F755,
    OFFSET(INDIRECT(ADDRESS(MATCH(J755,'Vehicle numbers'!$A$5:$A$162,0),1,1,1,$L$6)),4,1,COUNTIF('Vehicle numbers'!$A$5:$A$162,J755),4),
    MATCH(K$8,'Vehicle numbers'!$B$4:$D$4,0))*1000</f>
        <v>953737</v>
      </c>
      <c r="L755" s="183">
        <f ca="1">VLOOKUP(F755,
    OFFSET(INDIRECT(ADDRESS(MATCH(J755,'Vehicle numbers'!$A$5:$A$162,0),1,1,1,$L$6)),4,1,COUNTIF('Vehicle numbers'!$A$5:$A$162,J755),4),
    MATCH(L$8,'Vehicle numbers'!$B$4:$D$4,0))*1000</f>
        <v>971263.04231793806</v>
      </c>
      <c r="M755" s="184">
        <f>VLOOKUP(F755,'Annual distance covered (GB)'!$A$8:$H$33,MATCH(J755,'Annual distance covered (GB)'!$A$7:$H$7,0))</f>
        <v>4.5999999999999996</v>
      </c>
      <c r="N755" s="2">
        <f t="shared" ca="1" si="36"/>
        <v>10943.063074549518</v>
      </c>
      <c r="O755" s="180">
        <f t="shared" ca="1" si="37"/>
        <v>1.1266837713122169E-2</v>
      </c>
      <c r="P755" s="180"/>
      <c r="Q755" s="180"/>
      <c r="R755" s="180"/>
      <c r="S755" s="180"/>
      <c r="T755" s="180"/>
    </row>
    <row r="756" spans="1:20" x14ac:dyDescent="0.25">
      <c r="A756" t="s">
        <v>244</v>
      </c>
      <c r="B756" t="s">
        <v>237</v>
      </c>
      <c r="C756" t="s">
        <v>238</v>
      </c>
      <c r="D756" t="s">
        <v>260</v>
      </c>
      <c r="E756" t="s">
        <v>229</v>
      </c>
      <c r="F756">
        <v>2000</v>
      </c>
      <c r="G756">
        <v>5.8399999999999999E-4</v>
      </c>
      <c r="H756" t="s">
        <v>240</v>
      </c>
      <c r="I756" t="s">
        <v>241</v>
      </c>
      <c r="J756" t="s">
        <v>3</v>
      </c>
      <c r="K756" s="183">
        <f ca="1">VLOOKUP(F756,
    OFFSET(INDIRECT(ADDRESS(MATCH(J756,'Vehicle numbers'!$A$5:$A$162,0),1,1,1,$L$6)),4,1,COUNTIF('Vehicle numbers'!$A$5:$A$162,J756),4),
    MATCH(K$8,'Vehicle numbers'!$B$4:$D$4,0))*1000</f>
        <v>953737</v>
      </c>
      <c r="L756" s="183">
        <f ca="1">VLOOKUP(F756,
    OFFSET(INDIRECT(ADDRESS(MATCH(J756,'Vehicle numbers'!$A$5:$A$162,0),1,1,1,$L$6)),4,1,COUNTIF('Vehicle numbers'!$A$5:$A$162,J756),4),
    MATCH(L$8,'Vehicle numbers'!$B$4:$D$4,0))*1000</f>
        <v>971263.04231793806</v>
      </c>
      <c r="M756" s="184">
        <f>VLOOKUP(F756,'Annual distance covered (GB)'!$A$8:$H$33,MATCH(J756,'Annual distance covered (GB)'!$A$7:$H$7,0))</f>
        <v>4.5999999999999996</v>
      </c>
      <c r="N756" s="2">
        <f t="shared" ca="1" si="36"/>
        <v>2735.7657686373796</v>
      </c>
      <c r="O756" s="180">
        <f t="shared" ca="1" si="37"/>
        <v>2.8167094282805422E-3</v>
      </c>
      <c r="P756" s="180"/>
      <c r="Q756" s="180"/>
      <c r="R756" s="180"/>
      <c r="S756" s="180"/>
      <c r="T756" s="180"/>
    </row>
    <row r="757" spans="1:20" x14ac:dyDescent="0.25">
      <c r="A757" t="s">
        <v>246</v>
      </c>
      <c r="B757" t="s">
        <v>237</v>
      </c>
      <c r="C757" t="s">
        <v>238</v>
      </c>
      <c r="D757" t="s">
        <v>260</v>
      </c>
      <c r="E757" t="s">
        <v>229</v>
      </c>
      <c r="F757">
        <v>2000</v>
      </c>
      <c r="G757">
        <v>4.6720000000000003E-4</v>
      </c>
      <c r="H757" t="s">
        <v>240</v>
      </c>
      <c r="I757" t="s">
        <v>241</v>
      </c>
      <c r="J757" t="s">
        <v>3</v>
      </c>
      <c r="K757" s="183">
        <f ca="1">VLOOKUP(F757,
    OFFSET(INDIRECT(ADDRESS(MATCH(J757,'Vehicle numbers'!$A$5:$A$162,0),1,1,1,$L$6)),4,1,COUNTIF('Vehicle numbers'!$A$5:$A$162,J757),4),
    MATCH(K$8,'Vehicle numbers'!$B$4:$D$4,0))*1000</f>
        <v>953737</v>
      </c>
      <c r="L757" s="183">
        <f ca="1">VLOOKUP(F757,
    OFFSET(INDIRECT(ADDRESS(MATCH(J757,'Vehicle numbers'!$A$5:$A$162,0),1,1,1,$L$6)),4,1,COUNTIF('Vehicle numbers'!$A$5:$A$162,J757),4),
    MATCH(L$8,'Vehicle numbers'!$B$4:$D$4,0))*1000</f>
        <v>971263.04231793806</v>
      </c>
      <c r="M757" s="184">
        <f>VLOOKUP(F757,'Annual distance covered (GB)'!$A$8:$H$33,MATCH(J757,'Annual distance covered (GB)'!$A$7:$H$7,0))</f>
        <v>4.5999999999999996</v>
      </c>
      <c r="N757" s="2">
        <f t="shared" ca="1" si="36"/>
        <v>2188.6126149099036</v>
      </c>
      <c r="O757" s="180">
        <f t="shared" ca="1" si="37"/>
        <v>2.2533675426244337E-3</v>
      </c>
      <c r="P757" s="180"/>
      <c r="Q757" s="180"/>
      <c r="R757" s="180"/>
      <c r="S757" s="180"/>
      <c r="T757" s="180"/>
    </row>
    <row r="758" spans="1:20" x14ac:dyDescent="0.25">
      <c r="A758" t="s">
        <v>236</v>
      </c>
      <c r="B758" t="s">
        <v>237</v>
      </c>
      <c r="C758" t="s">
        <v>238</v>
      </c>
      <c r="D758" t="s">
        <v>260</v>
      </c>
      <c r="E758" t="s">
        <v>228</v>
      </c>
      <c r="F758">
        <v>2000</v>
      </c>
      <c r="G758">
        <v>3.7569999999999999E-3</v>
      </c>
      <c r="H758" t="s">
        <v>240</v>
      </c>
      <c r="I758" t="s">
        <v>241</v>
      </c>
      <c r="J758" t="s">
        <v>3</v>
      </c>
      <c r="K758" s="183">
        <f ca="1">VLOOKUP(F758,
    OFFSET(INDIRECT(ADDRESS(MATCH(J758,'Vehicle numbers'!$A$5:$A$162,0),1,1,1,$L$6)),4,1,COUNTIF('Vehicle numbers'!$A$5:$A$162,J758),4),
    MATCH(K$8,'Vehicle numbers'!$B$4:$D$4,0))*1000</f>
        <v>953737</v>
      </c>
      <c r="L758" s="183">
        <f ca="1">VLOOKUP(F758,
    OFFSET(INDIRECT(ADDRESS(MATCH(J758,'Vehicle numbers'!$A$5:$A$162,0),1,1,1,$L$6)),4,1,COUNTIF('Vehicle numbers'!$A$5:$A$162,J758),4),
    MATCH(L$8,'Vehicle numbers'!$B$4:$D$4,0))*1000</f>
        <v>971263.04231793806</v>
      </c>
      <c r="M758" s="184">
        <f>VLOOKUP(F758,'Annual distance covered (GB)'!$A$8:$H$33,MATCH(J758,'Annual distance covered (GB)'!$A$7:$H$7,0))</f>
        <v>4.5999999999999996</v>
      </c>
      <c r="N758" s="2">
        <f t="shared" ca="1" si="36"/>
        <v>17599.780809538759</v>
      </c>
      <c r="O758" s="180">
        <f t="shared" ca="1" si="37"/>
        <v>1.8120509113099311E-2</v>
      </c>
      <c r="P758" s="180"/>
      <c r="Q758" s="180"/>
      <c r="R758" s="180"/>
      <c r="S758" s="180"/>
      <c r="T758" s="180"/>
    </row>
    <row r="759" spans="1:20" x14ac:dyDescent="0.25">
      <c r="A759" t="s">
        <v>243</v>
      </c>
      <c r="B759" t="s">
        <v>237</v>
      </c>
      <c r="C759" t="s">
        <v>238</v>
      </c>
      <c r="D759" t="s">
        <v>260</v>
      </c>
      <c r="E759" t="s">
        <v>228</v>
      </c>
      <c r="F759">
        <v>2000</v>
      </c>
      <c r="G759">
        <v>2.6299000000000001E-3</v>
      </c>
      <c r="H759" t="s">
        <v>240</v>
      </c>
      <c r="I759" t="s">
        <v>241</v>
      </c>
      <c r="J759" t="s">
        <v>3</v>
      </c>
      <c r="K759" s="183">
        <f ca="1">VLOOKUP(F759,
    OFFSET(INDIRECT(ADDRESS(MATCH(J759,'Vehicle numbers'!$A$5:$A$162,0),1,1,1,$L$6)),4,1,COUNTIF('Vehicle numbers'!$A$5:$A$162,J759),4),
    MATCH(K$8,'Vehicle numbers'!$B$4:$D$4,0))*1000</f>
        <v>953737</v>
      </c>
      <c r="L759" s="183">
        <f ca="1">VLOOKUP(F759,
    OFFSET(INDIRECT(ADDRESS(MATCH(J759,'Vehicle numbers'!$A$5:$A$162,0),1,1,1,$L$6)),4,1,COUNTIF('Vehicle numbers'!$A$5:$A$162,J759),4),
    MATCH(L$8,'Vehicle numbers'!$B$4:$D$4,0))*1000</f>
        <v>971263.04231793806</v>
      </c>
      <c r="M759" s="184">
        <f>VLOOKUP(F759,'Annual distance covered (GB)'!$A$8:$H$33,MATCH(J759,'Annual distance covered (GB)'!$A$7:$H$7,0))</f>
        <v>4.5999999999999996</v>
      </c>
      <c r="N759" s="2">
        <f t="shared" ca="1" si="36"/>
        <v>12319.846566677134</v>
      </c>
      <c r="O759" s="180">
        <f t="shared" ca="1" si="37"/>
        <v>1.2684356379169521E-2</v>
      </c>
      <c r="P759" s="180"/>
      <c r="Q759" s="180"/>
      <c r="R759" s="180"/>
      <c r="S759" s="180"/>
      <c r="T759" s="180"/>
    </row>
    <row r="760" spans="1:20" x14ac:dyDescent="0.25">
      <c r="A760" t="s">
        <v>244</v>
      </c>
      <c r="B760" t="s">
        <v>237</v>
      </c>
      <c r="C760" t="s">
        <v>238</v>
      </c>
      <c r="D760" t="s">
        <v>260</v>
      </c>
      <c r="E760" t="s">
        <v>228</v>
      </c>
      <c r="F760">
        <v>2000</v>
      </c>
      <c r="G760">
        <v>3.7040845070422499E-4</v>
      </c>
      <c r="H760" t="s">
        <v>240</v>
      </c>
      <c r="I760" t="s">
        <v>241</v>
      </c>
      <c r="J760" t="s">
        <v>3</v>
      </c>
      <c r="K760" s="183">
        <f ca="1">VLOOKUP(F760,
    OFFSET(INDIRECT(ADDRESS(MATCH(J760,'Vehicle numbers'!$A$5:$A$162,0),1,1,1,$L$6)),4,1,COUNTIF('Vehicle numbers'!$A$5:$A$162,J760),4),
    MATCH(K$8,'Vehicle numbers'!$B$4:$D$4,0))*1000</f>
        <v>953737</v>
      </c>
      <c r="L760" s="183">
        <f ca="1">VLOOKUP(F760,
    OFFSET(INDIRECT(ADDRESS(MATCH(J760,'Vehicle numbers'!$A$5:$A$162,0),1,1,1,$L$6)),4,1,COUNTIF('Vehicle numbers'!$A$5:$A$162,J760),4),
    MATCH(L$8,'Vehicle numbers'!$B$4:$D$4,0))*1000</f>
        <v>971263.04231793806</v>
      </c>
      <c r="M760" s="184">
        <f>VLOOKUP(F760,'Annual distance covered (GB)'!$A$8:$H$33,MATCH(J760,'Annual distance covered (GB)'!$A$7:$H$7,0))</f>
        <v>4.5999999999999996</v>
      </c>
      <c r="N760" s="2">
        <f t="shared" ca="1" si="36"/>
        <v>1735.1896572784676</v>
      </c>
      <c r="O760" s="180">
        <f t="shared" ca="1" si="37"/>
        <v>1.7865290674886629E-3</v>
      </c>
      <c r="P760" s="180"/>
      <c r="Q760" s="180"/>
      <c r="R760" s="180"/>
      <c r="S760" s="180"/>
      <c r="T760" s="180"/>
    </row>
    <row r="761" spans="1:20" x14ac:dyDescent="0.25">
      <c r="A761" t="s">
        <v>246</v>
      </c>
      <c r="B761" t="s">
        <v>237</v>
      </c>
      <c r="C761" t="s">
        <v>238</v>
      </c>
      <c r="D761" t="s">
        <v>260</v>
      </c>
      <c r="E761" t="s">
        <v>228</v>
      </c>
      <c r="F761">
        <v>2000</v>
      </c>
      <c r="G761">
        <v>2.9632676056337998E-4</v>
      </c>
      <c r="H761" t="s">
        <v>240</v>
      </c>
      <c r="I761" t="s">
        <v>241</v>
      </c>
      <c r="J761" t="s">
        <v>3</v>
      </c>
      <c r="K761" s="183">
        <f ca="1">VLOOKUP(F761,
    OFFSET(INDIRECT(ADDRESS(MATCH(J761,'Vehicle numbers'!$A$5:$A$162,0),1,1,1,$L$6)),4,1,COUNTIF('Vehicle numbers'!$A$5:$A$162,J761),4),
    MATCH(K$8,'Vehicle numbers'!$B$4:$D$4,0))*1000</f>
        <v>953737</v>
      </c>
      <c r="L761" s="183">
        <f ca="1">VLOOKUP(F761,
    OFFSET(INDIRECT(ADDRESS(MATCH(J761,'Vehicle numbers'!$A$5:$A$162,0),1,1,1,$L$6)),4,1,COUNTIF('Vehicle numbers'!$A$5:$A$162,J761),4),
    MATCH(L$8,'Vehicle numbers'!$B$4:$D$4,0))*1000</f>
        <v>971263.04231793806</v>
      </c>
      <c r="M761" s="184">
        <f>VLOOKUP(F761,'Annual distance covered (GB)'!$A$8:$H$33,MATCH(J761,'Annual distance covered (GB)'!$A$7:$H$7,0))</f>
        <v>4.5999999999999996</v>
      </c>
      <c r="N761" s="2">
        <f t="shared" ca="1" si="36"/>
        <v>1388.1517258227739</v>
      </c>
      <c r="O761" s="180">
        <f t="shared" ca="1" si="37"/>
        <v>1.4292232539909301E-3</v>
      </c>
      <c r="P761" s="180"/>
      <c r="Q761" s="180"/>
      <c r="R761" s="180"/>
      <c r="S761" s="180"/>
      <c r="T761" s="180"/>
    </row>
    <row r="762" spans="1:20" x14ac:dyDescent="0.25">
      <c r="A762" t="s">
        <v>236</v>
      </c>
      <c r="B762" t="s">
        <v>237</v>
      </c>
      <c r="C762" t="s">
        <v>238</v>
      </c>
      <c r="D762" t="s">
        <v>261</v>
      </c>
      <c r="E762" t="s">
        <v>229</v>
      </c>
      <c r="F762">
        <v>2000</v>
      </c>
      <c r="G762">
        <v>5.8399999999999902E-3</v>
      </c>
      <c r="H762" t="s">
        <v>240</v>
      </c>
      <c r="I762" t="s">
        <v>241</v>
      </c>
      <c r="J762" t="s">
        <v>3</v>
      </c>
      <c r="K762" s="183">
        <f ca="1">VLOOKUP(F762,
    OFFSET(INDIRECT(ADDRESS(MATCH(J762,'Vehicle numbers'!$A$5:$A$162,0),1,1,1,$L$6)),4,1,COUNTIF('Vehicle numbers'!$A$5:$A$162,J762),4),
    MATCH(K$8,'Vehicle numbers'!$B$4:$D$4,0))*1000</f>
        <v>953737</v>
      </c>
      <c r="L762" s="183">
        <f ca="1">VLOOKUP(F762,
    OFFSET(INDIRECT(ADDRESS(MATCH(J762,'Vehicle numbers'!$A$5:$A$162,0),1,1,1,$L$6)),4,1,COUNTIF('Vehicle numbers'!$A$5:$A$162,J762),4),
    MATCH(L$8,'Vehicle numbers'!$B$4:$D$4,0))*1000</f>
        <v>971263.04231793806</v>
      </c>
      <c r="M762" s="184">
        <f>VLOOKUP(F762,'Annual distance covered (GB)'!$A$8:$H$33,MATCH(J762,'Annual distance covered (GB)'!$A$7:$H$7,0))</f>
        <v>4.5999999999999996</v>
      </c>
      <c r="N762" s="2">
        <f t="shared" ca="1" si="36"/>
        <v>27357.65768637375</v>
      </c>
      <c r="O762" s="180">
        <f t="shared" ca="1" si="37"/>
        <v>2.8167094282805376E-2</v>
      </c>
      <c r="P762" s="180"/>
      <c r="Q762" s="180"/>
      <c r="R762" s="180"/>
      <c r="S762" s="180"/>
      <c r="T762" s="180"/>
    </row>
    <row r="763" spans="1:20" x14ac:dyDescent="0.25">
      <c r="A763" t="s">
        <v>243</v>
      </c>
      <c r="B763" t="s">
        <v>237</v>
      </c>
      <c r="C763" t="s">
        <v>238</v>
      </c>
      <c r="D763" t="s">
        <v>261</v>
      </c>
      <c r="E763" t="s">
        <v>229</v>
      </c>
      <c r="F763">
        <v>2000</v>
      </c>
      <c r="G763">
        <v>2.336E-3</v>
      </c>
      <c r="H763" t="s">
        <v>240</v>
      </c>
      <c r="I763" t="s">
        <v>241</v>
      </c>
      <c r="J763" t="s">
        <v>3</v>
      </c>
      <c r="K763" s="183">
        <f ca="1">VLOOKUP(F763,
    OFFSET(INDIRECT(ADDRESS(MATCH(J763,'Vehicle numbers'!$A$5:$A$162,0),1,1,1,$L$6)),4,1,COUNTIF('Vehicle numbers'!$A$5:$A$162,J763),4),
    MATCH(K$8,'Vehicle numbers'!$B$4:$D$4,0))*1000</f>
        <v>953737</v>
      </c>
      <c r="L763" s="183">
        <f ca="1">VLOOKUP(F763,
    OFFSET(INDIRECT(ADDRESS(MATCH(J763,'Vehicle numbers'!$A$5:$A$162,0),1,1,1,$L$6)),4,1,COUNTIF('Vehicle numbers'!$A$5:$A$162,J763),4),
    MATCH(L$8,'Vehicle numbers'!$B$4:$D$4,0))*1000</f>
        <v>971263.04231793806</v>
      </c>
      <c r="M763" s="184">
        <f>VLOOKUP(F763,'Annual distance covered (GB)'!$A$8:$H$33,MATCH(J763,'Annual distance covered (GB)'!$A$7:$H$7,0))</f>
        <v>4.5999999999999996</v>
      </c>
      <c r="N763" s="2">
        <f t="shared" ca="1" si="36"/>
        <v>10943.063074549518</v>
      </c>
      <c r="O763" s="180">
        <f t="shared" ca="1" si="37"/>
        <v>1.1266837713122169E-2</v>
      </c>
      <c r="P763" s="180"/>
      <c r="Q763" s="180"/>
      <c r="R763" s="180"/>
      <c r="S763" s="180"/>
      <c r="T763" s="180"/>
    </row>
    <row r="764" spans="1:20" x14ac:dyDescent="0.25">
      <c r="A764" t="s">
        <v>244</v>
      </c>
      <c r="B764" t="s">
        <v>237</v>
      </c>
      <c r="C764" t="s">
        <v>238</v>
      </c>
      <c r="D764" t="s">
        <v>261</v>
      </c>
      <c r="E764" t="s">
        <v>229</v>
      </c>
      <c r="F764">
        <v>2000</v>
      </c>
      <c r="G764">
        <v>5.8399999999999999E-4</v>
      </c>
      <c r="H764" t="s">
        <v>240</v>
      </c>
      <c r="I764" t="s">
        <v>241</v>
      </c>
      <c r="J764" t="s">
        <v>3</v>
      </c>
      <c r="K764" s="183">
        <f ca="1">VLOOKUP(F764,
    OFFSET(INDIRECT(ADDRESS(MATCH(J764,'Vehicle numbers'!$A$5:$A$162,0),1,1,1,$L$6)),4,1,COUNTIF('Vehicle numbers'!$A$5:$A$162,J764),4),
    MATCH(K$8,'Vehicle numbers'!$B$4:$D$4,0))*1000</f>
        <v>953737</v>
      </c>
      <c r="L764" s="183">
        <f ca="1">VLOOKUP(F764,
    OFFSET(INDIRECT(ADDRESS(MATCH(J764,'Vehicle numbers'!$A$5:$A$162,0),1,1,1,$L$6)),4,1,COUNTIF('Vehicle numbers'!$A$5:$A$162,J764),4),
    MATCH(L$8,'Vehicle numbers'!$B$4:$D$4,0))*1000</f>
        <v>971263.04231793806</v>
      </c>
      <c r="M764" s="184">
        <f>VLOOKUP(F764,'Annual distance covered (GB)'!$A$8:$H$33,MATCH(J764,'Annual distance covered (GB)'!$A$7:$H$7,0))</f>
        <v>4.5999999999999996</v>
      </c>
      <c r="N764" s="2">
        <f t="shared" ca="1" si="36"/>
        <v>2735.7657686373796</v>
      </c>
      <c r="O764" s="180">
        <f t="shared" ca="1" si="37"/>
        <v>2.8167094282805422E-3</v>
      </c>
      <c r="P764" s="180"/>
      <c r="Q764" s="180"/>
      <c r="R764" s="180"/>
      <c r="S764" s="180"/>
      <c r="T764" s="180"/>
    </row>
    <row r="765" spans="1:20" x14ac:dyDescent="0.25">
      <c r="A765" t="s">
        <v>246</v>
      </c>
      <c r="B765" t="s">
        <v>237</v>
      </c>
      <c r="C765" t="s">
        <v>238</v>
      </c>
      <c r="D765" t="s">
        <v>261</v>
      </c>
      <c r="E765" t="s">
        <v>229</v>
      </c>
      <c r="F765">
        <v>2000</v>
      </c>
      <c r="G765">
        <v>4.6720000000000003E-4</v>
      </c>
      <c r="H765" t="s">
        <v>240</v>
      </c>
      <c r="I765" t="s">
        <v>241</v>
      </c>
      <c r="J765" t="s">
        <v>3</v>
      </c>
      <c r="K765" s="183">
        <f ca="1">VLOOKUP(F765,
    OFFSET(INDIRECT(ADDRESS(MATCH(J765,'Vehicle numbers'!$A$5:$A$162,0),1,1,1,$L$6)),4,1,COUNTIF('Vehicle numbers'!$A$5:$A$162,J765),4),
    MATCH(K$8,'Vehicle numbers'!$B$4:$D$4,0))*1000</f>
        <v>953737</v>
      </c>
      <c r="L765" s="183">
        <f ca="1">VLOOKUP(F765,
    OFFSET(INDIRECT(ADDRESS(MATCH(J765,'Vehicle numbers'!$A$5:$A$162,0),1,1,1,$L$6)),4,1,COUNTIF('Vehicle numbers'!$A$5:$A$162,J765),4),
    MATCH(L$8,'Vehicle numbers'!$B$4:$D$4,0))*1000</f>
        <v>971263.04231793806</v>
      </c>
      <c r="M765" s="184">
        <f>VLOOKUP(F765,'Annual distance covered (GB)'!$A$8:$H$33,MATCH(J765,'Annual distance covered (GB)'!$A$7:$H$7,0))</f>
        <v>4.5999999999999996</v>
      </c>
      <c r="N765" s="2">
        <f t="shared" ca="1" si="36"/>
        <v>2188.6126149099036</v>
      </c>
      <c r="O765" s="180">
        <f t="shared" ca="1" si="37"/>
        <v>2.2533675426244337E-3</v>
      </c>
      <c r="P765" s="180"/>
      <c r="Q765" s="180"/>
      <c r="R765" s="180"/>
      <c r="S765" s="180"/>
      <c r="T765" s="180"/>
    </row>
    <row r="766" spans="1:20" x14ac:dyDescent="0.25">
      <c r="A766" t="s">
        <v>236</v>
      </c>
      <c r="B766" t="s">
        <v>237</v>
      </c>
      <c r="C766" t="s">
        <v>238</v>
      </c>
      <c r="D766" t="s">
        <v>261</v>
      </c>
      <c r="E766" t="s">
        <v>228</v>
      </c>
      <c r="F766">
        <v>2000</v>
      </c>
      <c r="G766">
        <v>3.7569999999999999E-3</v>
      </c>
      <c r="H766" t="s">
        <v>240</v>
      </c>
      <c r="I766" t="s">
        <v>241</v>
      </c>
      <c r="J766" t="s">
        <v>3</v>
      </c>
      <c r="K766" s="183">
        <f ca="1">VLOOKUP(F766,
    OFFSET(INDIRECT(ADDRESS(MATCH(J766,'Vehicle numbers'!$A$5:$A$162,0),1,1,1,$L$6)),4,1,COUNTIF('Vehicle numbers'!$A$5:$A$162,J766),4),
    MATCH(K$8,'Vehicle numbers'!$B$4:$D$4,0))*1000</f>
        <v>953737</v>
      </c>
      <c r="L766" s="183">
        <f ca="1">VLOOKUP(F766,
    OFFSET(INDIRECT(ADDRESS(MATCH(J766,'Vehicle numbers'!$A$5:$A$162,0),1,1,1,$L$6)),4,1,COUNTIF('Vehicle numbers'!$A$5:$A$162,J766),4),
    MATCH(L$8,'Vehicle numbers'!$B$4:$D$4,0))*1000</f>
        <v>971263.04231793806</v>
      </c>
      <c r="M766" s="184">
        <f>VLOOKUP(F766,'Annual distance covered (GB)'!$A$8:$H$33,MATCH(J766,'Annual distance covered (GB)'!$A$7:$H$7,0))</f>
        <v>4.5999999999999996</v>
      </c>
      <c r="N766" s="2">
        <f t="shared" ca="1" si="36"/>
        <v>17599.780809538759</v>
      </c>
      <c r="O766" s="180">
        <f t="shared" ca="1" si="37"/>
        <v>1.8120509113099311E-2</v>
      </c>
      <c r="P766" s="180"/>
      <c r="Q766" s="180"/>
      <c r="R766" s="180"/>
      <c r="S766" s="180"/>
      <c r="T766" s="180"/>
    </row>
    <row r="767" spans="1:20" x14ac:dyDescent="0.25">
      <c r="A767" t="s">
        <v>243</v>
      </c>
      <c r="B767" t="s">
        <v>237</v>
      </c>
      <c r="C767" t="s">
        <v>238</v>
      </c>
      <c r="D767" t="s">
        <v>261</v>
      </c>
      <c r="E767" t="s">
        <v>228</v>
      </c>
      <c r="F767">
        <v>2000</v>
      </c>
      <c r="G767">
        <v>2.6299000000000001E-3</v>
      </c>
      <c r="H767" t="s">
        <v>240</v>
      </c>
      <c r="I767" t="s">
        <v>241</v>
      </c>
      <c r="J767" t="s">
        <v>3</v>
      </c>
      <c r="K767" s="183">
        <f ca="1">VLOOKUP(F767,
    OFFSET(INDIRECT(ADDRESS(MATCH(J767,'Vehicle numbers'!$A$5:$A$162,0),1,1,1,$L$6)),4,1,COUNTIF('Vehicle numbers'!$A$5:$A$162,J767),4),
    MATCH(K$8,'Vehicle numbers'!$B$4:$D$4,0))*1000</f>
        <v>953737</v>
      </c>
      <c r="L767" s="183">
        <f ca="1">VLOOKUP(F767,
    OFFSET(INDIRECT(ADDRESS(MATCH(J767,'Vehicle numbers'!$A$5:$A$162,0),1,1,1,$L$6)),4,1,COUNTIF('Vehicle numbers'!$A$5:$A$162,J767),4),
    MATCH(L$8,'Vehicle numbers'!$B$4:$D$4,0))*1000</f>
        <v>971263.04231793806</v>
      </c>
      <c r="M767" s="184">
        <f>VLOOKUP(F767,'Annual distance covered (GB)'!$A$8:$H$33,MATCH(J767,'Annual distance covered (GB)'!$A$7:$H$7,0))</f>
        <v>4.5999999999999996</v>
      </c>
      <c r="N767" s="2">
        <f t="shared" ca="1" si="36"/>
        <v>12319.846566677134</v>
      </c>
      <c r="O767" s="180">
        <f t="shared" ca="1" si="37"/>
        <v>1.2684356379169521E-2</v>
      </c>
      <c r="P767" s="180"/>
      <c r="Q767" s="180"/>
      <c r="R767" s="180"/>
      <c r="S767" s="180"/>
      <c r="T767" s="180"/>
    </row>
    <row r="768" spans="1:20" x14ac:dyDescent="0.25">
      <c r="A768" t="s">
        <v>244</v>
      </c>
      <c r="B768" t="s">
        <v>237</v>
      </c>
      <c r="C768" t="s">
        <v>238</v>
      </c>
      <c r="D768" t="s">
        <v>261</v>
      </c>
      <c r="E768" t="s">
        <v>228</v>
      </c>
      <c r="F768">
        <v>2000</v>
      </c>
      <c r="G768">
        <v>3.7040845070422499E-4</v>
      </c>
      <c r="H768" t="s">
        <v>240</v>
      </c>
      <c r="I768" t="s">
        <v>241</v>
      </c>
      <c r="J768" t="s">
        <v>3</v>
      </c>
      <c r="K768" s="183">
        <f ca="1">VLOOKUP(F768,
    OFFSET(INDIRECT(ADDRESS(MATCH(J768,'Vehicle numbers'!$A$5:$A$162,0),1,1,1,$L$6)),4,1,COUNTIF('Vehicle numbers'!$A$5:$A$162,J768),4),
    MATCH(K$8,'Vehicle numbers'!$B$4:$D$4,0))*1000</f>
        <v>953737</v>
      </c>
      <c r="L768" s="183">
        <f ca="1">VLOOKUP(F768,
    OFFSET(INDIRECT(ADDRESS(MATCH(J768,'Vehicle numbers'!$A$5:$A$162,0),1,1,1,$L$6)),4,1,COUNTIF('Vehicle numbers'!$A$5:$A$162,J768),4),
    MATCH(L$8,'Vehicle numbers'!$B$4:$D$4,0))*1000</f>
        <v>971263.04231793806</v>
      </c>
      <c r="M768" s="184">
        <f>VLOOKUP(F768,'Annual distance covered (GB)'!$A$8:$H$33,MATCH(J768,'Annual distance covered (GB)'!$A$7:$H$7,0))</f>
        <v>4.5999999999999996</v>
      </c>
      <c r="N768" s="2">
        <f t="shared" ca="1" si="36"/>
        <v>1735.1896572784676</v>
      </c>
      <c r="O768" s="180">
        <f t="shared" ca="1" si="37"/>
        <v>1.7865290674886629E-3</v>
      </c>
      <c r="P768" s="180"/>
      <c r="Q768" s="180"/>
      <c r="R768" s="180"/>
      <c r="S768" s="180"/>
      <c r="T768" s="180"/>
    </row>
    <row r="769" spans="1:20" x14ac:dyDescent="0.25">
      <c r="A769" t="s">
        <v>246</v>
      </c>
      <c r="B769" t="s">
        <v>237</v>
      </c>
      <c r="C769" t="s">
        <v>238</v>
      </c>
      <c r="D769" t="s">
        <v>261</v>
      </c>
      <c r="E769" t="s">
        <v>228</v>
      </c>
      <c r="F769">
        <v>2000</v>
      </c>
      <c r="G769">
        <v>2.9632676056337998E-4</v>
      </c>
      <c r="H769" t="s">
        <v>240</v>
      </c>
      <c r="I769" t="s">
        <v>241</v>
      </c>
      <c r="J769" t="s">
        <v>3</v>
      </c>
      <c r="K769" s="183">
        <f ca="1">VLOOKUP(F769,
    OFFSET(INDIRECT(ADDRESS(MATCH(J769,'Vehicle numbers'!$A$5:$A$162,0),1,1,1,$L$6)),4,1,COUNTIF('Vehicle numbers'!$A$5:$A$162,J769),4),
    MATCH(K$8,'Vehicle numbers'!$B$4:$D$4,0))*1000</f>
        <v>953737</v>
      </c>
      <c r="L769" s="183">
        <f ca="1">VLOOKUP(F769,
    OFFSET(INDIRECT(ADDRESS(MATCH(J769,'Vehicle numbers'!$A$5:$A$162,0),1,1,1,$L$6)),4,1,COUNTIF('Vehicle numbers'!$A$5:$A$162,J769),4),
    MATCH(L$8,'Vehicle numbers'!$B$4:$D$4,0))*1000</f>
        <v>971263.04231793806</v>
      </c>
      <c r="M769" s="184">
        <f>VLOOKUP(F769,'Annual distance covered (GB)'!$A$8:$H$33,MATCH(J769,'Annual distance covered (GB)'!$A$7:$H$7,0))</f>
        <v>4.5999999999999996</v>
      </c>
      <c r="N769" s="2">
        <f t="shared" ca="1" si="36"/>
        <v>1388.1517258227739</v>
      </c>
      <c r="O769" s="180">
        <f t="shared" ca="1" si="37"/>
        <v>1.4292232539909301E-3</v>
      </c>
      <c r="P769" s="180"/>
      <c r="Q769" s="180"/>
      <c r="R769" s="180"/>
      <c r="S769" s="180"/>
      <c r="T769" s="180"/>
    </row>
    <row r="770" spans="1:20" x14ac:dyDescent="0.25">
      <c r="A770" t="s">
        <v>236</v>
      </c>
      <c r="B770" t="s">
        <v>237</v>
      </c>
      <c r="C770" t="s">
        <v>238</v>
      </c>
      <c r="D770" t="s">
        <v>262</v>
      </c>
      <c r="E770" t="s">
        <v>229</v>
      </c>
      <c r="F770">
        <v>2000</v>
      </c>
      <c r="G770">
        <v>6.8000000000000005E-4</v>
      </c>
      <c r="H770" t="s">
        <v>240</v>
      </c>
      <c r="I770" t="s">
        <v>241</v>
      </c>
      <c r="J770" t="s">
        <v>3</v>
      </c>
      <c r="K770" s="183">
        <f ca="1">VLOOKUP(F770,
    OFFSET(INDIRECT(ADDRESS(MATCH(J770,'Vehicle numbers'!$A$5:$A$162,0),1,1,1,$L$6)),4,1,COUNTIF('Vehicle numbers'!$A$5:$A$162,J770),4),
    MATCH(K$8,'Vehicle numbers'!$B$4:$D$4,0))*1000</f>
        <v>953737</v>
      </c>
      <c r="L770" s="183">
        <f ca="1">VLOOKUP(F770,
    OFFSET(INDIRECT(ADDRESS(MATCH(J770,'Vehicle numbers'!$A$5:$A$162,0),1,1,1,$L$6)),4,1,COUNTIF('Vehicle numbers'!$A$5:$A$162,J770),4),
    MATCH(L$8,'Vehicle numbers'!$B$4:$D$4,0))*1000</f>
        <v>971263.04231793806</v>
      </c>
      <c r="M770" s="184">
        <f>VLOOKUP(F770,'Annual distance covered (GB)'!$A$8:$H$33,MATCH(J770,'Annual distance covered (GB)'!$A$7:$H$7,0))</f>
        <v>4.5999999999999996</v>
      </c>
      <c r="N770" s="2">
        <f t="shared" ca="1" si="36"/>
        <v>3185.4806895092779</v>
      </c>
      <c r="O770" s="180">
        <f t="shared" ca="1" si="37"/>
        <v>3.2797301562170703E-3</v>
      </c>
      <c r="P770" s="180"/>
      <c r="Q770" s="180"/>
      <c r="R770" s="180"/>
      <c r="S770" s="180"/>
      <c r="T770" s="180"/>
    </row>
    <row r="771" spans="1:20" x14ac:dyDescent="0.25">
      <c r="A771" t="s">
        <v>243</v>
      </c>
      <c r="B771" t="s">
        <v>237</v>
      </c>
      <c r="C771" t="s">
        <v>238</v>
      </c>
      <c r="D771" t="s">
        <v>262</v>
      </c>
      <c r="E771" t="s">
        <v>229</v>
      </c>
      <c r="F771">
        <v>2000</v>
      </c>
      <c r="G771">
        <v>2.72E-4</v>
      </c>
      <c r="H771" t="s">
        <v>240</v>
      </c>
      <c r="I771" t="s">
        <v>241</v>
      </c>
      <c r="J771" t="s">
        <v>3</v>
      </c>
      <c r="K771" s="183">
        <f ca="1">VLOOKUP(F771,
    OFFSET(INDIRECT(ADDRESS(MATCH(J771,'Vehicle numbers'!$A$5:$A$162,0),1,1,1,$L$6)),4,1,COUNTIF('Vehicle numbers'!$A$5:$A$162,J771),4),
    MATCH(K$8,'Vehicle numbers'!$B$4:$D$4,0))*1000</f>
        <v>953737</v>
      </c>
      <c r="L771" s="183">
        <f ca="1">VLOOKUP(F771,
    OFFSET(INDIRECT(ADDRESS(MATCH(J771,'Vehicle numbers'!$A$5:$A$162,0),1,1,1,$L$6)),4,1,COUNTIF('Vehicle numbers'!$A$5:$A$162,J771),4),
    MATCH(L$8,'Vehicle numbers'!$B$4:$D$4,0))*1000</f>
        <v>971263.04231793806</v>
      </c>
      <c r="M771" s="184">
        <f>VLOOKUP(F771,'Annual distance covered (GB)'!$A$8:$H$33,MATCH(J771,'Annual distance covered (GB)'!$A$7:$H$7,0))</f>
        <v>4.5999999999999996</v>
      </c>
      <c r="N771" s="2">
        <f t="shared" ca="1" si="36"/>
        <v>1274.192275803711</v>
      </c>
      <c r="O771" s="180">
        <f t="shared" ca="1" si="37"/>
        <v>1.311892062486828E-3</v>
      </c>
      <c r="P771" s="180"/>
      <c r="Q771" s="180"/>
      <c r="R771" s="180"/>
      <c r="S771" s="180"/>
      <c r="T771" s="180"/>
    </row>
    <row r="772" spans="1:20" x14ac:dyDescent="0.25">
      <c r="A772" t="s">
        <v>244</v>
      </c>
      <c r="B772" t="s">
        <v>237</v>
      </c>
      <c r="C772" t="s">
        <v>238</v>
      </c>
      <c r="D772" t="s">
        <v>262</v>
      </c>
      <c r="E772" t="s">
        <v>229</v>
      </c>
      <c r="F772">
        <v>2000</v>
      </c>
      <c r="G772" s="189">
        <v>6.7999999999999999E-5</v>
      </c>
      <c r="H772" t="s">
        <v>240</v>
      </c>
      <c r="I772" t="s">
        <v>241</v>
      </c>
      <c r="J772" t="s">
        <v>3</v>
      </c>
      <c r="K772" s="183">
        <f ca="1">VLOOKUP(F772,
    OFFSET(INDIRECT(ADDRESS(MATCH(J772,'Vehicle numbers'!$A$5:$A$162,0),1,1,1,$L$6)),4,1,COUNTIF('Vehicle numbers'!$A$5:$A$162,J772),4),
    MATCH(K$8,'Vehicle numbers'!$B$4:$D$4,0))*1000</f>
        <v>953737</v>
      </c>
      <c r="L772" s="183">
        <f ca="1">VLOOKUP(F772,
    OFFSET(INDIRECT(ADDRESS(MATCH(J772,'Vehicle numbers'!$A$5:$A$162,0),1,1,1,$L$6)),4,1,COUNTIF('Vehicle numbers'!$A$5:$A$162,J772),4),
    MATCH(L$8,'Vehicle numbers'!$B$4:$D$4,0))*1000</f>
        <v>971263.04231793806</v>
      </c>
      <c r="M772" s="184">
        <f>VLOOKUP(F772,'Annual distance covered (GB)'!$A$8:$H$33,MATCH(J772,'Annual distance covered (GB)'!$A$7:$H$7,0))</f>
        <v>4.5999999999999996</v>
      </c>
      <c r="N772" s="2">
        <f t="shared" ca="1" si="36"/>
        <v>318.54806895092776</v>
      </c>
      <c r="O772" s="180">
        <f t="shared" ca="1" si="37"/>
        <v>3.2797301562170701E-4</v>
      </c>
      <c r="P772" s="180"/>
      <c r="Q772" s="180"/>
      <c r="R772" s="180"/>
      <c r="S772" s="180"/>
      <c r="T772" s="180"/>
    </row>
    <row r="773" spans="1:20" x14ac:dyDescent="0.25">
      <c r="A773" t="s">
        <v>246</v>
      </c>
      <c r="B773" t="s">
        <v>237</v>
      </c>
      <c r="C773" t="s">
        <v>238</v>
      </c>
      <c r="D773" t="s">
        <v>262</v>
      </c>
      <c r="E773" t="s">
        <v>229</v>
      </c>
      <c r="F773">
        <v>2000</v>
      </c>
      <c r="G773" s="189">
        <v>5.4400000000000001E-5</v>
      </c>
      <c r="H773" t="s">
        <v>240</v>
      </c>
      <c r="I773" t="s">
        <v>241</v>
      </c>
      <c r="J773" t="s">
        <v>3</v>
      </c>
      <c r="K773" s="183">
        <f ca="1">VLOOKUP(F773,
    OFFSET(INDIRECT(ADDRESS(MATCH(J773,'Vehicle numbers'!$A$5:$A$162,0),1,1,1,$L$6)),4,1,COUNTIF('Vehicle numbers'!$A$5:$A$162,J773),4),
    MATCH(K$8,'Vehicle numbers'!$B$4:$D$4,0))*1000</f>
        <v>953737</v>
      </c>
      <c r="L773" s="183">
        <f ca="1">VLOOKUP(F773,
    OFFSET(INDIRECT(ADDRESS(MATCH(J773,'Vehicle numbers'!$A$5:$A$162,0),1,1,1,$L$6)),4,1,COUNTIF('Vehicle numbers'!$A$5:$A$162,J773),4),
    MATCH(L$8,'Vehicle numbers'!$B$4:$D$4,0))*1000</f>
        <v>971263.04231793806</v>
      </c>
      <c r="M773" s="184">
        <f>VLOOKUP(F773,'Annual distance covered (GB)'!$A$8:$H$33,MATCH(J773,'Annual distance covered (GB)'!$A$7:$H$7,0))</f>
        <v>4.5999999999999996</v>
      </c>
      <c r="N773" s="2">
        <f t="shared" ca="1" si="36"/>
        <v>254.83845516074223</v>
      </c>
      <c r="O773" s="180">
        <f t="shared" ca="1" si="37"/>
        <v>2.623784124973656E-4</v>
      </c>
      <c r="P773" s="180"/>
      <c r="Q773" s="180"/>
      <c r="R773" s="180"/>
      <c r="S773" s="180"/>
      <c r="T773" s="180"/>
    </row>
    <row r="774" spans="1:20" x14ac:dyDescent="0.25">
      <c r="A774" t="s">
        <v>236</v>
      </c>
      <c r="B774" t="s">
        <v>237</v>
      </c>
      <c r="C774" t="s">
        <v>238</v>
      </c>
      <c r="D774" t="s">
        <v>262</v>
      </c>
      <c r="E774" t="s">
        <v>228</v>
      </c>
      <c r="F774">
        <v>2000</v>
      </c>
      <c r="G774">
        <v>2.49E-3</v>
      </c>
      <c r="H774" t="s">
        <v>240</v>
      </c>
      <c r="I774" t="s">
        <v>241</v>
      </c>
      <c r="J774" t="s">
        <v>3</v>
      </c>
      <c r="K774" s="183">
        <f ca="1">VLOOKUP(F774,
    OFFSET(INDIRECT(ADDRESS(MATCH(J774,'Vehicle numbers'!$A$5:$A$162,0),1,1,1,$L$6)),4,1,COUNTIF('Vehicle numbers'!$A$5:$A$162,J774),4),
    MATCH(K$8,'Vehicle numbers'!$B$4:$D$4,0))*1000</f>
        <v>953737</v>
      </c>
      <c r="L774" s="183">
        <f ca="1">VLOOKUP(F774,
    OFFSET(INDIRECT(ADDRESS(MATCH(J774,'Vehicle numbers'!$A$5:$A$162,0),1,1,1,$L$6)),4,1,COUNTIF('Vehicle numbers'!$A$5:$A$162,J774),4),
    MATCH(L$8,'Vehicle numbers'!$B$4:$D$4,0))*1000</f>
        <v>971263.04231793806</v>
      </c>
      <c r="M774" s="184">
        <f>VLOOKUP(F774,'Annual distance covered (GB)'!$A$8:$H$33,MATCH(J774,'Annual distance covered (GB)'!$A$7:$H$7,0))</f>
        <v>4.5999999999999996</v>
      </c>
      <c r="N774" s="2">
        <f t="shared" ca="1" si="36"/>
        <v>11664.480760114855</v>
      </c>
      <c r="O774" s="180">
        <f t="shared" ca="1" si="37"/>
        <v>1.2009600130853683E-2</v>
      </c>
      <c r="P774" s="180"/>
      <c r="Q774" s="180"/>
      <c r="R774" s="180"/>
      <c r="S774" s="180"/>
      <c r="T774" s="180"/>
    </row>
    <row r="775" spans="1:20" x14ac:dyDescent="0.25">
      <c r="A775" t="s">
        <v>243</v>
      </c>
      <c r="B775" t="s">
        <v>237</v>
      </c>
      <c r="C775" t="s">
        <v>238</v>
      </c>
      <c r="D775" t="s">
        <v>262</v>
      </c>
      <c r="E775" t="s">
        <v>228</v>
      </c>
      <c r="F775">
        <v>2000</v>
      </c>
      <c r="G775">
        <v>1.743E-3</v>
      </c>
      <c r="H775" t="s">
        <v>240</v>
      </c>
      <c r="I775" t="s">
        <v>241</v>
      </c>
      <c r="J775" t="s">
        <v>3</v>
      </c>
      <c r="K775" s="183">
        <f ca="1">VLOOKUP(F775,
    OFFSET(INDIRECT(ADDRESS(MATCH(J775,'Vehicle numbers'!$A$5:$A$162,0),1,1,1,$L$6)),4,1,COUNTIF('Vehicle numbers'!$A$5:$A$162,J775),4),
    MATCH(K$8,'Vehicle numbers'!$B$4:$D$4,0))*1000</f>
        <v>953737</v>
      </c>
      <c r="L775" s="183">
        <f ca="1">VLOOKUP(F775,
    OFFSET(INDIRECT(ADDRESS(MATCH(J775,'Vehicle numbers'!$A$5:$A$162,0),1,1,1,$L$6)),4,1,COUNTIF('Vehicle numbers'!$A$5:$A$162,J775),4),
    MATCH(L$8,'Vehicle numbers'!$B$4:$D$4,0))*1000</f>
        <v>971263.04231793806</v>
      </c>
      <c r="M775" s="184">
        <f>VLOOKUP(F775,'Annual distance covered (GB)'!$A$8:$H$33,MATCH(J775,'Annual distance covered (GB)'!$A$7:$H$7,0))</f>
        <v>4.5999999999999996</v>
      </c>
      <c r="N775" s="2">
        <f t="shared" ca="1" si="36"/>
        <v>8165.136532080398</v>
      </c>
      <c r="O775" s="180">
        <f t="shared" ca="1" si="37"/>
        <v>8.406720091597578E-3</v>
      </c>
      <c r="P775" s="180"/>
      <c r="Q775" s="180"/>
      <c r="R775" s="180"/>
      <c r="S775" s="180"/>
      <c r="T775" s="180"/>
    </row>
    <row r="776" spans="1:20" x14ac:dyDescent="0.25">
      <c r="A776" t="s">
        <v>244</v>
      </c>
      <c r="B776" t="s">
        <v>237</v>
      </c>
      <c r="C776" t="s">
        <v>238</v>
      </c>
      <c r="D776" t="s">
        <v>262</v>
      </c>
      <c r="E776" t="s">
        <v>228</v>
      </c>
      <c r="F776">
        <v>2000</v>
      </c>
      <c r="G776">
        <v>2.4549295774647798E-4</v>
      </c>
      <c r="H776" t="s">
        <v>240</v>
      </c>
      <c r="I776" t="s">
        <v>241</v>
      </c>
      <c r="J776" t="s">
        <v>3</v>
      </c>
      <c r="K776" s="183">
        <f ca="1">VLOOKUP(F776,
    OFFSET(INDIRECT(ADDRESS(MATCH(J776,'Vehicle numbers'!$A$5:$A$162,0),1,1,1,$L$6)),4,1,COUNTIF('Vehicle numbers'!$A$5:$A$162,J776),4),
    MATCH(K$8,'Vehicle numbers'!$B$4:$D$4,0))*1000</f>
        <v>953737</v>
      </c>
      <c r="L776" s="183">
        <f ca="1">VLOOKUP(F776,
    OFFSET(INDIRECT(ADDRESS(MATCH(J776,'Vehicle numbers'!$A$5:$A$162,0),1,1,1,$L$6)),4,1,COUNTIF('Vehicle numbers'!$A$5:$A$162,J776),4),
    MATCH(L$8,'Vehicle numbers'!$B$4:$D$4,0))*1000</f>
        <v>971263.04231793806</v>
      </c>
      <c r="M776" s="184">
        <f>VLOOKUP(F776,'Annual distance covered (GB)'!$A$8:$H$33,MATCH(J776,'Annual distance covered (GB)'!$A$7:$H$7,0))</f>
        <v>4.5999999999999996</v>
      </c>
      <c r="N776" s="2">
        <f t="shared" ca="1" si="36"/>
        <v>1150.0192298704744</v>
      </c>
      <c r="O776" s="180">
        <f t="shared" ca="1" si="37"/>
        <v>1.1840450833235981E-3</v>
      </c>
      <c r="P776" s="180"/>
      <c r="Q776" s="180"/>
      <c r="R776" s="180"/>
      <c r="S776" s="180"/>
      <c r="T776" s="180"/>
    </row>
    <row r="777" spans="1:20" x14ac:dyDescent="0.25">
      <c r="A777" t="s">
        <v>246</v>
      </c>
      <c r="B777" t="s">
        <v>237</v>
      </c>
      <c r="C777" t="s">
        <v>238</v>
      </c>
      <c r="D777" t="s">
        <v>262</v>
      </c>
      <c r="E777" t="s">
        <v>228</v>
      </c>
      <c r="F777">
        <v>2000</v>
      </c>
      <c r="G777">
        <v>1.96394366197183E-4</v>
      </c>
      <c r="H777" t="s">
        <v>240</v>
      </c>
      <c r="I777" t="s">
        <v>241</v>
      </c>
      <c r="J777" t="s">
        <v>3</v>
      </c>
      <c r="K777" s="183">
        <f ca="1">VLOOKUP(F777,
    OFFSET(INDIRECT(ADDRESS(MATCH(J777,'Vehicle numbers'!$A$5:$A$162,0),1,1,1,$L$6)),4,1,COUNTIF('Vehicle numbers'!$A$5:$A$162,J777),4),
    MATCH(K$8,'Vehicle numbers'!$B$4:$D$4,0))*1000</f>
        <v>953737</v>
      </c>
      <c r="L777" s="183">
        <f ca="1">VLOOKUP(F777,
    OFFSET(INDIRECT(ADDRESS(MATCH(J777,'Vehicle numbers'!$A$5:$A$162,0),1,1,1,$L$6)),4,1,COUNTIF('Vehicle numbers'!$A$5:$A$162,J777),4),
    MATCH(L$8,'Vehicle numbers'!$B$4:$D$4,0))*1000</f>
        <v>971263.04231793806</v>
      </c>
      <c r="M777" s="184">
        <f>VLOOKUP(F777,'Annual distance covered (GB)'!$A$8:$H$33,MATCH(J777,'Annual distance covered (GB)'!$A$7:$H$7,0))</f>
        <v>4.5999999999999996</v>
      </c>
      <c r="N777" s="2">
        <f t="shared" ca="1" si="36"/>
        <v>920.01538389638245</v>
      </c>
      <c r="O777" s="180">
        <f t="shared" ca="1" si="37"/>
        <v>9.4723606665888149E-4</v>
      </c>
      <c r="P777" s="180"/>
      <c r="Q777" s="180"/>
      <c r="R777" s="180"/>
      <c r="S777" s="180"/>
      <c r="T777" s="180"/>
    </row>
    <row r="778" spans="1:20" x14ac:dyDescent="0.25">
      <c r="A778" t="s">
        <v>236</v>
      </c>
      <c r="B778" t="s">
        <v>237</v>
      </c>
      <c r="C778" t="s">
        <v>238</v>
      </c>
      <c r="D778" t="s">
        <v>263</v>
      </c>
      <c r="E778" t="s">
        <v>229</v>
      </c>
      <c r="F778">
        <v>2000</v>
      </c>
      <c r="G778">
        <v>2.76399999999999E-3</v>
      </c>
      <c r="H778" t="s">
        <v>240</v>
      </c>
      <c r="I778" t="s">
        <v>241</v>
      </c>
      <c r="J778" t="s">
        <v>3</v>
      </c>
      <c r="K778" s="183">
        <f ca="1">VLOOKUP(F778,
    OFFSET(INDIRECT(ADDRESS(MATCH(J778,'Vehicle numbers'!$A$5:$A$162,0),1,1,1,$L$6)),4,1,COUNTIF('Vehicle numbers'!$A$5:$A$162,J778),4),
    MATCH(K$8,'Vehicle numbers'!$B$4:$D$4,0))*1000</f>
        <v>953737</v>
      </c>
      <c r="L778" s="183">
        <f ca="1">VLOOKUP(F778,
    OFFSET(INDIRECT(ADDRESS(MATCH(J778,'Vehicle numbers'!$A$5:$A$162,0),1,1,1,$L$6)),4,1,COUNTIF('Vehicle numbers'!$A$5:$A$162,J778),4),
    MATCH(L$8,'Vehicle numbers'!$B$4:$D$4,0))*1000</f>
        <v>971263.04231793806</v>
      </c>
      <c r="M778" s="184">
        <f>VLOOKUP(F778,'Annual distance covered (GB)'!$A$8:$H$33,MATCH(J778,'Annual distance covered (GB)'!$A$7:$H$7,0))</f>
        <v>4.5999999999999996</v>
      </c>
      <c r="N778" s="2">
        <f t="shared" ca="1" si="36"/>
        <v>12948.042096770017</v>
      </c>
      <c r="O778" s="180">
        <f t="shared" ca="1" si="37"/>
        <v>1.3331138458505807E-2</v>
      </c>
      <c r="P778" s="180"/>
      <c r="Q778" s="180"/>
      <c r="R778" s="180"/>
      <c r="S778" s="180"/>
      <c r="T778" s="180"/>
    </row>
    <row r="779" spans="1:20" x14ac:dyDescent="0.25">
      <c r="A779" t="s">
        <v>243</v>
      </c>
      <c r="B779" t="s">
        <v>237</v>
      </c>
      <c r="C779" t="s">
        <v>238</v>
      </c>
      <c r="D779" t="s">
        <v>263</v>
      </c>
      <c r="E779" t="s">
        <v>229</v>
      </c>
      <c r="F779">
        <v>2000</v>
      </c>
      <c r="G779">
        <v>1.1056E-3</v>
      </c>
      <c r="H779" t="s">
        <v>240</v>
      </c>
      <c r="I779" t="s">
        <v>241</v>
      </c>
      <c r="J779" t="s">
        <v>3</v>
      </c>
      <c r="K779" s="183">
        <f ca="1">VLOOKUP(F779,
    OFFSET(INDIRECT(ADDRESS(MATCH(J779,'Vehicle numbers'!$A$5:$A$162,0),1,1,1,$L$6)),4,1,COUNTIF('Vehicle numbers'!$A$5:$A$162,J779),4),
    MATCH(K$8,'Vehicle numbers'!$B$4:$D$4,0))*1000</f>
        <v>953737</v>
      </c>
      <c r="L779" s="183">
        <f ca="1">VLOOKUP(F779,
    OFFSET(INDIRECT(ADDRESS(MATCH(J779,'Vehicle numbers'!$A$5:$A$162,0),1,1,1,$L$6)),4,1,COUNTIF('Vehicle numbers'!$A$5:$A$162,J779),4),
    MATCH(L$8,'Vehicle numbers'!$B$4:$D$4,0))*1000</f>
        <v>971263.04231793806</v>
      </c>
      <c r="M779" s="184">
        <f>VLOOKUP(F779,'Annual distance covered (GB)'!$A$8:$H$33,MATCH(J779,'Annual distance covered (GB)'!$A$7:$H$7,0))</f>
        <v>4.5999999999999996</v>
      </c>
      <c r="N779" s="2">
        <f t="shared" ref="N779:N842" ca="1" si="38">M779*G779*1000000*(L779/K779)</f>
        <v>5179.2168387080264</v>
      </c>
      <c r="O779" s="180">
        <f t="shared" ref="O779:O842" ca="1" si="39">N779/L779</f>
        <v>5.3324553834023427E-3</v>
      </c>
      <c r="P779" s="180"/>
      <c r="Q779" s="180"/>
      <c r="R779" s="180"/>
      <c r="S779" s="180"/>
      <c r="T779" s="180"/>
    </row>
    <row r="780" spans="1:20" x14ac:dyDescent="0.25">
      <c r="A780" t="s">
        <v>244</v>
      </c>
      <c r="B780" t="s">
        <v>237</v>
      </c>
      <c r="C780" t="s">
        <v>238</v>
      </c>
      <c r="D780" t="s">
        <v>263</v>
      </c>
      <c r="E780" t="s">
        <v>229</v>
      </c>
      <c r="F780">
        <v>2000</v>
      </c>
      <c r="G780">
        <v>2.764E-4</v>
      </c>
      <c r="H780" t="s">
        <v>240</v>
      </c>
      <c r="I780" t="s">
        <v>241</v>
      </c>
      <c r="J780" t="s">
        <v>3</v>
      </c>
      <c r="K780" s="183">
        <f ca="1">VLOOKUP(F780,
    OFFSET(INDIRECT(ADDRESS(MATCH(J780,'Vehicle numbers'!$A$5:$A$162,0),1,1,1,$L$6)),4,1,COUNTIF('Vehicle numbers'!$A$5:$A$162,J780),4),
    MATCH(K$8,'Vehicle numbers'!$B$4:$D$4,0))*1000</f>
        <v>953737</v>
      </c>
      <c r="L780" s="183">
        <f ca="1">VLOOKUP(F780,
    OFFSET(INDIRECT(ADDRESS(MATCH(J780,'Vehicle numbers'!$A$5:$A$162,0),1,1,1,$L$6)),4,1,COUNTIF('Vehicle numbers'!$A$5:$A$162,J780),4),
    MATCH(L$8,'Vehicle numbers'!$B$4:$D$4,0))*1000</f>
        <v>971263.04231793806</v>
      </c>
      <c r="M780" s="184">
        <f>VLOOKUP(F780,'Annual distance covered (GB)'!$A$8:$H$33,MATCH(J780,'Annual distance covered (GB)'!$A$7:$H$7,0))</f>
        <v>4.5999999999999996</v>
      </c>
      <c r="N780" s="2">
        <f t="shared" ca="1" si="38"/>
        <v>1294.8042096770066</v>
      </c>
      <c r="O780" s="180">
        <f t="shared" ca="1" si="39"/>
        <v>1.3331138458505857E-3</v>
      </c>
      <c r="P780" s="180"/>
      <c r="Q780" s="180"/>
      <c r="R780" s="180"/>
      <c r="S780" s="180"/>
      <c r="T780" s="180"/>
    </row>
    <row r="781" spans="1:20" x14ac:dyDescent="0.25">
      <c r="A781" t="s">
        <v>246</v>
      </c>
      <c r="B781" t="s">
        <v>237</v>
      </c>
      <c r="C781" t="s">
        <v>238</v>
      </c>
      <c r="D781" t="s">
        <v>263</v>
      </c>
      <c r="E781" t="s">
        <v>229</v>
      </c>
      <c r="F781">
        <v>2000</v>
      </c>
      <c r="G781">
        <v>2.2112E-4</v>
      </c>
      <c r="H781" t="s">
        <v>240</v>
      </c>
      <c r="I781" t="s">
        <v>241</v>
      </c>
      <c r="J781" t="s">
        <v>3</v>
      </c>
      <c r="K781" s="183">
        <f ca="1">VLOOKUP(F781,
    OFFSET(INDIRECT(ADDRESS(MATCH(J781,'Vehicle numbers'!$A$5:$A$162,0),1,1,1,$L$6)),4,1,COUNTIF('Vehicle numbers'!$A$5:$A$162,J781),4),
    MATCH(K$8,'Vehicle numbers'!$B$4:$D$4,0))*1000</f>
        <v>953737</v>
      </c>
      <c r="L781" s="183">
        <f ca="1">VLOOKUP(F781,
    OFFSET(INDIRECT(ADDRESS(MATCH(J781,'Vehicle numbers'!$A$5:$A$162,0),1,1,1,$L$6)),4,1,COUNTIF('Vehicle numbers'!$A$5:$A$162,J781),4),
    MATCH(L$8,'Vehicle numbers'!$B$4:$D$4,0))*1000</f>
        <v>971263.04231793806</v>
      </c>
      <c r="M781" s="184">
        <f>VLOOKUP(F781,'Annual distance covered (GB)'!$A$8:$H$33,MATCH(J781,'Annual distance covered (GB)'!$A$7:$H$7,0))</f>
        <v>4.5999999999999996</v>
      </c>
      <c r="N781" s="2">
        <f t="shared" ca="1" si="38"/>
        <v>1035.8433677416051</v>
      </c>
      <c r="O781" s="180">
        <f t="shared" ca="1" si="39"/>
        <v>1.0664910766804683E-3</v>
      </c>
      <c r="P781" s="180"/>
      <c r="Q781" s="180"/>
      <c r="R781" s="180"/>
      <c r="S781" s="180"/>
      <c r="T781" s="180"/>
    </row>
    <row r="782" spans="1:20" x14ac:dyDescent="0.25">
      <c r="A782" t="s">
        <v>236</v>
      </c>
      <c r="B782" t="s">
        <v>237</v>
      </c>
      <c r="C782" t="s">
        <v>238</v>
      </c>
      <c r="D782" t="s">
        <v>263</v>
      </c>
      <c r="E782" t="s">
        <v>228</v>
      </c>
      <c r="F782">
        <v>2000</v>
      </c>
      <c r="G782">
        <v>2.92399999999999E-3</v>
      </c>
      <c r="H782" t="s">
        <v>240</v>
      </c>
      <c r="I782" t="s">
        <v>241</v>
      </c>
      <c r="J782" t="s">
        <v>3</v>
      </c>
      <c r="K782" s="183">
        <f ca="1">VLOOKUP(F782,
    OFFSET(INDIRECT(ADDRESS(MATCH(J782,'Vehicle numbers'!$A$5:$A$162,0),1,1,1,$L$6)),4,1,COUNTIF('Vehicle numbers'!$A$5:$A$162,J782),4),
    MATCH(K$8,'Vehicle numbers'!$B$4:$D$4,0))*1000</f>
        <v>953737</v>
      </c>
      <c r="L782" s="183">
        <f ca="1">VLOOKUP(F782,
    OFFSET(INDIRECT(ADDRESS(MATCH(J782,'Vehicle numbers'!$A$5:$A$162,0),1,1,1,$L$6)),4,1,COUNTIF('Vehicle numbers'!$A$5:$A$162,J782),4),
    MATCH(L$8,'Vehicle numbers'!$B$4:$D$4,0))*1000</f>
        <v>971263.04231793806</v>
      </c>
      <c r="M782" s="184">
        <f>VLOOKUP(F782,'Annual distance covered (GB)'!$A$8:$H$33,MATCH(J782,'Annual distance covered (GB)'!$A$7:$H$7,0))</f>
        <v>4.5999999999999996</v>
      </c>
      <c r="N782" s="2">
        <f t="shared" ca="1" si="38"/>
        <v>13697.566964889847</v>
      </c>
      <c r="O782" s="180">
        <f t="shared" ca="1" si="39"/>
        <v>1.4102839671733354E-2</v>
      </c>
      <c r="P782" s="180"/>
      <c r="Q782" s="180"/>
      <c r="R782" s="180"/>
      <c r="S782" s="180"/>
      <c r="T782" s="180"/>
    </row>
    <row r="783" spans="1:20" x14ac:dyDescent="0.25">
      <c r="A783" t="s">
        <v>243</v>
      </c>
      <c r="B783" t="s">
        <v>237</v>
      </c>
      <c r="C783" t="s">
        <v>238</v>
      </c>
      <c r="D783" t="s">
        <v>263</v>
      </c>
      <c r="E783" t="s">
        <v>228</v>
      </c>
      <c r="F783">
        <v>2000</v>
      </c>
      <c r="G783">
        <v>2.0467999999999901E-3</v>
      </c>
      <c r="H783" t="s">
        <v>240</v>
      </c>
      <c r="I783" t="s">
        <v>241</v>
      </c>
      <c r="J783" t="s">
        <v>3</v>
      </c>
      <c r="K783" s="183">
        <f ca="1">VLOOKUP(F783,
    OFFSET(INDIRECT(ADDRESS(MATCH(J783,'Vehicle numbers'!$A$5:$A$162,0),1,1,1,$L$6)),4,1,COUNTIF('Vehicle numbers'!$A$5:$A$162,J783),4),
    MATCH(K$8,'Vehicle numbers'!$B$4:$D$4,0))*1000</f>
        <v>953737</v>
      </c>
      <c r="L783" s="183">
        <f ca="1">VLOOKUP(F783,
    OFFSET(INDIRECT(ADDRESS(MATCH(J783,'Vehicle numbers'!$A$5:$A$162,0),1,1,1,$L$6)),4,1,COUNTIF('Vehicle numbers'!$A$5:$A$162,J783),4),
    MATCH(L$8,'Vehicle numbers'!$B$4:$D$4,0))*1000</f>
        <v>971263.04231793806</v>
      </c>
      <c r="M783" s="184">
        <f>VLOOKUP(F783,'Annual distance covered (GB)'!$A$8:$H$33,MATCH(J783,'Annual distance covered (GB)'!$A$7:$H$7,0))</f>
        <v>4.5999999999999996</v>
      </c>
      <c r="N783" s="2">
        <f t="shared" ca="1" si="38"/>
        <v>9588.2968754228787</v>
      </c>
      <c r="O783" s="180">
        <f t="shared" ca="1" si="39"/>
        <v>9.8719877702133328E-3</v>
      </c>
      <c r="P783" s="180"/>
      <c r="Q783" s="180"/>
      <c r="R783" s="180"/>
      <c r="S783" s="180"/>
      <c r="T783" s="180"/>
    </row>
    <row r="784" spans="1:20" x14ac:dyDescent="0.25">
      <c r="A784" t="s">
        <v>244</v>
      </c>
      <c r="B784" t="s">
        <v>237</v>
      </c>
      <c r="C784" t="s">
        <v>238</v>
      </c>
      <c r="D784" t="s">
        <v>263</v>
      </c>
      <c r="E784" t="s">
        <v>228</v>
      </c>
      <c r="F784">
        <v>2000</v>
      </c>
      <c r="G784">
        <v>2.8828169014084301E-4</v>
      </c>
      <c r="H784" t="s">
        <v>240</v>
      </c>
      <c r="I784" t="s">
        <v>241</v>
      </c>
      <c r="J784" t="s">
        <v>3</v>
      </c>
      <c r="K784" s="183">
        <f ca="1">VLOOKUP(F784,
    OFFSET(INDIRECT(ADDRESS(MATCH(J784,'Vehicle numbers'!$A$5:$A$162,0),1,1,1,$L$6)),4,1,COUNTIF('Vehicle numbers'!$A$5:$A$162,J784),4),
    MATCH(K$8,'Vehicle numbers'!$B$4:$D$4,0))*1000</f>
        <v>953737</v>
      </c>
      <c r="L784" s="183">
        <f ca="1">VLOOKUP(F784,
    OFFSET(INDIRECT(ADDRESS(MATCH(J784,'Vehicle numbers'!$A$5:$A$162,0),1,1,1,$L$6)),4,1,COUNTIF('Vehicle numbers'!$A$5:$A$162,J784),4),
    MATCH(L$8,'Vehicle numbers'!$B$4:$D$4,0))*1000</f>
        <v>971263.04231793806</v>
      </c>
      <c r="M784" s="184">
        <f>VLOOKUP(F784,'Annual distance covered (GB)'!$A$8:$H$33,MATCH(J784,'Annual distance covered (GB)'!$A$7:$H$7,0))</f>
        <v>4.5999999999999996</v>
      </c>
      <c r="N784" s="2">
        <f t="shared" ca="1" si="38"/>
        <v>1350.4643486511068</v>
      </c>
      <c r="O784" s="180">
        <f t="shared" ca="1" si="39"/>
        <v>1.3904208127061002E-3</v>
      </c>
      <c r="P784" s="180"/>
      <c r="Q784" s="180"/>
      <c r="R784" s="180"/>
      <c r="S784" s="180"/>
      <c r="T784" s="180"/>
    </row>
    <row r="785" spans="1:20" x14ac:dyDescent="0.25">
      <c r="A785" t="s">
        <v>246</v>
      </c>
      <c r="B785" t="s">
        <v>237</v>
      </c>
      <c r="C785" t="s">
        <v>238</v>
      </c>
      <c r="D785" t="s">
        <v>263</v>
      </c>
      <c r="E785" t="s">
        <v>228</v>
      </c>
      <c r="F785">
        <v>2000</v>
      </c>
      <c r="G785">
        <v>2.3062535211267499E-4</v>
      </c>
      <c r="H785" t="s">
        <v>240</v>
      </c>
      <c r="I785" t="s">
        <v>241</v>
      </c>
      <c r="J785" t="s">
        <v>3</v>
      </c>
      <c r="K785" s="183">
        <f ca="1">VLOOKUP(F785,
    OFFSET(INDIRECT(ADDRESS(MATCH(J785,'Vehicle numbers'!$A$5:$A$162,0),1,1,1,$L$6)),4,1,COUNTIF('Vehicle numbers'!$A$5:$A$162,J785),4),
    MATCH(K$8,'Vehicle numbers'!$B$4:$D$4,0))*1000</f>
        <v>953737</v>
      </c>
      <c r="L785" s="183">
        <f ca="1">VLOOKUP(F785,
    OFFSET(INDIRECT(ADDRESS(MATCH(J785,'Vehicle numbers'!$A$5:$A$162,0),1,1,1,$L$6)),4,1,COUNTIF('Vehicle numbers'!$A$5:$A$162,J785),4),
    MATCH(L$8,'Vehicle numbers'!$B$4:$D$4,0))*1000</f>
        <v>971263.04231793806</v>
      </c>
      <c r="M785" s="184">
        <f>VLOOKUP(F785,'Annual distance covered (GB)'!$A$8:$H$33,MATCH(J785,'Annual distance covered (GB)'!$A$7:$H$7,0))</f>
        <v>4.5999999999999996</v>
      </c>
      <c r="N785" s="2">
        <f t="shared" ca="1" si="38"/>
        <v>1080.3714789208882</v>
      </c>
      <c r="O785" s="180">
        <f t="shared" ca="1" si="39"/>
        <v>1.1123366501648829E-3</v>
      </c>
      <c r="P785" s="180"/>
      <c r="Q785" s="180"/>
      <c r="R785" s="180"/>
      <c r="S785" s="180"/>
      <c r="T785" s="180"/>
    </row>
    <row r="786" spans="1:20" x14ac:dyDescent="0.25">
      <c r="A786" t="s">
        <v>236</v>
      </c>
      <c r="B786" t="s">
        <v>237</v>
      </c>
      <c r="C786" t="s">
        <v>238</v>
      </c>
      <c r="D786" t="s">
        <v>264</v>
      </c>
      <c r="E786" t="s">
        <v>229</v>
      </c>
      <c r="F786">
        <v>2000</v>
      </c>
      <c r="G786">
        <v>5.8399999999999902E-3</v>
      </c>
      <c r="H786" t="s">
        <v>240</v>
      </c>
      <c r="I786" t="s">
        <v>241</v>
      </c>
      <c r="J786" t="s">
        <v>3</v>
      </c>
      <c r="K786" s="183">
        <f ca="1">VLOOKUP(F786,
    OFFSET(INDIRECT(ADDRESS(MATCH(J786,'Vehicle numbers'!$A$5:$A$162,0),1,1,1,$L$6)),4,1,COUNTIF('Vehicle numbers'!$A$5:$A$162,J786),4),
    MATCH(K$8,'Vehicle numbers'!$B$4:$D$4,0))*1000</f>
        <v>953737</v>
      </c>
      <c r="L786" s="183">
        <f ca="1">VLOOKUP(F786,
    OFFSET(INDIRECT(ADDRESS(MATCH(J786,'Vehicle numbers'!$A$5:$A$162,0),1,1,1,$L$6)),4,1,COUNTIF('Vehicle numbers'!$A$5:$A$162,J786),4),
    MATCH(L$8,'Vehicle numbers'!$B$4:$D$4,0))*1000</f>
        <v>971263.04231793806</v>
      </c>
      <c r="M786" s="184">
        <f>VLOOKUP(F786,'Annual distance covered (GB)'!$A$8:$H$33,MATCH(J786,'Annual distance covered (GB)'!$A$7:$H$7,0))</f>
        <v>4.5999999999999996</v>
      </c>
      <c r="N786" s="2">
        <f t="shared" ca="1" si="38"/>
        <v>27357.65768637375</v>
      </c>
      <c r="O786" s="180">
        <f t="shared" ca="1" si="39"/>
        <v>2.8167094282805376E-2</v>
      </c>
      <c r="P786" s="180"/>
      <c r="Q786" s="180"/>
      <c r="R786" s="180"/>
      <c r="S786" s="180"/>
      <c r="T786" s="180"/>
    </row>
    <row r="787" spans="1:20" x14ac:dyDescent="0.25">
      <c r="A787" t="s">
        <v>243</v>
      </c>
      <c r="B787" t="s">
        <v>237</v>
      </c>
      <c r="C787" t="s">
        <v>238</v>
      </c>
      <c r="D787" t="s">
        <v>264</v>
      </c>
      <c r="E787" t="s">
        <v>229</v>
      </c>
      <c r="F787">
        <v>2000</v>
      </c>
      <c r="G787">
        <v>2.336E-3</v>
      </c>
      <c r="H787" t="s">
        <v>240</v>
      </c>
      <c r="I787" t="s">
        <v>241</v>
      </c>
      <c r="J787" t="s">
        <v>3</v>
      </c>
      <c r="K787" s="183">
        <f ca="1">VLOOKUP(F787,
    OFFSET(INDIRECT(ADDRESS(MATCH(J787,'Vehicle numbers'!$A$5:$A$162,0),1,1,1,$L$6)),4,1,COUNTIF('Vehicle numbers'!$A$5:$A$162,J787),4),
    MATCH(K$8,'Vehicle numbers'!$B$4:$D$4,0))*1000</f>
        <v>953737</v>
      </c>
      <c r="L787" s="183">
        <f ca="1">VLOOKUP(F787,
    OFFSET(INDIRECT(ADDRESS(MATCH(J787,'Vehicle numbers'!$A$5:$A$162,0),1,1,1,$L$6)),4,1,COUNTIF('Vehicle numbers'!$A$5:$A$162,J787),4),
    MATCH(L$8,'Vehicle numbers'!$B$4:$D$4,0))*1000</f>
        <v>971263.04231793806</v>
      </c>
      <c r="M787" s="184">
        <f>VLOOKUP(F787,'Annual distance covered (GB)'!$A$8:$H$33,MATCH(J787,'Annual distance covered (GB)'!$A$7:$H$7,0))</f>
        <v>4.5999999999999996</v>
      </c>
      <c r="N787" s="2">
        <f t="shared" ca="1" si="38"/>
        <v>10943.063074549518</v>
      </c>
      <c r="O787" s="180">
        <f t="shared" ca="1" si="39"/>
        <v>1.1266837713122169E-2</v>
      </c>
      <c r="P787" s="180"/>
      <c r="Q787" s="180"/>
      <c r="R787" s="180"/>
      <c r="S787" s="180"/>
      <c r="T787" s="180"/>
    </row>
    <row r="788" spans="1:20" x14ac:dyDescent="0.25">
      <c r="A788" t="s">
        <v>244</v>
      </c>
      <c r="B788" t="s">
        <v>237</v>
      </c>
      <c r="C788" t="s">
        <v>238</v>
      </c>
      <c r="D788" t="s">
        <v>264</v>
      </c>
      <c r="E788" t="s">
        <v>229</v>
      </c>
      <c r="F788">
        <v>2000</v>
      </c>
      <c r="G788">
        <v>5.8399999999999999E-4</v>
      </c>
      <c r="H788" t="s">
        <v>240</v>
      </c>
      <c r="I788" t="s">
        <v>241</v>
      </c>
      <c r="J788" t="s">
        <v>3</v>
      </c>
      <c r="K788" s="183">
        <f ca="1">VLOOKUP(F788,
    OFFSET(INDIRECT(ADDRESS(MATCH(J788,'Vehicle numbers'!$A$5:$A$162,0),1,1,1,$L$6)),4,1,COUNTIF('Vehicle numbers'!$A$5:$A$162,J788),4),
    MATCH(K$8,'Vehicle numbers'!$B$4:$D$4,0))*1000</f>
        <v>953737</v>
      </c>
      <c r="L788" s="183">
        <f ca="1">VLOOKUP(F788,
    OFFSET(INDIRECT(ADDRESS(MATCH(J788,'Vehicle numbers'!$A$5:$A$162,0),1,1,1,$L$6)),4,1,COUNTIF('Vehicle numbers'!$A$5:$A$162,J788),4),
    MATCH(L$8,'Vehicle numbers'!$B$4:$D$4,0))*1000</f>
        <v>971263.04231793806</v>
      </c>
      <c r="M788" s="184">
        <f>VLOOKUP(F788,'Annual distance covered (GB)'!$A$8:$H$33,MATCH(J788,'Annual distance covered (GB)'!$A$7:$H$7,0))</f>
        <v>4.5999999999999996</v>
      </c>
      <c r="N788" s="2">
        <f t="shared" ca="1" si="38"/>
        <v>2735.7657686373796</v>
      </c>
      <c r="O788" s="180">
        <f t="shared" ca="1" si="39"/>
        <v>2.8167094282805422E-3</v>
      </c>
      <c r="P788" s="180"/>
      <c r="Q788" s="180"/>
      <c r="R788" s="180"/>
      <c r="S788" s="180"/>
      <c r="T788" s="180"/>
    </row>
    <row r="789" spans="1:20" x14ac:dyDescent="0.25">
      <c r="A789" t="s">
        <v>246</v>
      </c>
      <c r="B789" t="s">
        <v>237</v>
      </c>
      <c r="C789" t="s">
        <v>238</v>
      </c>
      <c r="D789" t="s">
        <v>264</v>
      </c>
      <c r="E789" t="s">
        <v>229</v>
      </c>
      <c r="F789">
        <v>2000</v>
      </c>
      <c r="G789">
        <v>4.6720000000000003E-4</v>
      </c>
      <c r="H789" t="s">
        <v>240</v>
      </c>
      <c r="I789" t="s">
        <v>241</v>
      </c>
      <c r="J789" t="s">
        <v>3</v>
      </c>
      <c r="K789" s="183">
        <f ca="1">VLOOKUP(F789,
    OFFSET(INDIRECT(ADDRESS(MATCH(J789,'Vehicle numbers'!$A$5:$A$162,0),1,1,1,$L$6)),4,1,COUNTIF('Vehicle numbers'!$A$5:$A$162,J789),4),
    MATCH(K$8,'Vehicle numbers'!$B$4:$D$4,0))*1000</f>
        <v>953737</v>
      </c>
      <c r="L789" s="183">
        <f ca="1">VLOOKUP(F789,
    OFFSET(INDIRECT(ADDRESS(MATCH(J789,'Vehicle numbers'!$A$5:$A$162,0),1,1,1,$L$6)),4,1,COUNTIF('Vehicle numbers'!$A$5:$A$162,J789),4),
    MATCH(L$8,'Vehicle numbers'!$B$4:$D$4,0))*1000</f>
        <v>971263.04231793806</v>
      </c>
      <c r="M789" s="184">
        <f>VLOOKUP(F789,'Annual distance covered (GB)'!$A$8:$H$33,MATCH(J789,'Annual distance covered (GB)'!$A$7:$H$7,0))</f>
        <v>4.5999999999999996</v>
      </c>
      <c r="N789" s="2">
        <f t="shared" ca="1" si="38"/>
        <v>2188.6126149099036</v>
      </c>
      <c r="O789" s="180">
        <f t="shared" ca="1" si="39"/>
        <v>2.2533675426244337E-3</v>
      </c>
      <c r="P789" s="180"/>
      <c r="Q789" s="180"/>
      <c r="R789" s="180"/>
      <c r="S789" s="180"/>
      <c r="T789" s="180"/>
    </row>
    <row r="790" spans="1:20" x14ac:dyDescent="0.25">
      <c r="A790" t="s">
        <v>236</v>
      </c>
      <c r="B790" t="s">
        <v>237</v>
      </c>
      <c r="C790" t="s">
        <v>238</v>
      </c>
      <c r="D790" t="s">
        <v>264</v>
      </c>
      <c r="E790" t="s">
        <v>228</v>
      </c>
      <c r="F790">
        <v>2000</v>
      </c>
      <c r="G790">
        <v>3.7569999999999999E-3</v>
      </c>
      <c r="H790" t="s">
        <v>240</v>
      </c>
      <c r="I790" t="s">
        <v>241</v>
      </c>
      <c r="J790" t="s">
        <v>3</v>
      </c>
      <c r="K790" s="183">
        <f ca="1">VLOOKUP(F790,
    OFFSET(INDIRECT(ADDRESS(MATCH(J790,'Vehicle numbers'!$A$5:$A$162,0),1,1,1,$L$6)),4,1,COUNTIF('Vehicle numbers'!$A$5:$A$162,J790),4),
    MATCH(K$8,'Vehicle numbers'!$B$4:$D$4,0))*1000</f>
        <v>953737</v>
      </c>
      <c r="L790" s="183">
        <f ca="1">VLOOKUP(F790,
    OFFSET(INDIRECT(ADDRESS(MATCH(J790,'Vehicle numbers'!$A$5:$A$162,0),1,1,1,$L$6)),4,1,COUNTIF('Vehicle numbers'!$A$5:$A$162,J790),4),
    MATCH(L$8,'Vehicle numbers'!$B$4:$D$4,0))*1000</f>
        <v>971263.04231793806</v>
      </c>
      <c r="M790" s="184">
        <f>VLOOKUP(F790,'Annual distance covered (GB)'!$A$8:$H$33,MATCH(J790,'Annual distance covered (GB)'!$A$7:$H$7,0))</f>
        <v>4.5999999999999996</v>
      </c>
      <c r="N790" s="2">
        <f t="shared" ca="1" si="38"/>
        <v>17599.780809538759</v>
      </c>
      <c r="O790" s="180">
        <f t="shared" ca="1" si="39"/>
        <v>1.8120509113099311E-2</v>
      </c>
      <c r="P790" s="180"/>
      <c r="Q790" s="180"/>
      <c r="R790" s="180"/>
      <c r="S790" s="180"/>
      <c r="T790" s="180"/>
    </row>
    <row r="791" spans="1:20" x14ac:dyDescent="0.25">
      <c r="A791" t="s">
        <v>243</v>
      </c>
      <c r="B791" t="s">
        <v>237</v>
      </c>
      <c r="C791" t="s">
        <v>238</v>
      </c>
      <c r="D791" t="s">
        <v>264</v>
      </c>
      <c r="E791" t="s">
        <v>228</v>
      </c>
      <c r="F791">
        <v>2000</v>
      </c>
      <c r="G791">
        <v>2.6299000000000001E-3</v>
      </c>
      <c r="H791" t="s">
        <v>240</v>
      </c>
      <c r="I791" t="s">
        <v>241</v>
      </c>
      <c r="J791" t="s">
        <v>3</v>
      </c>
      <c r="K791" s="183">
        <f ca="1">VLOOKUP(F791,
    OFFSET(INDIRECT(ADDRESS(MATCH(J791,'Vehicle numbers'!$A$5:$A$162,0),1,1,1,$L$6)),4,1,COUNTIF('Vehicle numbers'!$A$5:$A$162,J791),4),
    MATCH(K$8,'Vehicle numbers'!$B$4:$D$4,0))*1000</f>
        <v>953737</v>
      </c>
      <c r="L791" s="183">
        <f ca="1">VLOOKUP(F791,
    OFFSET(INDIRECT(ADDRESS(MATCH(J791,'Vehicle numbers'!$A$5:$A$162,0),1,1,1,$L$6)),4,1,COUNTIF('Vehicle numbers'!$A$5:$A$162,J791),4),
    MATCH(L$8,'Vehicle numbers'!$B$4:$D$4,0))*1000</f>
        <v>971263.04231793806</v>
      </c>
      <c r="M791" s="184">
        <f>VLOOKUP(F791,'Annual distance covered (GB)'!$A$8:$H$33,MATCH(J791,'Annual distance covered (GB)'!$A$7:$H$7,0))</f>
        <v>4.5999999999999996</v>
      </c>
      <c r="N791" s="2">
        <f t="shared" ca="1" si="38"/>
        <v>12319.846566677134</v>
      </c>
      <c r="O791" s="180">
        <f t="shared" ca="1" si="39"/>
        <v>1.2684356379169521E-2</v>
      </c>
      <c r="P791" s="180"/>
      <c r="Q791" s="180"/>
      <c r="R791" s="180"/>
      <c r="S791" s="180"/>
      <c r="T791" s="180"/>
    </row>
    <row r="792" spans="1:20" x14ac:dyDescent="0.25">
      <c r="A792" t="s">
        <v>244</v>
      </c>
      <c r="B792" t="s">
        <v>237</v>
      </c>
      <c r="C792" t="s">
        <v>238</v>
      </c>
      <c r="D792" t="s">
        <v>264</v>
      </c>
      <c r="E792" t="s">
        <v>228</v>
      </c>
      <c r="F792">
        <v>2000</v>
      </c>
      <c r="G792">
        <v>3.7040845070422499E-4</v>
      </c>
      <c r="H792" t="s">
        <v>240</v>
      </c>
      <c r="I792" t="s">
        <v>241</v>
      </c>
      <c r="J792" t="s">
        <v>3</v>
      </c>
      <c r="K792" s="183">
        <f ca="1">VLOOKUP(F792,
    OFFSET(INDIRECT(ADDRESS(MATCH(J792,'Vehicle numbers'!$A$5:$A$162,0),1,1,1,$L$6)),4,1,COUNTIF('Vehicle numbers'!$A$5:$A$162,J792),4),
    MATCH(K$8,'Vehicle numbers'!$B$4:$D$4,0))*1000</f>
        <v>953737</v>
      </c>
      <c r="L792" s="183">
        <f ca="1">VLOOKUP(F792,
    OFFSET(INDIRECT(ADDRESS(MATCH(J792,'Vehicle numbers'!$A$5:$A$162,0),1,1,1,$L$6)),4,1,COUNTIF('Vehicle numbers'!$A$5:$A$162,J792),4),
    MATCH(L$8,'Vehicle numbers'!$B$4:$D$4,0))*1000</f>
        <v>971263.04231793806</v>
      </c>
      <c r="M792" s="184">
        <f>VLOOKUP(F792,'Annual distance covered (GB)'!$A$8:$H$33,MATCH(J792,'Annual distance covered (GB)'!$A$7:$H$7,0))</f>
        <v>4.5999999999999996</v>
      </c>
      <c r="N792" s="2">
        <f t="shared" ca="1" si="38"/>
        <v>1735.1896572784676</v>
      </c>
      <c r="O792" s="180">
        <f t="shared" ca="1" si="39"/>
        <v>1.7865290674886629E-3</v>
      </c>
      <c r="P792" s="180"/>
      <c r="Q792" s="180"/>
      <c r="R792" s="180"/>
      <c r="S792" s="180"/>
      <c r="T792" s="180"/>
    </row>
    <row r="793" spans="1:20" x14ac:dyDescent="0.25">
      <c r="A793" t="s">
        <v>246</v>
      </c>
      <c r="B793" t="s">
        <v>237</v>
      </c>
      <c r="C793" t="s">
        <v>238</v>
      </c>
      <c r="D793" t="s">
        <v>264</v>
      </c>
      <c r="E793" t="s">
        <v>228</v>
      </c>
      <c r="F793">
        <v>2000</v>
      </c>
      <c r="G793">
        <v>2.9632676056337998E-4</v>
      </c>
      <c r="H793" t="s">
        <v>240</v>
      </c>
      <c r="I793" t="s">
        <v>241</v>
      </c>
      <c r="J793" t="s">
        <v>3</v>
      </c>
      <c r="K793" s="183">
        <f ca="1">VLOOKUP(F793,
    OFFSET(INDIRECT(ADDRESS(MATCH(J793,'Vehicle numbers'!$A$5:$A$162,0),1,1,1,$L$6)),4,1,COUNTIF('Vehicle numbers'!$A$5:$A$162,J793),4),
    MATCH(K$8,'Vehicle numbers'!$B$4:$D$4,0))*1000</f>
        <v>953737</v>
      </c>
      <c r="L793" s="183">
        <f ca="1">VLOOKUP(F793,
    OFFSET(INDIRECT(ADDRESS(MATCH(J793,'Vehicle numbers'!$A$5:$A$162,0),1,1,1,$L$6)),4,1,COUNTIF('Vehicle numbers'!$A$5:$A$162,J793),4),
    MATCH(L$8,'Vehicle numbers'!$B$4:$D$4,0))*1000</f>
        <v>971263.04231793806</v>
      </c>
      <c r="M793" s="184">
        <f>VLOOKUP(F793,'Annual distance covered (GB)'!$A$8:$H$33,MATCH(J793,'Annual distance covered (GB)'!$A$7:$H$7,0))</f>
        <v>4.5999999999999996</v>
      </c>
      <c r="N793" s="2">
        <f t="shared" ca="1" si="38"/>
        <v>1388.1517258227739</v>
      </c>
      <c r="O793" s="180">
        <f t="shared" ca="1" si="39"/>
        <v>1.4292232539909301E-3</v>
      </c>
      <c r="P793" s="180"/>
      <c r="Q793" s="180"/>
      <c r="R793" s="180"/>
      <c r="S793" s="180"/>
      <c r="T793" s="180"/>
    </row>
    <row r="794" spans="1:20" x14ac:dyDescent="0.25">
      <c r="A794" t="s">
        <v>236</v>
      </c>
      <c r="B794" t="s">
        <v>237</v>
      </c>
      <c r="C794" t="s">
        <v>238</v>
      </c>
      <c r="D794" t="s">
        <v>239</v>
      </c>
      <c r="E794" t="s">
        <v>229</v>
      </c>
      <c r="F794">
        <v>2001</v>
      </c>
      <c r="G794">
        <v>8.4410000000000093E-3</v>
      </c>
      <c r="H794" t="s">
        <v>240</v>
      </c>
      <c r="I794" t="s">
        <v>241</v>
      </c>
      <c r="J794" t="s">
        <v>242</v>
      </c>
      <c r="K794" s="183">
        <f ca="1">VLOOKUP(F794,
    OFFSET(INDIRECT(ADDRESS(MATCH(J794,'Vehicle numbers'!$A$5:$A$162,0),1,1,1,$L$6)),4,1,COUNTIF('Vehicle numbers'!$A$5:$A$162,J794),4),
    MATCH(K$8,'Vehicle numbers'!$B$4:$D$4,0))*1000</f>
        <v>171618</v>
      </c>
      <c r="L794" s="183">
        <f ca="1">VLOOKUP(F794,
    OFFSET(INDIRECT(ADDRESS(MATCH(J794,'Vehicle numbers'!$A$5:$A$162,0),1,1,1,$L$6)),4,1,COUNTIF('Vehicle numbers'!$A$5:$A$162,J794),4),
    MATCH(L$8,'Vehicle numbers'!$B$4:$D$4,0))*1000</f>
        <v>177614.27051266847</v>
      </c>
      <c r="M794" s="184">
        <f>VLOOKUP(F794,'Annual distance covered (GB)'!$A$8:$H$33,MATCH(J794,'Annual distance covered (GB)'!$A$7:$H$7,0))</f>
        <v>5.0999999999999996</v>
      </c>
      <c r="N794" s="2">
        <f t="shared" ca="1" si="38"/>
        <v>44553.219899584677</v>
      </c>
      <c r="O794" s="180">
        <f t="shared" ca="1" si="39"/>
        <v>0.25084256896129797</v>
      </c>
      <c r="P794" s="180"/>
      <c r="Q794" s="180"/>
      <c r="R794" s="180"/>
      <c r="S794" s="180"/>
      <c r="T794" s="180"/>
    </row>
    <row r="795" spans="1:20" x14ac:dyDescent="0.25">
      <c r="A795" t="s">
        <v>243</v>
      </c>
      <c r="B795" t="s">
        <v>237</v>
      </c>
      <c r="C795" t="s">
        <v>238</v>
      </c>
      <c r="D795" t="s">
        <v>239</v>
      </c>
      <c r="E795" t="s">
        <v>229</v>
      </c>
      <c r="F795">
        <v>2001</v>
      </c>
      <c r="G795">
        <v>3.3763999999999999E-3</v>
      </c>
      <c r="H795" t="s">
        <v>240</v>
      </c>
      <c r="I795" t="s">
        <v>241</v>
      </c>
      <c r="J795" t="s">
        <v>242</v>
      </c>
      <c r="K795" s="183">
        <f ca="1">VLOOKUP(F795,
    OFFSET(INDIRECT(ADDRESS(MATCH(J795,'Vehicle numbers'!$A$5:$A$162,0),1,1,1,$L$6)),4,1,COUNTIF('Vehicle numbers'!$A$5:$A$162,J795),4),
    MATCH(K$8,'Vehicle numbers'!$B$4:$D$4,0))*1000</f>
        <v>171618</v>
      </c>
      <c r="L795" s="183">
        <f ca="1">VLOOKUP(F795,
    OFFSET(INDIRECT(ADDRESS(MATCH(J795,'Vehicle numbers'!$A$5:$A$162,0),1,1,1,$L$6)),4,1,COUNTIF('Vehicle numbers'!$A$5:$A$162,J795),4),
    MATCH(L$8,'Vehicle numbers'!$B$4:$D$4,0))*1000</f>
        <v>177614.27051266847</v>
      </c>
      <c r="M795" s="184">
        <f>VLOOKUP(F795,'Annual distance covered (GB)'!$A$8:$H$33,MATCH(J795,'Annual distance covered (GB)'!$A$7:$H$7,0))</f>
        <v>5.0999999999999996</v>
      </c>
      <c r="N795" s="2">
        <f t="shared" ca="1" si="38"/>
        <v>17821.287959833855</v>
      </c>
      <c r="O795" s="180">
        <f t="shared" ca="1" si="39"/>
        <v>0.10033702758451911</v>
      </c>
      <c r="P795" s="180"/>
      <c r="Q795" s="180"/>
      <c r="R795" s="180"/>
      <c r="S795" s="180"/>
      <c r="T795" s="180"/>
    </row>
    <row r="796" spans="1:20" x14ac:dyDescent="0.25">
      <c r="A796" t="s">
        <v>244</v>
      </c>
      <c r="B796" t="s">
        <v>237</v>
      </c>
      <c r="C796" t="s">
        <v>238</v>
      </c>
      <c r="D796" t="s">
        <v>239</v>
      </c>
      <c r="E796" t="s">
        <v>229</v>
      </c>
      <c r="F796">
        <v>2001</v>
      </c>
      <c r="G796">
        <v>8.4409999999999997E-4</v>
      </c>
      <c r="H796" t="s">
        <v>240</v>
      </c>
      <c r="I796" t="s">
        <v>241</v>
      </c>
      <c r="J796" t="s">
        <v>242</v>
      </c>
      <c r="K796" s="183">
        <f ca="1">VLOOKUP(F796,
    OFFSET(INDIRECT(ADDRESS(MATCH(J796,'Vehicle numbers'!$A$5:$A$162,0),1,1,1,$L$6)),4,1,COUNTIF('Vehicle numbers'!$A$5:$A$162,J796),4),
    MATCH(K$8,'Vehicle numbers'!$B$4:$D$4,0))*1000</f>
        <v>171618</v>
      </c>
      <c r="L796" s="183">
        <f ca="1">VLOOKUP(F796,
    OFFSET(INDIRECT(ADDRESS(MATCH(J796,'Vehicle numbers'!$A$5:$A$162,0),1,1,1,$L$6)),4,1,COUNTIF('Vehicle numbers'!$A$5:$A$162,J796),4),
    MATCH(L$8,'Vehicle numbers'!$B$4:$D$4,0))*1000</f>
        <v>177614.27051266847</v>
      </c>
      <c r="M796" s="184">
        <f>VLOOKUP(F796,'Annual distance covered (GB)'!$A$8:$H$33,MATCH(J796,'Annual distance covered (GB)'!$A$7:$H$7,0))</f>
        <v>5.0999999999999996</v>
      </c>
      <c r="N796" s="2">
        <f t="shared" ca="1" si="38"/>
        <v>4455.3219899584637</v>
      </c>
      <c r="O796" s="180">
        <f t="shared" ca="1" si="39"/>
        <v>2.5084256896129777E-2</v>
      </c>
      <c r="P796" s="180"/>
      <c r="Q796" s="180"/>
      <c r="R796" s="180"/>
      <c r="S796" s="180"/>
      <c r="T796" s="180"/>
    </row>
    <row r="797" spans="1:20" x14ac:dyDescent="0.25">
      <c r="A797" t="s">
        <v>246</v>
      </c>
      <c r="B797" t="s">
        <v>237</v>
      </c>
      <c r="C797" t="s">
        <v>238</v>
      </c>
      <c r="D797" t="s">
        <v>239</v>
      </c>
      <c r="E797" t="s">
        <v>229</v>
      </c>
      <c r="F797">
        <v>2001</v>
      </c>
      <c r="G797">
        <v>6.7528E-4</v>
      </c>
      <c r="H797" t="s">
        <v>240</v>
      </c>
      <c r="I797" t="s">
        <v>241</v>
      </c>
      <c r="J797" t="s">
        <v>242</v>
      </c>
      <c r="K797" s="183">
        <f ca="1">VLOOKUP(F797,
    OFFSET(INDIRECT(ADDRESS(MATCH(J797,'Vehicle numbers'!$A$5:$A$162,0),1,1,1,$L$6)),4,1,COUNTIF('Vehicle numbers'!$A$5:$A$162,J797),4),
    MATCH(K$8,'Vehicle numbers'!$B$4:$D$4,0))*1000</f>
        <v>171618</v>
      </c>
      <c r="L797" s="183">
        <f ca="1">VLOOKUP(F797,
    OFFSET(INDIRECT(ADDRESS(MATCH(J797,'Vehicle numbers'!$A$5:$A$162,0),1,1,1,$L$6)),4,1,COUNTIF('Vehicle numbers'!$A$5:$A$162,J797),4),
    MATCH(L$8,'Vehicle numbers'!$B$4:$D$4,0))*1000</f>
        <v>177614.27051266847</v>
      </c>
      <c r="M797" s="184">
        <f>VLOOKUP(F797,'Annual distance covered (GB)'!$A$8:$H$33,MATCH(J797,'Annual distance covered (GB)'!$A$7:$H$7,0))</f>
        <v>5.0999999999999996</v>
      </c>
      <c r="N797" s="2">
        <f t="shared" ca="1" si="38"/>
        <v>3564.2575919667706</v>
      </c>
      <c r="O797" s="180">
        <f t="shared" ca="1" si="39"/>
        <v>2.0067405516903818E-2</v>
      </c>
      <c r="P797" s="180"/>
      <c r="Q797" s="180"/>
      <c r="R797" s="180"/>
      <c r="S797" s="180"/>
      <c r="T797" s="180"/>
    </row>
    <row r="798" spans="1:20" x14ac:dyDescent="0.25">
      <c r="A798" t="s">
        <v>236</v>
      </c>
      <c r="B798" t="s">
        <v>237</v>
      </c>
      <c r="C798" t="s">
        <v>238</v>
      </c>
      <c r="D798" t="s">
        <v>239</v>
      </c>
      <c r="E798" t="s">
        <v>228</v>
      </c>
      <c r="F798">
        <v>2001</v>
      </c>
      <c r="G798">
        <v>1.38624E-2</v>
      </c>
      <c r="H798" t="s">
        <v>240</v>
      </c>
      <c r="I798" t="s">
        <v>241</v>
      </c>
      <c r="J798" t="s">
        <v>242</v>
      </c>
      <c r="K798" s="183">
        <f ca="1">VLOOKUP(F798,
    OFFSET(INDIRECT(ADDRESS(MATCH(J798,'Vehicle numbers'!$A$5:$A$162,0),1,1,1,$L$6)),4,1,COUNTIF('Vehicle numbers'!$A$5:$A$162,J798),4),
    MATCH(K$8,'Vehicle numbers'!$B$4:$D$4,0))*1000</f>
        <v>171618</v>
      </c>
      <c r="L798" s="183">
        <f ca="1">VLOOKUP(F798,
    OFFSET(INDIRECT(ADDRESS(MATCH(J798,'Vehicle numbers'!$A$5:$A$162,0),1,1,1,$L$6)),4,1,COUNTIF('Vehicle numbers'!$A$5:$A$162,J798),4),
    MATCH(L$8,'Vehicle numbers'!$B$4:$D$4,0))*1000</f>
        <v>177614.27051266847</v>
      </c>
      <c r="M798" s="184">
        <f>VLOOKUP(F798,'Annual distance covered (GB)'!$A$8:$H$33,MATCH(J798,'Annual distance covered (GB)'!$A$7:$H$7,0))</f>
        <v>5.0999999999999996</v>
      </c>
      <c r="N798" s="2">
        <f t="shared" ca="1" si="38"/>
        <v>73168.41079682525</v>
      </c>
      <c r="O798" s="180">
        <f t="shared" ca="1" si="39"/>
        <v>0.41195119393070645</v>
      </c>
      <c r="P798" s="180"/>
      <c r="Q798" s="180"/>
      <c r="R798" s="180"/>
      <c r="S798" s="180"/>
      <c r="T798" s="180"/>
    </row>
    <row r="799" spans="1:20" x14ac:dyDescent="0.25">
      <c r="A799" t="s">
        <v>243</v>
      </c>
      <c r="B799" t="s">
        <v>237</v>
      </c>
      <c r="C799" t="s">
        <v>238</v>
      </c>
      <c r="D799" t="s">
        <v>239</v>
      </c>
      <c r="E799" t="s">
        <v>228</v>
      </c>
      <c r="F799">
        <v>2001</v>
      </c>
      <c r="G799">
        <v>9.7036799999999993E-3</v>
      </c>
      <c r="H799" t="s">
        <v>240</v>
      </c>
      <c r="I799" t="s">
        <v>241</v>
      </c>
      <c r="J799" t="s">
        <v>242</v>
      </c>
      <c r="K799" s="183">
        <f ca="1">VLOOKUP(F799,
    OFFSET(INDIRECT(ADDRESS(MATCH(J799,'Vehicle numbers'!$A$5:$A$162,0),1,1,1,$L$6)),4,1,COUNTIF('Vehicle numbers'!$A$5:$A$162,J799),4),
    MATCH(K$8,'Vehicle numbers'!$B$4:$D$4,0))*1000</f>
        <v>171618</v>
      </c>
      <c r="L799" s="183">
        <f ca="1">VLOOKUP(F799,
    OFFSET(INDIRECT(ADDRESS(MATCH(J799,'Vehicle numbers'!$A$5:$A$162,0),1,1,1,$L$6)),4,1,COUNTIF('Vehicle numbers'!$A$5:$A$162,J799),4),
    MATCH(L$8,'Vehicle numbers'!$B$4:$D$4,0))*1000</f>
        <v>177614.27051266847</v>
      </c>
      <c r="M799" s="184">
        <f>VLOOKUP(F799,'Annual distance covered (GB)'!$A$8:$H$33,MATCH(J799,'Annual distance covered (GB)'!$A$7:$H$7,0))</f>
        <v>5.0999999999999996</v>
      </c>
      <c r="N799" s="2">
        <f t="shared" ca="1" si="38"/>
        <v>51217.887557777678</v>
      </c>
      <c r="O799" s="180">
        <f t="shared" ca="1" si="39"/>
        <v>0.28836583575149455</v>
      </c>
      <c r="P799" s="180"/>
      <c r="Q799" s="180"/>
      <c r="R799" s="180"/>
      <c r="S799" s="180"/>
      <c r="T799" s="180"/>
    </row>
    <row r="800" spans="1:20" x14ac:dyDescent="0.25">
      <c r="A800" t="s">
        <v>244</v>
      </c>
      <c r="B800" t="s">
        <v>237</v>
      </c>
      <c r="C800" t="s">
        <v>238</v>
      </c>
      <c r="D800" t="s">
        <v>239</v>
      </c>
      <c r="E800" t="s">
        <v>228</v>
      </c>
      <c r="F800">
        <v>2001</v>
      </c>
      <c r="G800">
        <v>1.3667154929577401E-3</v>
      </c>
      <c r="H800" t="s">
        <v>240</v>
      </c>
      <c r="I800" t="s">
        <v>241</v>
      </c>
      <c r="J800" t="s">
        <v>242</v>
      </c>
      <c r="K800" s="183">
        <f ca="1">VLOOKUP(F800,
    OFFSET(INDIRECT(ADDRESS(MATCH(J800,'Vehicle numbers'!$A$5:$A$162,0),1,1,1,$L$6)),4,1,COUNTIF('Vehicle numbers'!$A$5:$A$162,J800),4),
    MATCH(K$8,'Vehicle numbers'!$B$4:$D$4,0))*1000</f>
        <v>171618</v>
      </c>
      <c r="L800" s="183">
        <f ca="1">VLOOKUP(F800,
    OFFSET(INDIRECT(ADDRESS(MATCH(J800,'Vehicle numbers'!$A$5:$A$162,0),1,1,1,$L$6)),4,1,COUNTIF('Vehicle numbers'!$A$5:$A$162,J800),4),
    MATCH(L$8,'Vehicle numbers'!$B$4:$D$4,0))*1000</f>
        <v>177614.27051266847</v>
      </c>
      <c r="M800" s="184">
        <f>VLOOKUP(F800,'Annual distance covered (GB)'!$A$8:$H$33,MATCH(J800,'Annual distance covered (GB)'!$A$7:$H$7,0))</f>
        <v>5.0999999999999996</v>
      </c>
      <c r="N800" s="2">
        <f t="shared" ca="1" si="38"/>
        <v>7213.7869799686532</v>
      </c>
      <c r="O800" s="180">
        <f t="shared" ca="1" si="39"/>
        <v>4.0614906443872278E-2</v>
      </c>
      <c r="P800" s="180"/>
      <c r="Q800" s="180"/>
      <c r="R800" s="180"/>
      <c r="S800" s="180"/>
      <c r="T800" s="180"/>
    </row>
    <row r="801" spans="1:20" x14ac:dyDescent="0.25">
      <c r="A801" t="s">
        <v>246</v>
      </c>
      <c r="B801" t="s">
        <v>237</v>
      </c>
      <c r="C801" t="s">
        <v>238</v>
      </c>
      <c r="D801" t="s">
        <v>239</v>
      </c>
      <c r="E801" t="s">
        <v>228</v>
      </c>
      <c r="F801">
        <v>2001</v>
      </c>
      <c r="G801">
        <v>1.0933723943662001E-3</v>
      </c>
      <c r="H801" t="s">
        <v>240</v>
      </c>
      <c r="I801" t="s">
        <v>241</v>
      </c>
      <c r="J801" t="s">
        <v>242</v>
      </c>
      <c r="K801" s="183">
        <f ca="1">VLOOKUP(F801,
    OFFSET(INDIRECT(ADDRESS(MATCH(J801,'Vehicle numbers'!$A$5:$A$162,0),1,1,1,$L$6)),4,1,COUNTIF('Vehicle numbers'!$A$5:$A$162,J801),4),
    MATCH(K$8,'Vehicle numbers'!$B$4:$D$4,0))*1000</f>
        <v>171618</v>
      </c>
      <c r="L801" s="183">
        <f ca="1">VLOOKUP(F801,
    OFFSET(INDIRECT(ADDRESS(MATCH(J801,'Vehicle numbers'!$A$5:$A$162,0),1,1,1,$L$6)),4,1,COUNTIF('Vehicle numbers'!$A$5:$A$162,J801),4),
    MATCH(L$8,'Vehicle numbers'!$B$4:$D$4,0))*1000</f>
        <v>177614.27051266847</v>
      </c>
      <c r="M801" s="184">
        <f>VLOOKUP(F801,'Annual distance covered (GB)'!$A$8:$H$33,MATCH(J801,'Annual distance covered (GB)'!$A$7:$H$7,0))</f>
        <v>5.0999999999999996</v>
      </c>
      <c r="N801" s="2">
        <f t="shared" ca="1" si="38"/>
        <v>5771.0295839749651</v>
      </c>
      <c r="O801" s="180">
        <f t="shared" ca="1" si="39"/>
        <v>3.2491925155098064E-2</v>
      </c>
      <c r="P801" s="180"/>
      <c r="Q801" s="180"/>
      <c r="R801" s="180"/>
      <c r="S801" s="180"/>
      <c r="T801" s="180"/>
    </row>
    <row r="802" spans="1:20" x14ac:dyDescent="0.25">
      <c r="A802" t="s">
        <v>236</v>
      </c>
      <c r="B802" t="s">
        <v>237</v>
      </c>
      <c r="C802" t="s">
        <v>238</v>
      </c>
      <c r="D802" t="s">
        <v>248</v>
      </c>
      <c r="E802" t="s">
        <v>229</v>
      </c>
      <c r="F802">
        <v>2001</v>
      </c>
      <c r="G802">
        <v>2.7143E-2</v>
      </c>
      <c r="H802" t="s">
        <v>240</v>
      </c>
      <c r="I802" t="s">
        <v>241</v>
      </c>
      <c r="J802" t="s">
        <v>242</v>
      </c>
      <c r="K802" s="183">
        <f ca="1">VLOOKUP(F802,
    OFFSET(INDIRECT(ADDRESS(MATCH(J802,'Vehicle numbers'!$A$5:$A$162,0),1,1,1,$L$6)),4,1,COUNTIF('Vehicle numbers'!$A$5:$A$162,J802),4),
    MATCH(K$8,'Vehicle numbers'!$B$4:$D$4,0))*1000</f>
        <v>171618</v>
      </c>
      <c r="L802" s="183">
        <f ca="1">VLOOKUP(F802,
    OFFSET(INDIRECT(ADDRESS(MATCH(J802,'Vehicle numbers'!$A$5:$A$162,0),1,1,1,$L$6)),4,1,COUNTIF('Vehicle numbers'!$A$5:$A$162,J802),4),
    MATCH(L$8,'Vehicle numbers'!$B$4:$D$4,0))*1000</f>
        <v>177614.27051266847</v>
      </c>
      <c r="M802" s="184">
        <f>VLOOKUP(F802,'Annual distance covered (GB)'!$A$8:$H$33,MATCH(J802,'Annual distance covered (GB)'!$A$7:$H$7,0))</f>
        <v>5.0999999999999996</v>
      </c>
      <c r="N802" s="2">
        <f t="shared" ca="1" si="38"/>
        <v>143265.96940343868</v>
      </c>
      <c r="O802" s="180">
        <f t="shared" ca="1" si="39"/>
        <v>0.8066129426983184</v>
      </c>
      <c r="P802" s="180"/>
      <c r="Q802" s="180"/>
      <c r="R802" s="180"/>
      <c r="S802" s="180"/>
      <c r="T802" s="180"/>
    </row>
    <row r="803" spans="1:20" x14ac:dyDescent="0.25">
      <c r="A803" t="s">
        <v>243</v>
      </c>
      <c r="B803" t="s">
        <v>237</v>
      </c>
      <c r="C803" t="s">
        <v>238</v>
      </c>
      <c r="D803" t="s">
        <v>248</v>
      </c>
      <c r="E803" t="s">
        <v>229</v>
      </c>
      <c r="F803">
        <v>2001</v>
      </c>
      <c r="G803">
        <v>1.0857199999999999E-2</v>
      </c>
      <c r="H803" t="s">
        <v>240</v>
      </c>
      <c r="I803" t="s">
        <v>241</v>
      </c>
      <c r="J803" t="s">
        <v>242</v>
      </c>
      <c r="K803" s="183">
        <f ca="1">VLOOKUP(F803,
    OFFSET(INDIRECT(ADDRESS(MATCH(J803,'Vehicle numbers'!$A$5:$A$162,0),1,1,1,$L$6)),4,1,COUNTIF('Vehicle numbers'!$A$5:$A$162,J803),4),
    MATCH(K$8,'Vehicle numbers'!$B$4:$D$4,0))*1000</f>
        <v>171618</v>
      </c>
      <c r="L803" s="183">
        <f ca="1">VLOOKUP(F803,
    OFFSET(INDIRECT(ADDRESS(MATCH(J803,'Vehicle numbers'!$A$5:$A$162,0),1,1,1,$L$6)),4,1,COUNTIF('Vehicle numbers'!$A$5:$A$162,J803),4),
    MATCH(L$8,'Vehicle numbers'!$B$4:$D$4,0))*1000</f>
        <v>177614.27051266847</v>
      </c>
      <c r="M803" s="184">
        <f>VLOOKUP(F803,'Annual distance covered (GB)'!$A$8:$H$33,MATCH(J803,'Annual distance covered (GB)'!$A$7:$H$7,0))</f>
        <v>5.0999999999999996</v>
      </c>
      <c r="N803" s="2">
        <f t="shared" ca="1" si="38"/>
        <v>57306.387761375459</v>
      </c>
      <c r="O803" s="180">
        <f t="shared" ca="1" si="39"/>
        <v>0.32264517707932727</v>
      </c>
      <c r="P803" s="180"/>
      <c r="Q803" s="180"/>
      <c r="R803" s="180"/>
      <c r="S803" s="180"/>
      <c r="T803" s="180"/>
    </row>
    <row r="804" spans="1:20" x14ac:dyDescent="0.25">
      <c r="A804" t="s">
        <v>244</v>
      </c>
      <c r="B804" t="s">
        <v>237</v>
      </c>
      <c r="C804" t="s">
        <v>238</v>
      </c>
      <c r="D804" t="s">
        <v>248</v>
      </c>
      <c r="E804" t="s">
        <v>229</v>
      </c>
      <c r="F804">
        <v>2001</v>
      </c>
      <c r="G804">
        <v>2.7142999999999998E-3</v>
      </c>
      <c r="H804" t="s">
        <v>240</v>
      </c>
      <c r="I804" t="s">
        <v>241</v>
      </c>
      <c r="J804" t="s">
        <v>242</v>
      </c>
      <c r="K804" s="183">
        <f ca="1">VLOOKUP(F804,
    OFFSET(INDIRECT(ADDRESS(MATCH(J804,'Vehicle numbers'!$A$5:$A$162,0),1,1,1,$L$6)),4,1,COUNTIF('Vehicle numbers'!$A$5:$A$162,J804),4),
    MATCH(K$8,'Vehicle numbers'!$B$4:$D$4,0))*1000</f>
        <v>171618</v>
      </c>
      <c r="L804" s="183">
        <f ca="1">VLOOKUP(F804,
    OFFSET(INDIRECT(ADDRESS(MATCH(J804,'Vehicle numbers'!$A$5:$A$162,0),1,1,1,$L$6)),4,1,COUNTIF('Vehicle numbers'!$A$5:$A$162,J804),4),
    MATCH(L$8,'Vehicle numbers'!$B$4:$D$4,0))*1000</f>
        <v>177614.27051266847</v>
      </c>
      <c r="M804" s="184">
        <f>VLOOKUP(F804,'Annual distance covered (GB)'!$A$8:$H$33,MATCH(J804,'Annual distance covered (GB)'!$A$7:$H$7,0))</f>
        <v>5.0999999999999996</v>
      </c>
      <c r="N804" s="2">
        <f t="shared" ca="1" si="38"/>
        <v>14326.596940343865</v>
      </c>
      <c r="O804" s="180">
        <f t="shared" ca="1" si="39"/>
        <v>8.0661294269831818E-2</v>
      </c>
      <c r="P804" s="180"/>
      <c r="Q804" s="180"/>
      <c r="R804" s="180"/>
      <c r="S804" s="180"/>
      <c r="T804" s="180"/>
    </row>
    <row r="805" spans="1:20" x14ac:dyDescent="0.25">
      <c r="A805" t="s">
        <v>246</v>
      </c>
      <c r="B805" t="s">
        <v>237</v>
      </c>
      <c r="C805" t="s">
        <v>238</v>
      </c>
      <c r="D805" t="s">
        <v>248</v>
      </c>
      <c r="E805" t="s">
        <v>229</v>
      </c>
      <c r="F805">
        <v>2001</v>
      </c>
      <c r="G805">
        <v>2.1714400000000002E-3</v>
      </c>
      <c r="H805" t="s">
        <v>240</v>
      </c>
      <c r="I805" t="s">
        <v>241</v>
      </c>
      <c r="J805" t="s">
        <v>242</v>
      </c>
      <c r="K805" s="183">
        <f ca="1">VLOOKUP(F805,
    OFFSET(INDIRECT(ADDRESS(MATCH(J805,'Vehicle numbers'!$A$5:$A$162,0),1,1,1,$L$6)),4,1,COUNTIF('Vehicle numbers'!$A$5:$A$162,J805),4),
    MATCH(K$8,'Vehicle numbers'!$B$4:$D$4,0))*1000</f>
        <v>171618</v>
      </c>
      <c r="L805" s="183">
        <f ca="1">VLOOKUP(F805,
    OFFSET(INDIRECT(ADDRESS(MATCH(J805,'Vehicle numbers'!$A$5:$A$162,0),1,1,1,$L$6)),4,1,COUNTIF('Vehicle numbers'!$A$5:$A$162,J805),4),
    MATCH(L$8,'Vehicle numbers'!$B$4:$D$4,0))*1000</f>
        <v>177614.27051266847</v>
      </c>
      <c r="M805" s="184">
        <f>VLOOKUP(F805,'Annual distance covered (GB)'!$A$8:$H$33,MATCH(J805,'Annual distance covered (GB)'!$A$7:$H$7,0))</f>
        <v>5.0999999999999996</v>
      </c>
      <c r="N805" s="2">
        <f t="shared" ca="1" si="38"/>
        <v>11461.277552275093</v>
      </c>
      <c r="O805" s="180">
        <f t="shared" ca="1" si="39"/>
        <v>6.4529035415865466E-2</v>
      </c>
      <c r="P805" s="180"/>
      <c r="Q805" s="180"/>
      <c r="R805" s="180"/>
      <c r="S805" s="180"/>
      <c r="T805" s="180"/>
    </row>
    <row r="806" spans="1:20" x14ac:dyDescent="0.25">
      <c r="A806" t="s">
        <v>236</v>
      </c>
      <c r="B806" t="s">
        <v>237</v>
      </c>
      <c r="C806" t="s">
        <v>238</v>
      </c>
      <c r="D806" t="s">
        <v>248</v>
      </c>
      <c r="E806" t="s">
        <v>228</v>
      </c>
      <c r="F806">
        <v>2001</v>
      </c>
      <c r="G806">
        <v>1.6943393144569802E-2</v>
      </c>
      <c r="H806" t="s">
        <v>240</v>
      </c>
      <c r="I806" t="s">
        <v>241</v>
      </c>
      <c r="J806" t="s">
        <v>242</v>
      </c>
      <c r="K806" s="183">
        <f ca="1">VLOOKUP(F806,
    OFFSET(INDIRECT(ADDRESS(MATCH(J806,'Vehicle numbers'!$A$5:$A$162,0),1,1,1,$L$6)),4,1,COUNTIF('Vehicle numbers'!$A$5:$A$162,J806),4),
    MATCH(K$8,'Vehicle numbers'!$B$4:$D$4,0))*1000</f>
        <v>171618</v>
      </c>
      <c r="L806" s="183">
        <f ca="1">VLOOKUP(F806,
    OFFSET(INDIRECT(ADDRESS(MATCH(J806,'Vehicle numbers'!$A$5:$A$162,0),1,1,1,$L$6)),4,1,COUNTIF('Vehicle numbers'!$A$5:$A$162,J806),4),
    MATCH(L$8,'Vehicle numbers'!$B$4:$D$4,0))*1000</f>
        <v>177614.27051266847</v>
      </c>
      <c r="M806" s="184">
        <f>VLOOKUP(F806,'Annual distance covered (GB)'!$A$8:$H$33,MATCH(J806,'Annual distance covered (GB)'!$A$7:$H$7,0))</f>
        <v>5.0999999999999996</v>
      </c>
      <c r="N806" s="2">
        <f t="shared" ca="1" si="38"/>
        <v>89430.484612620916</v>
      </c>
      <c r="O806" s="180">
        <f t="shared" ca="1" si="39"/>
        <v>0.50350956797833546</v>
      </c>
      <c r="P806" s="180"/>
      <c r="Q806" s="180"/>
      <c r="R806" s="180"/>
      <c r="S806" s="180"/>
      <c r="T806" s="180"/>
    </row>
    <row r="807" spans="1:20" x14ac:dyDescent="0.25">
      <c r="A807" t="s">
        <v>243</v>
      </c>
      <c r="B807" t="s">
        <v>237</v>
      </c>
      <c r="C807" t="s">
        <v>238</v>
      </c>
      <c r="D807" t="s">
        <v>248</v>
      </c>
      <c r="E807" t="s">
        <v>228</v>
      </c>
      <c r="F807">
        <v>2001</v>
      </c>
      <c r="G807">
        <v>1.1860375201198901E-2</v>
      </c>
      <c r="H807" t="s">
        <v>240</v>
      </c>
      <c r="I807" t="s">
        <v>241</v>
      </c>
      <c r="J807" t="s">
        <v>242</v>
      </c>
      <c r="K807" s="183">
        <f ca="1">VLOOKUP(F807,
    OFFSET(INDIRECT(ADDRESS(MATCH(J807,'Vehicle numbers'!$A$5:$A$162,0),1,1,1,$L$6)),4,1,COUNTIF('Vehicle numbers'!$A$5:$A$162,J807),4),
    MATCH(K$8,'Vehicle numbers'!$B$4:$D$4,0))*1000</f>
        <v>171618</v>
      </c>
      <c r="L807" s="183">
        <f ca="1">VLOOKUP(F807,
    OFFSET(INDIRECT(ADDRESS(MATCH(J807,'Vehicle numbers'!$A$5:$A$162,0),1,1,1,$L$6)),4,1,COUNTIF('Vehicle numbers'!$A$5:$A$162,J807),4),
    MATCH(L$8,'Vehicle numbers'!$B$4:$D$4,0))*1000</f>
        <v>177614.27051266847</v>
      </c>
      <c r="M807" s="184">
        <f>VLOOKUP(F807,'Annual distance covered (GB)'!$A$8:$H$33,MATCH(J807,'Annual distance covered (GB)'!$A$7:$H$7,0))</f>
        <v>5.0999999999999996</v>
      </c>
      <c r="N807" s="2">
        <f t="shared" ca="1" si="38"/>
        <v>62601.339228834848</v>
      </c>
      <c r="O807" s="180">
        <f t="shared" ca="1" si="39"/>
        <v>0.352456697584836</v>
      </c>
      <c r="P807" s="180"/>
      <c r="Q807" s="180"/>
      <c r="R807" s="180"/>
      <c r="S807" s="180"/>
      <c r="T807" s="180"/>
    </row>
    <row r="808" spans="1:20" x14ac:dyDescent="0.25">
      <c r="A808" t="s">
        <v>244</v>
      </c>
      <c r="B808" t="s">
        <v>237</v>
      </c>
      <c r="C808" t="s">
        <v>238</v>
      </c>
      <c r="D808" t="s">
        <v>248</v>
      </c>
      <c r="E808" t="s">
        <v>228</v>
      </c>
      <c r="F808">
        <v>2001</v>
      </c>
      <c r="G808">
        <v>1.67047538045055E-3</v>
      </c>
      <c r="H808" t="s">
        <v>240</v>
      </c>
      <c r="I808" t="s">
        <v>241</v>
      </c>
      <c r="J808" t="s">
        <v>242</v>
      </c>
      <c r="K808" s="183">
        <f ca="1">VLOOKUP(F808,
    OFFSET(INDIRECT(ADDRESS(MATCH(J808,'Vehicle numbers'!$A$5:$A$162,0),1,1,1,$L$6)),4,1,COUNTIF('Vehicle numbers'!$A$5:$A$162,J808),4),
    MATCH(K$8,'Vehicle numbers'!$B$4:$D$4,0))*1000</f>
        <v>171618</v>
      </c>
      <c r="L808" s="183">
        <f ca="1">VLOOKUP(F808,
    OFFSET(INDIRECT(ADDRESS(MATCH(J808,'Vehicle numbers'!$A$5:$A$162,0),1,1,1,$L$6)),4,1,COUNTIF('Vehicle numbers'!$A$5:$A$162,J808),4),
    MATCH(L$8,'Vehicle numbers'!$B$4:$D$4,0))*1000</f>
        <v>177614.27051266847</v>
      </c>
      <c r="M808" s="184">
        <f>VLOOKUP(F808,'Annual distance covered (GB)'!$A$8:$H$33,MATCH(J808,'Annual distance covered (GB)'!$A$7:$H$7,0))</f>
        <v>5.0999999999999996</v>
      </c>
      <c r="N808" s="2">
        <f t="shared" ca="1" si="38"/>
        <v>8817.0900322302623</v>
      </c>
      <c r="O808" s="180">
        <f t="shared" ca="1" si="39"/>
        <v>4.9641788392230435E-2</v>
      </c>
      <c r="P808" s="180"/>
      <c r="Q808" s="180"/>
      <c r="R808" s="180"/>
      <c r="S808" s="180"/>
      <c r="T808" s="180"/>
    </row>
    <row r="809" spans="1:20" x14ac:dyDescent="0.25">
      <c r="A809" t="s">
        <v>246</v>
      </c>
      <c r="B809" t="s">
        <v>237</v>
      </c>
      <c r="C809" t="s">
        <v>238</v>
      </c>
      <c r="D809" t="s">
        <v>248</v>
      </c>
      <c r="E809" t="s">
        <v>228</v>
      </c>
      <c r="F809">
        <v>2001</v>
      </c>
      <c r="G809">
        <v>1.3363803043604399E-3</v>
      </c>
      <c r="H809" t="s">
        <v>240</v>
      </c>
      <c r="I809" t="s">
        <v>241</v>
      </c>
      <c r="J809" t="s">
        <v>242</v>
      </c>
      <c r="K809" s="183">
        <f ca="1">VLOOKUP(F809,
    OFFSET(INDIRECT(ADDRESS(MATCH(J809,'Vehicle numbers'!$A$5:$A$162,0),1,1,1,$L$6)),4,1,COUNTIF('Vehicle numbers'!$A$5:$A$162,J809),4),
    MATCH(K$8,'Vehicle numbers'!$B$4:$D$4,0))*1000</f>
        <v>171618</v>
      </c>
      <c r="L809" s="183">
        <f ca="1">VLOOKUP(F809,
    OFFSET(INDIRECT(ADDRESS(MATCH(J809,'Vehicle numbers'!$A$5:$A$162,0),1,1,1,$L$6)),4,1,COUNTIF('Vehicle numbers'!$A$5:$A$162,J809),4),
    MATCH(L$8,'Vehicle numbers'!$B$4:$D$4,0))*1000</f>
        <v>177614.27051266847</v>
      </c>
      <c r="M809" s="184">
        <f>VLOOKUP(F809,'Annual distance covered (GB)'!$A$8:$H$33,MATCH(J809,'Annual distance covered (GB)'!$A$7:$H$7,0))</f>
        <v>5.0999999999999996</v>
      </c>
      <c r="N809" s="2">
        <f t="shared" ca="1" si="38"/>
        <v>7053.6720257842107</v>
      </c>
      <c r="O809" s="180">
        <f t="shared" ca="1" si="39"/>
        <v>3.9713430713784352E-2</v>
      </c>
      <c r="P809" s="180"/>
      <c r="Q809" s="180"/>
      <c r="R809" s="180"/>
      <c r="S809" s="180"/>
      <c r="T809" s="180"/>
    </row>
    <row r="810" spans="1:20" x14ac:dyDescent="0.25">
      <c r="A810" t="s">
        <v>236</v>
      </c>
      <c r="B810" t="s">
        <v>237</v>
      </c>
      <c r="C810" t="s">
        <v>238</v>
      </c>
      <c r="D810" t="s">
        <v>249</v>
      </c>
      <c r="E810" t="s">
        <v>229</v>
      </c>
      <c r="F810">
        <v>2001</v>
      </c>
      <c r="G810">
        <v>5.35949999999999E-2</v>
      </c>
      <c r="H810" t="s">
        <v>240</v>
      </c>
      <c r="I810" t="s">
        <v>241</v>
      </c>
      <c r="J810" t="s">
        <v>242</v>
      </c>
      <c r="K810" s="183">
        <f ca="1">VLOOKUP(F810,
    OFFSET(INDIRECT(ADDRESS(MATCH(J810,'Vehicle numbers'!$A$5:$A$162,0),1,1,1,$L$6)),4,1,COUNTIF('Vehicle numbers'!$A$5:$A$162,J810),4),
    MATCH(K$8,'Vehicle numbers'!$B$4:$D$4,0))*1000</f>
        <v>171618</v>
      </c>
      <c r="L810" s="183">
        <f ca="1">VLOOKUP(F810,
    OFFSET(INDIRECT(ADDRESS(MATCH(J810,'Vehicle numbers'!$A$5:$A$162,0),1,1,1,$L$6)),4,1,COUNTIF('Vehicle numbers'!$A$5:$A$162,J810),4),
    MATCH(L$8,'Vehicle numbers'!$B$4:$D$4,0))*1000</f>
        <v>177614.27051266847</v>
      </c>
      <c r="M810" s="184">
        <f>VLOOKUP(F810,'Annual distance covered (GB)'!$A$8:$H$33,MATCH(J810,'Annual distance covered (GB)'!$A$7:$H$7,0))</f>
        <v>5.0999999999999996</v>
      </c>
      <c r="N810" s="2">
        <f t="shared" ca="1" si="38"/>
        <v>282884.70803438383</v>
      </c>
      <c r="O810" s="180">
        <f t="shared" ca="1" si="39"/>
        <v>1.5926913260846733</v>
      </c>
      <c r="P810" s="180"/>
      <c r="Q810" s="180"/>
      <c r="R810" s="180"/>
      <c r="S810" s="180"/>
      <c r="T810" s="180"/>
    </row>
    <row r="811" spans="1:20" x14ac:dyDescent="0.25">
      <c r="A811" t="s">
        <v>243</v>
      </c>
      <c r="B811" t="s">
        <v>237</v>
      </c>
      <c r="C811" t="s">
        <v>238</v>
      </c>
      <c r="D811" t="s">
        <v>249</v>
      </c>
      <c r="E811" t="s">
        <v>229</v>
      </c>
      <c r="F811">
        <v>2001</v>
      </c>
      <c r="G811">
        <v>2.1437999999999999E-2</v>
      </c>
      <c r="H811" t="s">
        <v>240</v>
      </c>
      <c r="I811" t="s">
        <v>241</v>
      </c>
      <c r="J811" t="s">
        <v>242</v>
      </c>
      <c r="K811" s="183">
        <f ca="1">VLOOKUP(F811,
    OFFSET(INDIRECT(ADDRESS(MATCH(J811,'Vehicle numbers'!$A$5:$A$162,0),1,1,1,$L$6)),4,1,COUNTIF('Vehicle numbers'!$A$5:$A$162,J811),4),
    MATCH(K$8,'Vehicle numbers'!$B$4:$D$4,0))*1000</f>
        <v>171618</v>
      </c>
      <c r="L811" s="183">
        <f ca="1">VLOOKUP(F811,
    OFFSET(INDIRECT(ADDRESS(MATCH(J811,'Vehicle numbers'!$A$5:$A$162,0),1,1,1,$L$6)),4,1,COUNTIF('Vehicle numbers'!$A$5:$A$162,J811),4),
    MATCH(L$8,'Vehicle numbers'!$B$4:$D$4,0))*1000</f>
        <v>177614.27051266847</v>
      </c>
      <c r="M811" s="184">
        <f>VLOOKUP(F811,'Annual distance covered (GB)'!$A$8:$H$33,MATCH(J811,'Annual distance covered (GB)'!$A$7:$H$7,0))</f>
        <v>5.0999999999999996</v>
      </c>
      <c r="N811" s="2">
        <f t="shared" ca="1" si="38"/>
        <v>113153.88321375372</v>
      </c>
      <c r="O811" s="180">
        <f t="shared" ca="1" si="39"/>
        <v>0.63707653043387036</v>
      </c>
      <c r="P811" s="180"/>
      <c r="Q811" s="180"/>
      <c r="R811" s="180"/>
      <c r="S811" s="180"/>
      <c r="T811" s="180"/>
    </row>
    <row r="812" spans="1:20" x14ac:dyDescent="0.25">
      <c r="A812" t="s">
        <v>244</v>
      </c>
      <c r="B812" t="s">
        <v>237</v>
      </c>
      <c r="C812" t="s">
        <v>238</v>
      </c>
      <c r="D812" t="s">
        <v>249</v>
      </c>
      <c r="E812" t="s">
        <v>229</v>
      </c>
      <c r="F812">
        <v>2001</v>
      </c>
      <c r="G812">
        <v>5.3594999999999997E-3</v>
      </c>
      <c r="H812" t="s">
        <v>240</v>
      </c>
      <c r="I812" t="s">
        <v>241</v>
      </c>
      <c r="J812" t="s">
        <v>242</v>
      </c>
      <c r="K812" s="183">
        <f ca="1">VLOOKUP(F812,
    OFFSET(INDIRECT(ADDRESS(MATCH(J812,'Vehicle numbers'!$A$5:$A$162,0),1,1,1,$L$6)),4,1,COUNTIF('Vehicle numbers'!$A$5:$A$162,J812),4),
    MATCH(K$8,'Vehicle numbers'!$B$4:$D$4,0))*1000</f>
        <v>171618</v>
      </c>
      <c r="L812" s="183">
        <f ca="1">VLOOKUP(F812,
    OFFSET(INDIRECT(ADDRESS(MATCH(J812,'Vehicle numbers'!$A$5:$A$162,0),1,1,1,$L$6)),4,1,COUNTIF('Vehicle numbers'!$A$5:$A$162,J812),4),
    MATCH(L$8,'Vehicle numbers'!$B$4:$D$4,0))*1000</f>
        <v>177614.27051266847</v>
      </c>
      <c r="M812" s="184">
        <f>VLOOKUP(F812,'Annual distance covered (GB)'!$A$8:$H$33,MATCH(J812,'Annual distance covered (GB)'!$A$7:$H$7,0))</f>
        <v>5.0999999999999996</v>
      </c>
      <c r="N812" s="2">
        <f t="shared" ca="1" si="38"/>
        <v>28288.470803438431</v>
      </c>
      <c r="O812" s="180">
        <f t="shared" ca="1" si="39"/>
        <v>0.15926913260846759</v>
      </c>
      <c r="P812" s="180"/>
      <c r="Q812" s="180"/>
      <c r="R812" s="180"/>
      <c r="S812" s="180"/>
      <c r="T812" s="180"/>
    </row>
    <row r="813" spans="1:20" x14ac:dyDescent="0.25">
      <c r="A813" t="s">
        <v>246</v>
      </c>
      <c r="B813" t="s">
        <v>237</v>
      </c>
      <c r="C813" t="s">
        <v>238</v>
      </c>
      <c r="D813" t="s">
        <v>249</v>
      </c>
      <c r="E813" t="s">
        <v>229</v>
      </c>
      <c r="F813">
        <v>2001</v>
      </c>
      <c r="G813">
        <v>4.2875999999999999E-3</v>
      </c>
      <c r="H813" t="s">
        <v>240</v>
      </c>
      <c r="I813" t="s">
        <v>241</v>
      </c>
      <c r="J813" t="s">
        <v>242</v>
      </c>
      <c r="K813" s="183">
        <f ca="1">VLOOKUP(F813,
    OFFSET(INDIRECT(ADDRESS(MATCH(J813,'Vehicle numbers'!$A$5:$A$162,0),1,1,1,$L$6)),4,1,COUNTIF('Vehicle numbers'!$A$5:$A$162,J813),4),
    MATCH(K$8,'Vehicle numbers'!$B$4:$D$4,0))*1000</f>
        <v>171618</v>
      </c>
      <c r="L813" s="183">
        <f ca="1">VLOOKUP(F813,
    OFFSET(INDIRECT(ADDRESS(MATCH(J813,'Vehicle numbers'!$A$5:$A$162,0),1,1,1,$L$6)),4,1,COUNTIF('Vehicle numbers'!$A$5:$A$162,J813),4),
    MATCH(L$8,'Vehicle numbers'!$B$4:$D$4,0))*1000</f>
        <v>177614.27051266847</v>
      </c>
      <c r="M813" s="184">
        <f>VLOOKUP(F813,'Annual distance covered (GB)'!$A$8:$H$33,MATCH(J813,'Annual distance covered (GB)'!$A$7:$H$7,0))</f>
        <v>5.0999999999999996</v>
      </c>
      <c r="N813" s="2">
        <f t="shared" ca="1" si="38"/>
        <v>22630.776642750749</v>
      </c>
      <c r="O813" s="180">
        <f t="shared" ca="1" si="39"/>
        <v>0.12741530608677409</v>
      </c>
      <c r="P813" s="180"/>
      <c r="Q813" s="180"/>
      <c r="R813" s="180"/>
      <c r="S813" s="180"/>
      <c r="T813" s="180"/>
    </row>
    <row r="814" spans="1:20" x14ac:dyDescent="0.25">
      <c r="A814" t="s">
        <v>236</v>
      </c>
      <c r="B814" t="s">
        <v>237</v>
      </c>
      <c r="C814" t="s">
        <v>238</v>
      </c>
      <c r="D814" t="s">
        <v>249</v>
      </c>
      <c r="E814" t="s">
        <v>228</v>
      </c>
      <c r="F814">
        <v>2001</v>
      </c>
      <c r="G814">
        <v>2.15178644234338E-2</v>
      </c>
      <c r="H814" t="s">
        <v>240</v>
      </c>
      <c r="I814" t="s">
        <v>241</v>
      </c>
      <c r="J814" t="s">
        <v>242</v>
      </c>
      <c r="K814" s="183">
        <f ca="1">VLOOKUP(F814,
    OFFSET(INDIRECT(ADDRESS(MATCH(J814,'Vehicle numbers'!$A$5:$A$162,0),1,1,1,$L$6)),4,1,COUNTIF('Vehicle numbers'!$A$5:$A$162,J814),4),
    MATCH(K$8,'Vehicle numbers'!$B$4:$D$4,0))*1000</f>
        <v>171618</v>
      </c>
      <c r="L814" s="183">
        <f ca="1">VLOOKUP(F814,
    OFFSET(INDIRECT(ADDRESS(MATCH(J814,'Vehicle numbers'!$A$5:$A$162,0),1,1,1,$L$6)),4,1,COUNTIF('Vehicle numbers'!$A$5:$A$162,J814),4),
    MATCH(L$8,'Vehicle numbers'!$B$4:$D$4,0))*1000</f>
        <v>177614.27051266847</v>
      </c>
      <c r="M814" s="184">
        <f>VLOOKUP(F814,'Annual distance covered (GB)'!$A$8:$H$33,MATCH(J814,'Annual distance covered (GB)'!$A$7:$H$7,0))</f>
        <v>5.0999999999999996</v>
      </c>
      <c r="N814" s="2">
        <f t="shared" ca="1" si="38"/>
        <v>113575.42298622141</v>
      </c>
      <c r="O814" s="180">
        <f t="shared" ca="1" si="39"/>
        <v>0.63944987448584856</v>
      </c>
      <c r="P814" s="180"/>
      <c r="Q814" s="180"/>
      <c r="R814" s="180"/>
      <c r="S814" s="180"/>
      <c r="T814" s="180"/>
    </row>
    <row r="815" spans="1:20" x14ac:dyDescent="0.25">
      <c r="A815" t="s">
        <v>243</v>
      </c>
      <c r="B815" t="s">
        <v>237</v>
      </c>
      <c r="C815" t="s">
        <v>238</v>
      </c>
      <c r="D815" t="s">
        <v>249</v>
      </c>
      <c r="E815" t="s">
        <v>228</v>
      </c>
      <c r="F815">
        <v>2001</v>
      </c>
      <c r="G815">
        <v>1.50625050964037E-2</v>
      </c>
      <c r="H815" t="s">
        <v>240</v>
      </c>
      <c r="I815" t="s">
        <v>241</v>
      </c>
      <c r="J815" t="s">
        <v>242</v>
      </c>
      <c r="K815" s="183">
        <f ca="1">VLOOKUP(F815,
    OFFSET(INDIRECT(ADDRESS(MATCH(J815,'Vehicle numbers'!$A$5:$A$162,0),1,1,1,$L$6)),4,1,COUNTIF('Vehicle numbers'!$A$5:$A$162,J815),4),
    MATCH(K$8,'Vehicle numbers'!$B$4:$D$4,0))*1000</f>
        <v>171618</v>
      </c>
      <c r="L815" s="183">
        <f ca="1">VLOOKUP(F815,
    OFFSET(INDIRECT(ADDRESS(MATCH(J815,'Vehicle numbers'!$A$5:$A$162,0),1,1,1,$L$6)),4,1,COUNTIF('Vehicle numbers'!$A$5:$A$162,J815),4),
    MATCH(L$8,'Vehicle numbers'!$B$4:$D$4,0))*1000</f>
        <v>177614.27051266847</v>
      </c>
      <c r="M815" s="184">
        <f>VLOOKUP(F815,'Annual distance covered (GB)'!$A$8:$H$33,MATCH(J815,'Annual distance covered (GB)'!$A$7:$H$7,0))</f>
        <v>5.0999999999999996</v>
      </c>
      <c r="N815" s="2">
        <f t="shared" ca="1" si="38"/>
        <v>79502.796090355187</v>
      </c>
      <c r="O815" s="180">
        <f t="shared" ca="1" si="39"/>
        <v>0.44761491214009513</v>
      </c>
      <c r="P815" s="180"/>
      <c r="Q815" s="180"/>
      <c r="R815" s="180"/>
      <c r="S815" s="180"/>
      <c r="T815" s="180"/>
    </row>
    <row r="816" spans="1:20" x14ac:dyDescent="0.25">
      <c r="A816" t="s">
        <v>244</v>
      </c>
      <c r="B816" t="s">
        <v>237</v>
      </c>
      <c r="C816" t="s">
        <v>238</v>
      </c>
      <c r="D816" t="s">
        <v>249</v>
      </c>
      <c r="E816" t="s">
        <v>228</v>
      </c>
      <c r="F816">
        <v>2001</v>
      </c>
      <c r="G816">
        <v>2.1214795910427702E-3</v>
      </c>
      <c r="H816" t="s">
        <v>240</v>
      </c>
      <c r="I816" t="s">
        <v>241</v>
      </c>
      <c r="J816" t="s">
        <v>242</v>
      </c>
      <c r="K816" s="183">
        <f ca="1">VLOOKUP(F816,
    OFFSET(INDIRECT(ADDRESS(MATCH(J816,'Vehicle numbers'!$A$5:$A$162,0),1,1,1,$L$6)),4,1,COUNTIF('Vehicle numbers'!$A$5:$A$162,J816),4),
    MATCH(K$8,'Vehicle numbers'!$B$4:$D$4,0))*1000</f>
        <v>171618</v>
      </c>
      <c r="L816" s="183">
        <f ca="1">VLOOKUP(F816,
    OFFSET(INDIRECT(ADDRESS(MATCH(J816,'Vehicle numbers'!$A$5:$A$162,0),1,1,1,$L$6)),4,1,COUNTIF('Vehicle numbers'!$A$5:$A$162,J816),4),
    MATCH(L$8,'Vehicle numbers'!$B$4:$D$4,0))*1000</f>
        <v>177614.27051266847</v>
      </c>
      <c r="M816" s="184">
        <f>VLOOKUP(F816,'Annual distance covered (GB)'!$A$8:$H$33,MATCH(J816,'Annual distance covered (GB)'!$A$7:$H$7,0))</f>
        <v>5.0999999999999996</v>
      </c>
      <c r="N816" s="2">
        <f t="shared" ca="1" si="38"/>
        <v>11197.576914134514</v>
      </c>
      <c r="O816" s="180">
        <f t="shared" ca="1" si="39"/>
        <v>6.3044353822548499E-2</v>
      </c>
      <c r="P816" s="180"/>
      <c r="Q816" s="180"/>
      <c r="R816" s="180"/>
      <c r="S816" s="180"/>
      <c r="T816" s="180"/>
    </row>
    <row r="817" spans="1:20" x14ac:dyDescent="0.25">
      <c r="A817" t="s">
        <v>246</v>
      </c>
      <c r="B817" t="s">
        <v>237</v>
      </c>
      <c r="C817" t="s">
        <v>238</v>
      </c>
      <c r="D817" t="s">
        <v>249</v>
      </c>
      <c r="E817" t="s">
        <v>228</v>
      </c>
      <c r="F817">
        <v>2001</v>
      </c>
      <c r="G817">
        <v>1.6971836728342201E-3</v>
      </c>
      <c r="H817" t="s">
        <v>240</v>
      </c>
      <c r="I817" t="s">
        <v>241</v>
      </c>
      <c r="J817" t="s">
        <v>242</v>
      </c>
      <c r="K817" s="183">
        <f ca="1">VLOOKUP(F817,
    OFFSET(INDIRECT(ADDRESS(MATCH(J817,'Vehicle numbers'!$A$5:$A$162,0),1,1,1,$L$6)),4,1,COUNTIF('Vehicle numbers'!$A$5:$A$162,J817),4),
    MATCH(K$8,'Vehicle numbers'!$B$4:$D$4,0))*1000</f>
        <v>171618</v>
      </c>
      <c r="L817" s="183">
        <f ca="1">VLOOKUP(F817,
    OFFSET(INDIRECT(ADDRESS(MATCH(J817,'Vehicle numbers'!$A$5:$A$162,0),1,1,1,$L$6)),4,1,COUNTIF('Vehicle numbers'!$A$5:$A$162,J817),4),
    MATCH(L$8,'Vehicle numbers'!$B$4:$D$4,0))*1000</f>
        <v>177614.27051266847</v>
      </c>
      <c r="M817" s="184">
        <f>VLOOKUP(F817,'Annual distance covered (GB)'!$A$8:$H$33,MATCH(J817,'Annual distance covered (GB)'!$A$7:$H$7,0))</f>
        <v>5.0999999999999996</v>
      </c>
      <c r="N817" s="2">
        <f t="shared" ca="1" si="38"/>
        <v>8958.0615313076305</v>
      </c>
      <c r="O817" s="180">
        <f t="shared" ca="1" si="39"/>
        <v>5.043548305803891E-2</v>
      </c>
      <c r="P817" s="180"/>
      <c r="Q817" s="180"/>
      <c r="R817" s="180"/>
      <c r="S817" s="180"/>
      <c r="T817" s="180"/>
    </row>
    <row r="818" spans="1:20" x14ac:dyDescent="0.25">
      <c r="A818" t="s">
        <v>236</v>
      </c>
      <c r="B818" t="s">
        <v>237</v>
      </c>
      <c r="C818" t="s">
        <v>238</v>
      </c>
      <c r="D818" t="s">
        <v>250</v>
      </c>
      <c r="E818" t="s">
        <v>229</v>
      </c>
      <c r="F818">
        <v>2001</v>
      </c>
      <c r="G818">
        <v>1.3600000000000001E-3</v>
      </c>
      <c r="H818" t="s">
        <v>240</v>
      </c>
      <c r="I818" t="s">
        <v>241</v>
      </c>
      <c r="J818" t="s">
        <v>2</v>
      </c>
      <c r="K818" s="183">
        <f ca="1">VLOOKUP(F818,
    OFFSET(INDIRECT(ADDRESS(MATCH(J818,'Vehicle numbers'!$A$5:$A$162,0),1,1,1,$L$6)),4,1,COUNTIF('Vehicle numbers'!$A$5:$A$162,J818),4),
    MATCH(K$8,'Vehicle numbers'!$B$4:$D$4,0))*1000</f>
        <v>25125867</v>
      </c>
      <c r="L818" s="183">
        <f ca="1">VLOOKUP(F818,
    OFFSET(INDIRECT(ADDRESS(MATCH(J818,'Vehicle numbers'!$A$5:$A$162,0),1,1,1,$L$6)),4,1,COUNTIF('Vehicle numbers'!$A$5:$A$162,J818),4),
    MATCH(L$8,'Vehicle numbers'!$B$4:$D$4,0))*1000</f>
        <v>25898047.671699077</v>
      </c>
      <c r="M818" s="184">
        <f>VLOOKUP(F818,'Annual distance covered (GB)'!$A$8:$H$33,MATCH(J818,'Annual distance covered (GB)'!$A$7:$H$7,0))</f>
        <v>381.2</v>
      </c>
      <c r="N818" s="2">
        <f t="shared" ca="1" si="38"/>
        <v>534364.71069970622</v>
      </c>
      <c r="O818" s="180">
        <f t="shared" ca="1" si="39"/>
        <v>2.0633397446543834E-2</v>
      </c>
      <c r="P818" s="180"/>
      <c r="Q818" s="180"/>
      <c r="R818" s="180"/>
      <c r="S818" s="180"/>
      <c r="T818" s="180"/>
    </row>
    <row r="819" spans="1:20" x14ac:dyDescent="0.25">
      <c r="A819" t="s">
        <v>243</v>
      </c>
      <c r="B819" t="s">
        <v>237</v>
      </c>
      <c r="C819" t="s">
        <v>238</v>
      </c>
      <c r="D819" t="s">
        <v>250</v>
      </c>
      <c r="E819" t="s">
        <v>229</v>
      </c>
      <c r="F819">
        <v>2001</v>
      </c>
      <c r="G819">
        <v>5.44E-4</v>
      </c>
      <c r="H819" t="s">
        <v>240</v>
      </c>
      <c r="I819" t="s">
        <v>241</v>
      </c>
      <c r="J819" t="s">
        <v>2</v>
      </c>
      <c r="K819" s="183">
        <f ca="1">VLOOKUP(F819,
    OFFSET(INDIRECT(ADDRESS(MATCH(J819,'Vehicle numbers'!$A$5:$A$162,0),1,1,1,$L$6)),4,1,COUNTIF('Vehicle numbers'!$A$5:$A$162,J819),4),
    MATCH(K$8,'Vehicle numbers'!$B$4:$D$4,0))*1000</f>
        <v>25125867</v>
      </c>
      <c r="L819" s="183">
        <f ca="1">VLOOKUP(F819,
    OFFSET(INDIRECT(ADDRESS(MATCH(J819,'Vehicle numbers'!$A$5:$A$162,0),1,1,1,$L$6)),4,1,COUNTIF('Vehicle numbers'!$A$5:$A$162,J819),4),
    MATCH(L$8,'Vehicle numbers'!$B$4:$D$4,0))*1000</f>
        <v>25898047.671699077</v>
      </c>
      <c r="M819" s="184">
        <f>VLOOKUP(F819,'Annual distance covered (GB)'!$A$8:$H$33,MATCH(J819,'Annual distance covered (GB)'!$A$7:$H$7,0))</f>
        <v>381.2</v>
      </c>
      <c r="N819" s="2">
        <f t="shared" ca="1" si="38"/>
        <v>213745.88427988248</v>
      </c>
      <c r="O819" s="180">
        <f t="shared" ca="1" si="39"/>
        <v>8.2533589786175331E-3</v>
      </c>
      <c r="P819" s="180"/>
      <c r="Q819" s="180"/>
      <c r="R819" s="180"/>
      <c r="S819" s="180"/>
      <c r="T819" s="180"/>
    </row>
    <row r="820" spans="1:20" x14ac:dyDescent="0.25">
      <c r="A820" t="s">
        <v>244</v>
      </c>
      <c r="B820" t="s">
        <v>237</v>
      </c>
      <c r="C820" t="s">
        <v>238</v>
      </c>
      <c r="D820" t="s">
        <v>250</v>
      </c>
      <c r="E820" t="s">
        <v>229</v>
      </c>
      <c r="F820">
        <v>2001</v>
      </c>
      <c r="G820">
        <v>1.36E-4</v>
      </c>
      <c r="H820" t="s">
        <v>240</v>
      </c>
      <c r="I820" t="s">
        <v>241</v>
      </c>
      <c r="J820" t="s">
        <v>2</v>
      </c>
      <c r="K820" s="183">
        <f ca="1">VLOOKUP(F820,
    OFFSET(INDIRECT(ADDRESS(MATCH(J820,'Vehicle numbers'!$A$5:$A$162,0),1,1,1,$L$6)),4,1,COUNTIF('Vehicle numbers'!$A$5:$A$162,J820),4),
    MATCH(K$8,'Vehicle numbers'!$B$4:$D$4,0))*1000</f>
        <v>25125867</v>
      </c>
      <c r="L820" s="183">
        <f ca="1">VLOOKUP(F820,
    OFFSET(INDIRECT(ADDRESS(MATCH(J820,'Vehicle numbers'!$A$5:$A$162,0),1,1,1,$L$6)),4,1,COUNTIF('Vehicle numbers'!$A$5:$A$162,J820),4),
    MATCH(L$8,'Vehicle numbers'!$B$4:$D$4,0))*1000</f>
        <v>25898047.671699077</v>
      </c>
      <c r="M820" s="184">
        <f>VLOOKUP(F820,'Annual distance covered (GB)'!$A$8:$H$33,MATCH(J820,'Annual distance covered (GB)'!$A$7:$H$7,0))</f>
        <v>381.2</v>
      </c>
      <c r="N820" s="2">
        <f t="shared" ca="1" si="38"/>
        <v>53436.471069970619</v>
      </c>
      <c r="O820" s="180">
        <f t="shared" ca="1" si="39"/>
        <v>2.0633397446543833E-3</v>
      </c>
      <c r="P820" s="180"/>
      <c r="Q820" s="180"/>
      <c r="R820" s="180"/>
      <c r="S820" s="180"/>
      <c r="T820" s="180"/>
    </row>
    <row r="821" spans="1:20" x14ac:dyDescent="0.25">
      <c r="A821" t="s">
        <v>246</v>
      </c>
      <c r="B821" t="s">
        <v>237</v>
      </c>
      <c r="C821" t="s">
        <v>238</v>
      </c>
      <c r="D821" t="s">
        <v>250</v>
      </c>
      <c r="E821" t="s">
        <v>229</v>
      </c>
      <c r="F821">
        <v>2001</v>
      </c>
      <c r="G821">
        <v>1.088E-4</v>
      </c>
      <c r="H821" t="s">
        <v>240</v>
      </c>
      <c r="I821" t="s">
        <v>241</v>
      </c>
      <c r="J821" t="s">
        <v>2</v>
      </c>
      <c r="K821" s="183">
        <f ca="1">VLOOKUP(F821,
    OFFSET(INDIRECT(ADDRESS(MATCH(J821,'Vehicle numbers'!$A$5:$A$162,0),1,1,1,$L$6)),4,1,COUNTIF('Vehicle numbers'!$A$5:$A$162,J821),4),
    MATCH(K$8,'Vehicle numbers'!$B$4:$D$4,0))*1000</f>
        <v>25125867</v>
      </c>
      <c r="L821" s="183">
        <f ca="1">VLOOKUP(F821,
    OFFSET(INDIRECT(ADDRESS(MATCH(J821,'Vehicle numbers'!$A$5:$A$162,0),1,1,1,$L$6)),4,1,COUNTIF('Vehicle numbers'!$A$5:$A$162,J821),4),
    MATCH(L$8,'Vehicle numbers'!$B$4:$D$4,0))*1000</f>
        <v>25898047.671699077</v>
      </c>
      <c r="M821" s="184">
        <f>VLOOKUP(F821,'Annual distance covered (GB)'!$A$8:$H$33,MATCH(J821,'Annual distance covered (GB)'!$A$7:$H$7,0))</f>
        <v>381.2</v>
      </c>
      <c r="N821" s="2">
        <f t="shared" ca="1" si="38"/>
        <v>42749.176855976497</v>
      </c>
      <c r="O821" s="180">
        <f t="shared" ca="1" si="39"/>
        <v>1.6506717957235067E-3</v>
      </c>
      <c r="P821" s="180"/>
      <c r="Q821" s="180"/>
      <c r="R821" s="180"/>
      <c r="S821" s="180"/>
      <c r="T821" s="180"/>
    </row>
    <row r="822" spans="1:20" x14ac:dyDescent="0.25">
      <c r="A822" t="s">
        <v>236</v>
      </c>
      <c r="B822" t="s">
        <v>237</v>
      </c>
      <c r="C822" t="s">
        <v>238</v>
      </c>
      <c r="D822" t="s">
        <v>250</v>
      </c>
      <c r="E822" t="s">
        <v>228</v>
      </c>
      <c r="F822">
        <v>2001</v>
      </c>
      <c r="G822">
        <v>5.7910000000000001E-3</v>
      </c>
      <c r="H822" t="s">
        <v>240</v>
      </c>
      <c r="I822" t="s">
        <v>241</v>
      </c>
      <c r="J822" t="s">
        <v>2</v>
      </c>
      <c r="K822" s="183">
        <f ca="1">VLOOKUP(F822,
    OFFSET(INDIRECT(ADDRESS(MATCH(J822,'Vehicle numbers'!$A$5:$A$162,0),1,1,1,$L$6)),4,1,COUNTIF('Vehicle numbers'!$A$5:$A$162,J822),4),
    MATCH(K$8,'Vehicle numbers'!$B$4:$D$4,0))*1000</f>
        <v>25125867</v>
      </c>
      <c r="L822" s="183">
        <f ca="1">VLOOKUP(F822,
    OFFSET(INDIRECT(ADDRESS(MATCH(J822,'Vehicle numbers'!$A$5:$A$162,0),1,1,1,$L$6)),4,1,COUNTIF('Vehicle numbers'!$A$5:$A$162,J822),4),
    MATCH(L$8,'Vehicle numbers'!$B$4:$D$4,0))*1000</f>
        <v>25898047.671699077</v>
      </c>
      <c r="M822" s="184">
        <f>VLOOKUP(F822,'Annual distance covered (GB)'!$A$8:$H$33,MATCH(J822,'Annual distance covered (GB)'!$A$7:$H$7,0))</f>
        <v>381.2</v>
      </c>
      <c r="N822" s="2">
        <f t="shared" ca="1" si="38"/>
        <v>2275372.087986764</v>
      </c>
      <c r="O822" s="180">
        <f t="shared" ca="1" si="39"/>
        <v>8.7858826921276001E-2</v>
      </c>
      <c r="P822" s="180"/>
      <c r="Q822" s="180"/>
      <c r="R822" s="180"/>
      <c r="S822" s="180"/>
      <c r="T822" s="180"/>
    </row>
    <row r="823" spans="1:20" x14ac:dyDescent="0.25">
      <c r="A823" t="s">
        <v>243</v>
      </c>
      <c r="B823" t="s">
        <v>237</v>
      </c>
      <c r="C823" t="s">
        <v>238</v>
      </c>
      <c r="D823" t="s">
        <v>250</v>
      </c>
      <c r="E823" t="s">
        <v>228</v>
      </c>
      <c r="F823">
        <v>2001</v>
      </c>
      <c r="G823">
        <v>4.0537000000000004E-3</v>
      </c>
      <c r="H823" t="s">
        <v>240</v>
      </c>
      <c r="I823" t="s">
        <v>241</v>
      </c>
      <c r="J823" t="s">
        <v>2</v>
      </c>
      <c r="K823" s="183">
        <f ca="1">VLOOKUP(F823,
    OFFSET(INDIRECT(ADDRESS(MATCH(J823,'Vehicle numbers'!$A$5:$A$162,0),1,1,1,$L$6)),4,1,COUNTIF('Vehicle numbers'!$A$5:$A$162,J823),4),
    MATCH(K$8,'Vehicle numbers'!$B$4:$D$4,0))*1000</f>
        <v>25125867</v>
      </c>
      <c r="L823" s="183">
        <f ca="1">VLOOKUP(F823,
    OFFSET(INDIRECT(ADDRESS(MATCH(J823,'Vehicle numbers'!$A$5:$A$162,0),1,1,1,$L$6)),4,1,COUNTIF('Vehicle numbers'!$A$5:$A$162,J823),4),
    MATCH(L$8,'Vehicle numbers'!$B$4:$D$4,0))*1000</f>
        <v>25898047.671699077</v>
      </c>
      <c r="M823" s="184">
        <f>VLOOKUP(F823,'Annual distance covered (GB)'!$A$8:$H$33,MATCH(J823,'Annual distance covered (GB)'!$A$7:$H$7,0))</f>
        <v>381.2</v>
      </c>
      <c r="N823" s="2">
        <f t="shared" ca="1" si="38"/>
        <v>1592760.4615907348</v>
      </c>
      <c r="O823" s="180">
        <f t="shared" ca="1" si="39"/>
        <v>6.1501178844893194E-2</v>
      </c>
      <c r="P823" s="180"/>
      <c r="Q823" s="180"/>
      <c r="R823" s="180"/>
      <c r="S823" s="180"/>
      <c r="T823" s="180"/>
    </row>
    <row r="824" spans="1:20" x14ac:dyDescent="0.25">
      <c r="A824" t="s">
        <v>244</v>
      </c>
      <c r="B824" t="s">
        <v>237</v>
      </c>
      <c r="C824" t="s">
        <v>238</v>
      </c>
      <c r="D824" t="s">
        <v>250</v>
      </c>
      <c r="E824" t="s">
        <v>228</v>
      </c>
      <c r="F824">
        <v>2001</v>
      </c>
      <c r="G824">
        <v>5.7094366197182997E-4</v>
      </c>
      <c r="H824" t="s">
        <v>240</v>
      </c>
      <c r="I824" t="s">
        <v>241</v>
      </c>
      <c r="J824" t="s">
        <v>2</v>
      </c>
      <c r="K824" s="183">
        <f ca="1">VLOOKUP(F824,
    OFFSET(INDIRECT(ADDRESS(MATCH(J824,'Vehicle numbers'!$A$5:$A$162,0),1,1,1,$L$6)),4,1,COUNTIF('Vehicle numbers'!$A$5:$A$162,J824),4),
    MATCH(K$8,'Vehicle numbers'!$B$4:$D$4,0))*1000</f>
        <v>25125867</v>
      </c>
      <c r="L824" s="183">
        <f ca="1">VLOOKUP(F824,
    OFFSET(INDIRECT(ADDRESS(MATCH(J824,'Vehicle numbers'!$A$5:$A$162,0),1,1,1,$L$6)),4,1,COUNTIF('Vehicle numbers'!$A$5:$A$162,J824),4),
    MATCH(L$8,'Vehicle numbers'!$B$4:$D$4,0))*1000</f>
        <v>25898047.671699077</v>
      </c>
      <c r="M824" s="184">
        <f>VLOOKUP(F824,'Annual distance covered (GB)'!$A$8:$H$33,MATCH(J824,'Annual distance covered (GB)'!$A$7:$H$7,0))</f>
        <v>381.2</v>
      </c>
      <c r="N824" s="2">
        <f t="shared" ca="1" si="38"/>
        <v>224332.45937897629</v>
      </c>
      <c r="O824" s="180">
        <f t="shared" ca="1" si="39"/>
        <v>8.662137865477898E-3</v>
      </c>
      <c r="P824" s="180"/>
      <c r="Q824" s="180"/>
      <c r="R824" s="180"/>
      <c r="S824" s="180"/>
      <c r="T824" s="180"/>
    </row>
    <row r="825" spans="1:20" x14ac:dyDescent="0.25">
      <c r="A825" t="s">
        <v>246</v>
      </c>
      <c r="B825" t="s">
        <v>237</v>
      </c>
      <c r="C825" t="s">
        <v>238</v>
      </c>
      <c r="D825" t="s">
        <v>250</v>
      </c>
      <c r="E825" t="s">
        <v>228</v>
      </c>
      <c r="F825">
        <v>2001</v>
      </c>
      <c r="G825">
        <v>4.5675492957746402E-4</v>
      </c>
      <c r="H825" t="s">
        <v>240</v>
      </c>
      <c r="I825" t="s">
        <v>241</v>
      </c>
      <c r="J825" t="s">
        <v>2</v>
      </c>
      <c r="K825" s="183">
        <f ca="1">VLOOKUP(F825,
    OFFSET(INDIRECT(ADDRESS(MATCH(J825,'Vehicle numbers'!$A$5:$A$162,0),1,1,1,$L$6)),4,1,COUNTIF('Vehicle numbers'!$A$5:$A$162,J825),4),
    MATCH(K$8,'Vehicle numbers'!$B$4:$D$4,0))*1000</f>
        <v>25125867</v>
      </c>
      <c r="L825" s="183">
        <f ca="1">VLOOKUP(F825,
    OFFSET(INDIRECT(ADDRESS(MATCH(J825,'Vehicle numbers'!$A$5:$A$162,0),1,1,1,$L$6)),4,1,COUNTIF('Vehicle numbers'!$A$5:$A$162,J825),4),
    MATCH(L$8,'Vehicle numbers'!$B$4:$D$4,0))*1000</f>
        <v>25898047.671699077</v>
      </c>
      <c r="M825" s="184">
        <f>VLOOKUP(F825,'Annual distance covered (GB)'!$A$8:$H$33,MATCH(J825,'Annual distance covered (GB)'!$A$7:$H$7,0))</f>
        <v>381.2</v>
      </c>
      <c r="N825" s="2">
        <f t="shared" ca="1" si="38"/>
        <v>179465.96750318105</v>
      </c>
      <c r="O825" s="180">
        <f t="shared" ca="1" si="39"/>
        <v>6.9297102923823193E-3</v>
      </c>
      <c r="P825" s="180"/>
      <c r="Q825" s="180"/>
      <c r="R825" s="180"/>
      <c r="S825" s="180"/>
      <c r="T825" s="180"/>
    </row>
    <row r="826" spans="1:20" x14ac:dyDescent="0.25">
      <c r="A826" t="s">
        <v>236</v>
      </c>
      <c r="B826" t="s">
        <v>237</v>
      </c>
      <c r="C826" t="s">
        <v>238</v>
      </c>
      <c r="D826" t="s">
        <v>255</v>
      </c>
      <c r="E826" t="s">
        <v>229</v>
      </c>
      <c r="F826">
        <v>2001</v>
      </c>
      <c r="G826">
        <v>5.5269999999999998E-3</v>
      </c>
      <c r="H826" t="s">
        <v>240</v>
      </c>
      <c r="I826" t="s">
        <v>241</v>
      </c>
      <c r="J826" t="s">
        <v>2</v>
      </c>
      <c r="K826" s="183">
        <f ca="1">VLOOKUP(F826,
    OFFSET(INDIRECT(ADDRESS(MATCH(J826,'Vehicle numbers'!$A$5:$A$162,0),1,1,1,$L$6)),4,1,COUNTIF('Vehicle numbers'!$A$5:$A$162,J826),4),
    MATCH(K$8,'Vehicle numbers'!$B$4:$D$4,0))*1000</f>
        <v>25125867</v>
      </c>
      <c r="L826" s="183">
        <f ca="1">VLOOKUP(F826,
    OFFSET(INDIRECT(ADDRESS(MATCH(J826,'Vehicle numbers'!$A$5:$A$162,0),1,1,1,$L$6)),4,1,COUNTIF('Vehicle numbers'!$A$5:$A$162,J826),4),
    MATCH(L$8,'Vehicle numbers'!$B$4:$D$4,0))*1000</f>
        <v>25898047.671699077</v>
      </c>
      <c r="M826" s="184">
        <f>VLOOKUP(F826,'Annual distance covered (GB)'!$A$8:$H$33,MATCH(J826,'Annual distance covered (GB)'!$A$7:$H$7,0))</f>
        <v>381.2</v>
      </c>
      <c r="N826" s="2">
        <f t="shared" ca="1" si="38"/>
        <v>2171642.4676744677</v>
      </c>
      <c r="O826" s="180">
        <f t="shared" ca="1" si="39"/>
        <v>8.3853520358123351E-2</v>
      </c>
      <c r="P826" s="180"/>
      <c r="Q826" s="180"/>
      <c r="R826" s="180"/>
      <c r="S826" s="180"/>
      <c r="T826" s="180"/>
    </row>
    <row r="827" spans="1:20" x14ac:dyDescent="0.25">
      <c r="A827" t="s">
        <v>243</v>
      </c>
      <c r="B827" t="s">
        <v>237</v>
      </c>
      <c r="C827" t="s">
        <v>238</v>
      </c>
      <c r="D827" t="s">
        <v>255</v>
      </c>
      <c r="E827" t="s">
        <v>229</v>
      </c>
      <c r="F827">
        <v>2001</v>
      </c>
      <c r="G827">
        <v>2.2108000000000002E-3</v>
      </c>
      <c r="H827" t="s">
        <v>240</v>
      </c>
      <c r="I827" t="s">
        <v>241</v>
      </c>
      <c r="J827" t="s">
        <v>2</v>
      </c>
      <c r="K827" s="183">
        <f ca="1">VLOOKUP(F827,
    OFFSET(INDIRECT(ADDRESS(MATCH(J827,'Vehicle numbers'!$A$5:$A$162,0),1,1,1,$L$6)),4,1,COUNTIF('Vehicle numbers'!$A$5:$A$162,J827),4),
    MATCH(K$8,'Vehicle numbers'!$B$4:$D$4,0))*1000</f>
        <v>25125867</v>
      </c>
      <c r="L827" s="183">
        <f ca="1">VLOOKUP(F827,
    OFFSET(INDIRECT(ADDRESS(MATCH(J827,'Vehicle numbers'!$A$5:$A$162,0),1,1,1,$L$6)),4,1,COUNTIF('Vehicle numbers'!$A$5:$A$162,J827),4),
    MATCH(L$8,'Vehicle numbers'!$B$4:$D$4,0))*1000</f>
        <v>25898047.671699077</v>
      </c>
      <c r="M827" s="184">
        <f>VLOOKUP(F827,'Annual distance covered (GB)'!$A$8:$H$33,MATCH(J827,'Annual distance covered (GB)'!$A$7:$H$7,0))</f>
        <v>381.2</v>
      </c>
      <c r="N827" s="2">
        <f t="shared" ca="1" si="38"/>
        <v>868656.98706978711</v>
      </c>
      <c r="O827" s="180">
        <f t="shared" ca="1" si="39"/>
        <v>3.3541408143249345E-2</v>
      </c>
      <c r="P827" s="180"/>
      <c r="Q827" s="180"/>
      <c r="R827" s="180"/>
      <c r="S827" s="180"/>
      <c r="T827" s="180"/>
    </row>
    <row r="828" spans="1:20" x14ac:dyDescent="0.25">
      <c r="A828" t="s">
        <v>244</v>
      </c>
      <c r="B828" t="s">
        <v>237</v>
      </c>
      <c r="C828" t="s">
        <v>238</v>
      </c>
      <c r="D828" t="s">
        <v>255</v>
      </c>
      <c r="E828" t="s">
        <v>229</v>
      </c>
      <c r="F828">
        <v>2001</v>
      </c>
      <c r="G828">
        <v>5.5270000000000004E-4</v>
      </c>
      <c r="H828" t="s">
        <v>240</v>
      </c>
      <c r="I828" t="s">
        <v>241</v>
      </c>
      <c r="J828" t="s">
        <v>2</v>
      </c>
      <c r="K828" s="183">
        <f ca="1">VLOOKUP(F828,
    OFFSET(INDIRECT(ADDRESS(MATCH(J828,'Vehicle numbers'!$A$5:$A$162,0),1,1,1,$L$6)),4,1,COUNTIF('Vehicle numbers'!$A$5:$A$162,J828),4),
    MATCH(K$8,'Vehicle numbers'!$B$4:$D$4,0))*1000</f>
        <v>25125867</v>
      </c>
      <c r="L828" s="183">
        <f ca="1">VLOOKUP(F828,
    OFFSET(INDIRECT(ADDRESS(MATCH(J828,'Vehicle numbers'!$A$5:$A$162,0),1,1,1,$L$6)),4,1,COUNTIF('Vehicle numbers'!$A$5:$A$162,J828),4),
    MATCH(L$8,'Vehicle numbers'!$B$4:$D$4,0))*1000</f>
        <v>25898047.671699077</v>
      </c>
      <c r="M828" s="184">
        <f>VLOOKUP(F828,'Annual distance covered (GB)'!$A$8:$H$33,MATCH(J828,'Annual distance covered (GB)'!$A$7:$H$7,0))</f>
        <v>381.2</v>
      </c>
      <c r="N828" s="2">
        <f t="shared" ca="1" si="38"/>
        <v>217164.24676744678</v>
      </c>
      <c r="O828" s="180">
        <f t="shared" ca="1" si="39"/>
        <v>8.3853520358123362E-3</v>
      </c>
      <c r="P828" s="180"/>
      <c r="Q828" s="180"/>
      <c r="R828" s="180"/>
      <c r="S828" s="180"/>
      <c r="T828" s="180"/>
    </row>
    <row r="829" spans="1:20" x14ac:dyDescent="0.25">
      <c r="A829" t="s">
        <v>246</v>
      </c>
      <c r="B829" t="s">
        <v>237</v>
      </c>
      <c r="C829" t="s">
        <v>238</v>
      </c>
      <c r="D829" t="s">
        <v>255</v>
      </c>
      <c r="E829" t="s">
        <v>229</v>
      </c>
      <c r="F829">
        <v>2001</v>
      </c>
      <c r="G829">
        <v>4.4215999999999998E-4</v>
      </c>
      <c r="H829" t="s">
        <v>240</v>
      </c>
      <c r="I829" t="s">
        <v>241</v>
      </c>
      <c r="J829" t="s">
        <v>2</v>
      </c>
      <c r="K829" s="183">
        <f ca="1">VLOOKUP(F829,
    OFFSET(INDIRECT(ADDRESS(MATCH(J829,'Vehicle numbers'!$A$5:$A$162,0),1,1,1,$L$6)),4,1,COUNTIF('Vehicle numbers'!$A$5:$A$162,J829),4),
    MATCH(K$8,'Vehicle numbers'!$B$4:$D$4,0))*1000</f>
        <v>25125867</v>
      </c>
      <c r="L829" s="183">
        <f ca="1">VLOOKUP(F829,
    OFFSET(INDIRECT(ADDRESS(MATCH(J829,'Vehicle numbers'!$A$5:$A$162,0),1,1,1,$L$6)),4,1,COUNTIF('Vehicle numbers'!$A$5:$A$162,J829),4),
    MATCH(L$8,'Vehicle numbers'!$B$4:$D$4,0))*1000</f>
        <v>25898047.671699077</v>
      </c>
      <c r="M829" s="184">
        <f>VLOOKUP(F829,'Annual distance covered (GB)'!$A$8:$H$33,MATCH(J829,'Annual distance covered (GB)'!$A$7:$H$7,0))</f>
        <v>381.2</v>
      </c>
      <c r="N829" s="2">
        <f t="shared" ca="1" si="38"/>
        <v>173731.39741395743</v>
      </c>
      <c r="O829" s="180">
        <f t="shared" ca="1" si="39"/>
        <v>6.7082816286498691E-3</v>
      </c>
      <c r="P829" s="180"/>
      <c r="Q829" s="180"/>
      <c r="R829" s="180"/>
      <c r="S829" s="180"/>
      <c r="T829" s="180"/>
    </row>
    <row r="830" spans="1:20" x14ac:dyDescent="0.25">
      <c r="A830" t="s">
        <v>236</v>
      </c>
      <c r="B830" t="s">
        <v>237</v>
      </c>
      <c r="C830" t="s">
        <v>238</v>
      </c>
      <c r="D830" t="s">
        <v>255</v>
      </c>
      <c r="E830" t="s">
        <v>228</v>
      </c>
      <c r="F830">
        <v>2001</v>
      </c>
      <c r="G830">
        <v>6.7999999999999996E-3</v>
      </c>
      <c r="H830" t="s">
        <v>240</v>
      </c>
      <c r="I830" t="s">
        <v>241</v>
      </c>
      <c r="J830" t="s">
        <v>2</v>
      </c>
      <c r="K830" s="183">
        <f ca="1">VLOOKUP(F830,
    OFFSET(INDIRECT(ADDRESS(MATCH(J830,'Vehicle numbers'!$A$5:$A$162,0),1,1,1,$L$6)),4,1,COUNTIF('Vehicle numbers'!$A$5:$A$162,J830),4),
    MATCH(K$8,'Vehicle numbers'!$B$4:$D$4,0))*1000</f>
        <v>25125867</v>
      </c>
      <c r="L830" s="183">
        <f ca="1">VLOOKUP(F830,
    OFFSET(INDIRECT(ADDRESS(MATCH(J830,'Vehicle numbers'!$A$5:$A$162,0),1,1,1,$L$6)),4,1,COUNTIF('Vehicle numbers'!$A$5:$A$162,J830),4),
    MATCH(L$8,'Vehicle numbers'!$B$4:$D$4,0))*1000</f>
        <v>25898047.671699077</v>
      </c>
      <c r="M830" s="184">
        <f>VLOOKUP(F830,'Annual distance covered (GB)'!$A$8:$H$33,MATCH(J830,'Annual distance covered (GB)'!$A$7:$H$7,0))</f>
        <v>381.2</v>
      </c>
      <c r="N830" s="2">
        <f t="shared" ca="1" si="38"/>
        <v>2671823.5534985312</v>
      </c>
      <c r="O830" s="180">
        <f t="shared" ca="1" si="39"/>
        <v>0.10316698723271918</v>
      </c>
      <c r="P830" s="180"/>
      <c r="Q830" s="180"/>
      <c r="R830" s="180"/>
      <c r="S830" s="180"/>
      <c r="T830" s="180"/>
    </row>
    <row r="831" spans="1:20" x14ac:dyDescent="0.25">
      <c r="A831" t="s">
        <v>243</v>
      </c>
      <c r="B831" t="s">
        <v>237</v>
      </c>
      <c r="C831" t="s">
        <v>238</v>
      </c>
      <c r="D831" t="s">
        <v>255</v>
      </c>
      <c r="E831" t="s">
        <v>228</v>
      </c>
      <c r="F831">
        <v>2001</v>
      </c>
      <c r="G831">
        <v>4.7600000000000003E-3</v>
      </c>
      <c r="H831" t="s">
        <v>240</v>
      </c>
      <c r="I831" t="s">
        <v>241</v>
      </c>
      <c r="J831" t="s">
        <v>2</v>
      </c>
      <c r="K831" s="183">
        <f ca="1">VLOOKUP(F831,
    OFFSET(INDIRECT(ADDRESS(MATCH(J831,'Vehicle numbers'!$A$5:$A$162,0),1,1,1,$L$6)),4,1,COUNTIF('Vehicle numbers'!$A$5:$A$162,J831),4),
    MATCH(K$8,'Vehicle numbers'!$B$4:$D$4,0))*1000</f>
        <v>25125867</v>
      </c>
      <c r="L831" s="183">
        <f ca="1">VLOOKUP(F831,
    OFFSET(INDIRECT(ADDRESS(MATCH(J831,'Vehicle numbers'!$A$5:$A$162,0),1,1,1,$L$6)),4,1,COUNTIF('Vehicle numbers'!$A$5:$A$162,J831),4),
    MATCH(L$8,'Vehicle numbers'!$B$4:$D$4,0))*1000</f>
        <v>25898047.671699077</v>
      </c>
      <c r="M831" s="184">
        <f>VLOOKUP(F831,'Annual distance covered (GB)'!$A$8:$H$33,MATCH(J831,'Annual distance covered (GB)'!$A$7:$H$7,0))</f>
        <v>381.2</v>
      </c>
      <c r="N831" s="2">
        <f t="shared" ca="1" si="38"/>
        <v>1870276.487448972</v>
      </c>
      <c r="O831" s="180">
        <f t="shared" ca="1" si="39"/>
        <v>7.2216891062903424E-2</v>
      </c>
      <c r="P831" s="180"/>
      <c r="Q831" s="180"/>
      <c r="R831" s="180"/>
      <c r="S831" s="180"/>
      <c r="T831" s="180"/>
    </row>
    <row r="832" spans="1:20" x14ac:dyDescent="0.25">
      <c r="A832" t="s">
        <v>244</v>
      </c>
      <c r="B832" t="s">
        <v>237</v>
      </c>
      <c r="C832" t="s">
        <v>238</v>
      </c>
      <c r="D832" t="s">
        <v>255</v>
      </c>
      <c r="E832" t="s">
        <v>228</v>
      </c>
      <c r="F832">
        <v>2001</v>
      </c>
      <c r="G832">
        <v>6.7042253521126696E-4</v>
      </c>
      <c r="H832" t="s">
        <v>240</v>
      </c>
      <c r="I832" t="s">
        <v>241</v>
      </c>
      <c r="J832" t="s">
        <v>2</v>
      </c>
      <c r="K832" s="183">
        <f ca="1">VLOOKUP(F832,
    OFFSET(INDIRECT(ADDRESS(MATCH(J832,'Vehicle numbers'!$A$5:$A$162,0),1,1,1,$L$6)),4,1,COUNTIF('Vehicle numbers'!$A$5:$A$162,J832),4),
    MATCH(K$8,'Vehicle numbers'!$B$4:$D$4,0))*1000</f>
        <v>25125867</v>
      </c>
      <c r="L832" s="183">
        <f ca="1">VLOOKUP(F832,
    OFFSET(INDIRECT(ADDRESS(MATCH(J832,'Vehicle numbers'!$A$5:$A$162,0),1,1,1,$L$6)),4,1,COUNTIF('Vehicle numbers'!$A$5:$A$162,J832),4),
    MATCH(L$8,'Vehicle numbers'!$B$4:$D$4,0))*1000</f>
        <v>25898047.671699077</v>
      </c>
      <c r="M832" s="184">
        <f>VLOOKUP(F832,'Annual distance covered (GB)'!$A$8:$H$33,MATCH(J832,'Annual distance covered (GB)'!$A$7:$H$7,0))</f>
        <v>381.2</v>
      </c>
      <c r="N832" s="2">
        <f t="shared" ca="1" si="38"/>
        <v>263419.22358436196</v>
      </c>
      <c r="O832" s="180">
        <f t="shared" ca="1" si="39"/>
        <v>1.0171393107451175E-2</v>
      </c>
      <c r="P832" s="180"/>
      <c r="Q832" s="180"/>
      <c r="R832" s="180"/>
      <c r="S832" s="180"/>
      <c r="T832" s="180"/>
    </row>
    <row r="833" spans="1:20" x14ac:dyDescent="0.25">
      <c r="A833" t="s">
        <v>246</v>
      </c>
      <c r="B833" t="s">
        <v>237</v>
      </c>
      <c r="C833" t="s">
        <v>238</v>
      </c>
      <c r="D833" t="s">
        <v>255</v>
      </c>
      <c r="E833" t="s">
        <v>228</v>
      </c>
      <c r="F833">
        <v>2001</v>
      </c>
      <c r="G833">
        <v>5.3633802816901305E-4</v>
      </c>
      <c r="H833" t="s">
        <v>240</v>
      </c>
      <c r="I833" t="s">
        <v>241</v>
      </c>
      <c r="J833" t="s">
        <v>2</v>
      </c>
      <c r="K833" s="183">
        <f ca="1">VLOOKUP(F833,
    OFFSET(INDIRECT(ADDRESS(MATCH(J833,'Vehicle numbers'!$A$5:$A$162,0),1,1,1,$L$6)),4,1,COUNTIF('Vehicle numbers'!$A$5:$A$162,J833),4),
    MATCH(K$8,'Vehicle numbers'!$B$4:$D$4,0))*1000</f>
        <v>25125867</v>
      </c>
      <c r="L833" s="183">
        <f ca="1">VLOOKUP(F833,
    OFFSET(INDIRECT(ADDRESS(MATCH(J833,'Vehicle numbers'!$A$5:$A$162,0),1,1,1,$L$6)),4,1,COUNTIF('Vehicle numbers'!$A$5:$A$162,J833),4),
    MATCH(L$8,'Vehicle numbers'!$B$4:$D$4,0))*1000</f>
        <v>25898047.671699077</v>
      </c>
      <c r="M833" s="184">
        <f>VLOOKUP(F833,'Annual distance covered (GB)'!$A$8:$H$33,MATCH(J833,'Annual distance covered (GB)'!$A$7:$H$7,0))</f>
        <v>381.2</v>
      </c>
      <c r="N833" s="2">
        <f t="shared" ca="1" si="38"/>
        <v>210735.37886748934</v>
      </c>
      <c r="O833" s="180">
        <f t="shared" ca="1" si="39"/>
        <v>8.1371144859609321E-3</v>
      </c>
      <c r="P833" s="180"/>
      <c r="Q833" s="180"/>
      <c r="R833" s="180"/>
      <c r="S833" s="180"/>
      <c r="T833" s="180"/>
    </row>
    <row r="834" spans="1:20" x14ac:dyDescent="0.25">
      <c r="A834" t="s">
        <v>236</v>
      </c>
      <c r="B834" t="s">
        <v>237</v>
      </c>
      <c r="C834" t="s">
        <v>238</v>
      </c>
      <c r="D834" t="s">
        <v>256</v>
      </c>
      <c r="E834" t="s">
        <v>229</v>
      </c>
      <c r="F834">
        <v>2001</v>
      </c>
      <c r="G834">
        <v>1.17185306019322E-2</v>
      </c>
      <c r="H834" t="s">
        <v>240</v>
      </c>
      <c r="I834" t="s">
        <v>241</v>
      </c>
      <c r="J834" t="s">
        <v>2</v>
      </c>
      <c r="K834" s="183">
        <f ca="1">VLOOKUP(F834,
    OFFSET(INDIRECT(ADDRESS(MATCH(J834,'Vehicle numbers'!$A$5:$A$162,0),1,1,1,$L$6)),4,1,COUNTIF('Vehicle numbers'!$A$5:$A$162,J834),4),
    MATCH(K$8,'Vehicle numbers'!$B$4:$D$4,0))*1000</f>
        <v>25125867</v>
      </c>
      <c r="L834" s="183">
        <f ca="1">VLOOKUP(F834,
    OFFSET(INDIRECT(ADDRESS(MATCH(J834,'Vehicle numbers'!$A$5:$A$162,0),1,1,1,$L$6)),4,1,COUNTIF('Vehicle numbers'!$A$5:$A$162,J834),4),
    MATCH(L$8,'Vehicle numbers'!$B$4:$D$4,0))*1000</f>
        <v>25898047.671699077</v>
      </c>
      <c r="M834" s="184">
        <f>VLOOKUP(F834,'Annual distance covered (GB)'!$A$8:$H$33,MATCH(J834,'Annual distance covered (GB)'!$A$7:$H$7,0))</f>
        <v>381.2</v>
      </c>
      <c r="N834" s="2">
        <f t="shared" ca="1" si="38"/>
        <v>4604389.1286229072</v>
      </c>
      <c r="O834" s="180">
        <f t="shared" ca="1" si="39"/>
        <v>0.17778904367584825</v>
      </c>
      <c r="P834" s="180"/>
      <c r="Q834" s="180"/>
      <c r="R834" s="180"/>
      <c r="S834" s="180"/>
      <c r="T834" s="180"/>
    </row>
    <row r="835" spans="1:20" x14ac:dyDescent="0.25">
      <c r="A835" t="s">
        <v>243</v>
      </c>
      <c r="B835" t="s">
        <v>237</v>
      </c>
      <c r="C835" t="s">
        <v>238</v>
      </c>
      <c r="D835" t="s">
        <v>256</v>
      </c>
      <c r="E835" t="s">
        <v>229</v>
      </c>
      <c r="F835">
        <v>2001</v>
      </c>
      <c r="G835">
        <v>4.6874122407728801E-3</v>
      </c>
      <c r="H835" t="s">
        <v>240</v>
      </c>
      <c r="I835" t="s">
        <v>241</v>
      </c>
      <c r="J835" t="s">
        <v>2</v>
      </c>
      <c r="K835" s="183">
        <f ca="1">VLOOKUP(F835,
    OFFSET(INDIRECT(ADDRESS(MATCH(J835,'Vehicle numbers'!$A$5:$A$162,0),1,1,1,$L$6)),4,1,COUNTIF('Vehicle numbers'!$A$5:$A$162,J835),4),
    MATCH(K$8,'Vehicle numbers'!$B$4:$D$4,0))*1000</f>
        <v>25125867</v>
      </c>
      <c r="L835" s="183">
        <f ca="1">VLOOKUP(F835,
    OFFSET(INDIRECT(ADDRESS(MATCH(J835,'Vehicle numbers'!$A$5:$A$162,0),1,1,1,$L$6)),4,1,COUNTIF('Vehicle numbers'!$A$5:$A$162,J835),4),
    MATCH(L$8,'Vehicle numbers'!$B$4:$D$4,0))*1000</f>
        <v>25898047.671699077</v>
      </c>
      <c r="M835" s="184">
        <f>VLOOKUP(F835,'Annual distance covered (GB)'!$A$8:$H$33,MATCH(J835,'Annual distance covered (GB)'!$A$7:$H$7,0))</f>
        <v>381.2</v>
      </c>
      <c r="N835" s="2">
        <f t="shared" ca="1" si="38"/>
        <v>1841755.6514491632</v>
      </c>
      <c r="O835" s="180">
        <f t="shared" ca="1" si="39"/>
        <v>7.1115617470339315E-2</v>
      </c>
      <c r="P835" s="180"/>
      <c r="Q835" s="180"/>
      <c r="R835" s="180"/>
      <c r="S835" s="180"/>
      <c r="T835" s="180"/>
    </row>
    <row r="836" spans="1:20" x14ac:dyDescent="0.25">
      <c r="A836" t="s">
        <v>244</v>
      </c>
      <c r="B836" t="s">
        <v>237</v>
      </c>
      <c r="C836" t="s">
        <v>238</v>
      </c>
      <c r="D836" t="s">
        <v>256</v>
      </c>
      <c r="E836" t="s">
        <v>229</v>
      </c>
      <c r="F836">
        <v>2001</v>
      </c>
      <c r="G836">
        <v>1.17185306019322E-3</v>
      </c>
      <c r="H836" t="s">
        <v>240</v>
      </c>
      <c r="I836" t="s">
        <v>241</v>
      </c>
      <c r="J836" t="s">
        <v>2</v>
      </c>
      <c r="K836" s="183">
        <f ca="1">VLOOKUP(F836,
    OFFSET(INDIRECT(ADDRESS(MATCH(J836,'Vehicle numbers'!$A$5:$A$162,0),1,1,1,$L$6)),4,1,COUNTIF('Vehicle numbers'!$A$5:$A$162,J836),4),
    MATCH(K$8,'Vehicle numbers'!$B$4:$D$4,0))*1000</f>
        <v>25125867</v>
      </c>
      <c r="L836" s="183">
        <f ca="1">VLOOKUP(F836,
    OFFSET(INDIRECT(ADDRESS(MATCH(J836,'Vehicle numbers'!$A$5:$A$162,0),1,1,1,$L$6)),4,1,COUNTIF('Vehicle numbers'!$A$5:$A$162,J836),4),
    MATCH(L$8,'Vehicle numbers'!$B$4:$D$4,0))*1000</f>
        <v>25898047.671699077</v>
      </c>
      <c r="M836" s="184">
        <f>VLOOKUP(F836,'Annual distance covered (GB)'!$A$8:$H$33,MATCH(J836,'Annual distance covered (GB)'!$A$7:$H$7,0))</f>
        <v>381.2</v>
      </c>
      <c r="N836" s="2">
        <f t="shared" ca="1" si="38"/>
        <v>460438.9128622908</v>
      </c>
      <c r="O836" s="180">
        <f t="shared" ca="1" si="39"/>
        <v>1.7778904367584829E-2</v>
      </c>
      <c r="P836" s="180"/>
      <c r="Q836" s="180"/>
      <c r="R836" s="180"/>
      <c r="S836" s="180"/>
      <c r="T836" s="180"/>
    </row>
    <row r="837" spans="1:20" x14ac:dyDescent="0.25">
      <c r="A837" t="s">
        <v>246</v>
      </c>
      <c r="B837" t="s">
        <v>237</v>
      </c>
      <c r="C837" t="s">
        <v>238</v>
      </c>
      <c r="D837" t="s">
        <v>256</v>
      </c>
      <c r="E837" t="s">
        <v>229</v>
      </c>
      <c r="F837">
        <v>2001</v>
      </c>
      <c r="G837">
        <v>9.3748244815457596E-4</v>
      </c>
      <c r="H837" t="s">
        <v>240</v>
      </c>
      <c r="I837" t="s">
        <v>241</v>
      </c>
      <c r="J837" t="s">
        <v>2</v>
      </c>
      <c r="K837" s="183">
        <f ca="1">VLOOKUP(F837,
    OFFSET(INDIRECT(ADDRESS(MATCH(J837,'Vehicle numbers'!$A$5:$A$162,0),1,1,1,$L$6)),4,1,COUNTIF('Vehicle numbers'!$A$5:$A$162,J837),4),
    MATCH(K$8,'Vehicle numbers'!$B$4:$D$4,0))*1000</f>
        <v>25125867</v>
      </c>
      <c r="L837" s="183">
        <f ca="1">VLOOKUP(F837,
    OFFSET(INDIRECT(ADDRESS(MATCH(J837,'Vehicle numbers'!$A$5:$A$162,0),1,1,1,$L$6)),4,1,COUNTIF('Vehicle numbers'!$A$5:$A$162,J837),4),
    MATCH(L$8,'Vehicle numbers'!$B$4:$D$4,0))*1000</f>
        <v>25898047.671699077</v>
      </c>
      <c r="M837" s="184">
        <f>VLOOKUP(F837,'Annual distance covered (GB)'!$A$8:$H$33,MATCH(J837,'Annual distance covered (GB)'!$A$7:$H$7,0))</f>
        <v>381.2</v>
      </c>
      <c r="N837" s="2">
        <f t="shared" ca="1" si="38"/>
        <v>368351.13028983254</v>
      </c>
      <c r="O837" s="180">
        <f t="shared" ca="1" si="39"/>
        <v>1.4223123494067859E-2</v>
      </c>
      <c r="P837" s="180"/>
      <c r="Q837" s="180"/>
      <c r="R837" s="180"/>
      <c r="S837" s="180"/>
      <c r="T837" s="180"/>
    </row>
    <row r="838" spans="1:20" x14ac:dyDescent="0.25">
      <c r="A838" t="s">
        <v>236</v>
      </c>
      <c r="B838" t="s">
        <v>237</v>
      </c>
      <c r="C838" t="s">
        <v>238</v>
      </c>
      <c r="D838" t="s">
        <v>256</v>
      </c>
      <c r="E838" t="s">
        <v>228</v>
      </c>
      <c r="F838">
        <v>2001</v>
      </c>
      <c r="G838">
        <v>8.7696029721074306E-3</v>
      </c>
      <c r="H838" t="s">
        <v>240</v>
      </c>
      <c r="I838" t="s">
        <v>241</v>
      </c>
      <c r="J838" t="s">
        <v>2</v>
      </c>
      <c r="K838" s="183">
        <f ca="1">VLOOKUP(F838,
    OFFSET(INDIRECT(ADDRESS(MATCH(J838,'Vehicle numbers'!$A$5:$A$162,0),1,1,1,$L$6)),4,1,COUNTIF('Vehicle numbers'!$A$5:$A$162,J838),4),
    MATCH(K$8,'Vehicle numbers'!$B$4:$D$4,0))*1000</f>
        <v>25125867</v>
      </c>
      <c r="L838" s="183">
        <f ca="1">VLOOKUP(F838,
    OFFSET(INDIRECT(ADDRESS(MATCH(J838,'Vehicle numbers'!$A$5:$A$162,0),1,1,1,$L$6)),4,1,COUNTIF('Vehicle numbers'!$A$5:$A$162,J838),4),
    MATCH(L$8,'Vehicle numbers'!$B$4:$D$4,0))*1000</f>
        <v>25898047.671699077</v>
      </c>
      <c r="M838" s="184">
        <f>VLOOKUP(F838,'Annual distance covered (GB)'!$A$8:$H$33,MATCH(J838,'Annual distance covered (GB)'!$A$7:$H$7,0))</f>
        <v>381.2</v>
      </c>
      <c r="N838" s="2">
        <f t="shared" ca="1" si="38"/>
        <v>3445710.5552510815</v>
      </c>
      <c r="O838" s="180">
        <f t="shared" ca="1" si="39"/>
        <v>0.13304904674403284</v>
      </c>
      <c r="P838" s="180"/>
      <c r="Q838" s="180"/>
      <c r="R838" s="180"/>
      <c r="S838" s="180"/>
      <c r="T838" s="180"/>
    </row>
    <row r="839" spans="1:20" x14ac:dyDescent="0.25">
      <c r="A839" t="s">
        <v>243</v>
      </c>
      <c r="B839" t="s">
        <v>237</v>
      </c>
      <c r="C839" t="s">
        <v>238</v>
      </c>
      <c r="D839" t="s">
        <v>256</v>
      </c>
      <c r="E839" t="s">
        <v>228</v>
      </c>
      <c r="F839">
        <v>2001</v>
      </c>
      <c r="G839">
        <v>6.1387220804752004E-3</v>
      </c>
      <c r="H839" t="s">
        <v>240</v>
      </c>
      <c r="I839" t="s">
        <v>241</v>
      </c>
      <c r="J839" t="s">
        <v>2</v>
      </c>
      <c r="K839" s="183">
        <f ca="1">VLOOKUP(F839,
    OFFSET(INDIRECT(ADDRESS(MATCH(J839,'Vehicle numbers'!$A$5:$A$162,0),1,1,1,$L$6)),4,1,COUNTIF('Vehicle numbers'!$A$5:$A$162,J839),4),
    MATCH(K$8,'Vehicle numbers'!$B$4:$D$4,0))*1000</f>
        <v>25125867</v>
      </c>
      <c r="L839" s="183">
        <f ca="1">VLOOKUP(F839,
    OFFSET(INDIRECT(ADDRESS(MATCH(J839,'Vehicle numbers'!$A$5:$A$162,0),1,1,1,$L$6)),4,1,COUNTIF('Vehicle numbers'!$A$5:$A$162,J839),4),
    MATCH(L$8,'Vehicle numbers'!$B$4:$D$4,0))*1000</f>
        <v>25898047.671699077</v>
      </c>
      <c r="M839" s="184">
        <f>VLOOKUP(F839,'Annual distance covered (GB)'!$A$8:$H$33,MATCH(J839,'Annual distance covered (GB)'!$A$7:$H$7,0))</f>
        <v>381.2</v>
      </c>
      <c r="N839" s="2">
        <f t="shared" ca="1" si="38"/>
        <v>2411997.3886757568</v>
      </c>
      <c r="O839" s="180">
        <f t="shared" ca="1" si="39"/>
        <v>9.3134332720822985E-2</v>
      </c>
      <c r="P839" s="180"/>
      <c r="Q839" s="180"/>
      <c r="R839" s="180"/>
      <c r="S839" s="180"/>
      <c r="T839" s="180"/>
    </row>
    <row r="840" spans="1:20" x14ac:dyDescent="0.25">
      <c r="A840" t="s">
        <v>244</v>
      </c>
      <c r="B840" t="s">
        <v>237</v>
      </c>
      <c r="C840" t="s">
        <v>238</v>
      </c>
      <c r="D840" t="s">
        <v>256</v>
      </c>
      <c r="E840" t="s">
        <v>228</v>
      </c>
      <c r="F840">
        <v>2001</v>
      </c>
      <c r="G840">
        <v>8.6460874372889997E-4</v>
      </c>
      <c r="H840" t="s">
        <v>240</v>
      </c>
      <c r="I840" t="s">
        <v>241</v>
      </c>
      <c r="J840" t="s">
        <v>2</v>
      </c>
      <c r="K840" s="183">
        <f ca="1">VLOOKUP(F840,
    OFFSET(INDIRECT(ADDRESS(MATCH(J840,'Vehicle numbers'!$A$5:$A$162,0),1,1,1,$L$6)),4,1,COUNTIF('Vehicle numbers'!$A$5:$A$162,J840),4),
    MATCH(K$8,'Vehicle numbers'!$B$4:$D$4,0))*1000</f>
        <v>25125867</v>
      </c>
      <c r="L840" s="183">
        <f ca="1">VLOOKUP(F840,
    OFFSET(INDIRECT(ADDRESS(MATCH(J840,'Vehicle numbers'!$A$5:$A$162,0),1,1,1,$L$6)),4,1,COUNTIF('Vehicle numbers'!$A$5:$A$162,J840),4),
    MATCH(L$8,'Vehicle numbers'!$B$4:$D$4,0))*1000</f>
        <v>25898047.671699077</v>
      </c>
      <c r="M840" s="184">
        <f>VLOOKUP(F840,'Annual distance covered (GB)'!$A$8:$H$33,MATCH(J840,'Annual distance covered (GB)'!$A$7:$H$7,0))</f>
        <v>381.2</v>
      </c>
      <c r="N840" s="2">
        <f t="shared" ca="1" si="38"/>
        <v>339717.94206700736</v>
      </c>
      <c r="O840" s="180">
        <f t="shared" ca="1" si="39"/>
        <v>1.3117511650820113E-2</v>
      </c>
      <c r="P840" s="180"/>
      <c r="Q840" s="180"/>
      <c r="R840" s="180"/>
      <c r="S840" s="180"/>
      <c r="T840" s="180"/>
    </row>
    <row r="841" spans="1:20" x14ac:dyDescent="0.25">
      <c r="A841" t="s">
        <v>246</v>
      </c>
      <c r="B841" t="s">
        <v>237</v>
      </c>
      <c r="C841" t="s">
        <v>238</v>
      </c>
      <c r="D841" t="s">
        <v>256</v>
      </c>
      <c r="E841" t="s">
        <v>228</v>
      </c>
      <c r="F841">
        <v>2001</v>
      </c>
      <c r="G841">
        <v>6.9168699498312004E-4</v>
      </c>
      <c r="H841" t="s">
        <v>240</v>
      </c>
      <c r="I841" t="s">
        <v>241</v>
      </c>
      <c r="J841" t="s">
        <v>2</v>
      </c>
      <c r="K841" s="183">
        <f ca="1">VLOOKUP(F841,
    OFFSET(INDIRECT(ADDRESS(MATCH(J841,'Vehicle numbers'!$A$5:$A$162,0),1,1,1,$L$6)),4,1,COUNTIF('Vehicle numbers'!$A$5:$A$162,J841),4),
    MATCH(K$8,'Vehicle numbers'!$B$4:$D$4,0))*1000</f>
        <v>25125867</v>
      </c>
      <c r="L841" s="183">
        <f ca="1">VLOOKUP(F841,
    OFFSET(INDIRECT(ADDRESS(MATCH(J841,'Vehicle numbers'!$A$5:$A$162,0),1,1,1,$L$6)),4,1,COUNTIF('Vehicle numbers'!$A$5:$A$162,J841),4),
    MATCH(L$8,'Vehicle numbers'!$B$4:$D$4,0))*1000</f>
        <v>25898047.671699077</v>
      </c>
      <c r="M841" s="184">
        <f>VLOOKUP(F841,'Annual distance covered (GB)'!$A$8:$H$33,MATCH(J841,'Annual distance covered (GB)'!$A$7:$H$7,0))</f>
        <v>381.2</v>
      </c>
      <c r="N841" s="2">
        <f t="shared" ca="1" si="38"/>
        <v>271774.35365360597</v>
      </c>
      <c r="O841" s="180">
        <f t="shared" ca="1" si="39"/>
        <v>1.0494009320656094E-2</v>
      </c>
      <c r="P841" s="180"/>
      <c r="Q841" s="180"/>
      <c r="R841" s="180"/>
      <c r="S841" s="180"/>
      <c r="T841" s="180"/>
    </row>
    <row r="842" spans="1:20" x14ac:dyDescent="0.25">
      <c r="A842" t="s">
        <v>236</v>
      </c>
      <c r="B842" t="s">
        <v>237</v>
      </c>
      <c r="C842" t="s">
        <v>238</v>
      </c>
      <c r="D842" t="s">
        <v>257</v>
      </c>
      <c r="E842" t="s">
        <v>229</v>
      </c>
      <c r="F842">
        <v>2001</v>
      </c>
      <c r="G842">
        <v>2.1210000000000001E-3</v>
      </c>
      <c r="H842" t="s">
        <v>240</v>
      </c>
      <c r="I842" t="s">
        <v>241</v>
      </c>
      <c r="J842" t="s">
        <v>188</v>
      </c>
      <c r="K842" s="183">
        <f ca="1">VLOOKUP(F842,
    OFFSET(INDIRECT(ADDRESS(MATCH(J842,'Vehicle numbers'!$A$5:$A$162,0),1,1,1,$L$6)),4,1,COUNTIF('Vehicle numbers'!$A$5:$A$162,J842),4),
    MATCH(K$8,'Vehicle numbers'!$B$4:$D$4,0))*1000</f>
        <v>2461380</v>
      </c>
      <c r="L842" s="183">
        <f ca="1">VLOOKUP(F842,
    OFFSET(INDIRECT(ADDRESS(MATCH(J842,'Vehicle numbers'!$A$5:$A$162,0),1,1,1,$L$6)),4,1,COUNTIF('Vehicle numbers'!$A$5:$A$162,J842),4),
    MATCH(L$8,'Vehicle numbers'!$B$4:$D$4,0))*1000</f>
        <v>2532010.7364910794</v>
      </c>
      <c r="M842" s="184">
        <f>VLOOKUP(F842,'Annual distance covered (GB)'!$A$8:$H$33,MATCH(J842,'Annual distance covered (GB)'!$A$7:$H$7,0))</f>
        <v>53.4</v>
      </c>
      <c r="N842" s="2">
        <f t="shared" ca="1" si="38"/>
        <v>116511.50201513409</v>
      </c>
      <c r="O842" s="180">
        <f t="shared" ca="1" si="39"/>
        <v>4.6015405991760717E-2</v>
      </c>
      <c r="P842" s="180"/>
      <c r="Q842" s="180"/>
      <c r="R842" s="180"/>
      <c r="S842" s="180"/>
      <c r="T842" s="180"/>
    </row>
    <row r="843" spans="1:20" x14ac:dyDescent="0.25">
      <c r="A843" t="s">
        <v>243</v>
      </c>
      <c r="B843" t="s">
        <v>237</v>
      </c>
      <c r="C843" t="s">
        <v>238</v>
      </c>
      <c r="D843" t="s">
        <v>257</v>
      </c>
      <c r="E843" t="s">
        <v>229</v>
      </c>
      <c r="F843">
        <v>2001</v>
      </c>
      <c r="G843">
        <v>8.4840000000000002E-4</v>
      </c>
      <c r="H843" t="s">
        <v>240</v>
      </c>
      <c r="I843" t="s">
        <v>241</v>
      </c>
      <c r="J843" t="s">
        <v>188</v>
      </c>
      <c r="K843" s="183">
        <f ca="1">VLOOKUP(F843,
    OFFSET(INDIRECT(ADDRESS(MATCH(J843,'Vehicle numbers'!$A$5:$A$162,0),1,1,1,$L$6)),4,1,COUNTIF('Vehicle numbers'!$A$5:$A$162,J843),4),
    MATCH(K$8,'Vehicle numbers'!$B$4:$D$4,0))*1000</f>
        <v>2461380</v>
      </c>
      <c r="L843" s="183">
        <f ca="1">VLOOKUP(F843,
    OFFSET(INDIRECT(ADDRESS(MATCH(J843,'Vehicle numbers'!$A$5:$A$162,0),1,1,1,$L$6)),4,1,COUNTIF('Vehicle numbers'!$A$5:$A$162,J843),4),
    MATCH(L$8,'Vehicle numbers'!$B$4:$D$4,0))*1000</f>
        <v>2532010.7364910794</v>
      </c>
      <c r="M843" s="184">
        <f>VLOOKUP(F843,'Annual distance covered (GB)'!$A$8:$H$33,MATCH(J843,'Annual distance covered (GB)'!$A$7:$H$7,0))</f>
        <v>53.4</v>
      </c>
      <c r="N843" s="2">
        <f t="shared" ref="N843:N906" ca="1" si="40">M843*G843*1000000*(L843/K843)</f>
        <v>46604.600806053633</v>
      </c>
      <c r="O843" s="180">
        <f t="shared" ref="O843:O906" ca="1" si="41">N843/L843</f>
        <v>1.8406162396704288E-2</v>
      </c>
      <c r="P843" s="180"/>
      <c r="Q843" s="180"/>
      <c r="R843" s="180"/>
      <c r="S843" s="180"/>
      <c r="T843" s="180"/>
    </row>
    <row r="844" spans="1:20" x14ac:dyDescent="0.25">
      <c r="A844" t="s">
        <v>244</v>
      </c>
      <c r="B844" t="s">
        <v>237</v>
      </c>
      <c r="C844" t="s">
        <v>238</v>
      </c>
      <c r="D844" t="s">
        <v>257</v>
      </c>
      <c r="E844" t="s">
        <v>229</v>
      </c>
      <c r="F844">
        <v>2001</v>
      </c>
      <c r="G844">
        <v>2.1210000000000001E-4</v>
      </c>
      <c r="H844" t="s">
        <v>240</v>
      </c>
      <c r="I844" t="s">
        <v>241</v>
      </c>
      <c r="J844" t="s">
        <v>188</v>
      </c>
      <c r="K844" s="183">
        <f ca="1">VLOOKUP(F844,
    OFFSET(INDIRECT(ADDRESS(MATCH(J844,'Vehicle numbers'!$A$5:$A$162,0),1,1,1,$L$6)),4,1,COUNTIF('Vehicle numbers'!$A$5:$A$162,J844),4),
    MATCH(K$8,'Vehicle numbers'!$B$4:$D$4,0))*1000</f>
        <v>2461380</v>
      </c>
      <c r="L844" s="183">
        <f ca="1">VLOOKUP(F844,
    OFFSET(INDIRECT(ADDRESS(MATCH(J844,'Vehicle numbers'!$A$5:$A$162,0),1,1,1,$L$6)),4,1,COUNTIF('Vehicle numbers'!$A$5:$A$162,J844),4),
    MATCH(L$8,'Vehicle numbers'!$B$4:$D$4,0))*1000</f>
        <v>2532010.7364910794</v>
      </c>
      <c r="M844" s="184">
        <f>VLOOKUP(F844,'Annual distance covered (GB)'!$A$8:$H$33,MATCH(J844,'Annual distance covered (GB)'!$A$7:$H$7,0))</f>
        <v>53.4</v>
      </c>
      <c r="N844" s="2">
        <f t="shared" ca="1" si="40"/>
        <v>11651.150201513408</v>
      </c>
      <c r="O844" s="180">
        <f t="shared" ca="1" si="41"/>
        <v>4.6015405991760719E-3</v>
      </c>
      <c r="P844" s="180"/>
      <c r="Q844" s="180"/>
      <c r="R844" s="180"/>
      <c r="S844" s="180"/>
      <c r="T844" s="180"/>
    </row>
    <row r="845" spans="1:20" x14ac:dyDescent="0.25">
      <c r="A845" t="s">
        <v>246</v>
      </c>
      <c r="B845" t="s">
        <v>237</v>
      </c>
      <c r="C845" t="s">
        <v>238</v>
      </c>
      <c r="D845" t="s">
        <v>257</v>
      </c>
      <c r="E845" t="s">
        <v>229</v>
      </c>
      <c r="F845">
        <v>2001</v>
      </c>
      <c r="G845">
        <v>1.6967999999999999E-4</v>
      </c>
      <c r="H845" t="s">
        <v>240</v>
      </c>
      <c r="I845" t="s">
        <v>241</v>
      </c>
      <c r="J845" t="s">
        <v>188</v>
      </c>
      <c r="K845" s="183">
        <f ca="1">VLOOKUP(F845,
    OFFSET(INDIRECT(ADDRESS(MATCH(J845,'Vehicle numbers'!$A$5:$A$162,0),1,1,1,$L$6)),4,1,COUNTIF('Vehicle numbers'!$A$5:$A$162,J845),4),
    MATCH(K$8,'Vehicle numbers'!$B$4:$D$4,0))*1000</f>
        <v>2461380</v>
      </c>
      <c r="L845" s="183">
        <f ca="1">VLOOKUP(F845,
    OFFSET(INDIRECT(ADDRESS(MATCH(J845,'Vehicle numbers'!$A$5:$A$162,0),1,1,1,$L$6)),4,1,COUNTIF('Vehicle numbers'!$A$5:$A$162,J845),4),
    MATCH(L$8,'Vehicle numbers'!$B$4:$D$4,0))*1000</f>
        <v>2532010.7364910794</v>
      </c>
      <c r="M845" s="184">
        <f>VLOOKUP(F845,'Annual distance covered (GB)'!$A$8:$H$33,MATCH(J845,'Annual distance covered (GB)'!$A$7:$H$7,0))</f>
        <v>53.4</v>
      </c>
      <c r="N845" s="2">
        <f t="shared" ca="1" si="40"/>
        <v>9320.9201612107263</v>
      </c>
      <c r="O845" s="180">
        <f t="shared" ca="1" si="41"/>
        <v>3.6812324793408574E-3</v>
      </c>
      <c r="P845" s="180"/>
      <c r="Q845" s="180"/>
      <c r="R845" s="180"/>
      <c r="S845" s="180"/>
      <c r="T845" s="180"/>
    </row>
    <row r="846" spans="1:20" x14ac:dyDescent="0.25">
      <c r="A846" t="s">
        <v>236</v>
      </c>
      <c r="B846" t="s">
        <v>237</v>
      </c>
      <c r="C846" t="s">
        <v>238</v>
      </c>
      <c r="D846" t="s">
        <v>257</v>
      </c>
      <c r="E846" t="s">
        <v>228</v>
      </c>
      <c r="F846">
        <v>2001</v>
      </c>
      <c r="G846">
        <v>9.1459999999999996E-3</v>
      </c>
      <c r="H846" t="s">
        <v>240</v>
      </c>
      <c r="I846" t="s">
        <v>241</v>
      </c>
      <c r="J846" t="s">
        <v>188</v>
      </c>
      <c r="K846" s="183">
        <f ca="1">VLOOKUP(F846,
    OFFSET(INDIRECT(ADDRESS(MATCH(J846,'Vehicle numbers'!$A$5:$A$162,0),1,1,1,$L$6)),4,1,COUNTIF('Vehicle numbers'!$A$5:$A$162,J846),4),
    MATCH(K$8,'Vehicle numbers'!$B$4:$D$4,0))*1000</f>
        <v>2461380</v>
      </c>
      <c r="L846" s="183">
        <f ca="1">VLOOKUP(F846,
    OFFSET(INDIRECT(ADDRESS(MATCH(J846,'Vehicle numbers'!$A$5:$A$162,0),1,1,1,$L$6)),4,1,COUNTIF('Vehicle numbers'!$A$5:$A$162,J846),4),
    MATCH(L$8,'Vehicle numbers'!$B$4:$D$4,0))*1000</f>
        <v>2532010.7364910794</v>
      </c>
      <c r="M846" s="184">
        <f>VLOOKUP(F846,'Annual distance covered (GB)'!$A$8:$H$33,MATCH(J846,'Annual distance covered (GB)'!$A$7:$H$7,0))</f>
        <v>53.4</v>
      </c>
      <c r="N846" s="2">
        <f t="shared" ca="1" si="40"/>
        <v>502411.21991061594</v>
      </c>
      <c r="O846" s="180">
        <f t="shared" ca="1" si="41"/>
        <v>0.19842381103283524</v>
      </c>
      <c r="P846" s="180"/>
      <c r="Q846" s="180"/>
      <c r="R846" s="180"/>
      <c r="S846" s="180"/>
      <c r="T846" s="180"/>
    </row>
    <row r="847" spans="1:20" x14ac:dyDescent="0.25">
      <c r="A847" t="s">
        <v>243</v>
      </c>
      <c r="B847" t="s">
        <v>237</v>
      </c>
      <c r="C847" t="s">
        <v>238</v>
      </c>
      <c r="D847" t="s">
        <v>257</v>
      </c>
      <c r="E847" t="s">
        <v>228</v>
      </c>
      <c r="F847">
        <v>2001</v>
      </c>
      <c r="G847">
        <v>6.4022000000000003E-3</v>
      </c>
      <c r="H847" t="s">
        <v>240</v>
      </c>
      <c r="I847" t="s">
        <v>241</v>
      </c>
      <c r="J847" t="s">
        <v>188</v>
      </c>
      <c r="K847" s="183">
        <f ca="1">VLOOKUP(F847,
    OFFSET(INDIRECT(ADDRESS(MATCH(J847,'Vehicle numbers'!$A$5:$A$162,0),1,1,1,$L$6)),4,1,COUNTIF('Vehicle numbers'!$A$5:$A$162,J847),4),
    MATCH(K$8,'Vehicle numbers'!$B$4:$D$4,0))*1000</f>
        <v>2461380</v>
      </c>
      <c r="L847" s="183">
        <f ca="1">VLOOKUP(F847,
    OFFSET(INDIRECT(ADDRESS(MATCH(J847,'Vehicle numbers'!$A$5:$A$162,0),1,1,1,$L$6)),4,1,COUNTIF('Vehicle numbers'!$A$5:$A$162,J847),4),
    MATCH(L$8,'Vehicle numbers'!$B$4:$D$4,0))*1000</f>
        <v>2532010.7364910794</v>
      </c>
      <c r="M847" s="184">
        <f>VLOOKUP(F847,'Annual distance covered (GB)'!$A$8:$H$33,MATCH(J847,'Annual distance covered (GB)'!$A$7:$H$7,0))</f>
        <v>53.4</v>
      </c>
      <c r="N847" s="2">
        <f t="shared" ca="1" si="40"/>
        <v>351687.85393743124</v>
      </c>
      <c r="O847" s="180">
        <f t="shared" ca="1" si="41"/>
        <v>0.1388966677229847</v>
      </c>
      <c r="P847" s="180"/>
      <c r="Q847" s="180"/>
      <c r="R847" s="180"/>
      <c r="S847" s="180"/>
      <c r="T847" s="180"/>
    </row>
    <row r="848" spans="1:20" x14ac:dyDescent="0.25">
      <c r="A848" t="s">
        <v>244</v>
      </c>
      <c r="B848" t="s">
        <v>237</v>
      </c>
      <c r="C848" t="s">
        <v>238</v>
      </c>
      <c r="D848" t="s">
        <v>257</v>
      </c>
      <c r="E848" t="s">
        <v>228</v>
      </c>
      <c r="F848">
        <v>2001</v>
      </c>
      <c r="G848">
        <v>9.0171830985915399E-4</v>
      </c>
      <c r="H848" t="s">
        <v>240</v>
      </c>
      <c r="I848" t="s">
        <v>241</v>
      </c>
      <c r="J848" t="s">
        <v>188</v>
      </c>
      <c r="K848" s="183">
        <f ca="1">VLOOKUP(F848,
    OFFSET(INDIRECT(ADDRESS(MATCH(J848,'Vehicle numbers'!$A$5:$A$162,0),1,1,1,$L$6)),4,1,COUNTIF('Vehicle numbers'!$A$5:$A$162,J848),4),
    MATCH(K$8,'Vehicle numbers'!$B$4:$D$4,0))*1000</f>
        <v>2461380</v>
      </c>
      <c r="L848" s="183">
        <f ca="1">VLOOKUP(F848,
    OFFSET(INDIRECT(ADDRESS(MATCH(J848,'Vehicle numbers'!$A$5:$A$162,0),1,1,1,$L$6)),4,1,COUNTIF('Vehicle numbers'!$A$5:$A$162,J848),4),
    MATCH(L$8,'Vehicle numbers'!$B$4:$D$4,0))*1000</f>
        <v>2532010.7364910794</v>
      </c>
      <c r="M848" s="184">
        <f>VLOOKUP(F848,'Annual distance covered (GB)'!$A$8:$H$33,MATCH(J848,'Annual distance covered (GB)'!$A$7:$H$7,0))</f>
        <v>53.4</v>
      </c>
      <c r="N848" s="2">
        <f t="shared" ca="1" si="40"/>
        <v>49533.500554567712</v>
      </c>
      <c r="O848" s="180">
        <f t="shared" ca="1" si="41"/>
        <v>1.9562910946899228E-2</v>
      </c>
      <c r="P848" s="180"/>
      <c r="Q848" s="180"/>
      <c r="R848" s="180"/>
      <c r="S848" s="180"/>
      <c r="T848" s="180"/>
    </row>
    <row r="849" spans="1:20" x14ac:dyDescent="0.25">
      <c r="A849" t="s">
        <v>246</v>
      </c>
      <c r="B849" t="s">
        <v>237</v>
      </c>
      <c r="C849" t="s">
        <v>238</v>
      </c>
      <c r="D849" t="s">
        <v>257</v>
      </c>
      <c r="E849" t="s">
        <v>228</v>
      </c>
      <c r="F849">
        <v>2001</v>
      </c>
      <c r="G849">
        <v>7.21374647887323E-4</v>
      </c>
      <c r="H849" t="s">
        <v>240</v>
      </c>
      <c r="I849" t="s">
        <v>241</v>
      </c>
      <c r="J849" t="s">
        <v>188</v>
      </c>
      <c r="K849" s="183">
        <f ca="1">VLOOKUP(F849,
    OFFSET(INDIRECT(ADDRESS(MATCH(J849,'Vehicle numbers'!$A$5:$A$162,0),1,1,1,$L$6)),4,1,COUNTIF('Vehicle numbers'!$A$5:$A$162,J849),4),
    MATCH(K$8,'Vehicle numbers'!$B$4:$D$4,0))*1000</f>
        <v>2461380</v>
      </c>
      <c r="L849" s="183">
        <f ca="1">VLOOKUP(F849,
    OFFSET(INDIRECT(ADDRESS(MATCH(J849,'Vehicle numbers'!$A$5:$A$162,0),1,1,1,$L$6)),4,1,COUNTIF('Vehicle numbers'!$A$5:$A$162,J849),4),
    MATCH(L$8,'Vehicle numbers'!$B$4:$D$4,0))*1000</f>
        <v>2532010.7364910794</v>
      </c>
      <c r="M849" s="184">
        <f>VLOOKUP(F849,'Annual distance covered (GB)'!$A$8:$H$33,MATCH(J849,'Annual distance covered (GB)'!$A$7:$H$7,0))</f>
        <v>53.4</v>
      </c>
      <c r="N849" s="2">
        <f t="shared" ca="1" si="40"/>
        <v>39626.80044365416</v>
      </c>
      <c r="O849" s="180">
        <f t="shared" ca="1" si="41"/>
        <v>1.5650328757519379E-2</v>
      </c>
      <c r="P849" s="180"/>
      <c r="Q849" s="180"/>
      <c r="R849" s="180"/>
      <c r="S849" s="180"/>
      <c r="T849" s="180"/>
    </row>
    <row r="850" spans="1:20" x14ac:dyDescent="0.25">
      <c r="A850" t="s">
        <v>236</v>
      </c>
      <c r="B850" t="s">
        <v>237</v>
      </c>
      <c r="C850" t="s">
        <v>238</v>
      </c>
      <c r="D850" t="s">
        <v>258</v>
      </c>
      <c r="E850" t="s">
        <v>229</v>
      </c>
      <c r="F850">
        <v>2001</v>
      </c>
      <c r="G850">
        <v>8.6219999999999908E-3</v>
      </c>
      <c r="H850" t="s">
        <v>240</v>
      </c>
      <c r="I850" t="s">
        <v>241</v>
      </c>
      <c r="J850" t="s">
        <v>188</v>
      </c>
      <c r="K850" s="183">
        <f ca="1">VLOOKUP(F850,
    OFFSET(INDIRECT(ADDRESS(MATCH(J850,'Vehicle numbers'!$A$5:$A$162,0),1,1,1,$L$6)),4,1,COUNTIF('Vehicle numbers'!$A$5:$A$162,J850),4),
    MATCH(K$8,'Vehicle numbers'!$B$4:$D$4,0))*1000</f>
        <v>2461380</v>
      </c>
      <c r="L850" s="183">
        <f ca="1">VLOOKUP(F850,
    OFFSET(INDIRECT(ADDRESS(MATCH(J850,'Vehicle numbers'!$A$5:$A$162,0),1,1,1,$L$6)),4,1,COUNTIF('Vehicle numbers'!$A$5:$A$162,J850),4),
    MATCH(L$8,'Vehicle numbers'!$B$4:$D$4,0))*1000</f>
        <v>2532010.7364910794</v>
      </c>
      <c r="M850" s="184">
        <f>VLOOKUP(F850,'Annual distance covered (GB)'!$A$8:$H$33,MATCH(J850,'Annual distance covered (GB)'!$A$7:$H$7,0))</f>
        <v>53.4</v>
      </c>
      <c r="N850" s="2">
        <f t="shared" ca="1" si="40"/>
        <v>473626.67155798449</v>
      </c>
      <c r="O850" s="180">
        <f t="shared" ca="1" si="41"/>
        <v>0.18705555420130152</v>
      </c>
      <c r="P850" s="180"/>
      <c r="Q850" s="180"/>
      <c r="R850" s="180"/>
      <c r="S850" s="180"/>
      <c r="T850" s="180"/>
    </row>
    <row r="851" spans="1:20" x14ac:dyDescent="0.25">
      <c r="A851" t="s">
        <v>243</v>
      </c>
      <c r="B851" t="s">
        <v>237</v>
      </c>
      <c r="C851" t="s">
        <v>238</v>
      </c>
      <c r="D851" t="s">
        <v>258</v>
      </c>
      <c r="E851" t="s">
        <v>229</v>
      </c>
      <c r="F851">
        <v>2001</v>
      </c>
      <c r="G851">
        <v>3.4488000000000001E-3</v>
      </c>
      <c r="H851" t="s">
        <v>240</v>
      </c>
      <c r="I851" t="s">
        <v>241</v>
      </c>
      <c r="J851" t="s">
        <v>188</v>
      </c>
      <c r="K851" s="183">
        <f ca="1">VLOOKUP(F851,
    OFFSET(INDIRECT(ADDRESS(MATCH(J851,'Vehicle numbers'!$A$5:$A$162,0),1,1,1,$L$6)),4,1,COUNTIF('Vehicle numbers'!$A$5:$A$162,J851),4),
    MATCH(K$8,'Vehicle numbers'!$B$4:$D$4,0))*1000</f>
        <v>2461380</v>
      </c>
      <c r="L851" s="183">
        <f ca="1">VLOOKUP(F851,
    OFFSET(INDIRECT(ADDRESS(MATCH(J851,'Vehicle numbers'!$A$5:$A$162,0),1,1,1,$L$6)),4,1,COUNTIF('Vehicle numbers'!$A$5:$A$162,J851),4),
    MATCH(L$8,'Vehicle numbers'!$B$4:$D$4,0))*1000</f>
        <v>2532010.7364910794</v>
      </c>
      <c r="M851" s="184">
        <f>VLOOKUP(F851,'Annual distance covered (GB)'!$A$8:$H$33,MATCH(J851,'Annual distance covered (GB)'!$A$7:$H$7,0))</f>
        <v>53.4</v>
      </c>
      <c r="N851" s="2">
        <f t="shared" ca="1" si="40"/>
        <v>189450.66862319401</v>
      </c>
      <c r="O851" s="180">
        <f t="shared" ca="1" si="41"/>
        <v>7.482222168052069E-2</v>
      </c>
      <c r="P851" s="180"/>
      <c r="Q851" s="180"/>
      <c r="R851" s="180"/>
      <c r="S851" s="180"/>
      <c r="T851" s="180"/>
    </row>
    <row r="852" spans="1:20" x14ac:dyDescent="0.25">
      <c r="A852" t="s">
        <v>244</v>
      </c>
      <c r="B852" t="s">
        <v>237</v>
      </c>
      <c r="C852" t="s">
        <v>238</v>
      </c>
      <c r="D852" t="s">
        <v>258</v>
      </c>
      <c r="E852" t="s">
        <v>229</v>
      </c>
      <c r="F852">
        <v>2001</v>
      </c>
      <c r="G852">
        <v>8.6220000000000003E-4</v>
      </c>
      <c r="H852" t="s">
        <v>240</v>
      </c>
      <c r="I852" t="s">
        <v>241</v>
      </c>
      <c r="J852" t="s">
        <v>188</v>
      </c>
      <c r="K852" s="183">
        <f ca="1">VLOOKUP(F852,
    OFFSET(INDIRECT(ADDRESS(MATCH(J852,'Vehicle numbers'!$A$5:$A$162,0),1,1,1,$L$6)),4,1,COUNTIF('Vehicle numbers'!$A$5:$A$162,J852),4),
    MATCH(K$8,'Vehicle numbers'!$B$4:$D$4,0))*1000</f>
        <v>2461380</v>
      </c>
      <c r="L852" s="183">
        <f ca="1">VLOOKUP(F852,
    OFFSET(INDIRECT(ADDRESS(MATCH(J852,'Vehicle numbers'!$A$5:$A$162,0),1,1,1,$L$6)),4,1,COUNTIF('Vehicle numbers'!$A$5:$A$162,J852),4),
    MATCH(L$8,'Vehicle numbers'!$B$4:$D$4,0))*1000</f>
        <v>2532010.7364910794</v>
      </c>
      <c r="M852" s="184">
        <f>VLOOKUP(F852,'Annual distance covered (GB)'!$A$8:$H$33,MATCH(J852,'Annual distance covered (GB)'!$A$7:$H$7,0))</f>
        <v>53.4</v>
      </c>
      <c r="N852" s="2">
        <f t="shared" ca="1" si="40"/>
        <v>47362.667155798503</v>
      </c>
      <c r="O852" s="180">
        <f t="shared" ca="1" si="41"/>
        <v>1.8705555420130172E-2</v>
      </c>
      <c r="P852" s="180"/>
      <c r="Q852" s="180"/>
      <c r="R852" s="180"/>
      <c r="S852" s="180"/>
      <c r="T852" s="180"/>
    </row>
    <row r="853" spans="1:20" x14ac:dyDescent="0.25">
      <c r="A853" t="s">
        <v>246</v>
      </c>
      <c r="B853" t="s">
        <v>237</v>
      </c>
      <c r="C853" t="s">
        <v>238</v>
      </c>
      <c r="D853" t="s">
        <v>258</v>
      </c>
      <c r="E853" t="s">
        <v>229</v>
      </c>
      <c r="F853">
        <v>2001</v>
      </c>
      <c r="G853">
        <v>6.8975999999999998E-4</v>
      </c>
      <c r="H853" t="s">
        <v>240</v>
      </c>
      <c r="I853" t="s">
        <v>241</v>
      </c>
      <c r="J853" t="s">
        <v>188</v>
      </c>
      <c r="K853" s="183">
        <f ca="1">VLOOKUP(F853,
    OFFSET(INDIRECT(ADDRESS(MATCH(J853,'Vehicle numbers'!$A$5:$A$162,0),1,1,1,$L$6)),4,1,COUNTIF('Vehicle numbers'!$A$5:$A$162,J853),4),
    MATCH(K$8,'Vehicle numbers'!$B$4:$D$4,0))*1000</f>
        <v>2461380</v>
      </c>
      <c r="L853" s="183">
        <f ca="1">VLOOKUP(F853,
    OFFSET(INDIRECT(ADDRESS(MATCH(J853,'Vehicle numbers'!$A$5:$A$162,0),1,1,1,$L$6)),4,1,COUNTIF('Vehicle numbers'!$A$5:$A$162,J853),4),
    MATCH(L$8,'Vehicle numbers'!$B$4:$D$4,0))*1000</f>
        <v>2532010.7364910794</v>
      </c>
      <c r="M853" s="184">
        <f>VLOOKUP(F853,'Annual distance covered (GB)'!$A$8:$H$33,MATCH(J853,'Annual distance covered (GB)'!$A$7:$H$7,0))</f>
        <v>53.4</v>
      </c>
      <c r="N853" s="2">
        <f t="shared" ca="1" si="40"/>
        <v>37890.133724638799</v>
      </c>
      <c r="O853" s="180">
        <f t="shared" ca="1" si="41"/>
        <v>1.4964444336104138E-2</v>
      </c>
      <c r="P853" s="180"/>
      <c r="Q853" s="180"/>
      <c r="R853" s="180"/>
      <c r="S853" s="180"/>
      <c r="T853" s="180"/>
    </row>
    <row r="854" spans="1:20" x14ac:dyDescent="0.25">
      <c r="A854" t="s">
        <v>236</v>
      </c>
      <c r="B854" t="s">
        <v>237</v>
      </c>
      <c r="C854" t="s">
        <v>238</v>
      </c>
      <c r="D854" t="s">
        <v>258</v>
      </c>
      <c r="E854" t="s">
        <v>228</v>
      </c>
      <c r="F854">
        <v>2001</v>
      </c>
      <c r="G854">
        <v>1.0741000000000001E-2</v>
      </c>
      <c r="H854" t="s">
        <v>240</v>
      </c>
      <c r="I854" t="s">
        <v>241</v>
      </c>
      <c r="J854" t="s">
        <v>188</v>
      </c>
      <c r="K854" s="183">
        <f ca="1">VLOOKUP(F854,
    OFFSET(INDIRECT(ADDRESS(MATCH(J854,'Vehicle numbers'!$A$5:$A$162,0),1,1,1,$L$6)),4,1,COUNTIF('Vehicle numbers'!$A$5:$A$162,J854),4),
    MATCH(K$8,'Vehicle numbers'!$B$4:$D$4,0))*1000</f>
        <v>2461380</v>
      </c>
      <c r="L854" s="183">
        <f ca="1">VLOOKUP(F854,
    OFFSET(INDIRECT(ADDRESS(MATCH(J854,'Vehicle numbers'!$A$5:$A$162,0),1,1,1,$L$6)),4,1,COUNTIF('Vehicle numbers'!$A$5:$A$162,J854),4),
    MATCH(L$8,'Vehicle numbers'!$B$4:$D$4,0))*1000</f>
        <v>2532010.7364910794</v>
      </c>
      <c r="M854" s="184">
        <f>VLOOKUP(F854,'Annual distance covered (GB)'!$A$8:$H$33,MATCH(J854,'Annual distance covered (GB)'!$A$7:$H$7,0))</f>
        <v>53.4</v>
      </c>
      <c r="N854" s="2">
        <f t="shared" ca="1" si="40"/>
        <v>590028.30888475035</v>
      </c>
      <c r="O854" s="180">
        <f t="shared" ca="1" si="41"/>
        <v>0.23302756989981235</v>
      </c>
      <c r="P854" s="180"/>
      <c r="Q854" s="180"/>
      <c r="R854" s="180"/>
      <c r="S854" s="180"/>
      <c r="T854" s="180"/>
    </row>
    <row r="855" spans="1:20" x14ac:dyDescent="0.25">
      <c r="A855" t="s">
        <v>243</v>
      </c>
      <c r="B855" t="s">
        <v>237</v>
      </c>
      <c r="C855" t="s">
        <v>238</v>
      </c>
      <c r="D855" t="s">
        <v>258</v>
      </c>
      <c r="E855" t="s">
        <v>228</v>
      </c>
      <c r="F855">
        <v>2001</v>
      </c>
      <c r="G855">
        <v>7.5186999999999997E-3</v>
      </c>
      <c r="H855" t="s">
        <v>240</v>
      </c>
      <c r="I855" t="s">
        <v>241</v>
      </c>
      <c r="J855" t="s">
        <v>188</v>
      </c>
      <c r="K855" s="183">
        <f ca="1">VLOOKUP(F855,
    OFFSET(INDIRECT(ADDRESS(MATCH(J855,'Vehicle numbers'!$A$5:$A$162,0),1,1,1,$L$6)),4,1,COUNTIF('Vehicle numbers'!$A$5:$A$162,J855),4),
    MATCH(K$8,'Vehicle numbers'!$B$4:$D$4,0))*1000</f>
        <v>2461380</v>
      </c>
      <c r="L855" s="183">
        <f ca="1">VLOOKUP(F855,
    OFFSET(INDIRECT(ADDRESS(MATCH(J855,'Vehicle numbers'!$A$5:$A$162,0),1,1,1,$L$6)),4,1,COUNTIF('Vehicle numbers'!$A$5:$A$162,J855),4),
    MATCH(L$8,'Vehicle numbers'!$B$4:$D$4,0))*1000</f>
        <v>2532010.7364910794</v>
      </c>
      <c r="M855" s="184">
        <f>VLOOKUP(F855,'Annual distance covered (GB)'!$A$8:$H$33,MATCH(J855,'Annual distance covered (GB)'!$A$7:$H$7,0))</f>
        <v>53.4</v>
      </c>
      <c r="N855" s="2">
        <f t="shared" ca="1" si="40"/>
        <v>413019.81621932524</v>
      </c>
      <c r="O855" s="180">
        <f t="shared" ca="1" si="41"/>
        <v>0.16311929892986865</v>
      </c>
      <c r="P855" s="180"/>
      <c r="Q855" s="180"/>
      <c r="R855" s="180"/>
      <c r="S855" s="180"/>
      <c r="T855" s="180"/>
    </row>
    <row r="856" spans="1:20" x14ac:dyDescent="0.25">
      <c r="A856" t="s">
        <v>244</v>
      </c>
      <c r="B856" t="s">
        <v>237</v>
      </c>
      <c r="C856" t="s">
        <v>238</v>
      </c>
      <c r="D856" t="s">
        <v>258</v>
      </c>
      <c r="E856" t="s">
        <v>228</v>
      </c>
      <c r="F856">
        <v>2001</v>
      </c>
      <c r="G856">
        <v>1.05897183098591E-3</v>
      </c>
      <c r="H856" t="s">
        <v>240</v>
      </c>
      <c r="I856" t="s">
        <v>241</v>
      </c>
      <c r="J856" t="s">
        <v>188</v>
      </c>
      <c r="K856" s="183">
        <f ca="1">VLOOKUP(F856,
    OFFSET(INDIRECT(ADDRESS(MATCH(J856,'Vehicle numbers'!$A$5:$A$162,0),1,1,1,$L$6)),4,1,COUNTIF('Vehicle numbers'!$A$5:$A$162,J856),4),
    MATCH(K$8,'Vehicle numbers'!$B$4:$D$4,0))*1000</f>
        <v>2461380</v>
      </c>
      <c r="L856" s="183">
        <f ca="1">VLOOKUP(F856,
    OFFSET(INDIRECT(ADDRESS(MATCH(J856,'Vehicle numbers'!$A$5:$A$162,0),1,1,1,$L$6)),4,1,COUNTIF('Vehicle numbers'!$A$5:$A$162,J856),4),
    MATCH(L$8,'Vehicle numbers'!$B$4:$D$4,0))*1000</f>
        <v>2532010.7364910794</v>
      </c>
      <c r="M856" s="184">
        <f>VLOOKUP(F856,'Annual distance covered (GB)'!$A$8:$H$33,MATCH(J856,'Annual distance covered (GB)'!$A$7:$H$7,0))</f>
        <v>53.4</v>
      </c>
      <c r="N856" s="2">
        <f t="shared" ca="1" si="40"/>
        <v>58171.805101313104</v>
      </c>
      <c r="O856" s="180">
        <f t="shared" ca="1" si="41"/>
        <v>2.2974549145051797E-2</v>
      </c>
      <c r="P856" s="180"/>
      <c r="Q856" s="180"/>
      <c r="R856" s="180"/>
      <c r="S856" s="180"/>
      <c r="T856" s="180"/>
    </row>
    <row r="857" spans="1:20" x14ac:dyDescent="0.25">
      <c r="A857" t="s">
        <v>246</v>
      </c>
      <c r="B857" t="s">
        <v>237</v>
      </c>
      <c r="C857" t="s">
        <v>238</v>
      </c>
      <c r="D857" t="s">
        <v>258</v>
      </c>
      <c r="E857" t="s">
        <v>228</v>
      </c>
      <c r="F857">
        <v>2001</v>
      </c>
      <c r="G857">
        <v>8.47177464788731E-4</v>
      </c>
      <c r="H857" t="s">
        <v>240</v>
      </c>
      <c r="I857" t="s">
        <v>241</v>
      </c>
      <c r="J857" t="s">
        <v>188</v>
      </c>
      <c r="K857" s="183">
        <f ca="1">VLOOKUP(F857,
    OFFSET(INDIRECT(ADDRESS(MATCH(J857,'Vehicle numbers'!$A$5:$A$162,0),1,1,1,$L$6)),4,1,COUNTIF('Vehicle numbers'!$A$5:$A$162,J857),4),
    MATCH(K$8,'Vehicle numbers'!$B$4:$D$4,0))*1000</f>
        <v>2461380</v>
      </c>
      <c r="L857" s="183">
        <f ca="1">VLOOKUP(F857,
    OFFSET(INDIRECT(ADDRESS(MATCH(J857,'Vehicle numbers'!$A$5:$A$162,0),1,1,1,$L$6)),4,1,COUNTIF('Vehicle numbers'!$A$5:$A$162,J857),4),
    MATCH(L$8,'Vehicle numbers'!$B$4:$D$4,0))*1000</f>
        <v>2532010.7364910794</v>
      </c>
      <c r="M857" s="184">
        <f>VLOOKUP(F857,'Annual distance covered (GB)'!$A$8:$H$33,MATCH(J857,'Annual distance covered (GB)'!$A$7:$H$7,0))</f>
        <v>53.4</v>
      </c>
      <c r="N857" s="2">
        <f t="shared" ca="1" si="40"/>
        <v>46537.444081050649</v>
      </c>
      <c r="O857" s="180">
        <f t="shared" ca="1" si="41"/>
        <v>1.8379639316041505E-2</v>
      </c>
      <c r="P857" s="180"/>
      <c r="Q857" s="180"/>
      <c r="R857" s="180"/>
      <c r="S857" s="180"/>
      <c r="T857" s="180"/>
    </row>
    <row r="858" spans="1:20" x14ac:dyDescent="0.25">
      <c r="A858" t="s">
        <v>236</v>
      </c>
      <c r="B858" t="s">
        <v>237</v>
      </c>
      <c r="C858" t="s">
        <v>238</v>
      </c>
      <c r="D858" t="s">
        <v>259</v>
      </c>
      <c r="E858" t="s">
        <v>229</v>
      </c>
      <c r="F858">
        <v>2001</v>
      </c>
      <c r="G858">
        <v>1.8218999999999999E-2</v>
      </c>
      <c r="H858" t="s">
        <v>240</v>
      </c>
      <c r="I858" t="s">
        <v>241</v>
      </c>
      <c r="J858" t="s">
        <v>188</v>
      </c>
      <c r="K858" s="183">
        <f ca="1">VLOOKUP(F858,
    OFFSET(INDIRECT(ADDRESS(MATCH(J858,'Vehicle numbers'!$A$5:$A$162,0),1,1,1,$L$6)),4,1,COUNTIF('Vehicle numbers'!$A$5:$A$162,J858),4),
    MATCH(K$8,'Vehicle numbers'!$B$4:$D$4,0))*1000</f>
        <v>2461380</v>
      </c>
      <c r="L858" s="183">
        <f ca="1">VLOOKUP(F858,
    OFFSET(INDIRECT(ADDRESS(MATCH(J858,'Vehicle numbers'!$A$5:$A$162,0),1,1,1,$L$6)),4,1,COUNTIF('Vehicle numbers'!$A$5:$A$162,J858),4),
    MATCH(L$8,'Vehicle numbers'!$B$4:$D$4,0))*1000</f>
        <v>2532010.7364910794</v>
      </c>
      <c r="M858" s="184">
        <f>VLOOKUP(F858,'Annual distance covered (GB)'!$A$8:$H$33,MATCH(J858,'Annual distance covered (GB)'!$A$7:$H$7,0))</f>
        <v>53.4</v>
      </c>
      <c r="N858" s="2">
        <f t="shared" ca="1" si="40"/>
        <v>1000812.3786957699</v>
      </c>
      <c r="O858" s="180">
        <f t="shared" ca="1" si="41"/>
        <v>0.3952638763620408</v>
      </c>
      <c r="P858" s="180"/>
      <c r="Q858" s="180"/>
      <c r="R858" s="180"/>
      <c r="S858" s="180"/>
      <c r="T858" s="180"/>
    </row>
    <row r="859" spans="1:20" x14ac:dyDescent="0.25">
      <c r="A859" t="s">
        <v>243</v>
      </c>
      <c r="B859" t="s">
        <v>237</v>
      </c>
      <c r="C859" t="s">
        <v>238</v>
      </c>
      <c r="D859" t="s">
        <v>259</v>
      </c>
      <c r="E859" t="s">
        <v>229</v>
      </c>
      <c r="F859">
        <v>2001</v>
      </c>
      <c r="G859">
        <v>7.2876E-3</v>
      </c>
      <c r="H859" t="s">
        <v>240</v>
      </c>
      <c r="I859" t="s">
        <v>241</v>
      </c>
      <c r="J859" t="s">
        <v>188</v>
      </c>
      <c r="K859" s="183">
        <f ca="1">VLOOKUP(F859,
    OFFSET(INDIRECT(ADDRESS(MATCH(J859,'Vehicle numbers'!$A$5:$A$162,0),1,1,1,$L$6)),4,1,COUNTIF('Vehicle numbers'!$A$5:$A$162,J859),4),
    MATCH(K$8,'Vehicle numbers'!$B$4:$D$4,0))*1000</f>
        <v>2461380</v>
      </c>
      <c r="L859" s="183">
        <f ca="1">VLOOKUP(F859,
    OFFSET(INDIRECT(ADDRESS(MATCH(J859,'Vehicle numbers'!$A$5:$A$162,0),1,1,1,$L$6)),4,1,COUNTIF('Vehicle numbers'!$A$5:$A$162,J859),4),
    MATCH(L$8,'Vehicle numbers'!$B$4:$D$4,0))*1000</f>
        <v>2532010.7364910794</v>
      </c>
      <c r="M859" s="184">
        <f>VLOOKUP(F859,'Annual distance covered (GB)'!$A$8:$H$33,MATCH(J859,'Annual distance covered (GB)'!$A$7:$H$7,0))</f>
        <v>53.4</v>
      </c>
      <c r="N859" s="2">
        <f t="shared" ca="1" si="40"/>
        <v>400324.95147830795</v>
      </c>
      <c r="O859" s="180">
        <f t="shared" ca="1" si="41"/>
        <v>0.15810555054481631</v>
      </c>
      <c r="P859" s="180"/>
      <c r="Q859" s="180"/>
      <c r="R859" s="180"/>
      <c r="S859" s="180"/>
      <c r="T859" s="180"/>
    </row>
    <row r="860" spans="1:20" x14ac:dyDescent="0.25">
      <c r="A860" t="s">
        <v>244</v>
      </c>
      <c r="B860" t="s">
        <v>237</v>
      </c>
      <c r="C860" t="s">
        <v>238</v>
      </c>
      <c r="D860" t="s">
        <v>259</v>
      </c>
      <c r="E860" t="s">
        <v>229</v>
      </c>
      <c r="F860">
        <v>2001</v>
      </c>
      <c r="G860">
        <v>1.8219E-3</v>
      </c>
      <c r="H860" t="s">
        <v>240</v>
      </c>
      <c r="I860" t="s">
        <v>241</v>
      </c>
      <c r="J860" t="s">
        <v>188</v>
      </c>
      <c r="K860" s="183">
        <f ca="1">VLOOKUP(F860,
    OFFSET(INDIRECT(ADDRESS(MATCH(J860,'Vehicle numbers'!$A$5:$A$162,0),1,1,1,$L$6)),4,1,COUNTIF('Vehicle numbers'!$A$5:$A$162,J860),4),
    MATCH(K$8,'Vehicle numbers'!$B$4:$D$4,0))*1000</f>
        <v>2461380</v>
      </c>
      <c r="L860" s="183">
        <f ca="1">VLOOKUP(F860,
    OFFSET(INDIRECT(ADDRESS(MATCH(J860,'Vehicle numbers'!$A$5:$A$162,0),1,1,1,$L$6)),4,1,COUNTIF('Vehicle numbers'!$A$5:$A$162,J860),4),
    MATCH(L$8,'Vehicle numbers'!$B$4:$D$4,0))*1000</f>
        <v>2532010.7364910794</v>
      </c>
      <c r="M860" s="184">
        <f>VLOOKUP(F860,'Annual distance covered (GB)'!$A$8:$H$33,MATCH(J860,'Annual distance covered (GB)'!$A$7:$H$7,0))</f>
        <v>53.4</v>
      </c>
      <c r="N860" s="2">
        <f t="shared" ca="1" si="40"/>
        <v>100081.23786957699</v>
      </c>
      <c r="O860" s="180">
        <f t="shared" ca="1" si="41"/>
        <v>3.9526387636204079E-2</v>
      </c>
      <c r="P860" s="180"/>
      <c r="Q860" s="180"/>
      <c r="R860" s="180"/>
      <c r="S860" s="180"/>
      <c r="T860" s="180"/>
    </row>
    <row r="861" spans="1:20" x14ac:dyDescent="0.25">
      <c r="A861" t="s">
        <v>246</v>
      </c>
      <c r="B861" t="s">
        <v>237</v>
      </c>
      <c r="C861" t="s">
        <v>238</v>
      </c>
      <c r="D861" t="s">
        <v>259</v>
      </c>
      <c r="E861" t="s">
        <v>229</v>
      </c>
      <c r="F861">
        <v>2001</v>
      </c>
      <c r="G861">
        <v>1.4575199999999999E-3</v>
      </c>
      <c r="H861" t="s">
        <v>240</v>
      </c>
      <c r="I861" t="s">
        <v>241</v>
      </c>
      <c r="J861" t="s">
        <v>188</v>
      </c>
      <c r="K861" s="183">
        <f ca="1">VLOOKUP(F861,
    OFFSET(INDIRECT(ADDRESS(MATCH(J861,'Vehicle numbers'!$A$5:$A$162,0),1,1,1,$L$6)),4,1,COUNTIF('Vehicle numbers'!$A$5:$A$162,J861),4),
    MATCH(K$8,'Vehicle numbers'!$B$4:$D$4,0))*1000</f>
        <v>2461380</v>
      </c>
      <c r="L861" s="183">
        <f ca="1">VLOOKUP(F861,
    OFFSET(INDIRECT(ADDRESS(MATCH(J861,'Vehicle numbers'!$A$5:$A$162,0),1,1,1,$L$6)),4,1,COUNTIF('Vehicle numbers'!$A$5:$A$162,J861),4),
    MATCH(L$8,'Vehicle numbers'!$B$4:$D$4,0))*1000</f>
        <v>2532010.7364910794</v>
      </c>
      <c r="M861" s="184">
        <f>VLOOKUP(F861,'Annual distance covered (GB)'!$A$8:$H$33,MATCH(J861,'Annual distance covered (GB)'!$A$7:$H$7,0))</f>
        <v>53.4</v>
      </c>
      <c r="N861" s="2">
        <f t="shared" ca="1" si="40"/>
        <v>80064.990295661584</v>
      </c>
      <c r="O861" s="180">
        <f t="shared" ca="1" si="41"/>
        <v>3.1621110108963263E-2</v>
      </c>
      <c r="P861" s="180"/>
      <c r="Q861" s="180"/>
      <c r="R861" s="180"/>
      <c r="S861" s="180"/>
      <c r="T861" s="180"/>
    </row>
    <row r="862" spans="1:20" x14ac:dyDescent="0.25">
      <c r="A862" t="s">
        <v>236</v>
      </c>
      <c r="B862" t="s">
        <v>237</v>
      </c>
      <c r="C862" t="s">
        <v>238</v>
      </c>
      <c r="D862" t="s">
        <v>259</v>
      </c>
      <c r="E862" t="s">
        <v>228</v>
      </c>
      <c r="F862">
        <v>2001</v>
      </c>
      <c r="G862">
        <v>1.3802E-2</v>
      </c>
      <c r="H862" t="s">
        <v>240</v>
      </c>
      <c r="I862" t="s">
        <v>241</v>
      </c>
      <c r="J862" t="s">
        <v>188</v>
      </c>
      <c r="K862" s="183">
        <f ca="1">VLOOKUP(F862,
    OFFSET(INDIRECT(ADDRESS(MATCH(J862,'Vehicle numbers'!$A$5:$A$162,0),1,1,1,$L$6)),4,1,COUNTIF('Vehicle numbers'!$A$5:$A$162,J862),4),
    MATCH(K$8,'Vehicle numbers'!$B$4:$D$4,0))*1000</f>
        <v>2461380</v>
      </c>
      <c r="L862" s="183">
        <f ca="1">VLOOKUP(F862,
    OFFSET(INDIRECT(ADDRESS(MATCH(J862,'Vehicle numbers'!$A$5:$A$162,0),1,1,1,$L$6)),4,1,COUNTIF('Vehicle numbers'!$A$5:$A$162,J862),4),
    MATCH(L$8,'Vehicle numbers'!$B$4:$D$4,0))*1000</f>
        <v>2532010.7364910794</v>
      </c>
      <c r="M862" s="184">
        <f>VLOOKUP(F862,'Annual distance covered (GB)'!$A$8:$H$33,MATCH(J862,'Annual distance covered (GB)'!$A$7:$H$7,0))</f>
        <v>53.4</v>
      </c>
      <c r="N862" s="2">
        <f t="shared" ca="1" si="40"/>
        <v>758176.21443322988</v>
      </c>
      <c r="O862" s="180">
        <f t="shared" ca="1" si="41"/>
        <v>0.29943641371913315</v>
      </c>
      <c r="P862" s="180"/>
      <c r="Q862" s="180"/>
      <c r="R862" s="180"/>
      <c r="S862" s="180"/>
      <c r="T862" s="180"/>
    </row>
    <row r="863" spans="1:20" x14ac:dyDescent="0.25">
      <c r="A863" t="s">
        <v>243</v>
      </c>
      <c r="B863" t="s">
        <v>237</v>
      </c>
      <c r="C863" t="s">
        <v>238</v>
      </c>
      <c r="D863" t="s">
        <v>259</v>
      </c>
      <c r="E863" t="s">
        <v>228</v>
      </c>
      <c r="F863">
        <v>2001</v>
      </c>
      <c r="G863">
        <v>9.6614000000000005E-3</v>
      </c>
      <c r="H863" t="s">
        <v>240</v>
      </c>
      <c r="I863" t="s">
        <v>241</v>
      </c>
      <c r="J863" t="s">
        <v>188</v>
      </c>
      <c r="K863" s="183">
        <f ca="1">VLOOKUP(F863,
    OFFSET(INDIRECT(ADDRESS(MATCH(J863,'Vehicle numbers'!$A$5:$A$162,0),1,1,1,$L$6)),4,1,COUNTIF('Vehicle numbers'!$A$5:$A$162,J863),4),
    MATCH(K$8,'Vehicle numbers'!$B$4:$D$4,0))*1000</f>
        <v>2461380</v>
      </c>
      <c r="L863" s="183">
        <f ca="1">VLOOKUP(F863,
    OFFSET(INDIRECT(ADDRESS(MATCH(J863,'Vehicle numbers'!$A$5:$A$162,0),1,1,1,$L$6)),4,1,COUNTIF('Vehicle numbers'!$A$5:$A$162,J863),4),
    MATCH(L$8,'Vehicle numbers'!$B$4:$D$4,0))*1000</f>
        <v>2532010.7364910794</v>
      </c>
      <c r="M863" s="184">
        <f>VLOOKUP(F863,'Annual distance covered (GB)'!$A$8:$H$33,MATCH(J863,'Annual distance covered (GB)'!$A$7:$H$7,0))</f>
        <v>53.4</v>
      </c>
      <c r="N863" s="2">
        <f t="shared" ca="1" si="40"/>
        <v>530723.35010326095</v>
      </c>
      <c r="O863" s="180">
        <f t="shared" ca="1" si="41"/>
        <v>0.2096054896033932</v>
      </c>
      <c r="P863" s="180"/>
      <c r="Q863" s="180"/>
      <c r="R863" s="180"/>
      <c r="S863" s="180"/>
      <c r="T863" s="180"/>
    </row>
    <row r="864" spans="1:20" x14ac:dyDescent="0.25">
      <c r="A864" t="s">
        <v>244</v>
      </c>
      <c r="B864" t="s">
        <v>237</v>
      </c>
      <c r="C864" t="s">
        <v>238</v>
      </c>
      <c r="D864" t="s">
        <v>259</v>
      </c>
      <c r="E864" t="s">
        <v>228</v>
      </c>
      <c r="F864">
        <v>2001</v>
      </c>
      <c r="G864">
        <v>1.3607605633802801E-3</v>
      </c>
      <c r="H864" t="s">
        <v>240</v>
      </c>
      <c r="I864" t="s">
        <v>241</v>
      </c>
      <c r="J864" t="s">
        <v>188</v>
      </c>
      <c r="K864" s="183">
        <f ca="1">VLOOKUP(F864,
    OFFSET(INDIRECT(ADDRESS(MATCH(J864,'Vehicle numbers'!$A$5:$A$162,0),1,1,1,$L$6)),4,1,COUNTIF('Vehicle numbers'!$A$5:$A$162,J864),4),
    MATCH(K$8,'Vehicle numbers'!$B$4:$D$4,0))*1000</f>
        <v>2461380</v>
      </c>
      <c r="L864" s="183">
        <f ca="1">VLOOKUP(F864,
    OFFSET(INDIRECT(ADDRESS(MATCH(J864,'Vehicle numbers'!$A$5:$A$162,0),1,1,1,$L$6)),4,1,COUNTIF('Vehicle numbers'!$A$5:$A$162,J864),4),
    MATCH(L$8,'Vehicle numbers'!$B$4:$D$4,0))*1000</f>
        <v>2532010.7364910794</v>
      </c>
      <c r="M864" s="184">
        <f>VLOOKUP(F864,'Annual distance covered (GB)'!$A$8:$H$33,MATCH(J864,'Annual distance covered (GB)'!$A$7:$H$7,0))</f>
        <v>53.4</v>
      </c>
      <c r="N864" s="2">
        <f t="shared" ca="1" si="40"/>
        <v>74749.767620177518</v>
      </c>
      <c r="O864" s="180">
        <f t="shared" ca="1" si="41"/>
        <v>2.9521899944139857E-2</v>
      </c>
      <c r="P864" s="180"/>
      <c r="Q864" s="180"/>
      <c r="R864" s="180"/>
      <c r="S864" s="180"/>
      <c r="T864" s="180"/>
    </row>
    <row r="865" spans="1:20" x14ac:dyDescent="0.25">
      <c r="A865" t="s">
        <v>246</v>
      </c>
      <c r="B865" t="s">
        <v>237</v>
      </c>
      <c r="C865" t="s">
        <v>238</v>
      </c>
      <c r="D865" t="s">
        <v>259</v>
      </c>
      <c r="E865" t="s">
        <v>228</v>
      </c>
      <c r="F865">
        <v>2001</v>
      </c>
      <c r="G865">
        <v>1.0886084507042201E-3</v>
      </c>
      <c r="H865" t="s">
        <v>240</v>
      </c>
      <c r="I865" t="s">
        <v>241</v>
      </c>
      <c r="J865" t="s">
        <v>188</v>
      </c>
      <c r="K865" s="183">
        <f ca="1">VLOOKUP(F865,
    OFFSET(INDIRECT(ADDRESS(MATCH(J865,'Vehicle numbers'!$A$5:$A$162,0),1,1,1,$L$6)),4,1,COUNTIF('Vehicle numbers'!$A$5:$A$162,J865),4),
    MATCH(K$8,'Vehicle numbers'!$B$4:$D$4,0))*1000</f>
        <v>2461380</v>
      </c>
      <c r="L865" s="183">
        <f ca="1">VLOOKUP(F865,
    OFFSET(INDIRECT(ADDRESS(MATCH(J865,'Vehicle numbers'!$A$5:$A$162,0),1,1,1,$L$6)),4,1,COUNTIF('Vehicle numbers'!$A$5:$A$162,J865),4),
    MATCH(L$8,'Vehicle numbers'!$B$4:$D$4,0))*1000</f>
        <v>2532010.7364910794</v>
      </c>
      <c r="M865" s="184">
        <f>VLOOKUP(F865,'Annual distance covered (GB)'!$A$8:$H$33,MATCH(J865,'Annual distance covered (GB)'!$A$7:$H$7,0))</f>
        <v>53.4</v>
      </c>
      <c r="N865" s="2">
        <f t="shared" ca="1" si="40"/>
        <v>59799.814096141788</v>
      </c>
      <c r="O865" s="180">
        <f t="shared" ca="1" si="41"/>
        <v>2.3617519955311798E-2</v>
      </c>
      <c r="P865" s="180"/>
      <c r="Q865" s="180"/>
      <c r="R865" s="180"/>
      <c r="S865" s="180"/>
      <c r="T865" s="180"/>
    </row>
    <row r="866" spans="1:20" x14ac:dyDescent="0.25">
      <c r="A866" t="s">
        <v>236</v>
      </c>
      <c r="B866" t="s">
        <v>237</v>
      </c>
      <c r="C866" t="s">
        <v>238</v>
      </c>
      <c r="D866" t="s">
        <v>260</v>
      </c>
      <c r="E866" t="s">
        <v>229</v>
      </c>
      <c r="F866">
        <v>2001</v>
      </c>
      <c r="G866">
        <v>5.8399999999999902E-3</v>
      </c>
      <c r="H866" t="s">
        <v>240</v>
      </c>
      <c r="I866" t="s">
        <v>241</v>
      </c>
      <c r="J866" t="s">
        <v>3</v>
      </c>
      <c r="K866" s="183">
        <f ca="1">VLOOKUP(F866,
    OFFSET(INDIRECT(ADDRESS(MATCH(J866,'Vehicle numbers'!$A$5:$A$162,0),1,1,1,$L$6)),4,1,COUNTIF('Vehicle numbers'!$A$5:$A$162,J866),4),
    MATCH(K$8,'Vehicle numbers'!$B$4:$D$4,0))*1000</f>
        <v>1009954</v>
      </c>
      <c r="L866" s="183">
        <f ca="1">VLOOKUP(F866,
    OFFSET(INDIRECT(ADDRESS(MATCH(J866,'Vehicle numbers'!$A$5:$A$162,0),1,1,1,$L$6)),4,1,COUNTIF('Vehicle numbers'!$A$5:$A$162,J866),4),
    MATCH(L$8,'Vehicle numbers'!$B$4:$D$4,0))*1000</f>
        <v>1028513.0960014876</v>
      </c>
      <c r="M866" s="184">
        <f>VLOOKUP(F866,'Annual distance covered (GB)'!$A$8:$H$33,MATCH(J866,'Annual distance covered (GB)'!$A$7:$H$7,0))</f>
        <v>4.8</v>
      </c>
      <c r="N866" s="2">
        <f t="shared" ca="1" si="40"/>
        <v>28547.121064042178</v>
      </c>
      <c r="O866" s="180">
        <f t="shared" ca="1" si="41"/>
        <v>2.7755719567425799E-2</v>
      </c>
      <c r="P866" s="180"/>
      <c r="Q866" s="180"/>
      <c r="R866" s="180"/>
      <c r="S866" s="180"/>
      <c r="T866" s="180"/>
    </row>
    <row r="867" spans="1:20" x14ac:dyDescent="0.25">
      <c r="A867" t="s">
        <v>243</v>
      </c>
      <c r="B867" t="s">
        <v>237</v>
      </c>
      <c r="C867" t="s">
        <v>238</v>
      </c>
      <c r="D867" t="s">
        <v>260</v>
      </c>
      <c r="E867" t="s">
        <v>229</v>
      </c>
      <c r="F867">
        <v>2001</v>
      </c>
      <c r="G867">
        <v>2.336E-3</v>
      </c>
      <c r="H867" t="s">
        <v>240</v>
      </c>
      <c r="I867" t="s">
        <v>241</v>
      </c>
      <c r="J867" t="s">
        <v>3</v>
      </c>
      <c r="K867" s="183">
        <f ca="1">VLOOKUP(F867,
    OFFSET(INDIRECT(ADDRESS(MATCH(J867,'Vehicle numbers'!$A$5:$A$162,0),1,1,1,$L$6)),4,1,COUNTIF('Vehicle numbers'!$A$5:$A$162,J867),4),
    MATCH(K$8,'Vehicle numbers'!$B$4:$D$4,0))*1000</f>
        <v>1009954</v>
      </c>
      <c r="L867" s="183">
        <f ca="1">VLOOKUP(F867,
    OFFSET(INDIRECT(ADDRESS(MATCH(J867,'Vehicle numbers'!$A$5:$A$162,0),1,1,1,$L$6)),4,1,COUNTIF('Vehicle numbers'!$A$5:$A$162,J867),4),
    MATCH(L$8,'Vehicle numbers'!$B$4:$D$4,0))*1000</f>
        <v>1028513.0960014876</v>
      </c>
      <c r="M867" s="184">
        <f>VLOOKUP(F867,'Annual distance covered (GB)'!$A$8:$H$33,MATCH(J867,'Annual distance covered (GB)'!$A$7:$H$7,0))</f>
        <v>4.8</v>
      </c>
      <c r="N867" s="2">
        <f t="shared" ca="1" si="40"/>
        <v>11418.84842561689</v>
      </c>
      <c r="O867" s="180">
        <f t="shared" ca="1" si="41"/>
        <v>1.1102287826970338E-2</v>
      </c>
      <c r="P867" s="180"/>
      <c r="Q867" s="180"/>
      <c r="R867" s="180"/>
      <c r="S867" s="180"/>
      <c r="T867" s="180"/>
    </row>
    <row r="868" spans="1:20" x14ac:dyDescent="0.25">
      <c r="A868" t="s">
        <v>244</v>
      </c>
      <c r="B868" t="s">
        <v>237</v>
      </c>
      <c r="C868" t="s">
        <v>238</v>
      </c>
      <c r="D868" t="s">
        <v>260</v>
      </c>
      <c r="E868" t="s">
        <v>229</v>
      </c>
      <c r="F868">
        <v>2001</v>
      </c>
      <c r="G868">
        <v>5.8399999999999999E-4</v>
      </c>
      <c r="H868" t="s">
        <v>240</v>
      </c>
      <c r="I868" t="s">
        <v>241</v>
      </c>
      <c r="J868" t="s">
        <v>3</v>
      </c>
      <c r="K868" s="183">
        <f ca="1">VLOOKUP(F868,
    OFFSET(INDIRECT(ADDRESS(MATCH(J868,'Vehicle numbers'!$A$5:$A$162,0),1,1,1,$L$6)),4,1,COUNTIF('Vehicle numbers'!$A$5:$A$162,J868),4),
    MATCH(K$8,'Vehicle numbers'!$B$4:$D$4,0))*1000</f>
        <v>1009954</v>
      </c>
      <c r="L868" s="183">
        <f ca="1">VLOOKUP(F868,
    OFFSET(INDIRECT(ADDRESS(MATCH(J868,'Vehicle numbers'!$A$5:$A$162,0),1,1,1,$L$6)),4,1,COUNTIF('Vehicle numbers'!$A$5:$A$162,J868),4),
    MATCH(L$8,'Vehicle numbers'!$B$4:$D$4,0))*1000</f>
        <v>1028513.0960014876</v>
      </c>
      <c r="M868" s="184">
        <f>VLOOKUP(F868,'Annual distance covered (GB)'!$A$8:$H$33,MATCH(J868,'Annual distance covered (GB)'!$A$7:$H$7,0))</f>
        <v>4.8</v>
      </c>
      <c r="N868" s="2">
        <f t="shared" ca="1" si="40"/>
        <v>2854.7121064042226</v>
      </c>
      <c r="O868" s="180">
        <f t="shared" ca="1" si="41"/>
        <v>2.7755719567425846E-3</v>
      </c>
      <c r="P868" s="180"/>
      <c r="Q868" s="180"/>
      <c r="R868" s="180"/>
      <c r="S868" s="180"/>
      <c r="T868" s="180"/>
    </row>
    <row r="869" spans="1:20" x14ac:dyDescent="0.25">
      <c r="A869" t="s">
        <v>246</v>
      </c>
      <c r="B869" t="s">
        <v>237</v>
      </c>
      <c r="C869" t="s">
        <v>238</v>
      </c>
      <c r="D869" t="s">
        <v>260</v>
      </c>
      <c r="E869" t="s">
        <v>229</v>
      </c>
      <c r="F869">
        <v>2001</v>
      </c>
      <c r="G869">
        <v>4.6720000000000003E-4</v>
      </c>
      <c r="H869" t="s">
        <v>240</v>
      </c>
      <c r="I869" t="s">
        <v>241</v>
      </c>
      <c r="J869" t="s">
        <v>3</v>
      </c>
      <c r="K869" s="183">
        <f ca="1">VLOOKUP(F869,
    OFFSET(INDIRECT(ADDRESS(MATCH(J869,'Vehicle numbers'!$A$5:$A$162,0),1,1,1,$L$6)),4,1,COUNTIF('Vehicle numbers'!$A$5:$A$162,J869),4),
    MATCH(K$8,'Vehicle numbers'!$B$4:$D$4,0))*1000</f>
        <v>1009954</v>
      </c>
      <c r="L869" s="183">
        <f ca="1">VLOOKUP(F869,
    OFFSET(INDIRECT(ADDRESS(MATCH(J869,'Vehicle numbers'!$A$5:$A$162,0),1,1,1,$L$6)),4,1,COUNTIF('Vehicle numbers'!$A$5:$A$162,J869),4),
    MATCH(L$8,'Vehicle numbers'!$B$4:$D$4,0))*1000</f>
        <v>1028513.0960014876</v>
      </c>
      <c r="M869" s="184">
        <f>VLOOKUP(F869,'Annual distance covered (GB)'!$A$8:$H$33,MATCH(J869,'Annual distance covered (GB)'!$A$7:$H$7,0))</f>
        <v>4.8</v>
      </c>
      <c r="N869" s="2">
        <f t="shared" ca="1" si="40"/>
        <v>2283.7696851233786</v>
      </c>
      <c r="O869" s="180">
        <f t="shared" ca="1" si="41"/>
        <v>2.2204575653940683E-3</v>
      </c>
      <c r="P869" s="180"/>
      <c r="Q869" s="180"/>
      <c r="R869" s="180"/>
      <c r="S869" s="180"/>
      <c r="T869" s="180"/>
    </row>
    <row r="870" spans="1:20" x14ac:dyDescent="0.25">
      <c r="A870" t="s">
        <v>236</v>
      </c>
      <c r="B870" t="s">
        <v>237</v>
      </c>
      <c r="C870" t="s">
        <v>238</v>
      </c>
      <c r="D870" t="s">
        <v>260</v>
      </c>
      <c r="E870" t="s">
        <v>228</v>
      </c>
      <c r="F870">
        <v>2001</v>
      </c>
      <c r="G870">
        <v>3.7569999999999999E-3</v>
      </c>
      <c r="H870" t="s">
        <v>240</v>
      </c>
      <c r="I870" t="s">
        <v>241</v>
      </c>
      <c r="J870" t="s">
        <v>3</v>
      </c>
      <c r="K870" s="183">
        <f ca="1">VLOOKUP(F870,
    OFFSET(INDIRECT(ADDRESS(MATCH(J870,'Vehicle numbers'!$A$5:$A$162,0),1,1,1,$L$6)),4,1,COUNTIF('Vehicle numbers'!$A$5:$A$162,J870),4),
    MATCH(K$8,'Vehicle numbers'!$B$4:$D$4,0))*1000</f>
        <v>1009954</v>
      </c>
      <c r="L870" s="183">
        <f ca="1">VLOOKUP(F870,
    OFFSET(INDIRECT(ADDRESS(MATCH(J870,'Vehicle numbers'!$A$5:$A$162,0),1,1,1,$L$6)),4,1,COUNTIF('Vehicle numbers'!$A$5:$A$162,J870),4),
    MATCH(L$8,'Vehicle numbers'!$B$4:$D$4,0))*1000</f>
        <v>1028513.0960014876</v>
      </c>
      <c r="M870" s="184">
        <f>VLOOKUP(F870,'Annual distance covered (GB)'!$A$8:$H$33,MATCH(J870,'Annual distance covered (GB)'!$A$7:$H$7,0))</f>
        <v>4.8</v>
      </c>
      <c r="N870" s="2">
        <f t="shared" ca="1" si="40"/>
        <v>18364.988670823055</v>
      </c>
      <c r="O870" s="180">
        <f t="shared" ca="1" si="41"/>
        <v>1.7855862742263511E-2</v>
      </c>
      <c r="P870" s="180"/>
      <c r="Q870" s="180"/>
      <c r="R870" s="180"/>
      <c r="S870" s="180"/>
      <c r="T870" s="180"/>
    </row>
    <row r="871" spans="1:20" x14ac:dyDescent="0.25">
      <c r="A871" t="s">
        <v>243</v>
      </c>
      <c r="B871" t="s">
        <v>237</v>
      </c>
      <c r="C871" t="s">
        <v>238</v>
      </c>
      <c r="D871" t="s">
        <v>260</v>
      </c>
      <c r="E871" t="s">
        <v>228</v>
      </c>
      <c r="F871">
        <v>2001</v>
      </c>
      <c r="G871">
        <v>2.6299000000000001E-3</v>
      </c>
      <c r="H871" t="s">
        <v>240</v>
      </c>
      <c r="I871" t="s">
        <v>241</v>
      </c>
      <c r="J871" t="s">
        <v>3</v>
      </c>
      <c r="K871" s="183">
        <f ca="1">VLOOKUP(F871,
    OFFSET(INDIRECT(ADDRESS(MATCH(J871,'Vehicle numbers'!$A$5:$A$162,0),1,1,1,$L$6)),4,1,COUNTIF('Vehicle numbers'!$A$5:$A$162,J871),4),
    MATCH(K$8,'Vehicle numbers'!$B$4:$D$4,0))*1000</f>
        <v>1009954</v>
      </c>
      <c r="L871" s="183">
        <f ca="1">VLOOKUP(F871,
    OFFSET(INDIRECT(ADDRESS(MATCH(J871,'Vehicle numbers'!$A$5:$A$162,0),1,1,1,$L$6)),4,1,COUNTIF('Vehicle numbers'!$A$5:$A$162,J871),4),
    MATCH(L$8,'Vehicle numbers'!$B$4:$D$4,0))*1000</f>
        <v>1028513.0960014876</v>
      </c>
      <c r="M871" s="184">
        <f>VLOOKUP(F871,'Annual distance covered (GB)'!$A$8:$H$33,MATCH(J871,'Annual distance covered (GB)'!$A$7:$H$7,0))</f>
        <v>4.8</v>
      </c>
      <c r="N871" s="2">
        <f t="shared" ca="1" si="40"/>
        <v>12855.492069576139</v>
      </c>
      <c r="O871" s="180">
        <f t="shared" ca="1" si="41"/>
        <v>1.2499103919584458E-2</v>
      </c>
      <c r="P871" s="180"/>
      <c r="Q871" s="180"/>
      <c r="R871" s="180"/>
      <c r="S871" s="180"/>
      <c r="T871" s="180"/>
    </row>
    <row r="872" spans="1:20" x14ac:dyDescent="0.25">
      <c r="A872" t="s">
        <v>244</v>
      </c>
      <c r="B872" t="s">
        <v>237</v>
      </c>
      <c r="C872" t="s">
        <v>238</v>
      </c>
      <c r="D872" t="s">
        <v>260</v>
      </c>
      <c r="E872" t="s">
        <v>228</v>
      </c>
      <c r="F872">
        <v>2001</v>
      </c>
      <c r="G872">
        <v>3.7040845070422499E-4</v>
      </c>
      <c r="H872" t="s">
        <v>240</v>
      </c>
      <c r="I872" t="s">
        <v>241</v>
      </c>
      <c r="J872" t="s">
        <v>3</v>
      </c>
      <c r="K872" s="183">
        <f ca="1">VLOOKUP(F872,
    OFFSET(INDIRECT(ADDRESS(MATCH(J872,'Vehicle numbers'!$A$5:$A$162,0),1,1,1,$L$6)),4,1,COUNTIF('Vehicle numbers'!$A$5:$A$162,J872),4),
    MATCH(K$8,'Vehicle numbers'!$B$4:$D$4,0))*1000</f>
        <v>1009954</v>
      </c>
      <c r="L872" s="183">
        <f ca="1">VLOOKUP(F872,
    OFFSET(INDIRECT(ADDRESS(MATCH(J872,'Vehicle numbers'!$A$5:$A$162,0),1,1,1,$L$6)),4,1,COUNTIF('Vehicle numbers'!$A$5:$A$162,J872),4),
    MATCH(L$8,'Vehicle numbers'!$B$4:$D$4,0))*1000</f>
        <v>1028513.0960014876</v>
      </c>
      <c r="M872" s="184">
        <f>VLOOKUP(F872,'Annual distance covered (GB)'!$A$8:$H$33,MATCH(J872,'Annual distance covered (GB)'!$A$7:$H$7,0))</f>
        <v>4.8</v>
      </c>
      <c r="N872" s="2">
        <f t="shared" ca="1" si="40"/>
        <v>1810.6326858557923</v>
      </c>
      <c r="O872" s="180">
        <f t="shared" ca="1" si="41"/>
        <v>1.7604371717724568E-3</v>
      </c>
      <c r="P872" s="180"/>
      <c r="Q872" s="180"/>
      <c r="R872" s="180"/>
      <c r="S872" s="180"/>
      <c r="T872" s="180"/>
    </row>
    <row r="873" spans="1:20" x14ac:dyDescent="0.25">
      <c r="A873" t="s">
        <v>246</v>
      </c>
      <c r="B873" t="s">
        <v>237</v>
      </c>
      <c r="C873" t="s">
        <v>238</v>
      </c>
      <c r="D873" t="s">
        <v>260</v>
      </c>
      <c r="E873" t="s">
        <v>228</v>
      </c>
      <c r="F873">
        <v>2001</v>
      </c>
      <c r="G873">
        <v>2.9632676056337998E-4</v>
      </c>
      <c r="H873" t="s">
        <v>240</v>
      </c>
      <c r="I873" t="s">
        <v>241</v>
      </c>
      <c r="J873" t="s">
        <v>3</v>
      </c>
      <c r="K873" s="183">
        <f ca="1">VLOOKUP(F873,
    OFFSET(INDIRECT(ADDRESS(MATCH(J873,'Vehicle numbers'!$A$5:$A$162,0),1,1,1,$L$6)),4,1,COUNTIF('Vehicle numbers'!$A$5:$A$162,J873),4),
    MATCH(K$8,'Vehicle numbers'!$B$4:$D$4,0))*1000</f>
        <v>1009954</v>
      </c>
      <c r="L873" s="183">
        <f ca="1">VLOOKUP(F873,
    OFFSET(INDIRECT(ADDRESS(MATCH(J873,'Vehicle numbers'!$A$5:$A$162,0),1,1,1,$L$6)),4,1,COUNTIF('Vehicle numbers'!$A$5:$A$162,J873),4),
    MATCH(L$8,'Vehicle numbers'!$B$4:$D$4,0))*1000</f>
        <v>1028513.0960014876</v>
      </c>
      <c r="M873" s="184">
        <f>VLOOKUP(F873,'Annual distance covered (GB)'!$A$8:$H$33,MATCH(J873,'Annual distance covered (GB)'!$A$7:$H$7,0))</f>
        <v>4.8</v>
      </c>
      <c r="N873" s="2">
        <f t="shared" ca="1" si="40"/>
        <v>1448.5061486846339</v>
      </c>
      <c r="O873" s="180">
        <f t="shared" ca="1" si="41"/>
        <v>1.4083497374179656E-3</v>
      </c>
      <c r="P873" s="180"/>
      <c r="Q873" s="180"/>
      <c r="R873" s="180"/>
      <c r="S873" s="180"/>
      <c r="T873" s="180"/>
    </row>
    <row r="874" spans="1:20" x14ac:dyDescent="0.25">
      <c r="A874" t="s">
        <v>236</v>
      </c>
      <c r="B874" t="s">
        <v>237</v>
      </c>
      <c r="C874" t="s">
        <v>238</v>
      </c>
      <c r="D874" t="s">
        <v>261</v>
      </c>
      <c r="E874" t="s">
        <v>229</v>
      </c>
      <c r="F874">
        <v>2001</v>
      </c>
      <c r="G874">
        <v>5.8399999999999902E-3</v>
      </c>
      <c r="H874" t="s">
        <v>240</v>
      </c>
      <c r="I874" t="s">
        <v>241</v>
      </c>
      <c r="J874" t="s">
        <v>3</v>
      </c>
      <c r="K874" s="183">
        <f ca="1">VLOOKUP(F874,
    OFFSET(INDIRECT(ADDRESS(MATCH(J874,'Vehicle numbers'!$A$5:$A$162,0),1,1,1,$L$6)),4,1,COUNTIF('Vehicle numbers'!$A$5:$A$162,J874),4),
    MATCH(K$8,'Vehicle numbers'!$B$4:$D$4,0))*1000</f>
        <v>1009954</v>
      </c>
      <c r="L874" s="183">
        <f ca="1">VLOOKUP(F874,
    OFFSET(INDIRECT(ADDRESS(MATCH(J874,'Vehicle numbers'!$A$5:$A$162,0),1,1,1,$L$6)),4,1,COUNTIF('Vehicle numbers'!$A$5:$A$162,J874),4),
    MATCH(L$8,'Vehicle numbers'!$B$4:$D$4,0))*1000</f>
        <v>1028513.0960014876</v>
      </c>
      <c r="M874" s="184">
        <f>VLOOKUP(F874,'Annual distance covered (GB)'!$A$8:$H$33,MATCH(J874,'Annual distance covered (GB)'!$A$7:$H$7,0))</f>
        <v>4.8</v>
      </c>
      <c r="N874" s="2">
        <f t="shared" ca="1" si="40"/>
        <v>28547.121064042178</v>
      </c>
      <c r="O874" s="180">
        <f t="shared" ca="1" si="41"/>
        <v>2.7755719567425799E-2</v>
      </c>
      <c r="P874" s="180"/>
      <c r="Q874" s="180"/>
      <c r="R874" s="180"/>
      <c r="S874" s="180"/>
      <c r="T874" s="180"/>
    </row>
    <row r="875" spans="1:20" x14ac:dyDescent="0.25">
      <c r="A875" t="s">
        <v>243</v>
      </c>
      <c r="B875" t="s">
        <v>237</v>
      </c>
      <c r="C875" t="s">
        <v>238</v>
      </c>
      <c r="D875" t="s">
        <v>261</v>
      </c>
      <c r="E875" t="s">
        <v>229</v>
      </c>
      <c r="F875">
        <v>2001</v>
      </c>
      <c r="G875">
        <v>2.336E-3</v>
      </c>
      <c r="H875" t="s">
        <v>240</v>
      </c>
      <c r="I875" t="s">
        <v>241</v>
      </c>
      <c r="J875" t="s">
        <v>3</v>
      </c>
      <c r="K875" s="183">
        <f ca="1">VLOOKUP(F875,
    OFFSET(INDIRECT(ADDRESS(MATCH(J875,'Vehicle numbers'!$A$5:$A$162,0),1,1,1,$L$6)),4,1,COUNTIF('Vehicle numbers'!$A$5:$A$162,J875),4),
    MATCH(K$8,'Vehicle numbers'!$B$4:$D$4,0))*1000</f>
        <v>1009954</v>
      </c>
      <c r="L875" s="183">
        <f ca="1">VLOOKUP(F875,
    OFFSET(INDIRECT(ADDRESS(MATCH(J875,'Vehicle numbers'!$A$5:$A$162,0),1,1,1,$L$6)),4,1,COUNTIF('Vehicle numbers'!$A$5:$A$162,J875),4),
    MATCH(L$8,'Vehicle numbers'!$B$4:$D$4,0))*1000</f>
        <v>1028513.0960014876</v>
      </c>
      <c r="M875" s="184">
        <f>VLOOKUP(F875,'Annual distance covered (GB)'!$A$8:$H$33,MATCH(J875,'Annual distance covered (GB)'!$A$7:$H$7,0))</f>
        <v>4.8</v>
      </c>
      <c r="N875" s="2">
        <f t="shared" ca="1" si="40"/>
        <v>11418.84842561689</v>
      </c>
      <c r="O875" s="180">
        <f t="shared" ca="1" si="41"/>
        <v>1.1102287826970338E-2</v>
      </c>
      <c r="P875" s="180"/>
      <c r="Q875" s="180"/>
      <c r="R875" s="180"/>
      <c r="S875" s="180"/>
      <c r="T875" s="180"/>
    </row>
    <row r="876" spans="1:20" x14ac:dyDescent="0.25">
      <c r="A876" t="s">
        <v>244</v>
      </c>
      <c r="B876" t="s">
        <v>237</v>
      </c>
      <c r="C876" t="s">
        <v>238</v>
      </c>
      <c r="D876" t="s">
        <v>261</v>
      </c>
      <c r="E876" t="s">
        <v>229</v>
      </c>
      <c r="F876">
        <v>2001</v>
      </c>
      <c r="G876">
        <v>5.8399999999999999E-4</v>
      </c>
      <c r="H876" t="s">
        <v>240</v>
      </c>
      <c r="I876" t="s">
        <v>241</v>
      </c>
      <c r="J876" t="s">
        <v>3</v>
      </c>
      <c r="K876" s="183">
        <f ca="1">VLOOKUP(F876,
    OFFSET(INDIRECT(ADDRESS(MATCH(J876,'Vehicle numbers'!$A$5:$A$162,0),1,1,1,$L$6)),4,1,COUNTIF('Vehicle numbers'!$A$5:$A$162,J876),4),
    MATCH(K$8,'Vehicle numbers'!$B$4:$D$4,0))*1000</f>
        <v>1009954</v>
      </c>
      <c r="L876" s="183">
        <f ca="1">VLOOKUP(F876,
    OFFSET(INDIRECT(ADDRESS(MATCH(J876,'Vehicle numbers'!$A$5:$A$162,0),1,1,1,$L$6)),4,1,COUNTIF('Vehicle numbers'!$A$5:$A$162,J876),4),
    MATCH(L$8,'Vehicle numbers'!$B$4:$D$4,0))*1000</f>
        <v>1028513.0960014876</v>
      </c>
      <c r="M876" s="184">
        <f>VLOOKUP(F876,'Annual distance covered (GB)'!$A$8:$H$33,MATCH(J876,'Annual distance covered (GB)'!$A$7:$H$7,0))</f>
        <v>4.8</v>
      </c>
      <c r="N876" s="2">
        <f t="shared" ca="1" si="40"/>
        <v>2854.7121064042226</v>
      </c>
      <c r="O876" s="180">
        <f t="shared" ca="1" si="41"/>
        <v>2.7755719567425846E-3</v>
      </c>
      <c r="P876" s="180"/>
      <c r="Q876" s="180"/>
      <c r="R876" s="180"/>
      <c r="S876" s="180"/>
      <c r="T876" s="180"/>
    </row>
    <row r="877" spans="1:20" x14ac:dyDescent="0.25">
      <c r="A877" t="s">
        <v>246</v>
      </c>
      <c r="B877" t="s">
        <v>237</v>
      </c>
      <c r="C877" t="s">
        <v>238</v>
      </c>
      <c r="D877" t="s">
        <v>261</v>
      </c>
      <c r="E877" t="s">
        <v>229</v>
      </c>
      <c r="F877">
        <v>2001</v>
      </c>
      <c r="G877">
        <v>4.6720000000000003E-4</v>
      </c>
      <c r="H877" t="s">
        <v>240</v>
      </c>
      <c r="I877" t="s">
        <v>241</v>
      </c>
      <c r="J877" t="s">
        <v>3</v>
      </c>
      <c r="K877" s="183">
        <f ca="1">VLOOKUP(F877,
    OFFSET(INDIRECT(ADDRESS(MATCH(J877,'Vehicle numbers'!$A$5:$A$162,0),1,1,1,$L$6)),4,1,COUNTIF('Vehicle numbers'!$A$5:$A$162,J877),4),
    MATCH(K$8,'Vehicle numbers'!$B$4:$D$4,0))*1000</f>
        <v>1009954</v>
      </c>
      <c r="L877" s="183">
        <f ca="1">VLOOKUP(F877,
    OFFSET(INDIRECT(ADDRESS(MATCH(J877,'Vehicle numbers'!$A$5:$A$162,0),1,1,1,$L$6)),4,1,COUNTIF('Vehicle numbers'!$A$5:$A$162,J877),4),
    MATCH(L$8,'Vehicle numbers'!$B$4:$D$4,0))*1000</f>
        <v>1028513.0960014876</v>
      </c>
      <c r="M877" s="184">
        <f>VLOOKUP(F877,'Annual distance covered (GB)'!$A$8:$H$33,MATCH(J877,'Annual distance covered (GB)'!$A$7:$H$7,0))</f>
        <v>4.8</v>
      </c>
      <c r="N877" s="2">
        <f t="shared" ca="1" si="40"/>
        <v>2283.7696851233786</v>
      </c>
      <c r="O877" s="180">
        <f t="shared" ca="1" si="41"/>
        <v>2.2204575653940683E-3</v>
      </c>
      <c r="P877" s="180"/>
      <c r="Q877" s="180"/>
      <c r="R877" s="180"/>
      <c r="S877" s="180"/>
      <c r="T877" s="180"/>
    </row>
    <row r="878" spans="1:20" x14ac:dyDescent="0.25">
      <c r="A878" t="s">
        <v>236</v>
      </c>
      <c r="B878" t="s">
        <v>237</v>
      </c>
      <c r="C878" t="s">
        <v>238</v>
      </c>
      <c r="D878" t="s">
        <v>261</v>
      </c>
      <c r="E878" t="s">
        <v>228</v>
      </c>
      <c r="F878">
        <v>2001</v>
      </c>
      <c r="G878">
        <v>3.7569999999999999E-3</v>
      </c>
      <c r="H878" t="s">
        <v>240</v>
      </c>
      <c r="I878" t="s">
        <v>241</v>
      </c>
      <c r="J878" t="s">
        <v>3</v>
      </c>
      <c r="K878" s="183">
        <f ca="1">VLOOKUP(F878,
    OFFSET(INDIRECT(ADDRESS(MATCH(J878,'Vehicle numbers'!$A$5:$A$162,0),1,1,1,$L$6)),4,1,COUNTIF('Vehicle numbers'!$A$5:$A$162,J878),4),
    MATCH(K$8,'Vehicle numbers'!$B$4:$D$4,0))*1000</f>
        <v>1009954</v>
      </c>
      <c r="L878" s="183">
        <f ca="1">VLOOKUP(F878,
    OFFSET(INDIRECT(ADDRESS(MATCH(J878,'Vehicle numbers'!$A$5:$A$162,0),1,1,1,$L$6)),4,1,COUNTIF('Vehicle numbers'!$A$5:$A$162,J878),4),
    MATCH(L$8,'Vehicle numbers'!$B$4:$D$4,0))*1000</f>
        <v>1028513.0960014876</v>
      </c>
      <c r="M878" s="184">
        <f>VLOOKUP(F878,'Annual distance covered (GB)'!$A$8:$H$33,MATCH(J878,'Annual distance covered (GB)'!$A$7:$H$7,0))</f>
        <v>4.8</v>
      </c>
      <c r="N878" s="2">
        <f t="shared" ca="1" si="40"/>
        <v>18364.988670823055</v>
      </c>
      <c r="O878" s="180">
        <f t="shared" ca="1" si="41"/>
        <v>1.7855862742263511E-2</v>
      </c>
      <c r="P878" s="180"/>
      <c r="Q878" s="180"/>
      <c r="R878" s="180"/>
      <c r="S878" s="180"/>
      <c r="T878" s="180"/>
    </row>
    <row r="879" spans="1:20" x14ac:dyDescent="0.25">
      <c r="A879" t="s">
        <v>243</v>
      </c>
      <c r="B879" t="s">
        <v>237</v>
      </c>
      <c r="C879" t="s">
        <v>238</v>
      </c>
      <c r="D879" t="s">
        <v>261</v>
      </c>
      <c r="E879" t="s">
        <v>228</v>
      </c>
      <c r="F879">
        <v>2001</v>
      </c>
      <c r="G879">
        <v>2.6299000000000001E-3</v>
      </c>
      <c r="H879" t="s">
        <v>240</v>
      </c>
      <c r="I879" t="s">
        <v>241</v>
      </c>
      <c r="J879" t="s">
        <v>3</v>
      </c>
      <c r="K879" s="183">
        <f ca="1">VLOOKUP(F879,
    OFFSET(INDIRECT(ADDRESS(MATCH(J879,'Vehicle numbers'!$A$5:$A$162,0),1,1,1,$L$6)),4,1,COUNTIF('Vehicle numbers'!$A$5:$A$162,J879),4),
    MATCH(K$8,'Vehicle numbers'!$B$4:$D$4,0))*1000</f>
        <v>1009954</v>
      </c>
      <c r="L879" s="183">
        <f ca="1">VLOOKUP(F879,
    OFFSET(INDIRECT(ADDRESS(MATCH(J879,'Vehicle numbers'!$A$5:$A$162,0),1,1,1,$L$6)),4,1,COUNTIF('Vehicle numbers'!$A$5:$A$162,J879),4),
    MATCH(L$8,'Vehicle numbers'!$B$4:$D$4,0))*1000</f>
        <v>1028513.0960014876</v>
      </c>
      <c r="M879" s="184">
        <f>VLOOKUP(F879,'Annual distance covered (GB)'!$A$8:$H$33,MATCH(J879,'Annual distance covered (GB)'!$A$7:$H$7,0))</f>
        <v>4.8</v>
      </c>
      <c r="N879" s="2">
        <f t="shared" ca="1" si="40"/>
        <v>12855.492069576139</v>
      </c>
      <c r="O879" s="180">
        <f t="shared" ca="1" si="41"/>
        <v>1.2499103919584458E-2</v>
      </c>
      <c r="P879" s="180"/>
      <c r="Q879" s="180"/>
      <c r="R879" s="180"/>
      <c r="S879" s="180"/>
      <c r="T879" s="180"/>
    </row>
    <row r="880" spans="1:20" x14ac:dyDescent="0.25">
      <c r="A880" t="s">
        <v>244</v>
      </c>
      <c r="B880" t="s">
        <v>237</v>
      </c>
      <c r="C880" t="s">
        <v>238</v>
      </c>
      <c r="D880" t="s">
        <v>261</v>
      </c>
      <c r="E880" t="s">
        <v>228</v>
      </c>
      <c r="F880">
        <v>2001</v>
      </c>
      <c r="G880">
        <v>3.7040845070422499E-4</v>
      </c>
      <c r="H880" t="s">
        <v>240</v>
      </c>
      <c r="I880" t="s">
        <v>241</v>
      </c>
      <c r="J880" t="s">
        <v>3</v>
      </c>
      <c r="K880" s="183">
        <f ca="1">VLOOKUP(F880,
    OFFSET(INDIRECT(ADDRESS(MATCH(J880,'Vehicle numbers'!$A$5:$A$162,0),1,1,1,$L$6)),4,1,COUNTIF('Vehicle numbers'!$A$5:$A$162,J880),4),
    MATCH(K$8,'Vehicle numbers'!$B$4:$D$4,0))*1000</f>
        <v>1009954</v>
      </c>
      <c r="L880" s="183">
        <f ca="1">VLOOKUP(F880,
    OFFSET(INDIRECT(ADDRESS(MATCH(J880,'Vehicle numbers'!$A$5:$A$162,0),1,1,1,$L$6)),4,1,COUNTIF('Vehicle numbers'!$A$5:$A$162,J880),4),
    MATCH(L$8,'Vehicle numbers'!$B$4:$D$4,0))*1000</f>
        <v>1028513.0960014876</v>
      </c>
      <c r="M880" s="184">
        <f>VLOOKUP(F880,'Annual distance covered (GB)'!$A$8:$H$33,MATCH(J880,'Annual distance covered (GB)'!$A$7:$H$7,0))</f>
        <v>4.8</v>
      </c>
      <c r="N880" s="2">
        <f t="shared" ca="1" si="40"/>
        <v>1810.6326858557923</v>
      </c>
      <c r="O880" s="180">
        <f t="shared" ca="1" si="41"/>
        <v>1.7604371717724568E-3</v>
      </c>
      <c r="P880" s="180"/>
      <c r="Q880" s="180"/>
      <c r="R880" s="180"/>
      <c r="S880" s="180"/>
      <c r="T880" s="180"/>
    </row>
    <row r="881" spans="1:20" x14ac:dyDescent="0.25">
      <c r="A881" t="s">
        <v>246</v>
      </c>
      <c r="B881" t="s">
        <v>237</v>
      </c>
      <c r="C881" t="s">
        <v>238</v>
      </c>
      <c r="D881" t="s">
        <v>261</v>
      </c>
      <c r="E881" t="s">
        <v>228</v>
      </c>
      <c r="F881">
        <v>2001</v>
      </c>
      <c r="G881">
        <v>2.9632676056337998E-4</v>
      </c>
      <c r="H881" t="s">
        <v>240</v>
      </c>
      <c r="I881" t="s">
        <v>241</v>
      </c>
      <c r="J881" t="s">
        <v>3</v>
      </c>
      <c r="K881" s="183">
        <f ca="1">VLOOKUP(F881,
    OFFSET(INDIRECT(ADDRESS(MATCH(J881,'Vehicle numbers'!$A$5:$A$162,0),1,1,1,$L$6)),4,1,COUNTIF('Vehicle numbers'!$A$5:$A$162,J881),4),
    MATCH(K$8,'Vehicle numbers'!$B$4:$D$4,0))*1000</f>
        <v>1009954</v>
      </c>
      <c r="L881" s="183">
        <f ca="1">VLOOKUP(F881,
    OFFSET(INDIRECT(ADDRESS(MATCH(J881,'Vehicle numbers'!$A$5:$A$162,0),1,1,1,$L$6)),4,1,COUNTIF('Vehicle numbers'!$A$5:$A$162,J881),4),
    MATCH(L$8,'Vehicle numbers'!$B$4:$D$4,0))*1000</f>
        <v>1028513.0960014876</v>
      </c>
      <c r="M881" s="184">
        <f>VLOOKUP(F881,'Annual distance covered (GB)'!$A$8:$H$33,MATCH(J881,'Annual distance covered (GB)'!$A$7:$H$7,0))</f>
        <v>4.8</v>
      </c>
      <c r="N881" s="2">
        <f t="shared" ca="1" si="40"/>
        <v>1448.5061486846339</v>
      </c>
      <c r="O881" s="180">
        <f t="shared" ca="1" si="41"/>
        <v>1.4083497374179656E-3</v>
      </c>
      <c r="P881" s="180"/>
      <c r="Q881" s="180"/>
      <c r="R881" s="180"/>
      <c r="S881" s="180"/>
      <c r="T881" s="180"/>
    </row>
    <row r="882" spans="1:20" x14ac:dyDescent="0.25">
      <c r="A882" t="s">
        <v>236</v>
      </c>
      <c r="B882" t="s">
        <v>237</v>
      </c>
      <c r="C882" t="s">
        <v>238</v>
      </c>
      <c r="D882" t="s">
        <v>262</v>
      </c>
      <c r="E882" t="s">
        <v>229</v>
      </c>
      <c r="F882">
        <v>2001</v>
      </c>
      <c r="G882">
        <v>6.8000000000000005E-4</v>
      </c>
      <c r="H882" t="s">
        <v>240</v>
      </c>
      <c r="I882" t="s">
        <v>241</v>
      </c>
      <c r="J882" t="s">
        <v>3</v>
      </c>
      <c r="K882" s="183">
        <f ca="1">VLOOKUP(F882,
    OFFSET(INDIRECT(ADDRESS(MATCH(J882,'Vehicle numbers'!$A$5:$A$162,0),1,1,1,$L$6)),4,1,COUNTIF('Vehicle numbers'!$A$5:$A$162,J882),4),
    MATCH(K$8,'Vehicle numbers'!$B$4:$D$4,0))*1000</f>
        <v>1009954</v>
      </c>
      <c r="L882" s="183">
        <f ca="1">VLOOKUP(F882,
    OFFSET(INDIRECT(ADDRESS(MATCH(J882,'Vehicle numbers'!$A$5:$A$162,0),1,1,1,$L$6)),4,1,COUNTIF('Vehicle numbers'!$A$5:$A$162,J882),4),
    MATCH(L$8,'Vehicle numbers'!$B$4:$D$4,0))*1000</f>
        <v>1028513.0960014876</v>
      </c>
      <c r="M882" s="184">
        <f>VLOOKUP(F882,'Annual distance covered (GB)'!$A$8:$H$33,MATCH(J882,'Annual distance covered (GB)'!$A$7:$H$7,0))</f>
        <v>4.8</v>
      </c>
      <c r="N882" s="2">
        <f t="shared" ca="1" si="40"/>
        <v>3323.979849922725</v>
      </c>
      <c r="O882" s="180">
        <f t="shared" ca="1" si="41"/>
        <v>3.2318303605906808E-3</v>
      </c>
      <c r="P882" s="180"/>
      <c r="Q882" s="180"/>
      <c r="R882" s="180"/>
      <c r="S882" s="180"/>
      <c r="T882" s="180"/>
    </row>
    <row r="883" spans="1:20" x14ac:dyDescent="0.25">
      <c r="A883" t="s">
        <v>243</v>
      </c>
      <c r="B883" t="s">
        <v>237</v>
      </c>
      <c r="C883" t="s">
        <v>238</v>
      </c>
      <c r="D883" t="s">
        <v>262</v>
      </c>
      <c r="E883" t="s">
        <v>229</v>
      </c>
      <c r="F883">
        <v>2001</v>
      </c>
      <c r="G883">
        <v>2.72E-4</v>
      </c>
      <c r="H883" t="s">
        <v>240</v>
      </c>
      <c r="I883" t="s">
        <v>241</v>
      </c>
      <c r="J883" t="s">
        <v>3</v>
      </c>
      <c r="K883" s="183">
        <f ca="1">VLOOKUP(F883,
    OFFSET(INDIRECT(ADDRESS(MATCH(J883,'Vehicle numbers'!$A$5:$A$162,0),1,1,1,$L$6)),4,1,COUNTIF('Vehicle numbers'!$A$5:$A$162,J883),4),
    MATCH(K$8,'Vehicle numbers'!$B$4:$D$4,0))*1000</f>
        <v>1009954</v>
      </c>
      <c r="L883" s="183">
        <f ca="1">VLOOKUP(F883,
    OFFSET(INDIRECT(ADDRESS(MATCH(J883,'Vehicle numbers'!$A$5:$A$162,0),1,1,1,$L$6)),4,1,COUNTIF('Vehicle numbers'!$A$5:$A$162,J883),4),
    MATCH(L$8,'Vehicle numbers'!$B$4:$D$4,0))*1000</f>
        <v>1028513.0960014876</v>
      </c>
      <c r="M883" s="184">
        <f>VLOOKUP(F883,'Annual distance covered (GB)'!$A$8:$H$33,MATCH(J883,'Annual distance covered (GB)'!$A$7:$H$7,0))</f>
        <v>4.8</v>
      </c>
      <c r="N883" s="2">
        <f t="shared" ca="1" si="40"/>
        <v>1329.5919399690899</v>
      </c>
      <c r="O883" s="180">
        <f t="shared" ca="1" si="41"/>
        <v>1.2927321442362722E-3</v>
      </c>
      <c r="P883" s="180"/>
      <c r="Q883" s="180"/>
      <c r="R883" s="180"/>
      <c r="S883" s="180"/>
      <c r="T883" s="180"/>
    </row>
    <row r="884" spans="1:20" x14ac:dyDescent="0.25">
      <c r="A884" t="s">
        <v>244</v>
      </c>
      <c r="B884" t="s">
        <v>237</v>
      </c>
      <c r="C884" t="s">
        <v>238</v>
      </c>
      <c r="D884" t="s">
        <v>262</v>
      </c>
      <c r="E884" t="s">
        <v>229</v>
      </c>
      <c r="F884">
        <v>2001</v>
      </c>
      <c r="G884" s="189">
        <v>6.7999999999999999E-5</v>
      </c>
      <c r="H884" t="s">
        <v>240</v>
      </c>
      <c r="I884" t="s">
        <v>241</v>
      </c>
      <c r="J884" t="s">
        <v>3</v>
      </c>
      <c r="K884" s="183">
        <f ca="1">VLOOKUP(F884,
    OFFSET(INDIRECT(ADDRESS(MATCH(J884,'Vehicle numbers'!$A$5:$A$162,0),1,1,1,$L$6)),4,1,COUNTIF('Vehicle numbers'!$A$5:$A$162,J884),4),
    MATCH(K$8,'Vehicle numbers'!$B$4:$D$4,0))*1000</f>
        <v>1009954</v>
      </c>
      <c r="L884" s="183">
        <f ca="1">VLOOKUP(F884,
    OFFSET(INDIRECT(ADDRESS(MATCH(J884,'Vehicle numbers'!$A$5:$A$162,0),1,1,1,$L$6)),4,1,COUNTIF('Vehicle numbers'!$A$5:$A$162,J884),4),
    MATCH(L$8,'Vehicle numbers'!$B$4:$D$4,0))*1000</f>
        <v>1028513.0960014876</v>
      </c>
      <c r="M884" s="184">
        <f>VLOOKUP(F884,'Annual distance covered (GB)'!$A$8:$H$33,MATCH(J884,'Annual distance covered (GB)'!$A$7:$H$7,0))</f>
        <v>4.8</v>
      </c>
      <c r="N884" s="2">
        <f t="shared" ca="1" si="40"/>
        <v>332.39798499227248</v>
      </c>
      <c r="O884" s="180">
        <f t="shared" ca="1" si="41"/>
        <v>3.2318303605906806E-4</v>
      </c>
      <c r="P884" s="180"/>
      <c r="Q884" s="180"/>
      <c r="R884" s="180"/>
      <c r="S884" s="180"/>
      <c r="T884" s="180"/>
    </row>
    <row r="885" spans="1:20" x14ac:dyDescent="0.25">
      <c r="A885" t="s">
        <v>246</v>
      </c>
      <c r="B885" t="s">
        <v>237</v>
      </c>
      <c r="C885" t="s">
        <v>238</v>
      </c>
      <c r="D885" t="s">
        <v>262</v>
      </c>
      <c r="E885" t="s">
        <v>229</v>
      </c>
      <c r="F885">
        <v>2001</v>
      </c>
      <c r="G885" s="189">
        <v>5.4400000000000001E-5</v>
      </c>
      <c r="H885" t="s">
        <v>240</v>
      </c>
      <c r="I885" t="s">
        <v>241</v>
      </c>
      <c r="J885" t="s">
        <v>3</v>
      </c>
      <c r="K885" s="183">
        <f ca="1">VLOOKUP(F885,
    OFFSET(INDIRECT(ADDRESS(MATCH(J885,'Vehicle numbers'!$A$5:$A$162,0),1,1,1,$L$6)),4,1,COUNTIF('Vehicle numbers'!$A$5:$A$162,J885),4),
    MATCH(K$8,'Vehicle numbers'!$B$4:$D$4,0))*1000</f>
        <v>1009954</v>
      </c>
      <c r="L885" s="183">
        <f ca="1">VLOOKUP(F885,
    OFFSET(INDIRECT(ADDRESS(MATCH(J885,'Vehicle numbers'!$A$5:$A$162,0),1,1,1,$L$6)),4,1,COUNTIF('Vehicle numbers'!$A$5:$A$162,J885),4),
    MATCH(L$8,'Vehicle numbers'!$B$4:$D$4,0))*1000</f>
        <v>1028513.0960014876</v>
      </c>
      <c r="M885" s="184">
        <f>VLOOKUP(F885,'Annual distance covered (GB)'!$A$8:$H$33,MATCH(J885,'Annual distance covered (GB)'!$A$7:$H$7,0))</f>
        <v>4.8</v>
      </c>
      <c r="N885" s="2">
        <f t="shared" ca="1" si="40"/>
        <v>265.91838799381799</v>
      </c>
      <c r="O885" s="180">
        <f t="shared" ca="1" si="41"/>
        <v>2.5854642884725443E-4</v>
      </c>
      <c r="P885" s="180"/>
      <c r="Q885" s="180"/>
      <c r="R885" s="180"/>
      <c r="S885" s="180"/>
      <c r="T885" s="180"/>
    </row>
    <row r="886" spans="1:20" x14ac:dyDescent="0.25">
      <c r="A886" t="s">
        <v>236</v>
      </c>
      <c r="B886" t="s">
        <v>237</v>
      </c>
      <c r="C886" t="s">
        <v>238</v>
      </c>
      <c r="D886" t="s">
        <v>262</v>
      </c>
      <c r="E886" t="s">
        <v>228</v>
      </c>
      <c r="F886">
        <v>2001</v>
      </c>
      <c r="G886">
        <v>2.49E-3</v>
      </c>
      <c r="H886" t="s">
        <v>240</v>
      </c>
      <c r="I886" t="s">
        <v>241</v>
      </c>
      <c r="J886" t="s">
        <v>3</v>
      </c>
      <c r="K886" s="183">
        <f ca="1">VLOOKUP(F886,
    OFFSET(INDIRECT(ADDRESS(MATCH(J886,'Vehicle numbers'!$A$5:$A$162,0),1,1,1,$L$6)),4,1,COUNTIF('Vehicle numbers'!$A$5:$A$162,J886),4),
    MATCH(K$8,'Vehicle numbers'!$B$4:$D$4,0))*1000</f>
        <v>1009954</v>
      </c>
      <c r="L886" s="183">
        <f ca="1">VLOOKUP(F886,
    OFFSET(INDIRECT(ADDRESS(MATCH(J886,'Vehicle numbers'!$A$5:$A$162,0),1,1,1,$L$6)),4,1,COUNTIF('Vehicle numbers'!$A$5:$A$162,J886),4),
    MATCH(L$8,'Vehicle numbers'!$B$4:$D$4,0))*1000</f>
        <v>1028513.0960014876</v>
      </c>
      <c r="M886" s="184">
        <f>VLOOKUP(F886,'Annual distance covered (GB)'!$A$8:$H$33,MATCH(J886,'Annual distance covered (GB)'!$A$7:$H$7,0))</f>
        <v>4.8</v>
      </c>
      <c r="N886" s="2">
        <f t="shared" ca="1" si="40"/>
        <v>12171.632097511152</v>
      </c>
      <c r="O886" s="180">
        <f t="shared" ca="1" si="41"/>
        <v>1.183420234980999E-2</v>
      </c>
      <c r="P886" s="180"/>
      <c r="Q886" s="180"/>
      <c r="R886" s="180"/>
      <c r="S886" s="180"/>
      <c r="T886" s="180"/>
    </row>
    <row r="887" spans="1:20" x14ac:dyDescent="0.25">
      <c r="A887" t="s">
        <v>243</v>
      </c>
      <c r="B887" t="s">
        <v>237</v>
      </c>
      <c r="C887" t="s">
        <v>238</v>
      </c>
      <c r="D887" t="s">
        <v>262</v>
      </c>
      <c r="E887" t="s">
        <v>228</v>
      </c>
      <c r="F887">
        <v>2001</v>
      </c>
      <c r="G887">
        <v>1.743E-3</v>
      </c>
      <c r="H887" t="s">
        <v>240</v>
      </c>
      <c r="I887" t="s">
        <v>241</v>
      </c>
      <c r="J887" t="s">
        <v>3</v>
      </c>
      <c r="K887" s="183">
        <f ca="1">VLOOKUP(F887,
    OFFSET(INDIRECT(ADDRESS(MATCH(J887,'Vehicle numbers'!$A$5:$A$162,0),1,1,1,$L$6)),4,1,COUNTIF('Vehicle numbers'!$A$5:$A$162,J887),4),
    MATCH(K$8,'Vehicle numbers'!$B$4:$D$4,0))*1000</f>
        <v>1009954</v>
      </c>
      <c r="L887" s="183">
        <f ca="1">VLOOKUP(F887,
    OFFSET(INDIRECT(ADDRESS(MATCH(J887,'Vehicle numbers'!$A$5:$A$162,0),1,1,1,$L$6)),4,1,COUNTIF('Vehicle numbers'!$A$5:$A$162,J887),4),
    MATCH(L$8,'Vehicle numbers'!$B$4:$D$4,0))*1000</f>
        <v>1028513.0960014876</v>
      </c>
      <c r="M887" s="184">
        <f>VLOOKUP(F887,'Annual distance covered (GB)'!$A$8:$H$33,MATCH(J887,'Annual distance covered (GB)'!$A$7:$H$7,0))</f>
        <v>4.8</v>
      </c>
      <c r="N887" s="2">
        <f t="shared" ca="1" si="40"/>
        <v>8520.1424682578072</v>
      </c>
      <c r="O887" s="180">
        <f t="shared" ca="1" si="41"/>
        <v>8.2839416448669944E-3</v>
      </c>
      <c r="P887" s="180"/>
      <c r="Q887" s="180"/>
      <c r="R887" s="180"/>
      <c r="S887" s="180"/>
      <c r="T887" s="180"/>
    </row>
    <row r="888" spans="1:20" x14ac:dyDescent="0.25">
      <c r="A888" t="s">
        <v>244</v>
      </c>
      <c r="B888" t="s">
        <v>237</v>
      </c>
      <c r="C888" t="s">
        <v>238</v>
      </c>
      <c r="D888" t="s">
        <v>262</v>
      </c>
      <c r="E888" t="s">
        <v>228</v>
      </c>
      <c r="F888">
        <v>2001</v>
      </c>
      <c r="G888">
        <v>2.4549295774647798E-4</v>
      </c>
      <c r="H888" t="s">
        <v>240</v>
      </c>
      <c r="I888" t="s">
        <v>241</v>
      </c>
      <c r="J888" t="s">
        <v>3</v>
      </c>
      <c r="K888" s="183">
        <f ca="1">VLOOKUP(F888,
    OFFSET(INDIRECT(ADDRESS(MATCH(J888,'Vehicle numbers'!$A$5:$A$162,0),1,1,1,$L$6)),4,1,COUNTIF('Vehicle numbers'!$A$5:$A$162,J888),4),
    MATCH(K$8,'Vehicle numbers'!$B$4:$D$4,0))*1000</f>
        <v>1009954</v>
      </c>
      <c r="L888" s="183">
        <f ca="1">VLOOKUP(F888,
    OFFSET(INDIRECT(ADDRESS(MATCH(J888,'Vehicle numbers'!$A$5:$A$162,0),1,1,1,$L$6)),4,1,COUNTIF('Vehicle numbers'!$A$5:$A$162,J888),4),
    MATCH(L$8,'Vehicle numbers'!$B$4:$D$4,0))*1000</f>
        <v>1028513.0960014876</v>
      </c>
      <c r="M888" s="184">
        <f>VLOOKUP(F888,'Annual distance covered (GB)'!$A$8:$H$33,MATCH(J888,'Annual distance covered (GB)'!$A$7:$H$7,0))</f>
        <v>4.8</v>
      </c>
      <c r="N888" s="2">
        <f t="shared" ca="1" si="40"/>
        <v>1200.0200659517996</v>
      </c>
      <c r="O888" s="180">
        <f t="shared" ca="1" si="41"/>
        <v>1.1667523443474597E-3</v>
      </c>
      <c r="P888" s="180"/>
      <c r="Q888" s="180"/>
      <c r="R888" s="180"/>
      <c r="S888" s="180"/>
      <c r="T888" s="180"/>
    </row>
    <row r="889" spans="1:20" x14ac:dyDescent="0.25">
      <c r="A889" t="s">
        <v>246</v>
      </c>
      <c r="B889" t="s">
        <v>237</v>
      </c>
      <c r="C889" t="s">
        <v>238</v>
      </c>
      <c r="D889" t="s">
        <v>262</v>
      </c>
      <c r="E889" t="s">
        <v>228</v>
      </c>
      <c r="F889">
        <v>2001</v>
      </c>
      <c r="G889">
        <v>1.96394366197183E-4</v>
      </c>
      <c r="H889" t="s">
        <v>240</v>
      </c>
      <c r="I889" t="s">
        <v>241</v>
      </c>
      <c r="J889" t="s">
        <v>3</v>
      </c>
      <c r="K889" s="183">
        <f ca="1">VLOOKUP(F889,
    OFFSET(INDIRECT(ADDRESS(MATCH(J889,'Vehicle numbers'!$A$5:$A$162,0),1,1,1,$L$6)),4,1,COUNTIF('Vehicle numbers'!$A$5:$A$162,J889),4),
    MATCH(K$8,'Vehicle numbers'!$B$4:$D$4,0))*1000</f>
        <v>1009954</v>
      </c>
      <c r="L889" s="183">
        <f ca="1">VLOOKUP(F889,
    OFFSET(INDIRECT(ADDRESS(MATCH(J889,'Vehicle numbers'!$A$5:$A$162,0),1,1,1,$L$6)),4,1,COUNTIF('Vehicle numbers'!$A$5:$A$162,J889),4),
    MATCH(L$8,'Vehicle numbers'!$B$4:$D$4,0))*1000</f>
        <v>1028513.0960014876</v>
      </c>
      <c r="M889" s="184">
        <f>VLOOKUP(F889,'Annual distance covered (GB)'!$A$8:$H$33,MATCH(J889,'Annual distance covered (GB)'!$A$7:$H$7,0))</f>
        <v>4.8</v>
      </c>
      <c r="N889" s="2">
        <f t="shared" ca="1" si="40"/>
        <v>960.01605276144255</v>
      </c>
      <c r="O889" s="180">
        <f t="shared" ca="1" si="41"/>
        <v>9.3340187547797065E-4</v>
      </c>
      <c r="P889" s="180"/>
      <c r="Q889" s="180"/>
      <c r="R889" s="180"/>
      <c r="S889" s="180"/>
      <c r="T889" s="180"/>
    </row>
    <row r="890" spans="1:20" x14ac:dyDescent="0.25">
      <c r="A890" t="s">
        <v>236</v>
      </c>
      <c r="B890" t="s">
        <v>237</v>
      </c>
      <c r="C890" t="s">
        <v>238</v>
      </c>
      <c r="D890" t="s">
        <v>263</v>
      </c>
      <c r="E890" t="s">
        <v>229</v>
      </c>
      <c r="F890">
        <v>2001</v>
      </c>
      <c r="G890">
        <v>2.7640000000000099E-3</v>
      </c>
      <c r="H890" t="s">
        <v>240</v>
      </c>
      <c r="I890" t="s">
        <v>241</v>
      </c>
      <c r="J890" t="s">
        <v>3</v>
      </c>
      <c r="K890" s="183">
        <f ca="1">VLOOKUP(F890,
    OFFSET(INDIRECT(ADDRESS(MATCH(J890,'Vehicle numbers'!$A$5:$A$162,0),1,1,1,$L$6)),4,1,COUNTIF('Vehicle numbers'!$A$5:$A$162,J890),4),
    MATCH(K$8,'Vehicle numbers'!$B$4:$D$4,0))*1000</f>
        <v>1009954</v>
      </c>
      <c r="L890" s="183">
        <f ca="1">VLOOKUP(F890,
    OFFSET(INDIRECT(ADDRESS(MATCH(J890,'Vehicle numbers'!$A$5:$A$162,0),1,1,1,$L$6)),4,1,COUNTIF('Vehicle numbers'!$A$5:$A$162,J890),4),
    MATCH(L$8,'Vehicle numbers'!$B$4:$D$4,0))*1000</f>
        <v>1028513.0960014876</v>
      </c>
      <c r="M890" s="184">
        <f>VLOOKUP(F890,'Annual distance covered (GB)'!$A$8:$H$33,MATCH(J890,'Annual distance covered (GB)'!$A$7:$H$7,0))</f>
        <v>4.8</v>
      </c>
      <c r="N890" s="2">
        <f t="shared" ca="1" si="40"/>
        <v>13511.000448803594</v>
      </c>
      <c r="O890" s="180">
        <f t="shared" ca="1" si="41"/>
        <v>1.3136439877459813E-2</v>
      </c>
      <c r="P890" s="180"/>
      <c r="Q890" s="180"/>
      <c r="R890" s="180"/>
      <c r="S890" s="180"/>
      <c r="T890" s="180"/>
    </row>
    <row r="891" spans="1:20" x14ac:dyDescent="0.25">
      <c r="A891" t="s">
        <v>243</v>
      </c>
      <c r="B891" t="s">
        <v>237</v>
      </c>
      <c r="C891" t="s">
        <v>238</v>
      </c>
      <c r="D891" t="s">
        <v>263</v>
      </c>
      <c r="E891" t="s">
        <v>229</v>
      </c>
      <c r="F891">
        <v>2001</v>
      </c>
      <c r="G891">
        <v>1.1056E-3</v>
      </c>
      <c r="H891" t="s">
        <v>240</v>
      </c>
      <c r="I891" t="s">
        <v>241</v>
      </c>
      <c r="J891" t="s">
        <v>3</v>
      </c>
      <c r="K891" s="183">
        <f ca="1">VLOOKUP(F891,
    OFFSET(INDIRECT(ADDRESS(MATCH(J891,'Vehicle numbers'!$A$5:$A$162,0),1,1,1,$L$6)),4,1,COUNTIF('Vehicle numbers'!$A$5:$A$162,J891),4),
    MATCH(K$8,'Vehicle numbers'!$B$4:$D$4,0))*1000</f>
        <v>1009954</v>
      </c>
      <c r="L891" s="183">
        <f ca="1">VLOOKUP(F891,
    OFFSET(INDIRECT(ADDRESS(MATCH(J891,'Vehicle numbers'!$A$5:$A$162,0),1,1,1,$L$6)),4,1,COUNTIF('Vehicle numbers'!$A$5:$A$162,J891),4),
    MATCH(L$8,'Vehicle numbers'!$B$4:$D$4,0))*1000</f>
        <v>1028513.0960014876</v>
      </c>
      <c r="M891" s="184">
        <f>VLOOKUP(F891,'Annual distance covered (GB)'!$A$8:$H$33,MATCH(J891,'Annual distance covered (GB)'!$A$7:$H$7,0))</f>
        <v>4.8</v>
      </c>
      <c r="N891" s="2">
        <f t="shared" ca="1" si="40"/>
        <v>5404.400179521419</v>
      </c>
      <c r="O891" s="180">
        <f t="shared" ca="1" si="41"/>
        <v>5.2545759509839071E-3</v>
      </c>
      <c r="P891" s="180"/>
      <c r="Q891" s="180"/>
      <c r="R891" s="180"/>
      <c r="S891" s="180"/>
      <c r="T891" s="180"/>
    </row>
    <row r="892" spans="1:20" x14ac:dyDescent="0.25">
      <c r="A892" t="s">
        <v>244</v>
      </c>
      <c r="B892" t="s">
        <v>237</v>
      </c>
      <c r="C892" t="s">
        <v>238</v>
      </c>
      <c r="D892" t="s">
        <v>263</v>
      </c>
      <c r="E892" t="s">
        <v>229</v>
      </c>
      <c r="F892">
        <v>2001</v>
      </c>
      <c r="G892">
        <v>2.764E-4</v>
      </c>
      <c r="H892" t="s">
        <v>240</v>
      </c>
      <c r="I892" t="s">
        <v>241</v>
      </c>
      <c r="J892" t="s">
        <v>3</v>
      </c>
      <c r="K892" s="183">
        <f ca="1">VLOOKUP(F892,
    OFFSET(INDIRECT(ADDRESS(MATCH(J892,'Vehicle numbers'!$A$5:$A$162,0),1,1,1,$L$6)),4,1,COUNTIF('Vehicle numbers'!$A$5:$A$162,J892),4),
    MATCH(K$8,'Vehicle numbers'!$B$4:$D$4,0))*1000</f>
        <v>1009954</v>
      </c>
      <c r="L892" s="183">
        <f ca="1">VLOOKUP(F892,
    OFFSET(INDIRECT(ADDRESS(MATCH(J892,'Vehicle numbers'!$A$5:$A$162,0),1,1,1,$L$6)),4,1,COUNTIF('Vehicle numbers'!$A$5:$A$162,J892),4),
    MATCH(L$8,'Vehicle numbers'!$B$4:$D$4,0))*1000</f>
        <v>1028513.0960014876</v>
      </c>
      <c r="M892" s="184">
        <f>VLOOKUP(F892,'Annual distance covered (GB)'!$A$8:$H$33,MATCH(J892,'Annual distance covered (GB)'!$A$7:$H$7,0))</f>
        <v>4.8</v>
      </c>
      <c r="N892" s="2">
        <f t="shared" ca="1" si="40"/>
        <v>1351.1000448803547</v>
      </c>
      <c r="O892" s="180">
        <f t="shared" ca="1" si="41"/>
        <v>1.3136439877459768E-3</v>
      </c>
      <c r="P892" s="180"/>
      <c r="Q892" s="180"/>
      <c r="R892" s="180"/>
      <c r="S892" s="180"/>
      <c r="T892" s="180"/>
    </row>
    <row r="893" spans="1:20" x14ac:dyDescent="0.25">
      <c r="A893" t="s">
        <v>246</v>
      </c>
      <c r="B893" t="s">
        <v>237</v>
      </c>
      <c r="C893" t="s">
        <v>238</v>
      </c>
      <c r="D893" t="s">
        <v>263</v>
      </c>
      <c r="E893" t="s">
        <v>229</v>
      </c>
      <c r="F893">
        <v>2001</v>
      </c>
      <c r="G893">
        <v>2.2112E-4</v>
      </c>
      <c r="H893" t="s">
        <v>240</v>
      </c>
      <c r="I893" t="s">
        <v>241</v>
      </c>
      <c r="J893" t="s">
        <v>3</v>
      </c>
      <c r="K893" s="183">
        <f ca="1">VLOOKUP(F893,
    OFFSET(INDIRECT(ADDRESS(MATCH(J893,'Vehicle numbers'!$A$5:$A$162,0),1,1,1,$L$6)),4,1,COUNTIF('Vehicle numbers'!$A$5:$A$162,J893),4),
    MATCH(K$8,'Vehicle numbers'!$B$4:$D$4,0))*1000</f>
        <v>1009954</v>
      </c>
      <c r="L893" s="183">
        <f ca="1">VLOOKUP(F893,
    OFFSET(INDIRECT(ADDRESS(MATCH(J893,'Vehicle numbers'!$A$5:$A$162,0),1,1,1,$L$6)),4,1,COUNTIF('Vehicle numbers'!$A$5:$A$162,J893),4),
    MATCH(L$8,'Vehicle numbers'!$B$4:$D$4,0))*1000</f>
        <v>1028513.0960014876</v>
      </c>
      <c r="M893" s="184">
        <f>VLOOKUP(F893,'Annual distance covered (GB)'!$A$8:$H$33,MATCH(J893,'Annual distance covered (GB)'!$A$7:$H$7,0))</f>
        <v>4.8</v>
      </c>
      <c r="N893" s="2">
        <f t="shared" ca="1" si="40"/>
        <v>1080.8800359042837</v>
      </c>
      <c r="O893" s="180">
        <f t="shared" ca="1" si="41"/>
        <v>1.0509151901967812E-3</v>
      </c>
      <c r="P893" s="180"/>
      <c r="Q893" s="180"/>
      <c r="R893" s="180"/>
      <c r="S893" s="180"/>
      <c r="T893" s="180"/>
    </row>
    <row r="894" spans="1:20" x14ac:dyDescent="0.25">
      <c r="A894" t="s">
        <v>236</v>
      </c>
      <c r="B894" t="s">
        <v>237</v>
      </c>
      <c r="C894" t="s">
        <v>238</v>
      </c>
      <c r="D894" t="s">
        <v>263</v>
      </c>
      <c r="E894" t="s">
        <v>228</v>
      </c>
      <c r="F894">
        <v>2001</v>
      </c>
      <c r="G894">
        <v>2.9240000000000099E-3</v>
      </c>
      <c r="H894" t="s">
        <v>240</v>
      </c>
      <c r="I894" t="s">
        <v>241</v>
      </c>
      <c r="J894" t="s">
        <v>3</v>
      </c>
      <c r="K894" s="183">
        <f ca="1">VLOOKUP(F894,
    OFFSET(INDIRECT(ADDRESS(MATCH(J894,'Vehicle numbers'!$A$5:$A$162,0),1,1,1,$L$6)),4,1,COUNTIF('Vehicle numbers'!$A$5:$A$162,J894),4),
    MATCH(K$8,'Vehicle numbers'!$B$4:$D$4,0))*1000</f>
        <v>1009954</v>
      </c>
      <c r="L894" s="183">
        <f ca="1">VLOOKUP(F894,
    OFFSET(INDIRECT(ADDRESS(MATCH(J894,'Vehicle numbers'!$A$5:$A$162,0),1,1,1,$L$6)),4,1,COUNTIF('Vehicle numbers'!$A$5:$A$162,J894),4),
    MATCH(L$8,'Vehicle numbers'!$B$4:$D$4,0))*1000</f>
        <v>1028513.0960014876</v>
      </c>
      <c r="M894" s="184">
        <f>VLOOKUP(F894,'Annual distance covered (GB)'!$A$8:$H$33,MATCH(J894,'Annual distance covered (GB)'!$A$7:$H$7,0))</f>
        <v>4.8</v>
      </c>
      <c r="N894" s="2">
        <f t="shared" ca="1" si="40"/>
        <v>14293.113354667767</v>
      </c>
      <c r="O894" s="180">
        <f t="shared" ca="1" si="41"/>
        <v>1.3896870550539975E-2</v>
      </c>
      <c r="P894" s="180"/>
      <c r="Q894" s="180"/>
      <c r="R894" s="180"/>
      <c r="S894" s="180"/>
      <c r="T894" s="180"/>
    </row>
    <row r="895" spans="1:20" x14ac:dyDescent="0.25">
      <c r="A895" t="s">
        <v>243</v>
      </c>
      <c r="B895" t="s">
        <v>237</v>
      </c>
      <c r="C895" t="s">
        <v>238</v>
      </c>
      <c r="D895" t="s">
        <v>263</v>
      </c>
      <c r="E895" t="s">
        <v>228</v>
      </c>
      <c r="F895">
        <v>2001</v>
      </c>
      <c r="G895">
        <v>2.0468000000000101E-3</v>
      </c>
      <c r="H895" t="s">
        <v>240</v>
      </c>
      <c r="I895" t="s">
        <v>241</v>
      </c>
      <c r="J895" t="s">
        <v>3</v>
      </c>
      <c r="K895" s="183">
        <f ca="1">VLOOKUP(F895,
    OFFSET(INDIRECT(ADDRESS(MATCH(J895,'Vehicle numbers'!$A$5:$A$162,0),1,1,1,$L$6)),4,1,COUNTIF('Vehicle numbers'!$A$5:$A$162,J895),4),
    MATCH(K$8,'Vehicle numbers'!$B$4:$D$4,0))*1000</f>
        <v>1009954</v>
      </c>
      <c r="L895" s="183">
        <f ca="1">VLOOKUP(F895,
    OFFSET(INDIRECT(ADDRESS(MATCH(J895,'Vehicle numbers'!$A$5:$A$162,0),1,1,1,$L$6)),4,1,COUNTIF('Vehicle numbers'!$A$5:$A$162,J895),4),
    MATCH(L$8,'Vehicle numbers'!$B$4:$D$4,0))*1000</f>
        <v>1028513.0960014876</v>
      </c>
      <c r="M895" s="184">
        <f>VLOOKUP(F895,'Annual distance covered (GB)'!$A$8:$H$33,MATCH(J895,'Annual distance covered (GB)'!$A$7:$H$7,0))</f>
        <v>4.8</v>
      </c>
      <c r="N895" s="2">
        <f t="shared" ca="1" si="40"/>
        <v>10005.179348267451</v>
      </c>
      <c r="O895" s="180">
        <f t="shared" ca="1" si="41"/>
        <v>9.7278093853779973E-3</v>
      </c>
      <c r="P895" s="180"/>
      <c r="Q895" s="180"/>
      <c r="R895" s="180"/>
      <c r="S895" s="180"/>
      <c r="T895" s="180"/>
    </row>
    <row r="896" spans="1:20" x14ac:dyDescent="0.25">
      <c r="A896" t="s">
        <v>244</v>
      </c>
      <c r="B896" t="s">
        <v>237</v>
      </c>
      <c r="C896" t="s">
        <v>238</v>
      </c>
      <c r="D896" t="s">
        <v>263</v>
      </c>
      <c r="E896" t="s">
        <v>228</v>
      </c>
      <c r="F896">
        <v>2001</v>
      </c>
      <c r="G896">
        <v>2.8828169014084599E-4</v>
      </c>
      <c r="H896" t="s">
        <v>240</v>
      </c>
      <c r="I896" t="s">
        <v>241</v>
      </c>
      <c r="J896" t="s">
        <v>3</v>
      </c>
      <c r="K896" s="183">
        <f ca="1">VLOOKUP(F896,
    OFFSET(INDIRECT(ADDRESS(MATCH(J896,'Vehicle numbers'!$A$5:$A$162,0),1,1,1,$L$6)),4,1,COUNTIF('Vehicle numbers'!$A$5:$A$162,J896),4),
    MATCH(K$8,'Vehicle numbers'!$B$4:$D$4,0))*1000</f>
        <v>1009954</v>
      </c>
      <c r="L896" s="183">
        <f ca="1">VLOOKUP(F896,
    OFFSET(INDIRECT(ADDRESS(MATCH(J896,'Vehicle numbers'!$A$5:$A$162,0),1,1,1,$L$6)),4,1,COUNTIF('Vehicle numbers'!$A$5:$A$162,J896),4),
    MATCH(L$8,'Vehicle numbers'!$B$4:$D$4,0))*1000</f>
        <v>1028513.0960014876</v>
      </c>
      <c r="M896" s="184">
        <f>VLOOKUP(F896,'Annual distance covered (GB)'!$A$8:$H$33,MATCH(J896,'Annual distance covered (GB)'!$A$7:$H$7,0))</f>
        <v>4.8</v>
      </c>
      <c r="N896" s="2">
        <f t="shared" ca="1" si="40"/>
        <v>1409.1801898968217</v>
      </c>
      <c r="O896" s="180">
        <f t="shared" ca="1" si="41"/>
        <v>1.3701139979405605E-3</v>
      </c>
      <c r="P896" s="180"/>
      <c r="Q896" s="180"/>
      <c r="R896" s="180"/>
      <c r="S896" s="180"/>
      <c r="T896" s="180"/>
    </row>
    <row r="897" spans="1:20" x14ac:dyDescent="0.25">
      <c r="A897" t="s">
        <v>246</v>
      </c>
      <c r="B897" t="s">
        <v>237</v>
      </c>
      <c r="C897" t="s">
        <v>238</v>
      </c>
      <c r="D897" t="s">
        <v>263</v>
      </c>
      <c r="E897" t="s">
        <v>228</v>
      </c>
      <c r="F897">
        <v>2001</v>
      </c>
      <c r="G897">
        <v>2.30625352112677E-4</v>
      </c>
      <c r="H897" t="s">
        <v>240</v>
      </c>
      <c r="I897" t="s">
        <v>241</v>
      </c>
      <c r="J897" t="s">
        <v>3</v>
      </c>
      <c r="K897" s="183">
        <f ca="1">VLOOKUP(F897,
    OFFSET(INDIRECT(ADDRESS(MATCH(J897,'Vehicle numbers'!$A$5:$A$162,0),1,1,1,$L$6)),4,1,COUNTIF('Vehicle numbers'!$A$5:$A$162,J897),4),
    MATCH(K$8,'Vehicle numbers'!$B$4:$D$4,0))*1000</f>
        <v>1009954</v>
      </c>
      <c r="L897" s="183">
        <f ca="1">VLOOKUP(F897,
    OFFSET(INDIRECT(ADDRESS(MATCH(J897,'Vehicle numbers'!$A$5:$A$162,0),1,1,1,$L$6)),4,1,COUNTIF('Vehicle numbers'!$A$5:$A$162,J897),4),
    MATCH(L$8,'Vehicle numbers'!$B$4:$D$4,0))*1000</f>
        <v>1028513.0960014876</v>
      </c>
      <c r="M897" s="184">
        <f>VLOOKUP(F897,'Annual distance covered (GB)'!$A$8:$H$33,MATCH(J897,'Annual distance covered (GB)'!$A$7:$H$7,0))</f>
        <v>4.8</v>
      </c>
      <c r="N897" s="2">
        <f t="shared" ca="1" si="40"/>
        <v>1127.3441519174582</v>
      </c>
      <c r="O897" s="180">
        <f t="shared" ca="1" si="41"/>
        <v>1.0960911983524493E-3</v>
      </c>
      <c r="P897" s="180"/>
      <c r="Q897" s="180"/>
      <c r="R897" s="180"/>
      <c r="S897" s="180"/>
      <c r="T897" s="180"/>
    </row>
    <row r="898" spans="1:20" x14ac:dyDescent="0.25">
      <c r="A898" t="s">
        <v>236</v>
      </c>
      <c r="B898" t="s">
        <v>237</v>
      </c>
      <c r="C898" t="s">
        <v>238</v>
      </c>
      <c r="D898" t="s">
        <v>264</v>
      </c>
      <c r="E898" t="s">
        <v>229</v>
      </c>
      <c r="F898">
        <v>2001</v>
      </c>
      <c r="G898">
        <v>5.8399999999999902E-3</v>
      </c>
      <c r="H898" t="s">
        <v>240</v>
      </c>
      <c r="I898" t="s">
        <v>241</v>
      </c>
      <c r="J898" t="s">
        <v>3</v>
      </c>
      <c r="K898" s="183">
        <f ca="1">VLOOKUP(F898,
    OFFSET(INDIRECT(ADDRESS(MATCH(J898,'Vehicle numbers'!$A$5:$A$162,0),1,1,1,$L$6)),4,1,COUNTIF('Vehicle numbers'!$A$5:$A$162,J898),4),
    MATCH(K$8,'Vehicle numbers'!$B$4:$D$4,0))*1000</f>
        <v>1009954</v>
      </c>
      <c r="L898" s="183">
        <f ca="1">VLOOKUP(F898,
    OFFSET(INDIRECT(ADDRESS(MATCH(J898,'Vehicle numbers'!$A$5:$A$162,0),1,1,1,$L$6)),4,1,COUNTIF('Vehicle numbers'!$A$5:$A$162,J898),4),
    MATCH(L$8,'Vehicle numbers'!$B$4:$D$4,0))*1000</f>
        <v>1028513.0960014876</v>
      </c>
      <c r="M898" s="184">
        <f>VLOOKUP(F898,'Annual distance covered (GB)'!$A$8:$H$33,MATCH(J898,'Annual distance covered (GB)'!$A$7:$H$7,0))</f>
        <v>4.8</v>
      </c>
      <c r="N898" s="2">
        <f t="shared" ca="1" si="40"/>
        <v>28547.121064042178</v>
      </c>
      <c r="O898" s="180">
        <f t="shared" ca="1" si="41"/>
        <v>2.7755719567425799E-2</v>
      </c>
      <c r="P898" s="180"/>
      <c r="Q898" s="180"/>
      <c r="R898" s="180"/>
      <c r="S898" s="180"/>
      <c r="T898" s="180"/>
    </row>
    <row r="899" spans="1:20" x14ac:dyDescent="0.25">
      <c r="A899" t="s">
        <v>243</v>
      </c>
      <c r="B899" t="s">
        <v>237</v>
      </c>
      <c r="C899" t="s">
        <v>238</v>
      </c>
      <c r="D899" t="s">
        <v>264</v>
      </c>
      <c r="E899" t="s">
        <v>229</v>
      </c>
      <c r="F899">
        <v>2001</v>
      </c>
      <c r="G899">
        <v>2.336E-3</v>
      </c>
      <c r="H899" t="s">
        <v>240</v>
      </c>
      <c r="I899" t="s">
        <v>241</v>
      </c>
      <c r="J899" t="s">
        <v>3</v>
      </c>
      <c r="K899" s="183">
        <f ca="1">VLOOKUP(F899,
    OFFSET(INDIRECT(ADDRESS(MATCH(J899,'Vehicle numbers'!$A$5:$A$162,0),1,1,1,$L$6)),4,1,COUNTIF('Vehicle numbers'!$A$5:$A$162,J899),4),
    MATCH(K$8,'Vehicle numbers'!$B$4:$D$4,0))*1000</f>
        <v>1009954</v>
      </c>
      <c r="L899" s="183">
        <f ca="1">VLOOKUP(F899,
    OFFSET(INDIRECT(ADDRESS(MATCH(J899,'Vehicle numbers'!$A$5:$A$162,0),1,1,1,$L$6)),4,1,COUNTIF('Vehicle numbers'!$A$5:$A$162,J899),4),
    MATCH(L$8,'Vehicle numbers'!$B$4:$D$4,0))*1000</f>
        <v>1028513.0960014876</v>
      </c>
      <c r="M899" s="184">
        <f>VLOOKUP(F899,'Annual distance covered (GB)'!$A$8:$H$33,MATCH(J899,'Annual distance covered (GB)'!$A$7:$H$7,0))</f>
        <v>4.8</v>
      </c>
      <c r="N899" s="2">
        <f t="shared" ca="1" si="40"/>
        <v>11418.84842561689</v>
      </c>
      <c r="O899" s="180">
        <f t="shared" ca="1" si="41"/>
        <v>1.1102287826970338E-2</v>
      </c>
      <c r="P899" s="180"/>
      <c r="Q899" s="180"/>
      <c r="R899" s="180"/>
      <c r="S899" s="180"/>
      <c r="T899" s="180"/>
    </row>
    <row r="900" spans="1:20" x14ac:dyDescent="0.25">
      <c r="A900" t="s">
        <v>244</v>
      </c>
      <c r="B900" t="s">
        <v>237</v>
      </c>
      <c r="C900" t="s">
        <v>238</v>
      </c>
      <c r="D900" t="s">
        <v>264</v>
      </c>
      <c r="E900" t="s">
        <v>229</v>
      </c>
      <c r="F900">
        <v>2001</v>
      </c>
      <c r="G900">
        <v>5.8399999999999999E-4</v>
      </c>
      <c r="H900" t="s">
        <v>240</v>
      </c>
      <c r="I900" t="s">
        <v>241</v>
      </c>
      <c r="J900" t="s">
        <v>3</v>
      </c>
      <c r="K900" s="183">
        <f ca="1">VLOOKUP(F900,
    OFFSET(INDIRECT(ADDRESS(MATCH(J900,'Vehicle numbers'!$A$5:$A$162,0),1,1,1,$L$6)),4,1,COUNTIF('Vehicle numbers'!$A$5:$A$162,J900),4),
    MATCH(K$8,'Vehicle numbers'!$B$4:$D$4,0))*1000</f>
        <v>1009954</v>
      </c>
      <c r="L900" s="183">
        <f ca="1">VLOOKUP(F900,
    OFFSET(INDIRECT(ADDRESS(MATCH(J900,'Vehicle numbers'!$A$5:$A$162,0),1,1,1,$L$6)),4,1,COUNTIF('Vehicle numbers'!$A$5:$A$162,J900),4),
    MATCH(L$8,'Vehicle numbers'!$B$4:$D$4,0))*1000</f>
        <v>1028513.0960014876</v>
      </c>
      <c r="M900" s="184">
        <f>VLOOKUP(F900,'Annual distance covered (GB)'!$A$8:$H$33,MATCH(J900,'Annual distance covered (GB)'!$A$7:$H$7,0))</f>
        <v>4.8</v>
      </c>
      <c r="N900" s="2">
        <f t="shared" ca="1" si="40"/>
        <v>2854.7121064042226</v>
      </c>
      <c r="O900" s="180">
        <f t="shared" ca="1" si="41"/>
        <v>2.7755719567425846E-3</v>
      </c>
      <c r="P900" s="180"/>
      <c r="Q900" s="180"/>
      <c r="R900" s="180"/>
      <c r="S900" s="180"/>
      <c r="T900" s="180"/>
    </row>
    <row r="901" spans="1:20" x14ac:dyDescent="0.25">
      <c r="A901" t="s">
        <v>246</v>
      </c>
      <c r="B901" t="s">
        <v>237</v>
      </c>
      <c r="C901" t="s">
        <v>238</v>
      </c>
      <c r="D901" t="s">
        <v>264</v>
      </c>
      <c r="E901" t="s">
        <v>229</v>
      </c>
      <c r="F901">
        <v>2001</v>
      </c>
      <c r="G901">
        <v>4.6720000000000003E-4</v>
      </c>
      <c r="H901" t="s">
        <v>240</v>
      </c>
      <c r="I901" t="s">
        <v>241</v>
      </c>
      <c r="J901" t="s">
        <v>3</v>
      </c>
      <c r="K901" s="183">
        <f ca="1">VLOOKUP(F901,
    OFFSET(INDIRECT(ADDRESS(MATCH(J901,'Vehicle numbers'!$A$5:$A$162,0),1,1,1,$L$6)),4,1,COUNTIF('Vehicle numbers'!$A$5:$A$162,J901),4),
    MATCH(K$8,'Vehicle numbers'!$B$4:$D$4,0))*1000</f>
        <v>1009954</v>
      </c>
      <c r="L901" s="183">
        <f ca="1">VLOOKUP(F901,
    OFFSET(INDIRECT(ADDRESS(MATCH(J901,'Vehicle numbers'!$A$5:$A$162,0),1,1,1,$L$6)),4,1,COUNTIF('Vehicle numbers'!$A$5:$A$162,J901),4),
    MATCH(L$8,'Vehicle numbers'!$B$4:$D$4,0))*1000</f>
        <v>1028513.0960014876</v>
      </c>
      <c r="M901" s="184">
        <f>VLOOKUP(F901,'Annual distance covered (GB)'!$A$8:$H$33,MATCH(J901,'Annual distance covered (GB)'!$A$7:$H$7,0))</f>
        <v>4.8</v>
      </c>
      <c r="N901" s="2">
        <f t="shared" ca="1" si="40"/>
        <v>2283.7696851233786</v>
      </c>
      <c r="O901" s="180">
        <f t="shared" ca="1" si="41"/>
        <v>2.2204575653940683E-3</v>
      </c>
      <c r="P901" s="180"/>
      <c r="Q901" s="180"/>
      <c r="R901" s="180"/>
      <c r="S901" s="180"/>
      <c r="T901" s="180"/>
    </row>
    <row r="902" spans="1:20" x14ac:dyDescent="0.25">
      <c r="A902" t="s">
        <v>236</v>
      </c>
      <c r="B902" t="s">
        <v>237</v>
      </c>
      <c r="C902" t="s">
        <v>238</v>
      </c>
      <c r="D902" t="s">
        <v>264</v>
      </c>
      <c r="E902" t="s">
        <v>228</v>
      </c>
      <c r="F902">
        <v>2001</v>
      </c>
      <c r="G902">
        <v>3.7569999999999899E-3</v>
      </c>
      <c r="H902" t="s">
        <v>240</v>
      </c>
      <c r="I902" t="s">
        <v>241</v>
      </c>
      <c r="J902" t="s">
        <v>3</v>
      </c>
      <c r="K902" s="183">
        <f ca="1">VLOOKUP(F902,
    OFFSET(INDIRECT(ADDRESS(MATCH(J902,'Vehicle numbers'!$A$5:$A$162,0),1,1,1,$L$6)),4,1,COUNTIF('Vehicle numbers'!$A$5:$A$162,J902),4),
    MATCH(K$8,'Vehicle numbers'!$B$4:$D$4,0))*1000</f>
        <v>1009954</v>
      </c>
      <c r="L902" s="183">
        <f ca="1">VLOOKUP(F902,
    OFFSET(INDIRECT(ADDRESS(MATCH(J902,'Vehicle numbers'!$A$5:$A$162,0),1,1,1,$L$6)),4,1,COUNTIF('Vehicle numbers'!$A$5:$A$162,J902),4),
    MATCH(L$8,'Vehicle numbers'!$B$4:$D$4,0))*1000</f>
        <v>1028513.0960014876</v>
      </c>
      <c r="M902" s="184">
        <f>VLOOKUP(F902,'Annual distance covered (GB)'!$A$8:$H$33,MATCH(J902,'Annual distance covered (GB)'!$A$7:$H$7,0))</f>
        <v>4.8</v>
      </c>
      <c r="N902" s="2">
        <f t="shared" ca="1" si="40"/>
        <v>18364.988670823004</v>
      </c>
      <c r="O902" s="180">
        <f t="shared" ca="1" si="41"/>
        <v>1.7855862742263463E-2</v>
      </c>
      <c r="P902" s="180"/>
      <c r="Q902" s="180"/>
      <c r="R902" s="180"/>
      <c r="S902" s="180"/>
      <c r="T902" s="180"/>
    </row>
    <row r="903" spans="1:20" x14ac:dyDescent="0.25">
      <c r="A903" t="s">
        <v>243</v>
      </c>
      <c r="B903" t="s">
        <v>237</v>
      </c>
      <c r="C903" t="s">
        <v>238</v>
      </c>
      <c r="D903" t="s">
        <v>264</v>
      </c>
      <c r="E903" t="s">
        <v>228</v>
      </c>
      <c r="F903">
        <v>2001</v>
      </c>
      <c r="G903">
        <v>2.6298999999999901E-3</v>
      </c>
      <c r="H903" t="s">
        <v>240</v>
      </c>
      <c r="I903" t="s">
        <v>241</v>
      </c>
      <c r="J903" t="s">
        <v>3</v>
      </c>
      <c r="K903" s="183">
        <f ca="1">VLOOKUP(F903,
    OFFSET(INDIRECT(ADDRESS(MATCH(J903,'Vehicle numbers'!$A$5:$A$162,0),1,1,1,$L$6)),4,1,COUNTIF('Vehicle numbers'!$A$5:$A$162,J903),4),
    MATCH(K$8,'Vehicle numbers'!$B$4:$D$4,0))*1000</f>
        <v>1009954</v>
      </c>
      <c r="L903" s="183">
        <f ca="1">VLOOKUP(F903,
    OFFSET(INDIRECT(ADDRESS(MATCH(J903,'Vehicle numbers'!$A$5:$A$162,0),1,1,1,$L$6)),4,1,COUNTIF('Vehicle numbers'!$A$5:$A$162,J903),4),
    MATCH(L$8,'Vehicle numbers'!$B$4:$D$4,0))*1000</f>
        <v>1028513.0960014876</v>
      </c>
      <c r="M903" s="184">
        <f>VLOOKUP(F903,'Annual distance covered (GB)'!$A$8:$H$33,MATCH(J903,'Annual distance covered (GB)'!$A$7:$H$7,0))</f>
        <v>4.8</v>
      </c>
      <c r="N903" s="2">
        <f t="shared" ca="1" si="40"/>
        <v>12855.49206957609</v>
      </c>
      <c r="O903" s="180">
        <f t="shared" ca="1" si="41"/>
        <v>1.249910391958441E-2</v>
      </c>
      <c r="P903" s="180"/>
      <c r="Q903" s="180"/>
      <c r="R903" s="180"/>
      <c r="S903" s="180"/>
      <c r="T903" s="180"/>
    </row>
    <row r="904" spans="1:20" x14ac:dyDescent="0.25">
      <c r="A904" t="s">
        <v>244</v>
      </c>
      <c r="B904" t="s">
        <v>237</v>
      </c>
      <c r="C904" t="s">
        <v>238</v>
      </c>
      <c r="D904" t="s">
        <v>264</v>
      </c>
      <c r="E904" t="s">
        <v>228</v>
      </c>
      <c r="F904">
        <v>2001</v>
      </c>
      <c r="G904">
        <v>3.7040845070422299E-4</v>
      </c>
      <c r="H904" t="s">
        <v>240</v>
      </c>
      <c r="I904" t="s">
        <v>241</v>
      </c>
      <c r="J904" t="s">
        <v>3</v>
      </c>
      <c r="K904" s="183">
        <f ca="1">VLOOKUP(F904,
    OFFSET(INDIRECT(ADDRESS(MATCH(J904,'Vehicle numbers'!$A$5:$A$162,0),1,1,1,$L$6)),4,1,COUNTIF('Vehicle numbers'!$A$5:$A$162,J904),4),
    MATCH(K$8,'Vehicle numbers'!$B$4:$D$4,0))*1000</f>
        <v>1009954</v>
      </c>
      <c r="L904" s="183">
        <f ca="1">VLOOKUP(F904,
    OFFSET(INDIRECT(ADDRESS(MATCH(J904,'Vehicle numbers'!$A$5:$A$162,0),1,1,1,$L$6)),4,1,COUNTIF('Vehicle numbers'!$A$5:$A$162,J904),4),
    MATCH(L$8,'Vehicle numbers'!$B$4:$D$4,0))*1000</f>
        <v>1028513.0960014876</v>
      </c>
      <c r="M904" s="184">
        <f>VLOOKUP(F904,'Annual distance covered (GB)'!$A$8:$H$33,MATCH(J904,'Annual distance covered (GB)'!$A$7:$H$7,0))</f>
        <v>4.8</v>
      </c>
      <c r="N904" s="2">
        <f t="shared" ca="1" si="40"/>
        <v>1810.6326858557825</v>
      </c>
      <c r="O904" s="180">
        <f t="shared" ca="1" si="41"/>
        <v>1.7604371717724475E-3</v>
      </c>
      <c r="P904" s="180"/>
      <c r="Q904" s="180"/>
      <c r="R904" s="180"/>
      <c r="S904" s="180"/>
      <c r="T904" s="180"/>
    </row>
    <row r="905" spans="1:20" x14ac:dyDescent="0.25">
      <c r="A905" t="s">
        <v>246</v>
      </c>
      <c r="B905" t="s">
        <v>237</v>
      </c>
      <c r="C905" t="s">
        <v>238</v>
      </c>
      <c r="D905" t="s">
        <v>264</v>
      </c>
      <c r="E905" t="s">
        <v>228</v>
      </c>
      <c r="F905">
        <v>2001</v>
      </c>
      <c r="G905">
        <v>2.9632676056337901E-4</v>
      </c>
      <c r="H905" t="s">
        <v>240</v>
      </c>
      <c r="I905" t="s">
        <v>241</v>
      </c>
      <c r="J905" t="s">
        <v>3</v>
      </c>
      <c r="K905" s="183">
        <f ca="1">VLOOKUP(F905,
    OFFSET(INDIRECT(ADDRESS(MATCH(J905,'Vehicle numbers'!$A$5:$A$162,0),1,1,1,$L$6)),4,1,COUNTIF('Vehicle numbers'!$A$5:$A$162,J905),4),
    MATCH(K$8,'Vehicle numbers'!$B$4:$D$4,0))*1000</f>
        <v>1009954</v>
      </c>
      <c r="L905" s="183">
        <f ca="1">VLOOKUP(F905,
    OFFSET(INDIRECT(ADDRESS(MATCH(J905,'Vehicle numbers'!$A$5:$A$162,0),1,1,1,$L$6)),4,1,COUNTIF('Vehicle numbers'!$A$5:$A$162,J905),4),
    MATCH(L$8,'Vehicle numbers'!$B$4:$D$4,0))*1000</f>
        <v>1028513.0960014876</v>
      </c>
      <c r="M905" s="184">
        <f>VLOOKUP(F905,'Annual distance covered (GB)'!$A$8:$H$33,MATCH(J905,'Annual distance covered (GB)'!$A$7:$H$7,0))</f>
        <v>4.8</v>
      </c>
      <c r="N905" s="2">
        <f t="shared" ca="1" si="40"/>
        <v>1448.5061486846291</v>
      </c>
      <c r="O905" s="180">
        <f t="shared" ca="1" si="41"/>
        <v>1.408349737417961E-3</v>
      </c>
      <c r="P905" s="180"/>
      <c r="Q905" s="180"/>
      <c r="R905" s="180"/>
      <c r="S905" s="180"/>
      <c r="T905" s="180"/>
    </row>
    <row r="906" spans="1:20" x14ac:dyDescent="0.25">
      <c r="A906" t="s">
        <v>236</v>
      </c>
      <c r="B906" t="s">
        <v>237</v>
      </c>
      <c r="C906" t="s">
        <v>238</v>
      </c>
      <c r="D906" t="s">
        <v>239</v>
      </c>
      <c r="E906" t="s">
        <v>229</v>
      </c>
      <c r="F906">
        <v>2002</v>
      </c>
      <c r="G906">
        <v>8.4409999999999902E-3</v>
      </c>
      <c r="H906" t="s">
        <v>240</v>
      </c>
      <c r="I906" t="s">
        <v>241</v>
      </c>
      <c r="J906" t="s">
        <v>242</v>
      </c>
      <c r="K906" s="183">
        <f ca="1">VLOOKUP(F906,
    OFFSET(INDIRECT(ADDRESS(MATCH(J906,'Vehicle numbers'!$A$5:$A$162,0),1,1,1,$L$6)),4,1,COUNTIF('Vehicle numbers'!$A$5:$A$162,J906),4),
    MATCH(K$8,'Vehicle numbers'!$B$4:$D$4,0))*1000</f>
        <v>172994</v>
      </c>
      <c r="L906" s="183">
        <f ca="1">VLOOKUP(F906,
    OFFSET(INDIRECT(ADDRESS(MATCH(J906,'Vehicle numbers'!$A$5:$A$162,0),1,1,1,$L$6)),4,1,COUNTIF('Vehicle numbers'!$A$5:$A$162,J906),4),
    MATCH(L$8,'Vehicle numbers'!$B$4:$D$4,0))*1000</f>
        <v>179038.34745229853</v>
      </c>
      <c r="M906" s="184">
        <f>VLOOKUP(F906,'Annual distance covered (GB)'!$A$8:$H$33,MATCH(J906,'Annual distance covered (GB)'!$A$7:$H$7,0))</f>
        <v>5.2</v>
      </c>
      <c r="N906" s="2">
        <f t="shared" ca="1" si="40"/>
        <v>45426.812446635267</v>
      </c>
      <c r="O906" s="180">
        <f t="shared" ca="1" si="41"/>
        <v>0.25372671884574005</v>
      </c>
      <c r="P906" s="180"/>
      <c r="Q906" s="180"/>
      <c r="R906" s="180"/>
      <c r="S906" s="180"/>
      <c r="T906" s="180"/>
    </row>
    <row r="907" spans="1:20" x14ac:dyDescent="0.25">
      <c r="A907" t="s">
        <v>243</v>
      </c>
      <c r="B907" t="s">
        <v>237</v>
      </c>
      <c r="C907" t="s">
        <v>238</v>
      </c>
      <c r="D907" t="s">
        <v>239</v>
      </c>
      <c r="E907" t="s">
        <v>229</v>
      </c>
      <c r="F907">
        <v>2002</v>
      </c>
      <c r="G907">
        <v>3.3763999999999999E-3</v>
      </c>
      <c r="H907" t="s">
        <v>240</v>
      </c>
      <c r="I907" t="s">
        <v>241</v>
      </c>
      <c r="J907" t="s">
        <v>242</v>
      </c>
      <c r="K907" s="183">
        <f ca="1">VLOOKUP(F907,
    OFFSET(INDIRECT(ADDRESS(MATCH(J907,'Vehicle numbers'!$A$5:$A$162,0),1,1,1,$L$6)),4,1,COUNTIF('Vehicle numbers'!$A$5:$A$162,J907),4),
    MATCH(K$8,'Vehicle numbers'!$B$4:$D$4,0))*1000</f>
        <v>172994</v>
      </c>
      <c r="L907" s="183">
        <f ca="1">VLOOKUP(F907,
    OFFSET(INDIRECT(ADDRESS(MATCH(J907,'Vehicle numbers'!$A$5:$A$162,0),1,1,1,$L$6)),4,1,COUNTIF('Vehicle numbers'!$A$5:$A$162,J907),4),
    MATCH(L$8,'Vehicle numbers'!$B$4:$D$4,0))*1000</f>
        <v>179038.34745229853</v>
      </c>
      <c r="M907" s="184">
        <f>VLOOKUP(F907,'Annual distance covered (GB)'!$A$8:$H$33,MATCH(J907,'Annual distance covered (GB)'!$A$7:$H$7,0))</f>
        <v>5.2</v>
      </c>
      <c r="N907" s="2">
        <f t="shared" ref="N907:N970" ca="1" si="42">M907*G907*1000000*(L907/K907)</f>
        <v>18170.724978654129</v>
      </c>
      <c r="O907" s="180">
        <f t="shared" ref="O907:O970" ca="1" si="43">N907/L907</f>
        <v>0.10149068753829614</v>
      </c>
      <c r="P907" s="180"/>
      <c r="Q907" s="180"/>
      <c r="R907" s="180"/>
      <c r="S907" s="180"/>
      <c r="T907" s="180"/>
    </row>
    <row r="908" spans="1:20" x14ac:dyDescent="0.25">
      <c r="A908" t="s">
        <v>244</v>
      </c>
      <c r="B908" t="s">
        <v>237</v>
      </c>
      <c r="C908" t="s">
        <v>238</v>
      </c>
      <c r="D908" t="s">
        <v>239</v>
      </c>
      <c r="E908" t="s">
        <v>229</v>
      </c>
      <c r="F908">
        <v>2002</v>
      </c>
      <c r="G908">
        <v>8.4409999999999997E-4</v>
      </c>
      <c r="H908" t="s">
        <v>240</v>
      </c>
      <c r="I908" t="s">
        <v>241</v>
      </c>
      <c r="J908" t="s">
        <v>242</v>
      </c>
      <c r="K908" s="183">
        <f ca="1">VLOOKUP(F908,
    OFFSET(INDIRECT(ADDRESS(MATCH(J908,'Vehicle numbers'!$A$5:$A$162,0),1,1,1,$L$6)),4,1,COUNTIF('Vehicle numbers'!$A$5:$A$162,J908),4),
    MATCH(K$8,'Vehicle numbers'!$B$4:$D$4,0))*1000</f>
        <v>172994</v>
      </c>
      <c r="L908" s="183">
        <f ca="1">VLOOKUP(F908,
    OFFSET(INDIRECT(ADDRESS(MATCH(J908,'Vehicle numbers'!$A$5:$A$162,0),1,1,1,$L$6)),4,1,COUNTIF('Vehicle numbers'!$A$5:$A$162,J908),4),
    MATCH(L$8,'Vehicle numbers'!$B$4:$D$4,0))*1000</f>
        <v>179038.34745229853</v>
      </c>
      <c r="M908" s="184">
        <f>VLOOKUP(F908,'Annual distance covered (GB)'!$A$8:$H$33,MATCH(J908,'Annual distance covered (GB)'!$A$7:$H$7,0))</f>
        <v>5.2</v>
      </c>
      <c r="N908" s="2">
        <f t="shared" ca="1" si="42"/>
        <v>4542.6812446635322</v>
      </c>
      <c r="O908" s="180">
        <f t="shared" ca="1" si="43"/>
        <v>2.5372671884574035E-2</v>
      </c>
      <c r="P908" s="180"/>
      <c r="Q908" s="180"/>
      <c r="R908" s="180"/>
      <c r="S908" s="180"/>
      <c r="T908" s="180"/>
    </row>
    <row r="909" spans="1:20" x14ac:dyDescent="0.25">
      <c r="A909" t="s">
        <v>246</v>
      </c>
      <c r="B909" t="s">
        <v>237</v>
      </c>
      <c r="C909" t="s">
        <v>238</v>
      </c>
      <c r="D909" t="s">
        <v>239</v>
      </c>
      <c r="E909" t="s">
        <v>229</v>
      </c>
      <c r="F909">
        <v>2002</v>
      </c>
      <c r="G909">
        <v>6.7528E-4</v>
      </c>
      <c r="H909" t="s">
        <v>240</v>
      </c>
      <c r="I909" t="s">
        <v>241</v>
      </c>
      <c r="J909" t="s">
        <v>242</v>
      </c>
      <c r="K909" s="183">
        <f ca="1">VLOOKUP(F909,
    OFFSET(INDIRECT(ADDRESS(MATCH(J909,'Vehicle numbers'!$A$5:$A$162,0),1,1,1,$L$6)),4,1,COUNTIF('Vehicle numbers'!$A$5:$A$162,J909),4),
    MATCH(K$8,'Vehicle numbers'!$B$4:$D$4,0))*1000</f>
        <v>172994</v>
      </c>
      <c r="L909" s="183">
        <f ca="1">VLOOKUP(F909,
    OFFSET(INDIRECT(ADDRESS(MATCH(J909,'Vehicle numbers'!$A$5:$A$162,0),1,1,1,$L$6)),4,1,COUNTIF('Vehicle numbers'!$A$5:$A$162,J909),4),
    MATCH(L$8,'Vehicle numbers'!$B$4:$D$4,0))*1000</f>
        <v>179038.34745229853</v>
      </c>
      <c r="M909" s="184">
        <f>VLOOKUP(F909,'Annual distance covered (GB)'!$A$8:$H$33,MATCH(J909,'Annual distance covered (GB)'!$A$7:$H$7,0))</f>
        <v>5.2</v>
      </c>
      <c r="N909" s="2">
        <f t="shared" ca="1" si="42"/>
        <v>3634.1449957308255</v>
      </c>
      <c r="O909" s="180">
        <f t="shared" ca="1" si="43"/>
        <v>2.0298137507659225E-2</v>
      </c>
      <c r="P909" s="180"/>
      <c r="Q909" s="180"/>
      <c r="R909" s="180"/>
      <c r="S909" s="180"/>
      <c r="T909" s="180"/>
    </row>
    <row r="910" spans="1:20" x14ac:dyDescent="0.25">
      <c r="A910" t="s">
        <v>236</v>
      </c>
      <c r="B910" t="s">
        <v>237</v>
      </c>
      <c r="C910" t="s">
        <v>238</v>
      </c>
      <c r="D910" t="s">
        <v>239</v>
      </c>
      <c r="E910" t="s">
        <v>228</v>
      </c>
      <c r="F910">
        <v>2002</v>
      </c>
      <c r="G910">
        <v>1.3984E-2</v>
      </c>
      <c r="H910" t="s">
        <v>240</v>
      </c>
      <c r="I910" t="s">
        <v>241</v>
      </c>
      <c r="J910" t="s">
        <v>242</v>
      </c>
      <c r="K910" s="183">
        <f ca="1">VLOOKUP(F910,
    OFFSET(INDIRECT(ADDRESS(MATCH(J910,'Vehicle numbers'!$A$5:$A$162,0),1,1,1,$L$6)),4,1,COUNTIF('Vehicle numbers'!$A$5:$A$162,J910),4),
    MATCH(K$8,'Vehicle numbers'!$B$4:$D$4,0))*1000</f>
        <v>172994</v>
      </c>
      <c r="L910" s="183">
        <f ca="1">VLOOKUP(F910,
    OFFSET(INDIRECT(ADDRESS(MATCH(J910,'Vehicle numbers'!$A$5:$A$162,0),1,1,1,$L$6)),4,1,COUNTIF('Vehicle numbers'!$A$5:$A$162,J910),4),
    MATCH(L$8,'Vehicle numbers'!$B$4:$D$4,0))*1000</f>
        <v>179038.34745229853</v>
      </c>
      <c r="M910" s="184">
        <f>VLOOKUP(F910,'Annual distance covered (GB)'!$A$8:$H$33,MATCH(J910,'Annual distance covered (GB)'!$A$7:$H$7,0))</f>
        <v>5.2</v>
      </c>
      <c r="N910" s="2">
        <f t="shared" ca="1" si="42"/>
        <v>75257.498549194206</v>
      </c>
      <c r="O910" s="180">
        <f t="shared" ca="1" si="43"/>
        <v>0.42034290206596764</v>
      </c>
      <c r="P910" s="180"/>
      <c r="Q910" s="180"/>
      <c r="R910" s="180"/>
      <c r="S910" s="180"/>
      <c r="T910" s="180"/>
    </row>
    <row r="911" spans="1:20" x14ac:dyDescent="0.25">
      <c r="A911" t="s">
        <v>243</v>
      </c>
      <c r="B911" t="s">
        <v>237</v>
      </c>
      <c r="C911" t="s">
        <v>238</v>
      </c>
      <c r="D911" t="s">
        <v>239</v>
      </c>
      <c r="E911" t="s">
        <v>228</v>
      </c>
      <c r="F911">
        <v>2002</v>
      </c>
      <c r="G911">
        <v>9.7888000000000003E-3</v>
      </c>
      <c r="H911" t="s">
        <v>240</v>
      </c>
      <c r="I911" t="s">
        <v>241</v>
      </c>
      <c r="J911" t="s">
        <v>242</v>
      </c>
      <c r="K911" s="183">
        <f ca="1">VLOOKUP(F911,
    OFFSET(INDIRECT(ADDRESS(MATCH(J911,'Vehicle numbers'!$A$5:$A$162,0),1,1,1,$L$6)),4,1,COUNTIF('Vehicle numbers'!$A$5:$A$162,J911),4),
    MATCH(K$8,'Vehicle numbers'!$B$4:$D$4,0))*1000</f>
        <v>172994</v>
      </c>
      <c r="L911" s="183">
        <f ca="1">VLOOKUP(F911,
    OFFSET(INDIRECT(ADDRESS(MATCH(J911,'Vehicle numbers'!$A$5:$A$162,0),1,1,1,$L$6)),4,1,COUNTIF('Vehicle numbers'!$A$5:$A$162,J911),4),
    MATCH(L$8,'Vehicle numbers'!$B$4:$D$4,0))*1000</f>
        <v>179038.34745229853</v>
      </c>
      <c r="M911" s="184">
        <f>VLOOKUP(F911,'Annual distance covered (GB)'!$A$8:$H$33,MATCH(J911,'Annual distance covered (GB)'!$A$7:$H$7,0))</f>
        <v>5.2</v>
      </c>
      <c r="N911" s="2">
        <f t="shared" ca="1" si="42"/>
        <v>52680.248984435944</v>
      </c>
      <c r="O911" s="180">
        <f t="shared" ca="1" si="43"/>
        <v>0.29424003144617733</v>
      </c>
      <c r="P911" s="180"/>
      <c r="Q911" s="180"/>
      <c r="R911" s="180"/>
      <c r="S911" s="180"/>
      <c r="T911" s="180"/>
    </row>
    <row r="912" spans="1:20" x14ac:dyDescent="0.25">
      <c r="A912" t="s">
        <v>244</v>
      </c>
      <c r="B912" t="s">
        <v>237</v>
      </c>
      <c r="C912" t="s">
        <v>238</v>
      </c>
      <c r="D912" t="s">
        <v>239</v>
      </c>
      <c r="E912" t="s">
        <v>228</v>
      </c>
      <c r="F912">
        <v>2002</v>
      </c>
      <c r="G912">
        <v>1.3787042253521099E-3</v>
      </c>
      <c r="H912" t="s">
        <v>240</v>
      </c>
      <c r="I912" t="s">
        <v>241</v>
      </c>
      <c r="J912" t="s">
        <v>242</v>
      </c>
      <c r="K912" s="183">
        <f ca="1">VLOOKUP(F912,
    OFFSET(INDIRECT(ADDRESS(MATCH(J912,'Vehicle numbers'!$A$5:$A$162,0),1,1,1,$L$6)),4,1,COUNTIF('Vehicle numbers'!$A$5:$A$162,J912),4),
    MATCH(K$8,'Vehicle numbers'!$B$4:$D$4,0))*1000</f>
        <v>172994</v>
      </c>
      <c r="L912" s="183">
        <f ca="1">VLOOKUP(F912,
    OFFSET(INDIRECT(ADDRESS(MATCH(J912,'Vehicle numbers'!$A$5:$A$162,0),1,1,1,$L$6)),4,1,COUNTIF('Vehicle numbers'!$A$5:$A$162,J912),4),
    MATCH(L$8,'Vehicle numbers'!$B$4:$D$4,0))*1000</f>
        <v>179038.34745229853</v>
      </c>
      <c r="M912" s="184">
        <f>VLOOKUP(F912,'Annual distance covered (GB)'!$A$8:$H$33,MATCH(J912,'Annual distance covered (GB)'!$A$7:$H$7,0))</f>
        <v>5.2</v>
      </c>
      <c r="N912" s="2">
        <f t="shared" ca="1" si="42"/>
        <v>7419.7533780895546</v>
      </c>
      <c r="O912" s="180">
        <f t="shared" ca="1" si="43"/>
        <v>4.1442257950165741E-2</v>
      </c>
      <c r="P912" s="180"/>
      <c r="Q912" s="180"/>
      <c r="R912" s="180"/>
      <c r="S912" s="180"/>
      <c r="T912" s="180"/>
    </row>
    <row r="913" spans="1:20" x14ac:dyDescent="0.25">
      <c r="A913" t="s">
        <v>246</v>
      </c>
      <c r="B913" t="s">
        <v>237</v>
      </c>
      <c r="C913" t="s">
        <v>238</v>
      </c>
      <c r="D913" t="s">
        <v>239</v>
      </c>
      <c r="E913" t="s">
        <v>228</v>
      </c>
      <c r="F913">
        <v>2002</v>
      </c>
      <c r="G913">
        <v>1.10296338028169E-3</v>
      </c>
      <c r="H913" t="s">
        <v>240</v>
      </c>
      <c r="I913" t="s">
        <v>241</v>
      </c>
      <c r="J913" t="s">
        <v>242</v>
      </c>
      <c r="K913" s="183">
        <f ca="1">VLOOKUP(F913,
    OFFSET(INDIRECT(ADDRESS(MATCH(J913,'Vehicle numbers'!$A$5:$A$162,0),1,1,1,$L$6)),4,1,COUNTIF('Vehicle numbers'!$A$5:$A$162,J913),4),
    MATCH(K$8,'Vehicle numbers'!$B$4:$D$4,0))*1000</f>
        <v>172994</v>
      </c>
      <c r="L913" s="183">
        <f ca="1">VLOOKUP(F913,
    OFFSET(INDIRECT(ADDRESS(MATCH(J913,'Vehicle numbers'!$A$5:$A$162,0),1,1,1,$L$6)),4,1,COUNTIF('Vehicle numbers'!$A$5:$A$162,J913),4),
    MATCH(L$8,'Vehicle numbers'!$B$4:$D$4,0))*1000</f>
        <v>179038.34745229853</v>
      </c>
      <c r="M913" s="184">
        <f>VLOOKUP(F913,'Annual distance covered (GB)'!$A$8:$H$33,MATCH(J913,'Annual distance covered (GB)'!$A$7:$H$7,0))</f>
        <v>5.2</v>
      </c>
      <c r="N913" s="2">
        <f t="shared" ca="1" si="42"/>
        <v>5935.8027024716548</v>
      </c>
      <c r="O913" s="180">
        <f t="shared" ca="1" si="43"/>
        <v>3.3153806360132654E-2</v>
      </c>
      <c r="P913" s="180"/>
      <c r="Q913" s="180"/>
      <c r="R913" s="180"/>
      <c r="S913" s="180"/>
      <c r="T913" s="180"/>
    </row>
    <row r="914" spans="1:20" x14ac:dyDescent="0.25">
      <c r="A914" t="s">
        <v>236</v>
      </c>
      <c r="B914" t="s">
        <v>237</v>
      </c>
      <c r="C914" t="s">
        <v>238</v>
      </c>
      <c r="D914" t="s">
        <v>248</v>
      </c>
      <c r="E914" t="s">
        <v>229</v>
      </c>
      <c r="F914">
        <v>2002</v>
      </c>
      <c r="G914">
        <v>2.7143E-2</v>
      </c>
      <c r="H914" t="s">
        <v>240</v>
      </c>
      <c r="I914" t="s">
        <v>241</v>
      </c>
      <c r="J914" t="s">
        <v>242</v>
      </c>
      <c r="K914" s="183">
        <f ca="1">VLOOKUP(F914,
    OFFSET(INDIRECT(ADDRESS(MATCH(J914,'Vehicle numbers'!$A$5:$A$162,0),1,1,1,$L$6)),4,1,COUNTIF('Vehicle numbers'!$A$5:$A$162,J914),4),
    MATCH(K$8,'Vehicle numbers'!$B$4:$D$4,0))*1000</f>
        <v>172994</v>
      </c>
      <c r="L914" s="183">
        <f ca="1">VLOOKUP(F914,
    OFFSET(INDIRECT(ADDRESS(MATCH(J914,'Vehicle numbers'!$A$5:$A$162,0),1,1,1,$L$6)),4,1,COUNTIF('Vehicle numbers'!$A$5:$A$162,J914),4),
    MATCH(L$8,'Vehicle numbers'!$B$4:$D$4,0))*1000</f>
        <v>179038.34745229853</v>
      </c>
      <c r="M914" s="184">
        <f>VLOOKUP(F914,'Annual distance covered (GB)'!$A$8:$H$33,MATCH(J914,'Annual distance covered (GB)'!$A$7:$H$7,0))</f>
        <v>5.2</v>
      </c>
      <c r="N914" s="2">
        <f t="shared" ca="1" si="42"/>
        <v>146075.10605840804</v>
      </c>
      <c r="O914" s="180">
        <f t="shared" ca="1" si="43"/>
        <v>0.81588725620541747</v>
      </c>
      <c r="P914" s="180"/>
      <c r="Q914" s="180"/>
      <c r="R914" s="180"/>
      <c r="S914" s="180"/>
      <c r="T914" s="180"/>
    </row>
    <row r="915" spans="1:20" x14ac:dyDescent="0.25">
      <c r="A915" t="s">
        <v>243</v>
      </c>
      <c r="B915" t="s">
        <v>237</v>
      </c>
      <c r="C915" t="s">
        <v>238</v>
      </c>
      <c r="D915" t="s">
        <v>248</v>
      </c>
      <c r="E915" t="s">
        <v>229</v>
      </c>
      <c r="F915">
        <v>2002</v>
      </c>
      <c r="G915">
        <v>1.0857199999999999E-2</v>
      </c>
      <c r="H915" t="s">
        <v>240</v>
      </c>
      <c r="I915" t="s">
        <v>241</v>
      </c>
      <c r="J915" t="s">
        <v>242</v>
      </c>
      <c r="K915" s="183">
        <f ca="1">VLOOKUP(F915,
    OFFSET(INDIRECT(ADDRESS(MATCH(J915,'Vehicle numbers'!$A$5:$A$162,0),1,1,1,$L$6)),4,1,COUNTIF('Vehicle numbers'!$A$5:$A$162,J915),4),
    MATCH(K$8,'Vehicle numbers'!$B$4:$D$4,0))*1000</f>
        <v>172994</v>
      </c>
      <c r="L915" s="183">
        <f ca="1">VLOOKUP(F915,
    OFFSET(INDIRECT(ADDRESS(MATCH(J915,'Vehicle numbers'!$A$5:$A$162,0),1,1,1,$L$6)),4,1,COUNTIF('Vehicle numbers'!$A$5:$A$162,J915),4),
    MATCH(L$8,'Vehicle numbers'!$B$4:$D$4,0))*1000</f>
        <v>179038.34745229853</v>
      </c>
      <c r="M915" s="184">
        <f>VLOOKUP(F915,'Annual distance covered (GB)'!$A$8:$H$33,MATCH(J915,'Annual distance covered (GB)'!$A$7:$H$7,0))</f>
        <v>5.2</v>
      </c>
      <c r="N915" s="2">
        <f t="shared" ca="1" si="42"/>
        <v>58430.042423363215</v>
      </c>
      <c r="O915" s="180">
        <f t="shared" ca="1" si="43"/>
        <v>0.32635490248216698</v>
      </c>
      <c r="P915" s="180"/>
      <c r="Q915" s="180"/>
      <c r="R915" s="180"/>
      <c r="S915" s="180"/>
      <c r="T915" s="180"/>
    </row>
    <row r="916" spans="1:20" x14ac:dyDescent="0.25">
      <c r="A916" t="s">
        <v>244</v>
      </c>
      <c r="B916" t="s">
        <v>237</v>
      </c>
      <c r="C916" t="s">
        <v>238</v>
      </c>
      <c r="D916" t="s">
        <v>248</v>
      </c>
      <c r="E916" t="s">
        <v>229</v>
      </c>
      <c r="F916">
        <v>2002</v>
      </c>
      <c r="G916">
        <v>2.7142999999999998E-3</v>
      </c>
      <c r="H916" t="s">
        <v>240</v>
      </c>
      <c r="I916" t="s">
        <v>241</v>
      </c>
      <c r="J916" t="s">
        <v>242</v>
      </c>
      <c r="K916" s="183">
        <f ca="1">VLOOKUP(F916,
    OFFSET(INDIRECT(ADDRESS(MATCH(J916,'Vehicle numbers'!$A$5:$A$162,0),1,1,1,$L$6)),4,1,COUNTIF('Vehicle numbers'!$A$5:$A$162,J916),4),
    MATCH(K$8,'Vehicle numbers'!$B$4:$D$4,0))*1000</f>
        <v>172994</v>
      </c>
      <c r="L916" s="183">
        <f ca="1">VLOOKUP(F916,
    OFFSET(INDIRECT(ADDRESS(MATCH(J916,'Vehicle numbers'!$A$5:$A$162,0),1,1,1,$L$6)),4,1,COUNTIF('Vehicle numbers'!$A$5:$A$162,J916),4),
    MATCH(L$8,'Vehicle numbers'!$B$4:$D$4,0))*1000</f>
        <v>179038.34745229853</v>
      </c>
      <c r="M916" s="184">
        <f>VLOOKUP(F916,'Annual distance covered (GB)'!$A$8:$H$33,MATCH(J916,'Annual distance covered (GB)'!$A$7:$H$7,0))</f>
        <v>5.2</v>
      </c>
      <c r="N916" s="2">
        <f t="shared" ca="1" si="42"/>
        <v>14607.510605840804</v>
      </c>
      <c r="O916" s="180">
        <f t="shared" ca="1" si="43"/>
        <v>8.1588725620541744E-2</v>
      </c>
      <c r="P916" s="180"/>
      <c r="Q916" s="180"/>
      <c r="R916" s="180"/>
      <c r="S916" s="180"/>
      <c r="T916" s="180"/>
    </row>
    <row r="917" spans="1:20" x14ac:dyDescent="0.25">
      <c r="A917" t="s">
        <v>246</v>
      </c>
      <c r="B917" t="s">
        <v>237</v>
      </c>
      <c r="C917" t="s">
        <v>238</v>
      </c>
      <c r="D917" t="s">
        <v>248</v>
      </c>
      <c r="E917" t="s">
        <v>229</v>
      </c>
      <c r="F917">
        <v>2002</v>
      </c>
      <c r="G917">
        <v>2.1714400000000002E-3</v>
      </c>
      <c r="H917" t="s">
        <v>240</v>
      </c>
      <c r="I917" t="s">
        <v>241</v>
      </c>
      <c r="J917" t="s">
        <v>242</v>
      </c>
      <c r="K917" s="183">
        <f ca="1">VLOOKUP(F917,
    OFFSET(INDIRECT(ADDRESS(MATCH(J917,'Vehicle numbers'!$A$5:$A$162,0),1,1,1,$L$6)),4,1,COUNTIF('Vehicle numbers'!$A$5:$A$162,J917),4),
    MATCH(K$8,'Vehicle numbers'!$B$4:$D$4,0))*1000</f>
        <v>172994</v>
      </c>
      <c r="L917" s="183">
        <f ca="1">VLOOKUP(F917,
    OFFSET(INDIRECT(ADDRESS(MATCH(J917,'Vehicle numbers'!$A$5:$A$162,0),1,1,1,$L$6)),4,1,COUNTIF('Vehicle numbers'!$A$5:$A$162,J917),4),
    MATCH(L$8,'Vehicle numbers'!$B$4:$D$4,0))*1000</f>
        <v>179038.34745229853</v>
      </c>
      <c r="M917" s="184">
        <f>VLOOKUP(F917,'Annual distance covered (GB)'!$A$8:$H$33,MATCH(J917,'Annual distance covered (GB)'!$A$7:$H$7,0))</f>
        <v>5.2</v>
      </c>
      <c r="N917" s="2">
        <f t="shared" ca="1" si="42"/>
        <v>11686.008484672646</v>
      </c>
      <c r="O917" s="180">
        <f t="shared" ca="1" si="43"/>
        <v>6.5270980496433414E-2</v>
      </c>
      <c r="P917" s="180"/>
      <c r="Q917" s="180"/>
      <c r="R917" s="180"/>
      <c r="S917" s="180"/>
      <c r="T917" s="180"/>
    </row>
    <row r="918" spans="1:20" x14ac:dyDescent="0.25">
      <c r="A918" t="s">
        <v>236</v>
      </c>
      <c r="B918" t="s">
        <v>237</v>
      </c>
      <c r="C918" t="s">
        <v>238</v>
      </c>
      <c r="D918" t="s">
        <v>248</v>
      </c>
      <c r="E918" t="s">
        <v>228</v>
      </c>
      <c r="F918">
        <v>2002</v>
      </c>
      <c r="G918">
        <v>1.68578987779569E-2</v>
      </c>
      <c r="H918" t="s">
        <v>240</v>
      </c>
      <c r="I918" t="s">
        <v>241</v>
      </c>
      <c r="J918" t="s">
        <v>242</v>
      </c>
      <c r="K918" s="183">
        <f ca="1">VLOOKUP(F918,
    OFFSET(INDIRECT(ADDRESS(MATCH(J918,'Vehicle numbers'!$A$5:$A$162,0),1,1,1,$L$6)),4,1,COUNTIF('Vehicle numbers'!$A$5:$A$162,J918),4),
    MATCH(K$8,'Vehicle numbers'!$B$4:$D$4,0))*1000</f>
        <v>172994</v>
      </c>
      <c r="L918" s="183">
        <f ca="1">VLOOKUP(F918,
    OFFSET(INDIRECT(ADDRESS(MATCH(J918,'Vehicle numbers'!$A$5:$A$162,0),1,1,1,$L$6)),4,1,COUNTIF('Vehicle numbers'!$A$5:$A$162,J918),4),
    MATCH(L$8,'Vehicle numbers'!$B$4:$D$4,0))*1000</f>
        <v>179038.34745229853</v>
      </c>
      <c r="M918" s="184">
        <f>VLOOKUP(F918,'Annual distance covered (GB)'!$A$8:$H$33,MATCH(J918,'Annual distance covered (GB)'!$A$7:$H$7,0))</f>
        <v>5.2</v>
      </c>
      <c r="N918" s="2">
        <f t="shared" ca="1" si="42"/>
        <v>90723.919681389743</v>
      </c>
      <c r="O918" s="180">
        <f t="shared" ca="1" si="43"/>
        <v>0.50672898277036127</v>
      </c>
      <c r="P918" s="180"/>
      <c r="Q918" s="180"/>
      <c r="R918" s="180"/>
      <c r="S918" s="180"/>
      <c r="T918" s="180"/>
    </row>
    <row r="919" spans="1:20" x14ac:dyDescent="0.25">
      <c r="A919" t="s">
        <v>243</v>
      </c>
      <c r="B919" t="s">
        <v>237</v>
      </c>
      <c r="C919" t="s">
        <v>238</v>
      </c>
      <c r="D919" t="s">
        <v>248</v>
      </c>
      <c r="E919" t="s">
        <v>228</v>
      </c>
      <c r="F919">
        <v>2002</v>
      </c>
      <c r="G919">
        <v>1.1800529144569799E-2</v>
      </c>
      <c r="H919" t="s">
        <v>240</v>
      </c>
      <c r="I919" t="s">
        <v>241</v>
      </c>
      <c r="J919" t="s">
        <v>242</v>
      </c>
      <c r="K919" s="183">
        <f ca="1">VLOOKUP(F919,
    OFFSET(INDIRECT(ADDRESS(MATCH(J919,'Vehicle numbers'!$A$5:$A$162,0),1,1,1,$L$6)),4,1,COUNTIF('Vehicle numbers'!$A$5:$A$162,J919),4),
    MATCH(K$8,'Vehicle numbers'!$B$4:$D$4,0))*1000</f>
        <v>172994</v>
      </c>
      <c r="L919" s="183">
        <f ca="1">VLOOKUP(F919,
    OFFSET(INDIRECT(ADDRESS(MATCH(J919,'Vehicle numbers'!$A$5:$A$162,0),1,1,1,$L$6)),4,1,COUNTIF('Vehicle numbers'!$A$5:$A$162,J919),4),
    MATCH(L$8,'Vehicle numbers'!$B$4:$D$4,0))*1000</f>
        <v>179038.34745229853</v>
      </c>
      <c r="M919" s="184">
        <f>VLOOKUP(F919,'Annual distance covered (GB)'!$A$8:$H$33,MATCH(J919,'Annual distance covered (GB)'!$A$7:$H$7,0))</f>
        <v>5.2</v>
      </c>
      <c r="N919" s="2">
        <f t="shared" ca="1" si="42"/>
        <v>63506.74377697266</v>
      </c>
      <c r="O919" s="180">
        <f t="shared" ca="1" si="43"/>
        <v>0.35471028793925202</v>
      </c>
      <c r="P919" s="180"/>
      <c r="Q919" s="180"/>
      <c r="R919" s="180"/>
      <c r="S919" s="180"/>
      <c r="T919" s="180"/>
    </row>
    <row r="920" spans="1:20" x14ac:dyDescent="0.25">
      <c r="A920" t="s">
        <v>244</v>
      </c>
      <c r="B920" t="s">
        <v>237</v>
      </c>
      <c r="C920" t="s">
        <v>238</v>
      </c>
      <c r="D920" t="s">
        <v>248</v>
      </c>
      <c r="E920" t="s">
        <v>228</v>
      </c>
      <c r="F920">
        <v>2002</v>
      </c>
      <c r="G920">
        <v>1.66204635839011E-3</v>
      </c>
      <c r="H920" t="s">
        <v>240</v>
      </c>
      <c r="I920" t="s">
        <v>241</v>
      </c>
      <c r="J920" t="s">
        <v>242</v>
      </c>
      <c r="K920" s="183">
        <f ca="1">VLOOKUP(F920,
    OFFSET(INDIRECT(ADDRESS(MATCH(J920,'Vehicle numbers'!$A$5:$A$162,0),1,1,1,$L$6)),4,1,COUNTIF('Vehicle numbers'!$A$5:$A$162,J920),4),
    MATCH(K$8,'Vehicle numbers'!$B$4:$D$4,0))*1000</f>
        <v>172994</v>
      </c>
      <c r="L920" s="183">
        <f ca="1">VLOOKUP(F920,
    OFFSET(INDIRECT(ADDRESS(MATCH(J920,'Vehicle numbers'!$A$5:$A$162,0),1,1,1,$L$6)),4,1,COUNTIF('Vehicle numbers'!$A$5:$A$162,J920),4),
    MATCH(L$8,'Vehicle numbers'!$B$4:$D$4,0))*1000</f>
        <v>179038.34745229853</v>
      </c>
      <c r="M920" s="184">
        <f>VLOOKUP(F920,'Annual distance covered (GB)'!$A$8:$H$33,MATCH(J920,'Annual distance covered (GB)'!$A$7:$H$7,0))</f>
        <v>5.2</v>
      </c>
      <c r="N920" s="2">
        <f t="shared" ca="1" si="42"/>
        <v>8944.6117995736004</v>
      </c>
      <c r="O920" s="180">
        <f t="shared" ca="1" si="43"/>
        <v>4.9959195484401614E-2</v>
      </c>
      <c r="P920" s="180"/>
      <c r="Q920" s="180"/>
      <c r="R920" s="180"/>
      <c r="S920" s="180"/>
      <c r="T920" s="180"/>
    </row>
    <row r="921" spans="1:20" x14ac:dyDescent="0.25">
      <c r="A921" t="s">
        <v>246</v>
      </c>
      <c r="B921" t="s">
        <v>237</v>
      </c>
      <c r="C921" t="s">
        <v>238</v>
      </c>
      <c r="D921" t="s">
        <v>248</v>
      </c>
      <c r="E921" t="s">
        <v>228</v>
      </c>
      <c r="F921">
        <v>2002</v>
      </c>
      <c r="G921">
        <v>1.32963708671209E-3</v>
      </c>
      <c r="H921" t="s">
        <v>240</v>
      </c>
      <c r="I921" t="s">
        <v>241</v>
      </c>
      <c r="J921" t="s">
        <v>242</v>
      </c>
      <c r="K921" s="183">
        <f ca="1">VLOOKUP(F921,
    OFFSET(INDIRECT(ADDRESS(MATCH(J921,'Vehicle numbers'!$A$5:$A$162,0),1,1,1,$L$6)),4,1,COUNTIF('Vehicle numbers'!$A$5:$A$162,J921),4),
    MATCH(K$8,'Vehicle numbers'!$B$4:$D$4,0))*1000</f>
        <v>172994</v>
      </c>
      <c r="L921" s="183">
        <f ca="1">VLOOKUP(F921,
    OFFSET(INDIRECT(ADDRESS(MATCH(J921,'Vehicle numbers'!$A$5:$A$162,0),1,1,1,$L$6)),4,1,COUNTIF('Vehicle numbers'!$A$5:$A$162,J921),4),
    MATCH(L$8,'Vehicle numbers'!$B$4:$D$4,0))*1000</f>
        <v>179038.34745229853</v>
      </c>
      <c r="M921" s="184">
        <f>VLOOKUP(F921,'Annual distance covered (GB)'!$A$8:$H$33,MATCH(J921,'Annual distance covered (GB)'!$A$7:$H$7,0))</f>
        <v>5.2</v>
      </c>
      <c r="N921" s="2">
        <f t="shared" ca="1" si="42"/>
        <v>7155.6894396588905</v>
      </c>
      <c r="O921" s="180">
        <f t="shared" ca="1" si="43"/>
        <v>3.9967356387521351E-2</v>
      </c>
      <c r="P921" s="180"/>
      <c r="Q921" s="180"/>
      <c r="R921" s="180"/>
      <c r="S921" s="180"/>
      <c r="T921" s="180"/>
    </row>
    <row r="922" spans="1:20" x14ac:dyDescent="0.25">
      <c r="A922" t="s">
        <v>236</v>
      </c>
      <c r="B922" t="s">
        <v>237</v>
      </c>
      <c r="C922" t="s">
        <v>238</v>
      </c>
      <c r="D922" t="s">
        <v>249</v>
      </c>
      <c r="E922" t="s">
        <v>229</v>
      </c>
      <c r="F922">
        <v>2002</v>
      </c>
      <c r="G922">
        <v>5.3594999999999997E-2</v>
      </c>
      <c r="H922" t="s">
        <v>240</v>
      </c>
      <c r="I922" t="s">
        <v>241</v>
      </c>
      <c r="J922" t="s">
        <v>242</v>
      </c>
      <c r="K922" s="183">
        <f ca="1">VLOOKUP(F922,
    OFFSET(INDIRECT(ADDRESS(MATCH(J922,'Vehicle numbers'!$A$5:$A$162,0),1,1,1,$L$6)),4,1,COUNTIF('Vehicle numbers'!$A$5:$A$162,J922),4),
    MATCH(K$8,'Vehicle numbers'!$B$4:$D$4,0))*1000</f>
        <v>172994</v>
      </c>
      <c r="L922" s="183">
        <f ca="1">VLOOKUP(F922,
    OFFSET(INDIRECT(ADDRESS(MATCH(J922,'Vehicle numbers'!$A$5:$A$162,0),1,1,1,$L$6)),4,1,COUNTIF('Vehicle numbers'!$A$5:$A$162,J922),4),
    MATCH(L$8,'Vehicle numbers'!$B$4:$D$4,0))*1000</f>
        <v>179038.34745229853</v>
      </c>
      <c r="M922" s="184">
        <f>VLOOKUP(F922,'Annual distance covered (GB)'!$A$8:$H$33,MATCH(J922,'Annual distance covered (GB)'!$A$7:$H$7,0))</f>
        <v>5.2</v>
      </c>
      <c r="N922" s="2">
        <f t="shared" ca="1" si="42"/>
        <v>288431.46701545076</v>
      </c>
      <c r="O922" s="180">
        <f t="shared" ca="1" si="43"/>
        <v>1.6110038498445034</v>
      </c>
      <c r="P922" s="180"/>
      <c r="Q922" s="180"/>
      <c r="R922" s="180"/>
      <c r="S922" s="180"/>
      <c r="T922" s="180"/>
    </row>
    <row r="923" spans="1:20" x14ac:dyDescent="0.25">
      <c r="A923" t="s">
        <v>243</v>
      </c>
      <c r="B923" t="s">
        <v>237</v>
      </c>
      <c r="C923" t="s">
        <v>238</v>
      </c>
      <c r="D923" t="s">
        <v>249</v>
      </c>
      <c r="E923" t="s">
        <v>229</v>
      </c>
      <c r="F923">
        <v>2002</v>
      </c>
      <c r="G923">
        <v>2.1437999999999999E-2</v>
      </c>
      <c r="H923" t="s">
        <v>240</v>
      </c>
      <c r="I923" t="s">
        <v>241</v>
      </c>
      <c r="J923" t="s">
        <v>242</v>
      </c>
      <c r="K923" s="183">
        <f ca="1">VLOOKUP(F923,
    OFFSET(INDIRECT(ADDRESS(MATCH(J923,'Vehicle numbers'!$A$5:$A$162,0),1,1,1,$L$6)),4,1,COUNTIF('Vehicle numbers'!$A$5:$A$162,J923),4),
    MATCH(K$8,'Vehicle numbers'!$B$4:$D$4,0))*1000</f>
        <v>172994</v>
      </c>
      <c r="L923" s="183">
        <f ca="1">VLOOKUP(F923,
    OFFSET(INDIRECT(ADDRESS(MATCH(J923,'Vehicle numbers'!$A$5:$A$162,0),1,1,1,$L$6)),4,1,COUNTIF('Vehicle numbers'!$A$5:$A$162,J923),4),
    MATCH(L$8,'Vehicle numbers'!$B$4:$D$4,0))*1000</f>
        <v>179038.34745229853</v>
      </c>
      <c r="M923" s="184">
        <f>VLOOKUP(F923,'Annual distance covered (GB)'!$A$8:$H$33,MATCH(J923,'Annual distance covered (GB)'!$A$7:$H$7,0))</f>
        <v>5.2</v>
      </c>
      <c r="N923" s="2">
        <f t="shared" ca="1" si="42"/>
        <v>115372.58680618029</v>
      </c>
      <c r="O923" s="180">
        <f t="shared" ca="1" si="43"/>
        <v>0.64440153993780125</v>
      </c>
      <c r="P923" s="180"/>
      <c r="Q923" s="180"/>
      <c r="R923" s="180"/>
      <c r="S923" s="180"/>
      <c r="T923" s="180"/>
    </row>
    <row r="924" spans="1:20" x14ac:dyDescent="0.25">
      <c r="A924" t="s">
        <v>244</v>
      </c>
      <c r="B924" t="s">
        <v>237</v>
      </c>
      <c r="C924" t="s">
        <v>238</v>
      </c>
      <c r="D924" t="s">
        <v>249</v>
      </c>
      <c r="E924" t="s">
        <v>229</v>
      </c>
      <c r="F924">
        <v>2002</v>
      </c>
      <c r="G924">
        <v>5.3594999999999997E-3</v>
      </c>
      <c r="H924" t="s">
        <v>240</v>
      </c>
      <c r="I924" t="s">
        <v>241</v>
      </c>
      <c r="J924" t="s">
        <v>242</v>
      </c>
      <c r="K924" s="183">
        <f ca="1">VLOOKUP(F924,
    OFFSET(INDIRECT(ADDRESS(MATCH(J924,'Vehicle numbers'!$A$5:$A$162,0),1,1,1,$L$6)),4,1,COUNTIF('Vehicle numbers'!$A$5:$A$162,J924),4),
    MATCH(K$8,'Vehicle numbers'!$B$4:$D$4,0))*1000</f>
        <v>172994</v>
      </c>
      <c r="L924" s="183">
        <f ca="1">VLOOKUP(F924,
    OFFSET(INDIRECT(ADDRESS(MATCH(J924,'Vehicle numbers'!$A$5:$A$162,0),1,1,1,$L$6)),4,1,COUNTIF('Vehicle numbers'!$A$5:$A$162,J924),4),
    MATCH(L$8,'Vehicle numbers'!$B$4:$D$4,0))*1000</f>
        <v>179038.34745229853</v>
      </c>
      <c r="M924" s="184">
        <f>VLOOKUP(F924,'Annual distance covered (GB)'!$A$8:$H$33,MATCH(J924,'Annual distance covered (GB)'!$A$7:$H$7,0))</f>
        <v>5.2</v>
      </c>
      <c r="N924" s="2">
        <f t="shared" ca="1" si="42"/>
        <v>28843.146701545073</v>
      </c>
      <c r="O924" s="180">
        <f t="shared" ca="1" si="43"/>
        <v>0.16110038498445031</v>
      </c>
      <c r="P924" s="180"/>
      <c r="Q924" s="180"/>
      <c r="R924" s="180"/>
      <c r="S924" s="180"/>
      <c r="T924" s="180"/>
    </row>
    <row r="925" spans="1:20" x14ac:dyDescent="0.25">
      <c r="A925" t="s">
        <v>246</v>
      </c>
      <c r="B925" t="s">
        <v>237</v>
      </c>
      <c r="C925" t="s">
        <v>238</v>
      </c>
      <c r="D925" t="s">
        <v>249</v>
      </c>
      <c r="E925" t="s">
        <v>229</v>
      </c>
      <c r="F925">
        <v>2002</v>
      </c>
      <c r="G925">
        <v>4.2875999999999999E-3</v>
      </c>
      <c r="H925" t="s">
        <v>240</v>
      </c>
      <c r="I925" t="s">
        <v>241</v>
      </c>
      <c r="J925" t="s">
        <v>242</v>
      </c>
      <c r="K925" s="183">
        <f ca="1">VLOOKUP(F925,
    OFFSET(INDIRECT(ADDRESS(MATCH(J925,'Vehicle numbers'!$A$5:$A$162,0),1,1,1,$L$6)),4,1,COUNTIF('Vehicle numbers'!$A$5:$A$162,J925),4),
    MATCH(K$8,'Vehicle numbers'!$B$4:$D$4,0))*1000</f>
        <v>172994</v>
      </c>
      <c r="L925" s="183">
        <f ca="1">VLOOKUP(F925,
    OFFSET(INDIRECT(ADDRESS(MATCH(J925,'Vehicle numbers'!$A$5:$A$162,0),1,1,1,$L$6)),4,1,COUNTIF('Vehicle numbers'!$A$5:$A$162,J925),4),
    MATCH(L$8,'Vehicle numbers'!$B$4:$D$4,0))*1000</f>
        <v>179038.34745229853</v>
      </c>
      <c r="M925" s="184">
        <f>VLOOKUP(F925,'Annual distance covered (GB)'!$A$8:$H$33,MATCH(J925,'Annual distance covered (GB)'!$A$7:$H$7,0))</f>
        <v>5.2</v>
      </c>
      <c r="N925" s="2">
        <f t="shared" ca="1" si="42"/>
        <v>23074.51736123606</v>
      </c>
      <c r="O925" s="180">
        <f t="shared" ca="1" si="43"/>
        <v>0.12888030798756026</v>
      </c>
      <c r="P925" s="180"/>
      <c r="Q925" s="180"/>
      <c r="R925" s="180"/>
      <c r="S925" s="180"/>
      <c r="T925" s="180"/>
    </row>
    <row r="926" spans="1:20" x14ac:dyDescent="0.25">
      <c r="A926" t="s">
        <v>236</v>
      </c>
      <c r="B926" t="s">
        <v>237</v>
      </c>
      <c r="C926" t="s">
        <v>238</v>
      </c>
      <c r="D926" t="s">
        <v>249</v>
      </c>
      <c r="E926" t="s">
        <v>228</v>
      </c>
      <c r="F926">
        <v>2002</v>
      </c>
      <c r="G926">
        <v>2.1394362539150301E-2</v>
      </c>
      <c r="H926" t="s">
        <v>240</v>
      </c>
      <c r="I926" t="s">
        <v>241</v>
      </c>
      <c r="J926" t="s">
        <v>242</v>
      </c>
      <c r="K926" s="183">
        <f ca="1">VLOOKUP(F926,
    OFFSET(INDIRECT(ADDRESS(MATCH(J926,'Vehicle numbers'!$A$5:$A$162,0),1,1,1,$L$6)),4,1,COUNTIF('Vehicle numbers'!$A$5:$A$162,J926),4),
    MATCH(K$8,'Vehicle numbers'!$B$4:$D$4,0))*1000</f>
        <v>172994</v>
      </c>
      <c r="L926" s="183">
        <f ca="1">VLOOKUP(F926,
    OFFSET(INDIRECT(ADDRESS(MATCH(J926,'Vehicle numbers'!$A$5:$A$162,0),1,1,1,$L$6)),4,1,COUNTIF('Vehicle numbers'!$A$5:$A$162,J926),4),
    MATCH(L$8,'Vehicle numbers'!$B$4:$D$4,0))*1000</f>
        <v>179038.34745229853</v>
      </c>
      <c r="M926" s="184">
        <f>VLOOKUP(F926,'Annual distance covered (GB)'!$A$8:$H$33,MATCH(J926,'Annual distance covered (GB)'!$A$7:$H$7,0))</f>
        <v>5.2</v>
      </c>
      <c r="N926" s="2">
        <f t="shared" ca="1" si="42"/>
        <v>115137.74368929051</v>
      </c>
      <c r="O926" s="180">
        <f t="shared" ca="1" si="43"/>
        <v>0.64308984822353121</v>
      </c>
      <c r="P926" s="180"/>
      <c r="Q926" s="180"/>
      <c r="R926" s="180"/>
      <c r="S926" s="180"/>
      <c r="T926" s="180"/>
    </row>
    <row r="927" spans="1:20" x14ac:dyDescent="0.25">
      <c r="A927" t="s">
        <v>243</v>
      </c>
      <c r="B927" t="s">
        <v>237</v>
      </c>
      <c r="C927" t="s">
        <v>238</v>
      </c>
      <c r="D927" t="s">
        <v>249</v>
      </c>
      <c r="E927" t="s">
        <v>228</v>
      </c>
      <c r="F927">
        <v>2002</v>
      </c>
      <c r="G927">
        <v>1.4976053777405201E-2</v>
      </c>
      <c r="H927" t="s">
        <v>240</v>
      </c>
      <c r="I927" t="s">
        <v>241</v>
      </c>
      <c r="J927" t="s">
        <v>242</v>
      </c>
      <c r="K927" s="183">
        <f ca="1">VLOOKUP(F927,
    OFFSET(INDIRECT(ADDRESS(MATCH(J927,'Vehicle numbers'!$A$5:$A$162,0),1,1,1,$L$6)),4,1,COUNTIF('Vehicle numbers'!$A$5:$A$162,J927),4),
    MATCH(K$8,'Vehicle numbers'!$B$4:$D$4,0))*1000</f>
        <v>172994</v>
      </c>
      <c r="L927" s="183">
        <f ca="1">VLOOKUP(F927,
    OFFSET(INDIRECT(ADDRESS(MATCH(J927,'Vehicle numbers'!$A$5:$A$162,0),1,1,1,$L$6)),4,1,COUNTIF('Vehicle numbers'!$A$5:$A$162,J927),4),
    MATCH(L$8,'Vehicle numbers'!$B$4:$D$4,0))*1000</f>
        <v>179038.34745229853</v>
      </c>
      <c r="M927" s="184">
        <f>VLOOKUP(F927,'Annual distance covered (GB)'!$A$8:$H$33,MATCH(J927,'Annual distance covered (GB)'!$A$7:$H$7,0))</f>
        <v>5.2</v>
      </c>
      <c r="N927" s="2">
        <f t="shared" ca="1" si="42"/>
        <v>80596.420582503299</v>
      </c>
      <c r="O927" s="180">
        <f t="shared" ca="1" si="43"/>
        <v>0.4501628937564715</v>
      </c>
      <c r="P927" s="180"/>
      <c r="Q927" s="180"/>
      <c r="R927" s="180"/>
      <c r="S927" s="180"/>
      <c r="T927" s="180"/>
    </row>
    <row r="928" spans="1:20" x14ac:dyDescent="0.25">
      <c r="A928" t="s">
        <v>244</v>
      </c>
      <c r="B928" t="s">
        <v>237</v>
      </c>
      <c r="C928" t="s">
        <v>238</v>
      </c>
      <c r="D928" t="s">
        <v>249</v>
      </c>
      <c r="E928" t="s">
        <v>228</v>
      </c>
      <c r="F928">
        <v>2002</v>
      </c>
      <c r="G928">
        <v>2.1093033489303099E-3</v>
      </c>
      <c r="H928" t="s">
        <v>240</v>
      </c>
      <c r="I928" t="s">
        <v>241</v>
      </c>
      <c r="J928" t="s">
        <v>242</v>
      </c>
      <c r="K928" s="183">
        <f ca="1">VLOOKUP(F928,
    OFFSET(INDIRECT(ADDRESS(MATCH(J928,'Vehicle numbers'!$A$5:$A$162,0),1,1,1,$L$6)),4,1,COUNTIF('Vehicle numbers'!$A$5:$A$162,J928),4),
    MATCH(K$8,'Vehicle numbers'!$B$4:$D$4,0))*1000</f>
        <v>172994</v>
      </c>
      <c r="L928" s="183">
        <f ca="1">VLOOKUP(F928,
    OFFSET(INDIRECT(ADDRESS(MATCH(J928,'Vehicle numbers'!$A$5:$A$162,0),1,1,1,$L$6)),4,1,COUNTIF('Vehicle numbers'!$A$5:$A$162,J928),4),
    MATCH(L$8,'Vehicle numbers'!$B$4:$D$4,0))*1000</f>
        <v>179038.34745229853</v>
      </c>
      <c r="M928" s="184">
        <f>VLOOKUP(F928,'Annual distance covered (GB)'!$A$8:$H$33,MATCH(J928,'Annual distance covered (GB)'!$A$7:$H$7,0))</f>
        <v>5.2</v>
      </c>
      <c r="N928" s="2">
        <f t="shared" ca="1" si="42"/>
        <v>11351.608532746946</v>
      </c>
      <c r="O928" s="180">
        <f t="shared" ca="1" si="43"/>
        <v>6.3403224472742478E-2</v>
      </c>
      <c r="P928" s="180"/>
      <c r="Q928" s="180"/>
      <c r="R928" s="180"/>
      <c r="S928" s="180"/>
      <c r="T928" s="180"/>
    </row>
    <row r="929" spans="1:20" x14ac:dyDescent="0.25">
      <c r="A929" t="s">
        <v>246</v>
      </c>
      <c r="B929" t="s">
        <v>237</v>
      </c>
      <c r="C929" t="s">
        <v>238</v>
      </c>
      <c r="D929" t="s">
        <v>249</v>
      </c>
      <c r="E929" t="s">
        <v>228</v>
      </c>
      <c r="F929">
        <v>2002</v>
      </c>
      <c r="G929">
        <v>1.6874426791442501E-3</v>
      </c>
      <c r="H929" t="s">
        <v>240</v>
      </c>
      <c r="I929" t="s">
        <v>241</v>
      </c>
      <c r="J929" t="s">
        <v>242</v>
      </c>
      <c r="K929" s="183">
        <f ca="1">VLOOKUP(F929,
    OFFSET(INDIRECT(ADDRESS(MATCH(J929,'Vehicle numbers'!$A$5:$A$162,0),1,1,1,$L$6)),4,1,COUNTIF('Vehicle numbers'!$A$5:$A$162,J929),4),
    MATCH(K$8,'Vehicle numbers'!$B$4:$D$4,0))*1000</f>
        <v>172994</v>
      </c>
      <c r="L929" s="183">
        <f ca="1">VLOOKUP(F929,
    OFFSET(INDIRECT(ADDRESS(MATCH(J929,'Vehicle numbers'!$A$5:$A$162,0),1,1,1,$L$6)),4,1,COUNTIF('Vehicle numbers'!$A$5:$A$162,J929),4),
    MATCH(L$8,'Vehicle numbers'!$B$4:$D$4,0))*1000</f>
        <v>179038.34745229853</v>
      </c>
      <c r="M929" s="184">
        <f>VLOOKUP(F929,'Annual distance covered (GB)'!$A$8:$H$33,MATCH(J929,'Annual distance covered (GB)'!$A$7:$H$7,0))</f>
        <v>5.2</v>
      </c>
      <c r="N929" s="2">
        <f t="shared" ca="1" si="42"/>
        <v>9081.2868261975673</v>
      </c>
      <c r="O929" s="180">
        <f t="shared" ca="1" si="43"/>
        <v>5.0722579578194045E-2</v>
      </c>
      <c r="P929" s="180"/>
      <c r="Q929" s="180"/>
      <c r="R929" s="180"/>
      <c r="S929" s="180"/>
      <c r="T929" s="180"/>
    </row>
    <row r="930" spans="1:20" x14ac:dyDescent="0.25">
      <c r="A930" t="s">
        <v>236</v>
      </c>
      <c r="B930" t="s">
        <v>237</v>
      </c>
      <c r="C930" t="s">
        <v>238</v>
      </c>
      <c r="D930" t="s">
        <v>250</v>
      </c>
      <c r="E930" t="s">
        <v>229</v>
      </c>
      <c r="F930">
        <v>2002</v>
      </c>
      <c r="G930">
        <v>1.3600000000000001E-3</v>
      </c>
      <c r="H930" t="s">
        <v>240</v>
      </c>
      <c r="I930" t="s">
        <v>241</v>
      </c>
      <c r="J930" t="s">
        <v>2</v>
      </c>
      <c r="K930" s="183">
        <f ca="1">VLOOKUP(F930,
    OFFSET(INDIRECT(ADDRESS(MATCH(J930,'Vehicle numbers'!$A$5:$A$162,0),1,1,1,$L$6)),4,1,COUNTIF('Vehicle numbers'!$A$5:$A$162,J930),4),
    MATCH(K$8,'Vehicle numbers'!$B$4:$D$4,0))*1000</f>
        <v>25781931</v>
      </c>
      <c r="L930" s="183">
        <f ca="1">VLOOKUP(F930,
    OFFSET(INDIRECT(ADDRESS(MATCH(J930,'Vehicle numbers'!$A$5:$A$162,0),1,1,1,$L$6)),4,1,COUNTIF('Vehicle numbers'!$A$5:$A$162,J930),4),
    MATCH(L$8,'Vehicle numbers'!$B$4:$D$4,0))*1000</f>
        <v>26574274.157642256</v>
      </c>
      <c r="M930" s="184">
        <f>VLOOKUP(F930,'Annual distance covered (GB)'!$A$8:$H$33,MATCH(J930,'Annual distance covered (GB)'!$A$7:$H$7,0))</f>
        <v>390.6</v>
      </c>
      <c r="N930" s="2">
        <f t="shared" ca="1" si="42"/>
        <v>547541.59496145148</v>
      </c>
      <c r="O930" s="180">
        <f t="shared" ca="1" si="43"/>
        <v>2.0604197567668615E-2</v>
      </c>
      <c r="P930" s="180"/>
      <c r="Q930" s="180"/>
      <c r="R930" s="180"/>
      <c r="S930" s="180"/>
      <c r="T930" s="180"/>
    </row>
    <row r="931" spans="1:20" x14ac:dyDescent="0.25">
      <c r="A931" t="s">
        <v>243</v>
      </c>
      <c r="B931" t="s">
        <v>237</v>
      </c>
      <c r="C931" t="s">
        <v>238</v>
      </c>
      <c r="D931" t="s">
        <v>250</v>
      </c>
      <c r="E931" t="s">
        <v>229</v>
      </c>
      <c r="F931">
        <v>2002</v>
      </c>
      <c r="G931">
        <v>5.44E-4</v>
      </c>
      <c r="H931" t="s">
        <v>240</v>
      </c>
      <c r="I931" t="s">
        <v>241</v>
      </c>
      <c r="J931" t="s">
        <v>2</v>
      </c>
      <c r="K931" s="183">
        <f ca="1">VLOOKUP(F931,
    OFFSET(INDIRECT(ADDRESS(MATCH(J931,'Vehicle numbers'!$A$5:$A$162,0),1,1,1,$L$6)),4,1,COUNTIF('Vehicle numbers'!$A$5:$A$162,J931),4),
    MATCH(K$8,'Vehicle numbers'!$B$4:$D$4,0))*1000</f>
        <v>25781931</v>
      </c>
      <c r="L931" s="183">
        <f ca="1">VLOOKUP(F931,
    OFFSET(INDIRECT(ADDRESS(MATCH(J931,'Vehicle numbers'!$A$5:$A$162,0),1,1,1,$L$6)),4,1,COUNTIF('Vehicle numbers'!$A$5:$A$162,J931),4),
    MATCH(L$8,'Vehicle numbers'!$B$4:$D$4,0))*1000</f>
        <v>26574274.157642256</v>
      </c>
      <c r="M931" s="184">
        <f>VLOOKUP(F931,'Annual distance covered (GB)'!$A$8:$H$33,MATCH(J931,'Annual distance covered (GB)'!$A$7:$H$7,0))</f>
        <v>390.6</v>
      </c>
      <c r="N931" s="2">
        <f t="shared" ca="1" si="42"/>
        <v>219016.63798458059</v>
      </c>
      <c r="O931" s="180">
        <f t="shared" ca="1" si="43"/>
        <v>8.2416790270674455E-3</v>
      </c>
      <c r="P931" s="180"/>
      <c r="Q931" s="180"/>
      <c r="R931" s="180"/>
      <c r="S931" s="180"/>
      <c r="T931" s="180"/>
    </row>
    <row r="932" spans="1:20" x14ac:dyDescent="0.25">
      <c r="A932" t="s">
        <v>244</v>
      </c>
      <c r="B932" t="s">
        <v>237</v>
      </c>
      <c r="C932" t="s">
        <v>238</v>
      </c>
      <c r="D932" t="s">
        <v>250</v>
      </c>
      <c r="E932" t="s">
        <v>229</v>
      </c>
      <c r="F932">
        <v>2002</v>
      </c>
      <c r="G932">
        <v>1.36E-4</v>
      </c>
      <c r="H932" t="s">
        <v>240</v>
      </c>
      <c r="I932" t="s">
        <v>241</v>
      </c>
      <c r="J932" t="s">
        <v>2</v>
      </c>
      <c r="K932" s="183">
        <f ca="1">VLOOKUP(F932,
    OFFSET(INDIRECT(ADDRESS(MATCH(J932,'Vehicle numbers'!$A$5:$A$162,0),1,1,1,$L$6)),4,1,COUNTIF('Vehicle numbers'!$A$5:$A$162,J932),4),
    MATCH(K$8,'Vehicle numbers'!$B$4:$D$4,0))*1000</f>
        <v>25781931</v>
      </c>
      <c r="L932" s="183">
        <f ca="1">VLOOKUP(F932,
    OFFSET(INDIRECT(ADDRESS(MATCH(J932,'Vehicle numbers'!$A$5:$A$162,0),1,1,1,$L$6)),4,1,COUNTIF('Vehicle numbers'!$A$5:$A$162,J932),4),
    MATCH(L$8,'Vehicle numbers'!$B$4:$D$4,0))*1000</f>
        <v>26574274.157642256</v>
      </c>
      <c r="M932" s="184">
        <f>VLOOKUP(F932,'Annual distance covered (GB)'!$A$8:$H$33,MATCH(J932,'Annual distance covered (GB)'!$A$7:$H$7,0))</f>
        <v>390.6</v>
      </c>
      <c r="N932" s="2">
        <f t="shared" ca="1" si="42"/>
        <v>54754.159496145148</v>
      </c>
      <c r="O932" s="180">
        <f t="shared" ca="1" si="43"/>
        <v>2.0604197567668614E-3</v>
      </c>
      <c r="P932" s="180"/>
      <c r="Q932" s="180"/>
      <c r="R932" s="180"/>
      <c r="S932" s="180"/>
      <c r="T932" s="180"/>
    </row>
    <row r="933" spans="1:20" x14ac:dyDescent="0.25">
      <c r="A933" t="s">
        <v>246</v>
      </c>
      <c r="B933" t="s">
        <v>237</v>
      </c>
      <c r="C933" t="s">
        <v>238</v>
      </c>
      <c r="D933" t="s">
        <v>250</v>
      </c>
      <c r="E933" t="s">
        <v>229</v>
      </c>
      <c r="F933">
        <v>2002</v>
      </c>
      <c r="G933">
        <v>1.088E-4</v>
      </c>
      <c r="H933" t="s">
        <v>240</v>
      </c>
      <c r="I933" t="s">
        <v>241</v>
      </c>
      <c r="J933" t="s">
        <v>2</v>
      </c>
      <c r="K933" s="183">
        <f ca="1">VLOOKUP(F933,
    OFFSET(INDIRECT(ADDRESS(MATCH(J933,'Vehicle numbers'!$A$5:$A$162,0),1,1,1,$L$6)),4,1,COUNTIF('Vehicle numbers'!$A$5:$A$162,J933),4),
    MATCH(K$8,'Vehicle numbers'!$B$4:$D$4,0))*1000</f>
        <v>25781931</v>
      </c>
      <c r="L933" s="183">
        <f ca="1">VLOOKUP(F933,
    OFFSET(INDIRECT(ADDRESS(MATCH(J933,'Vehicle numbers'!$A$5:$A$162,0),1,1,1,$L$6)),4,1,COUNTIF('Vehicle numbers'!$A$5:$A$162,J933),4),
    MATCH(L$8,'Vehicle numbers'!$B$4:$D$4,0))*1000</f>
        <v>26574274.157642256</v>
      </c>
      <c r="M933" s="184">
        <f>VLOOKUP(F933,'Annual distance covered (GB)'!$A$8:$H$33,MATCH(J933,'Annual distance covered (GB)'!$A$7:$H$7,0))</f>
        <v>390.6</v>
      </c>
      <c r="N933" s="2">
        <f t="shared" ca="1" si="42"/>
        <v>43803.327596916119</v>
      </c>
      <c r="O933" s="180">
        <f t="shared" ca="1" si="43"/>
        <v>1.6483358054134891E-3</v>
      </c>
      <c r="P933" s="180"/>
      <c r="Q933" s="180"/>
      <c r="R933" s="180"/>
      <c r="S933" s="180"/>
      <c r="T933" s="180"/>
    </row>
    <row r="934" spans="1:20" x14ac:dyDescent="0.25">
      <c r="A934" t="s">
        <v>236</v>
      </c>
      <c r="B934" t="s">
        <v>237</v>
      </c>
      <c r="C934" t="s">
        <v>238</v>
      </c>
      <c r="D934" t="s">
        <v>250</v>
      </c>
      <c r="E934" t="s">
        <v>228</v>
      </c>
      <c r="F934">
        <v>2002</v>
      </c>
      <c r="G934">
        <v>5.7910000000000001E-3</v>
      </c>
      <c r="H934" t="s">
        <v>240</v>
      </c>
      <c r="I934" t="s">
        <v>241</v>
      </c>
      <c r="J934" t="s">
        <v>2</v>
      </c>
      <c r="K934" s="183">
        <f ca="1">VLOOKUP(F934,
    OFFSET(INDIRECT(ADDRESS(MATCH(J934,'Vehicle numbers'!$A$5:$A$162,0),1,1,1,$L$6)),4,1,COUNTIF('Vehicle numbers'!$A$5:$A$162,J934),4),
    MATCH(K$8,'Vehicle numbers'!$B$4:$D$4,0))*1000</f>
        <v>25781931</v>
      </c>
      <c r="L934" s="183">
        <f ca="1">VLOOKUP(F934,
    OFFSET(INDIRECT(ADDRESS(MATCH(J934,'Vehicle numbers'!$A$5:$A$162,0),1,1,1,$L$6)),4,1,COUNTIF('Vehicle numbers'!$A$5:$A$162,J934),4),
    MATCH(L$8,'Vehicle numbers'!$B$4:$D$4,0))*1000</f>
        <v>26574274.157642256</v>
      </c>
      <c r="M934" s="184">
        <f>VLOOKUP(F934,'Annual distance covered (GB)'!$A$8:$H$33,MATCH(J934,'Annual distance covered (GB)'!$A$7:$H$7,0))</f>
        <v>390.6</v>
      </c>
      <c r="N934" s="2">
        <f t="shared" ca="1" si="42"/>
        <v>2331480.4238395332</v>
      </c>
      <c r="O934" s="180">
        <f t="shared" ca="1" si="43"/>
        <v>8.7734491260565386E-2</v>
      </c>
      <c r="P934" s="180"/>
      <c r="Q934" s="180"/>
      <c r="R934" s="180"/>
      <c r="S934" s="180"/>
      <c r="T934" s="180"/>
    </row>
    <row r="935" spans="1:20" x14ac:dyDescent="0.25">
      <c r="A935" t="s">
        <v>243</v>
      </c>
      <c r="B935" t="s">
        <v>237</v>
      </c>
      <c r="C935" t="s">
        <v>238</v>
      </c>
      <c r="D935" t="s">
        <v>250</v>
      </c>
      <c r="E935" t="s">
        <v>228</v>
      </c>
      <c r="F935">
        <v>2002</v>
      </c>
      <c r="G935">
        <v>4.0537000000000004E-3</v>
      </c>
      <c r="H935" t="s">
        <v>240</v>
      </c>
      <c r="I935" t="s">
        <v>241</v>
      </c>
      <c r="J935" t="s">
        <v>2</v>
      </c>
      <c r="K935" s="183">
        <f ca="1">VLOOKUP(F935,
    OFFSET(INDIRECT(ADDRESS(MATCH(J935,'Vehicle numbers'!$A$5:$A$162,0),1,1,1,$L$6)),4,1,COUNTIF('Vehicle numbers'!$A$5:$A$162,J935),4),
    MATCH(K$8,'Vehicle numbers'!$B$4:$D$4,0))*1000</f>
        <v>25781931</v>
      </c>
      <c r="L935" s="183">
        <f ca="1">VLOOKUP(F935,
    OFFSET(INDIRECT(ADDRESS(MATCH(J935,'Vehicle numbers'!$A$5:$A$162,0),1,1,1,$L$6)),4,1,COUNTIF('Vehicle numbers'!$A$5:$A$162,J935),4),
    MATCH(L$8,'Vehicle numbers'!$B$4:$D$4,0))*1000</f>
        <v>26574274.157642256</v>
      </c>
      <c r="M935" s="184">
        <f>VLOOKUP(F935,'Annual distance covered (GB)'!$A$8:$H$33,MATCH(J935,'Annual distance covered (GB)'!$A$7:$H$7,0))</f>
        <v>390.6</v>
      </c>
      <c r="N935" s="2">
        <f t="shared" ca="1" si="42"/>
        <v>1632036.2966876735</v>
      </c>
      <c r="O935" s="180">
        <f t="shared" ca="1" si="43"/>
        <v>6.1414143882395786E-2</v>
      </c>
      <c r="P935" s="180"/>
      <c r="Q935" s="180"/>
      <c r="R935" s="180"/>
      <c r="S935" s="180"/>
      <c r="T935" s="180"/>
    </row>
    <row r="936" spans="1:20" x14ac:dyDescent="0.25">
      <c r="A936" t="s">
        <v>244</v>
      </c>
      <c r="B936" t="s">
        <v>237</v>
      </c>
      <c r="C936" t="s">
        <v>238</v>
      </c>
      <c r="D936" t="s">
        <v>250</v>
      </c>
      <c r="E936" t="s">
        <v>228</v>
      </c>
      <c r="F936">
        <v>2002</v>
      </c>
      <c r="G936">
        <v>5.7094366197182997E-4</v>
      </c>
      <c r="H936" t="s">
        <v>240</v>
      </c>
      <c r="I936" t="s">
        <v>241</v>
      </c>
      <c r="J936" t="s">
        <v>2</v>
      </c>
      <c r="K936" s="183">
        <f ca="1">VLOOKUP(F936,
    OFFSET(INDIRECT(ADDRESS(MATCH(J936,'Vehicle numbers'!$A$5:$A$162,0),1,1,1,$L$6)),4,1,COUNTIF('Vehicle numbers'!$A$5:$A$162,J936),4),
    MATCH(K$8,'Vehicle numbers'!$B$4:$D$4,0))*1000</f>
        <v>25781931</v>
      </c>
      <c r="L936" s="183">
        <f ca="1">VLOOKUP(F936,
    OFFSET(INDIRECT(ADDRESS(MATCH(J936,'Vehicle numbers'!$A$5:$A$162,0),1,1,1,$L$6)),4,1,COUNTIF('Vehicle numbers'!$A$5:$A$162,J936),4),
    MATCH(L$8,'Vehicle numbers'!$B$4:$D$4,0))*1000</f>
        <v>26574274.157642256</v>
      </c>
      <c r="M936" s="184">
        <f>VLOOKUP(F936,'Annual distance covered (GB)'!$A$8:$H$33,MATCH(J936,'Annual distance covered (GB)'!$A$7:$H$7,0))</f>
        <v>390.6</v>
      </c>
      <c r="N936" s="2">
        <f t="shared" ca="1" si="42"/>
        <v>229864.26713910853</v>
      </c>
      <c r="O936" s="180">
        <f t="shared" ca="1" si="43"/>
        <v>8.649879420055729E-3</v>
      </c>
      <c r="P936" s="180"/>
      <c r="Q936" s="180"/>
      <c r="R936" s="180"/>
      <c r="S936" s="180"/>
      <c r="T936" s="180"/>
    </row>
    <row r="937" spans="1:20" x14ac:dyDescent="0.25">
      <c r="A937" t="s">
        <v>246</v>
      </c>
      <c r="B937" t="s">
        <v>237</v>
      </c>
      <c r="C937" t="s">
        <v>238</v>
      </c>
      <c r="D937" t="s">
        <v>250</v>
      </c>
      <c r="E937" t="s">
        <v>228</v>
      </c>
      <c r="F937">
        <v>2002</v>
      </c>
      <c r="G937">
        <v>4.5675492957746402E-4</v>
      </c>
      <c r="H937" t="s">
        <v>240</v>
      </c>
      <c r="I937" t="s">
        <v>241</v>
      </c>
      <c r="J937" t="s">
        <v>2</v>
      </c>
      <c r="K937" s="183">
        <f ca="1">VLOOKUP(F937,
    OFFSET(INDIRECT(ADDRESS(MATCH(J937,'Vehicle numbers'!$A$5:$A$162,0),1,1,1,$L$6)),4,1,COUNTIF('Vehicle numbers'!$A$5:$A$162,J937),4),
    MATCH(K$8,'Vehicle numbers'!$B$4:$D$4,0))*1000</f>
        <v>25781931</v>
      </c>
      <c r="L937" s="183">
        <f ca="1">VLOOKUP(F937,
    OFFSET(INDIRECT(ADDRESS(MATCH(J937,'Vehicle numbers'!$A$5:$A$162,0),1,1,1,$L$6)),4,1,COUNTIF('Vehicle numbers'!$A$5:$A$162,J937),4),
    MATCH(L$8,'Vehicle numbers'!$B$4:$D$4,0))*1000</f>
        <v>26574274.157642256</v>
      </c>
      <c r="M937" s="184">
        <f>VLOOKUP(F937,'Annual distance covered (GB)'!$A$8:$H$33,MATCH(J937,'Annual distance covered (GB)'!$A$7:$H$7,0))</f>
        <v>390.6</v>
      </c>
      <c r="N937" s="2">
        <f t="shared" ca="1" si="42"/>
        <v>183891.41371128685</v>
      </c>
      <c r="O937" s="180">
        <f t="shared" ca="1" si="43"/>
        <v>6.9199035360445835E-3</v>
      </c>
      <c r="P937" s="180"/>
      <c r="Q937" s="180"/>
      <c r="R937" s="180"/>
      <c r="S937" s="180"/>
      <c r="T937" s="180"/>
    </row>
    <row r="938" spans="1:20" x14ac:dyDescent="0.25">
      <c r="A938" t="s">
        <v>236</v>
      </c>
      <c r="B938" t="s">
        <v>237</v>
      </c>
      <c r="C938" t="s">
        <v>238</v>
      </c>
      <c r="D938" t="s">
        <v>255</v>
      </c>
      <c r="E938" t="s">
        <v>229</v>
      </c>
      <c r="F938">
        <v>2002</v>
      </c>
      <c r="G938">
        <v>5.5269999999999903E-3</v>
      </c>
      <c r="H938" t="s">
        <v>240</v>
      </c>
      <c r="I938" t="s">
        <v>241</v>
      </c>
      <c r="J938" t="s">
        <v>2</v>
      </c>
      <c r="K938" s="183">
        <f ca="1">VLOOKUP(F938,
    OFFSET(INDIRECT(ADDRESS(MATCH(J938,'Vehicle numbers'!$A$5:$A$162,0),1,1,1,$L$6)),4,1,COUNTIF('Vehicle numbers'!$A$5:$A$162,J938),4),
    MATCH(K$8,'Vehicle numbers'!$B$4:$D$4,0))*1000</f>
        <v>25781931</v>
      </c>
      <c r="L938" s="183">
        <f ca="1">VLOOKUP(F938,
    OFFSET(INDIRECT(ADDRESS(MATCH(J938,'Vehicle numbers'!$A$5:$A$162,0),1,1,1,$L$6)),4,1,COUNTIF('Vehicle numbers'!$A$5:$A$162,J938),4),
    MATCH(L$8,'Vehicle numbers'!$B$4:$D$4,0))*1000</f>
        <v>26574274.157642256</v>
      </c>
      <c r="M938" s="184">
        <f>VLOOKUP(F938,'Annual distance covered (GB)'!$A$8:$H$33,MATCH(J938,'Annual distance covered (GB)'!$A$7:$H$7,0))</f>
        <v>390.6</v>
      </c>
      <c r="N938" s="2">
        <f t="shared" ca="1" si="42"/>
        <v>2225192.9377587768</v>
      </c>
      <c r="O938" s="180">
        <f t="shared" ca="1" si="43"/>
        <v>8.3734852909194274E-2</v>
      </c>
      <c r="P938" s="180"/>
      <c r="Q938" s="180"/>
      <c r="R938" s="180"/>
      <c r="S938" s="180"/>
      <c r="T938" s="180"/>
    </row>
    <row r="939" spans="1:20" x14ac:dyDescent="0.25">
      <c r="A939" t="s">
        <v>243</v>
      </c>
      <c r="B939" t="s">
        <v>237</v>
      </c>
      <c r="C939" t="s">
        <v>238</v>
      </c>
      <c r="D939" t="s">
        <v>255</v>
      </c>
      <c r="E939" t="s">
        <v>229</v>
      </c>
      <c r="F939">
        <v>2002</v>
      </c>
      <c r="G939">
        <v>2.2108000000000002E-3</v>
      </c>
      <c r="H939" t="s">
        <v>240</v>
      </c>
      <c r="I939" t="s">
        <v>241</v>
      </c>
      <c r="J939" t="s">
        <v>2</v>
      </c>
      <c r="K939" s="183">
        <f ca="1">VLOOKUP(F939,
    OFFSET(INDIRECT(ADDRESS(MATCH(J939,'Vehicle numbers'!$A$5:$A$162,0),1,1,1,$L$6)),4,1,COUNTIF('Vehicle numbers'!$A$5:$A$162,J939),4),
    MATCH(K$8,'Vehicle numbers'!$B$4:$D$4,0))*1000</f>
        <v>25781931</v>
      </c>
      <c r="L939" s="183">
        <f ca="1">VLOOKUP(F939,
    OFFSET(INDIRECT(ADDRESS(MATCH(J939,'Vehicle numbers'!$A$5:$A$162,0),1,1,1,$L$6)),4,1,COUNTIF('Vehicle numbers'!$A$5:$A$162,J939),4),
    MATCH(L$8,'Vehicle numbers'!$B$4:$D$4,0))*1000</f>
        <v>26574274.157642256</v>
      </c>
      <c r="M939" s="184">
        <f>VLOOKUP(F939,'Annual distance covered (GB)'!$A$8:$H$33,MATCH(J939,'Annual distance covered (GB)'!$A$7:$H$7,0))</f>
        <v>390.6</v>
      </c>
      <c r="N939" s="2">
        <f t="shared" ca="1" si="42"/>
        <v>890077.17510351248</v>
      </c>
      <c r="O939" s="180">
        <f t="shared" ca="1" si="43"/>
        <v>3.3493941163677772E-2</v>
      </c>
      <c r="P939" s="180"/>
      <c r="Q939" s="180"/>
      <c r="R939" s="180"/>
      <c r="S939" s="180"/>
      <c r="T939" s="180"/>
    </row>
    <row r="940" spans="1:20" x14ac:dyDescent="0.25">
      <c r="A940" t="s">
        <v>244</v>
      </c>
      <c r="B940" t="s">
        <v>237</v>
      </c>
      <c r="C940" t="s">
        <v>238</v>
      </c>
      <c r="D940" t="s">
        <v>255</v>
      </c>
      <c r="E940" t="s">
        <v>229</v>
      </c>
      <c r="F940">
        <v>2002</v>
      </c>
      <c r="G940">
        <v>5.5270000000000004E-4</v>
      </c>
      <c r="H940" t="s">
        <v>240</v>
      </c>
      <c r="I940" t="s">
        <v>241</v>
      </c>
      <c r="J940" t="s">
        <v>2</v>
      </c>
      <c r="K940" s="183">
        <f ca="1">VLOOKUP(F940,
    OFFSET(INDIRECT(ADDRESS(MATCH(J940,'Vehicle numbers'!$A$5:$A$162,0),1,1,1,$L$6)),4,1,COUNTIF('Vehicle numbers'!$A$5:$A$162,J940),4),
    MATCH(K$8,'Vehicle numbers'!$B$4:$D$4,0))*1000</f>
        <v>25781931</v>
      </c>
      <c r="L940" s="183">
        <f ca="1">VLOOKUP(F940,
    OFFSET(INDIRECT(ADDRESS(MATCH(J940,'Vehicle numbers'!$A$5:$A$162,0),1,1,1,$L$6)),4,1,COUNTIF('Vehicle numbers'!$A$5:$A$162,J940),4),
    MATCH(L$8,'Vehicle numbers'!$B$4:$D$4,0))*1000</f>
        <v>26574274.157642256</v>
      </c>
      <c r="M940" s="184">
        <f>VLOOKUP(F940,'Annual distance covered (GB)'!$A$8:$H$33,MATCH(J940,'Annual distance covered (GB)'!$A$7:$H$7,0))</f>
        <v>390.6</v>
      </c>
      <c r="N940" s="2">
        <f t="shared" ca="1" si="42"/>
        <v>222519.29377587812</v>
      </c>
      <c r="O940" s="180">
        <f t="shared" ca="1" si="43"/>
        <v>8.373485290919443E-3</v>
      </c>
      <c r="P940" s="180"/>
      <c r="Q940" s="180"/>
      <c r="R940" s="180"/>
      <c r="S940" s="180"/>
      <c r="T940" s="180"/>
    </row>
    <row r="941" spans="1:20" x14ac:dyDescent="0.25">
      <c r="A941" t="s">
        <v>246</v>
      </c>
      <c r="B941" t="s">
        <v>237</v>
      </c>
      <c r="C941" t="s">
        <v>238</v>
      </c>
      <c r="D941" t="s">
        <v>255</v>
      </c>
      <c r="E941" t="s">
        <v>229</v>
      </c>
      <c r="F941">
        <v>2002</v>
      </c>
      <c r="G941">
        <v>4.4215999999999998E-4</v>
      </c>
      <c r="H941" t="s">
        <v>240</v>
      </c>
      <c r="I941" t="s">
        <v>241</v>
      </c>
      <c r="J941" t="s">
        <v>2</v>
      </c>
      <c r="K941" s="183">
        <f ca="1">VLOOKUP(F941,
    OFFSET(INDIRECT(ADDRESS(MATCH(J941,'Vehicle numbers'!$A$5:$A$162,0),1,1,1,$L$6)),4,1,COUNTIF('Vehicle numbers'!$A$5:$A$162,J941),4),
    MATCH(K$8,'Vehicle numbers'!$B$4:$D$4,0))*1000</f>
        <v>25781931</v>
      </c>
      <c r="L941" s="183">
        <f ca="1">VLOOKUP(F941,
    OFFSET(INDIRECT(ADDRESS(MATCH(J941,'Vehicle numbers'!$A$5:$A$162,0),1,1,1,$L$6)),4,1,COUNTIF('Vehicle numbers'!$A$5:$A$162,J941),4),
    MATCH(L$8,'Vehicle numbers'!$B$4:$D$4,0))*1000</f>
        <v>26574274.157642256</v>
      </c>
      <c r="M941" s="184">
        <f>VLOOKUP(F941,'Annual distance covered (GB)'!$A$8:$H$33,MATCH(J941,'Annual distance covered (GB)'!$A$7:$H$7,0))</f>
        <v>390.6</v>
      </c>
      <c r="N941" s="2">
        <f t="shared" ca="1" si="42"/>
        <v>178015.43502070248</v>
      </c>
      <c r="O941" s="180">
        <f t="shared" ca="1" si="43"/>
        <v>6.6987882327355546E-3</v>
      </c>
      <c r="P941" s="180"/>
      <c r="Q941" s="180"/>
      <c r="R941" s="180"/>
      <c r="S941" s="180"/>
      <c r="T941" s="180"/>
    </row>
    <row r="942" spans="1:20" x14ac:dyDescent="0.25">
      <c r="A942" t="s">
        <v>236</v>
      </c>
      <c r="B942" t="s">
        <v>237</v>
      </c>
      <c r="C942" t="s">
        <v>238</v>
      </c>
      <c r="D942" t="s">
        <v>255</v>
      </c>
      <c r="E942" t="s">
        <v>228</v>
      </c>
      <c r="F942">
        <v>2002</v>
      </c>
      <c r="G942">
        <v>6.7999999999999901E-3</v>
      </c>
      <c r="H942" t="s">
        <v>240</v>
      </c>
      <c r="I942" t="s">
        <v>241</v>
      </c>
      <c r="J942" t="s">
        <v>2</v>
      </c>
      <c r="K942" s="183">
        <f ca="1">VLOOKUP(F942,
    OFFSET(INDIRECT(ADDRESS(MATCH(J942,'Vehicle numbers'!$A$5:$A$162,0),1,1,1,$L$6)),4,1,COUNTIF('Vehicle numbers'!$A$5:$A$162,J942),4),
    MATCH(K$8,'Vehicle numbers'!$B$4:$D$4,0))*1000</f>
        <v>25781931</v>
      </c>
      <c r="L942" s="183">
        <f ca="1">VLOOKUP(F942,
    OFFSET(INDIRECT(ADDRESS(MATCH(J942,'Vehicle numbers'!$A$5:$A$162,0),1,1,1,$L$6)),4,1,COUNTIF('Vehicle numbers'!$A$5:$A$162,J942),4),
    MATCH(L$8,'Vehicle numbers'!$B$4:$D$4,0))*1000</f>
        <v>26574274.157642256</v>
      </c>
      <c r="M942" s="184">
        <f>VLOOKUP(F942,'Annual distance covered (GB)'!$A$8:$H$33,MATCH(J942,'Annual distance covered (GB)'!$A$7:$H$7,0))</f>
        <v>390.6</v>
      </c>
      <c r="N942" s="2">
        <f t="shared" ca="1" si="42"/>
        <v>2737707.9748072536</v>
      </c>
      <c r="O942" s="180">
        <f t="shared" ca="1" si="43"/>
        <v>0.10302098783834293</v>
      </c>
      <c r="P942" s="180"/>
      <c r="Q942" s="180"/>
      <c r="R942" s="180"/>
      <c r="S942" s="180"/>
      <c r="T942" s="180"/>
    </row>
    <row r="943" spans="1:20" x14ac:dyDescent="0.25">
      <c r="A943" t="s">
        <v>243</v>
      </c>
      <c r="B943" t="s">
        <v>237</v>
      </c>
      <c r="C943" t="s">
        <v>238</v>
      </c>
      <c r="D943" t="s">
        <v>255</v>
      </c>
      <c r="E943" t="s">
        <v>228</v>
      </c>
      <c r="F943">
        <v>2002</v>
      </c>
      <c r="G943">
        <v>4.7599999999999899E-3</v>
      </c>
      <c r="H943" t="s">
        <v>240</v>
      </c>
      <c r="I943" t="s">
        <v>241</v>
      </c>
      <c r="J943" t="s">
        <v>2</v>
      </c>
      <c r="K943" s="183">
        <f ca="1">VLOOKUP(F943,
    OFFSET(INDIRECT(ADDRESS(MATCH(J943,'Vehicle numbers'!$A$5:$A$162,0),1,1,1,$L$6)),4,1,COUNTIF('Vehicle numbers'!$A$5:$A$162,J943),4),
    MATCH(K$8,'Vehicle numbers'!$B$4:$D$4,0))*1000</f>
        <v>25781931</v>
      </c>
      <c r="L943" s="183">
        <f ca="1">VLOOKUP(F943,
    OFFSET(INDIRECT(ADDRESS(MATCH(J943,'Vehicle numbers'!$A$5:$A$162,0),1,1,1,$L$6)),4,1,COUNTIF('Vehicle numbers'!$A$5:$A$162,J943),4),
    MATCH(L$8,'Vehicle numbers'!$B$4:$D$4,0))*1000</f>
        <v>26574274.157642256</v>
      </c>
      <c r="M943" s="184">
        <f>VLOOKUP(F943,'Annual distance covered (GB)'!$A$8:$H$33,MATCH(J943,'Annual distance covered (GB)'!$A$7:$H$7,0))</f>
        <v>390.6</v>
      </c>
      <c r="N943" s="2">
        <f t="shared" ca="1" si="42"/>
        <v>1916395.5823650763</v>
      </c>
      <c r="O943" s="180">
        <f t="shared" ca="1" si="43"/>
        <v>7.2114691486840007E-2</v>
      </c>
      <c r="P943" s="180"/>
      <c r="Q943" s="180"/>
      <c r="R943" s="180"/>
      <c r="S943" s="180"/>
      <c r="T943" s="180"/>
    </row>
    <row r="944" spans="1:20" x14ac:dyDescent="0.25">
      <c r="A944" t="s">
        <v>244</v>
      </c>
      <c r="B944" t="s">
        <v>237</v>
      </c>
      <c r="C944" t="s">
        <v>238</v>
      </c>
      <c r="D944" t="s">
        <v>255</v>
      </c>
      <c r="E944" t="s">
        <v>228</v>
      </c>
      <c r="F944">
        <v>2002</v>
      </c>
      <c r="G944">
        <v>6.7042253521126501E-4</v>
      </c>
      <c r="H944" t="s">
        <v>240</v>
      </c>
      <c r="I944" t="s">
        <v>241</v>
      </c>
      <c r="J944" t="s">
        <v>2</v>
      </c>
      <c r="K944" s="183">
        <f ca="1">VLOOKUP(F944,
    OFFSET(INDIRECT(ADDRESS(MATCH(J944,'Vehicle numbers'!$A$5:$A$162,0),1,1,1,$L$6)),4,1,COUNTIF('Vehicle numbers'!$A$5:$A$162,J944),4),
    MATCH(K$8,'Vehicle numbers'!$B$4:$D$4,0))*1000</f>
        <v>25781931</v>
      </c>
      <c r="L944" s="183">
        <f ca="1">VLOOKUP(F944,
    OFFSET(INDIRECT(ADDRESS(MATCH(J944,'Vehicle numbers'!$A$5:$A$162,0),1,1,1,$L$6)),4,1,COUNTIF('Vehicle numbers'!$A$5:$A$162,J944),4),
    MATCH(L$8,'Vehicle numbers'!$B$4:$D$4,0))*1000</f>
        <v>26574274.157642256</v>
      </c>
      <c r="M944" s="184">
        <f>VLOOKUP(F944,'Annual distance covered (GB)'!$A$8:$H$33,MATCH(J944,'Annual distance covered (GB)'!$A$7:$H$7,0))</f>
        <v>390.6</v>
      </c>
      <c r="N944" s="2">
        <f t="shared" ca="1" si="42"/>
        <v>269914.87075564405</v>
      </c>
      <c r="O944" s="180">
        <f t="shared" ca="1" si="43"/>
        <v>1.0156998800963362E-2</v>
      </c>
      <c r="P944" s="180"/>
      <c r="Q944" s="180"/>
      <c r="R944" s="180"/>
      <c r="S944" s="180"/>
      <c r="T944" s="180"/>
    </row>
    <row r="945" spans="1:20" x14ac:dyDescent="0.25">
      <c r="A945" t="s">
        <v>246</v>
      </c>
      <c r="B945" t="s">
        <v>237</v>
      </c>
      <c r="C945" t="s">
        <v>238</v>
      </c>
      <c r="D945" t="s">
        <v>255</v>
      </c>
      <c r="E945" t="s">
        <v>228</v>
      </c>
      <c r="F945">
        <v>2002</v>
      </c>
      <c r="G945">
        <v>5.3633802816901196E-4</v>
      </c>
      <c r="H945" t="s">
        <v>240</v>
      </c>
      <c r="I945" t="s">
        <v>241</v>
      </c>
      <c r="J945" t="s">
        <v>2</v>
      </c>
      <c r="K945" s="183">
        <f ca="1">VLOOKUP(F945,
    OFFSET(INDIRECT(ADDRESS(MATCH(J945,'Vehicle numbers'!$A$5:$A$162,0),1,1,1,$L$6)),4,1,COUNTIF('Vehicle numbers'!$A$5:$A$162,J945),4),
    MATCH(K$8,'Vehicle numbers'!$B$4:$D$4,0))*1000</f>
        <v>25781931</v>
      </c>
      <c r="L945" s="183">
        <f ca="1">VLOOKUP(F945,
    OFFSET(INDIRECT(ADDRESS(MATCH(J945,'Vehicle numbers'!$A$5:$A$162,0),1,1,1,$L$6)),4,1,COUNTIF('Vehicle numbers'!$A$5:$A$162,J945),4),
    MATCH(L$8,'Vehicle numbers'!$B$4:$D$4,0))*1000</f>
        <v>26574274.157642256</v>
      </c>
      <c r="M945" s="184">
        <f>VLOOKUP(F945,'Annual distance covered (GB)'!$A$8:$H$33,MATCH(J945,'Annual distance covered (GB)'!$A$7:$H$7,0))</f>
        <v>390.6</v>
      </c>
      <c r="N945" s="2">
        <f t="shared" ca="1" si="42"/>
        <v>215931.8966045152</v>
      </c>
      <c r="O945" s="180">
        <f t="shared" ca="1" si="43"/>
        <v>8.1255990407706879E-3</v>
      </c>
      <c r="P945" s="180"/>
      <c r="Q945" s="180"/>
      <c r="R945" s="180"/>
      <c r="S945" s="180"/>
      <c r="T945" s="180"/>
    </row>
    <row r="946" spans="1:20" x14ac:dyDescent="0.25">
      <c r="A946" t="s">
        <v>236</v>
      </c>
      <c r="B946" t="s">
        <v>237</v>
      </c>
      <c r="C946" t="s">
        <v>238</v>
      </c>
      <c r="D946" t="s">
        <v>256</v>
      </c>
      <c r="E946" t="s">
        <v>229</v>
      </c>
      <c r="F946">
        <v>2002</v>
      </c>
      <c r="G946">
        <v>1.17226139658234E-2</v>
      </c>
      <c r="H946" t="s">
        <v>240</v>
      </c>
      <c r="I946" t="s">
        <v>241</v>
      </c>
      <c r="J946" t="s">
        <v>2</v>
      </c>
      <c r="K946" s="183">
        <f ca="1">VLOOKUP(F946,
    OFFSET(INDIRECT(ADDRESS(MATCH(J946,'Vehicle numbers'!$A$5:$A$162,0),1,1,1,$L$6)),4,1,COUNTIF('Vehicle numbers'!$A$5:$A$162,J946),4),
    MATCH(K$8,'Vehicle numbers'!$B$4:$D$4,0))*1000</f>
        <v>25781931</v>
      </c>
      <c r="L946" s="183">
        <f ca="1">VLOOKUP(F946,
    OFFSET(INDIRECT(ADDRESS(MATCH(J946,'Vehicle numbers'!$A$5:$A$162,0),1,1,1,$L$6)),4,1,COUNTIF('Vehicle numbers'!$A$5:$A$162,J946),4),
    MATCH(L$8,'Vehicle numbers'!$B$4:$D$4,0))*1000</f>
        <v>26574274.157642256</v>
      </c>
      <c r="M946" s="184">
        <f>VLOOKUP(F946,'Annual distance covered (GB)'!$A$8:$H$33,MATCH(J946,'Annual distance covered (GB)'!$A$7:$H$7,0))</f>
        <v>390.6</v>
      </c>
      <c r="N946" s="2">
        <f t="shared" ca="1" si="42"/>
        <v>4719572.6087973025</v>
      </c>
      <c r="O946" s="180">
        <f t="shared" ca="1" si="43"/>
        <v>0.1775993045303946</v>
      </c>
      <c r="P946" s="180"/>
      <c r="Q946" s="180"/>
      <c r="R946" s="180"/>
      <c r="S946" s="180"/>
      <c r="T946" s="180"/>
    </row>
    <row r="947" spans="1:20" x14ac:dyDescent="0.25">
      <c r="A947" t="s">
        <v>243</v>
      </c>
      <c r="B947" t="s">
        <v>237</v>
      </c>
      <c r="C947" t="s">
        <v>238</v>
      </c>
      <c r="D947" t="s">
        <v>256</v>
      </c>
      <c r="E947" t="s">
        <v>229</v>
      </c>
      <c r="F947">
        <v>2002</v>
      </c>
      <c r="G947">
        <v>4.6890455863293603E-3</v>
      </c>
      <c r="H947" t="s">
        <v>240</v>
      </c>
      <c r="I947" t="s">
        <v>241</v>
      </c>
      <c r="J947" t="s">
        <v>2</v>
      </c>
      <c r="K947" s="183">
        <f ca="1">VLOOKUP(F947,
    OFFSET(INDIRECT(ADDRESS(MATCH(J947,'Vehicle numbers'!$A$5:$A$162,0),1,1,1,$L$6)),4,1,COUNTIF('Vehicle numbers'!$A$5:$A$162,J947),4),
    MATCH(K$8,'Vehicle numbers'!$B$4:$D$4,0))*1000</f>
        <v>25781931</v>
      </c>
      <c r="L947" s="183">
        <f ca="1">VLOOKUP(F947,
    OFFSET(INDIRECT(ADDRESS(MATCH(J947,'Vehicle numbers'!$A$5:$A$162,0),1,1,1,$L$6)),4,1,COUNTIF('Vehicle numbers'!$A$5:$A$162,J947),4),
    MATCH(L$8,'Vehicle numbers'!$B$4:$D$4,0))*1000</f>
        <v>26574274.157642256</v>
      </c>
      <c r="M947" s="184">
        <f>VLOOKUP(F947,'Annual distance covered (GB)'!$A$8:$H$33,MATCH(J947,'Annual distance covered (GB)'!$A$7:$H$7,0))</f>
        <v>390.6</v>
      </c>
      <c r="N947" s="2">
        <f t="shared" ca="1" si="42"/>
        <v>1887829.0435189209</v>
      </c>
      <c r="O947" s="180">
        <f t="shared" ca="1" si="43"/>
        <v>7.1039721812157841E-2</v>
      </c>
      <c r="P947" s="180"/>
      <c r="Q947" s="180"/>
      <c r="R947" s="180"/>
      <c r="S947" s="180"/>
      <c r="T947" s="180"/>
    </row>
    <row r="948" spans="1:20" x14ac:dyDescent="0.25">
      <c r="A948" t="s">
        <v>244</v>
      </c>
      <c r="B948" t="s">
        <v>237</v>
      </c>
      <c r="C948" t="s">
        <v>238</v>
      </c>
      <c r="D948" t="s">
        <v>256</v>
      </c>
      <c r="E948" t="s">
        <v>229</v>
      </c>
      <c r="F948">
        <v>2002</v>
      </c>
      <c r="G948">
        <v>1.1722613965823401E-3</v>
      </c>
      <c r="H948" t="s">
        <v>240</v>
      </c>
      <c r="I948" t="s">
        <v>241</v>
      </c>
      <c r="J948" t="s">
        <v>2</v>
      </c>
      <c r="K948" s="183">
        <f ca="1">VLOOKUP(F948,
    OFFSET(INDIRECT(ADDRESS(MATCH(J948,'Vehicle numbers'!$A$5:$A$162,0),1,1,1,$L$6)),4,1,COUNTIF('Vehicle numbers'!$A$5:$A$162,J948),4),
    MATCH(K$8,'Vehicle numbers'!$B$4:$D$4,0))*1000</f>
        <v>25781931</v>
      </c>
      <c r="L948" s="183">
        <f ca="1">VLOOKUP(F948,
    OFFSET(INDIRECT(ADDRESS(MATCH(J948,'Vehicle numbers'!$A$5:$A$162,0),1,1,1,$L$6)),4,1,COUNTIF('Vehicle numbers'!$A$5:$A$162,J948),4),
    MATCH(L$8,'Vehicle numbers'!$B$4:$D$4,0))*1000</f>
        <v>26574274.157642256</v>
      </c>
      <c r="M948" s="184">
        <f>VLOOKUP(F948,'Annual distance covered (GB)'!$A$8:$H$33,MATCH(J948,'Annual distance covered (GB)'!$A$7:$H$7,0))</f>
        <v>390.6</v>
      </c>
      <c r="N948" s="2">
        <f t="shared" ca="1" si="42"/>
        <v>471957.26087973022</v>
      </c>
      <c r="O948" s="180">
        <f t="shared" ca="1" si="43"/>
        <v>1.775993045303946E-2</v>
      </c>
      <c r="P948" s="180"/>
      <c r="Q948" s="180"/>
      <c r="R948" s="180"/>
      <c r="S948" s="180"/>
      <c r="T948" s="180"/>
    </row>
    <row r="949" spans="1:20" x14ac:dyDescent="0.25">
      <c r="A949" t="s">
        <v>246</v>
      </c>
      <c r="B949" t="s">
        <v>237</v>
      </c>
      <c r="C949" t="s">
        <v>238</v>
      </c>
      <c r="D949" t="s">
        <v>256</v>
      </c>
      <c r="E949" t="s">
        <v>229</v>
      </c>
      <c r="F949">
        <v>2002</v>
      </c>
      <c r="G949">
        <v>9.3780911726587199E-4</v>
      </c>
      <c r="H949" t="s">
        <v>240</v>
      </c>
      <c r="I949" t="s">
        <v>241</v>
      </c>
      <c r="J949" t="s">
        <v>2</v>
      </c>
      <c r="K949" s="183">
        <f ca="1">VLOOKUP(F949,
    OFFSET(INDIRECT(ADDRESS(MATCH(J949,'Vehicle numbers'!$A$5:$A$162,0),1,1,1,$L$6)),4,1,COUNTIF('Vehicle numbers'!$A$5:$A$162,J949),4),
    MATCH(K$8,'Vehicle numbers'!$B$4:$D$4,0))*1000</f>
        <v>25781931</v>
      </c>
      <c r="L949" s="183">
        <f ca="1">VLOOKUP(F949,
    OFFSET(INDIRECT(ADDRESS(MATCH(J949,'Vehicle numbers'!$A$5:$A$162,0),1,1,1,$L$6)),4,1,COUNTIF('Vehicle numbers'!$A$5:$A$162,J949),4),
    MATCH(L$8,'Vehicle numbers'!$B$4:$D$4,0))*1000</f>
        <v>26574274.157642256</v>
      </c>
      <c r="M949" s="184">
        <f>VLOOKUP(F949,'Annual distance covered (GB)'!$A$8:$H$33,MATCH(J949,'Annual distance covered (GB)'!$A$7:$H$7,0))</f>
        <v>390.6</v>
      </c>
      <c r="N949" s="2">
        <f t="shared" ca="1" si="42"/>
        <v>377565.80870378419</v>
      </c>
      <c r="O949" s="180">
        <f t="shared" ca="1" si="43"/>
        <v>1.4207944362431568E-2</v>
      </c>
      <c r="P949" s="180"/>
      <c r="Q949" s="180"/>
      <c r="R949" s="180"/>
      <c r="S949" s="180"/>
      <c r="T949" s="180"/>
    </row>
    <row r="950" spans="1:20" x14ac:dyDescent="0.25">
      <c r="A950" t="s">
        <v>236</v>
      </c>
      <c r="B950" t="s">
        <v>237</v>
      </c>
      <c r="C950" t="s">
        <v>238</v>
      </c>
      <c r="D950" t="s">
        <v>256</v>
      </c>
      <c r="E950" t="s">
        <v>228</v>
      </c>
      <c r="F950">
        <v>2002</v>
      </c>
      <c r="G950">
        <v>8.7727641451015408E-3</v>
      </c>
      <c r="H950" t="s">
        <v>240</v>
      </c>
      <c r="I950" t="s">
        <v>241</v>
      </c>
      <c r="J950" t="s">
        <v>2</v>
      </c>
      <c r="K950" s="183">
        <f ca="1">VLOOKUP(F950,
    OFFSET(INDIRECT(ADDRESS(MATCH(J950,'Vehicle numbers'!$A$5:$A$162,0),1,1,1,$L$6)),4,1,COUNTIF('Vehicle numbers'!$A$5:$A$162,J950),4),
    MATCH(K$8,'Vehicle numbers'!$B$4:$D$4,0))*1000</f>
        <v>25781931</v>
      </c>
      <c r="L950" s="183">
        <f ca="1">VLOOKUP(F950,
    OFFSET(INDIRECT(ADDRESS(MATCH(J950,'Vehicle numbers'!$A$5:$A$162,0),1,1,1,$L$6)),4,1,COUNTIF('Vehicle numbers'!$A$5:$A$162,J950),4),
    MATCH(L$8,'Vehicle numbers'!$B$4:$D$4,0))*1000</f>
        <v>26574274.157642256</v>
      </c>
      <c r="M950" s="184">
        <f>VLOOKUP(F950,'Annual distance covered (GB)'!$A$8:$H$33,MATCH(J950,'Annual distance covered (GB)'!$A$7:$H$7,0))</f>
        <v>390.6</v>
      </c>
      <c r="N950" s="2">
        <f t="shared" ca="1" si="42"/>
        <v>3531950.9354628911</v>
      </c>
      <c r="O950" s="180">
        <f t="shared" ca="1" si="43"/>
        <v>0.13290865122075851</v>
      </c>
      <c r="P950" s="180"/>
      <c r="Q950" s="180"/>
      <c r="R950" s="180"/>
      <c r="S950" s="180"/>
      <c r="T950" s="180"/>
    </row>
    <row r="951" spans="1:20" x14ac:dyDescent="0.25">
      <c r="A951" t="s">
        <v>243</v>
      </c>
      <c r="B951" t="s">
        <v>237</v>
      </c>
      <c r="C951" t="s">
        <v>238</v>
      </c>
      <c r="D951" t="s">
        <v>256</v>
      </c>
      <c r="E951" t="s">
        <v>228</v>
      </c>
      <c r="F951">
        <v>2002</v>
      </c>
      <c r="G951">
        <v>6.1409349015710797E-3</v>
      </c>
      <c r="H951" t="s">
        <v>240</v>
      </c>
      <c r="I951" t="s">
        <v>241</v>
      </c>
      <c r="J951" t="s">
        <v>2</v>
      </c>
      <c r="K951" s="183">
        <f ca="1">VLOOKUP(F951,
    OFFSET(INDIRECT(ADDRESS(MATCH(J951,'Vehicle numbers'!$A$5:$A$162,0),1,1,1,$L$6)),4,1,COUNTIF('Vehicle numbers'!$A$5:$A$162,J951),4),
    MATCH(K$8,'Vehicle numbers'!$B$4:$D$4,0))*1000</f>
        <v>25781931</v>
      </c>
      <c r="L951" s="183">
        <f ca="1">VLOOKUP(F951,
    OFFSET(INDIRECT(ADDRESS(MATCH(J951,'Vehicle numbers'!$A$5:$A$162,0),1,1,1,$L$6)),4,1,COUNTIF('Vehicle numbers'!$A$5:$A$162,J951),4),
    MATCH(L$8,'Vehicle numbers'!$B$4:$D$4,0))*1000</f>
        <v>26574274.157642256</v>
      </c>
      <c r="M951" s="184">
        <f>VLOOKUP(F951,'Annual distance covered (GB)'!$A$8:$H$33,MATCH(J951,'Annual distance covered (GB)'!$A$7:$H$7,0))</f>
        <v>390.6</v>
      </c>
      <c r="N951" s="2">
        <f t="shared" ca="1" si="42"/>
        <v>2472365.6548240245</v>
      </c>
      <c r="O951" s="180">
        <f t="shared" ca="1" si="43"/>
        <v>9.3036055854530994E-2</v>
      </c>
      <c r="P951" s="180"/>
      <c r="Q951" s="180"/>
      <c r="R951" s="180"/>
      <c r="S951" s="180"/>
      <c r="T951" s="180"/>
    </row>
    <row r="952" spans="1:20" x14ac:dyDescent="0.25">
      <c r="A952" t="s">
        <v>244</v>
      </c>
      <c r="B952" t="s">
        <v>237</v>
      </c>
      <c r="C952" t="s">
        <v>238</v>
      </c>
      <c r="D952" t="s">
        <v>256</v>
      </c>
      <c r="E952" t="s">
        <v>228</v>
      </c>
      <c r="F952">
        <v>2002</v>
      </c>
      <c r="G952">
        <v>8.6492040867198203E-4</v>
      </c>
      <c r="H952" t="s">
        <v>240</v>
      </c>
      <c r="I952" t="s">
        <v>241</v>
      </c>
      <c r="J952" t="s">
        <v>2</v>
      </c>
      <c r="K952" s="183">
        <f ca="1">VLOOKUP(F952,
    OFFSET(INDIRECT(ADDRESS(MATCH(J952,'Vehicle numbers'!$A$5:$A$162,0),1,1,1,$L$6)),4,1,COUNTIF('Vehicle numbers'!$A$5:$A$162,J952),4),
    MATCH(K$8,'Vehicle numbers'!$B$4:$D$4,0))*1000</f>
        <v>25781931</v>
      </c>
      <c r="L952" s="183">
        <f ca="1">VLOOKUP(F952,
    OFFSET(INDIRECT(ADDRESS(MATCH(J952,'Vehicle numbers'!$A$5:$A$162,0),1,1,1,$L$6)),4,1,COUNTIF('Vehicle numbers'!$A$5:$A$162,J952),4),
    MATCH(L$8,'Vehicle numbers'!$B$4:$D$4,0))*1000</f>
        <v>26574274.157642256</v>
      </c>
      <c r="M952" s="184">
        <f>VLOOKUP(F952,'Annual distance covered (GB)'!$A$8:$H$33,MATCH(J952,'Annual distance covered (GB)'!$A$7:$H$7,0))</f>
        <v>390.6</v>
      </c>
      <c r="N952" s="2">
        <f t="shared" ca="1" si="42"/>
        <v>348220.5147639467</v>
      </c>
      <c r="O952" s="180">
        <f t="shared" ca="1" si="43"/>
        <v>1.3103669838666322E-2</v>
      </c>
      <c r="P952" s="180"/>
      <c r="Q952" s="180"/>
      <c r="R952" s="180"/>
      <c r="S952" s="180"/>
      <c r="T952" s="180"/>
    </row>
    <row r="953" spans="1:20" x14ac:dyDescent="0.25">
      <c r="A953" t="s">
        <v>246</v>
      </c>
      <c r="B953" t="s">
        <v>237</v>
      </c>
      <c r="C953" t="s">
        <v>238</v>
      </c>
      <c r="D953" t="s">
        <v>256</v>
      </c>
      <c r="E953" t="s">
        <v>228</v>
      </c>
      <c r="F953">
        <v>2002</v>
      </c>
      <c r="G953">
        <v>6.9193632693758495E-4</v>
      </c>
      <c r="H953" t="s">
        <v>240</v>
      </c>
      <c r="I953" t="s">
        <v>241</v>
      </c>
      <c r="J953" t="s">
        <v>2</v>
      </c>
      <c r="K953" s="183">
        <f ca="1">VLOOKUP(F953,
    OFFSET(INDIRECT(ADDRESS(MATCH(J953,'Vehicle numbers'!$A$5:$A$162,0),1,1,1,$L$6)),4,1,COUNTIF('Vehicle numbers'!$A$5:$A$162,J953),4),
    MATCH(K$8,'Vehicle numbers'!$B$4:$D$4,0))*1000</f>
        <v>25781931</v>
      </c>
      <c r="L953" s="183">
        <f ca="1">VLOOKUP(F953,
    OFFSET(INDIRECT(ADDRESS(MATCH(J953,'Vehicle numbers'!$A$5:$A$162,0),1,1,1,$L$6)),4,1,COUNTIF('Vehicle numbers'!$A$5:$A$162,J953),4),
    MATCH(L$8,'Vehicle numbers'!$B$4:$D$4,0))*1000</f>
        <v>26574274.157642256</v>
      </c>
      <c r="M953" s="184">
        <f>VLOOKUP(F953,'Annual distance covered (GB)'!$A$8:$H$33,MATCH(J953,'Annual distance covered (GB)'!$A$7:$H$7,0))</f>
        <v>390.6</v>
      </c>
      <c r="N953" s="2">
        <f t="shared" ca="1" si="42"/>
        <v>278576.41181115707</v>
      </c>
      <c r="O953" s="180">
        <f t="shared" ca="1" si="43"/>
        <v>1.0482935870933047E-2</v>
      </c>
      <c r="P953" s="180"/>
      <c r="Q953" s="180"/>
      <c r="R953" s="180"/>
      <c r="S953" s="180"/>
      <c r="T953" s="180"/>
    </row>
    <row r="954" spans="1:20" x14ac:dyDescent="0.25">
      <c r="A954" t="s">
        <v>236</v>
      </c>
      <c r="B954" t="s">
        <v>237</v>
      </c>
      <c r="C954" t="s">
        <v>238</v>
      </c>
      <c r="D954" t="s">
        <v>257</v>
      </c>
      <c r="E954" t="s">
        <v>229</v>
      </c>
      <c r="F954">
        <v>2002</v>
      </c>
      <c r="G954">
        <v>2.1210000000000001E-3</v>
      </c>
      <c r="H954" t="s">
        <v>240</v>
      </c>
      <c r="I954" t="s">
        <v>241</v>
      </c>
      <c r="J954" t="s">
        <v>188</v>
      </c>
      <c r="K954" s="183">
        <f ca="1">VLOOKUP(F954,
    OFFSET(INDIRECT(ADDRESS(MATCH(J954,'Vehicle numbers'!$A$5:$A$162,0),1,1,1,$L$6)),4,1,COUNTIF('Vehicle numbers'!$A$5:$A$162,J954),4),
    MATCH(K$8,'Vehicle numbers'!$B$4:$D$4,0))*1000</f>
        <v>2542260</v>
      </c>
      <c r="L954" s="183">
        <f ca="1">VLOOKUP(F954,
    OFFSET(INDIRECT(ADDRESS(MATCH(J954,'Vehicle numbers'!$A$5:$A$162,0),1,1,1,$L$6)),4,1,COUNTIF('Vehicle numbers'!$A$5:$A$162,J954),4),
    MATCH(L$8,'Vehicle numbers'!$B$4:$D$4,0))*1000</f>
        <v>2615211.6353231976</v>
      </c>
      <c r="M954" s="184">
        <f>VLOOKUP(F954,'Annual distance covered (GB)'!$A$8:$H$33,MATCH(J954,'Annual distance covered (GB)'!$A$7:$H$7,0))</f>
        <v>54.7</v>
      </c>
      <c r="N954" s="2">
        <f t="shared" ca="1" si="42"/>
        <v>119347.92434883586</v>
      </c>
      <c r="O954" s="180">
        <f t="shared" ca="1" si="43"/>
        <v>4.5636048240541877E-2</v>
      </c>
      <c r="P954" s="180"/>
      <c r="Q954" s="180"/>
      <c r="R954" s="180"/>
      <c r="S954" s="180"/>
      <c r="T954" s="180"/>
    </row>
    <row r="955" spans="1:20" x14ac:dyDescent="0.25">
      <c r="A955" t="s">
        <v>243</v>
      </c>
      <c r="B955" t="s">
        <v>237</v>
      </c>
      <c r="C955" t="s">
        <v>238</v>
      </c>
      <c r="D955" t="s">
        <v>257</v>
      </c>
      <c r="E955" t="s">
        <v>229</v>
      </c>
      <c r="F955">
        <v>2002</v>
      </c>
      <c r="G955">
        <v>8.4840000000000002E-4</v>
      </c>
      <c r="H955" t="s">
        <v>240</v>
      </c>
      <c r="I955" t="s">
        <v>241</v>
      </c>
      <c r="J955" t="s">
        <v>188</v>
      </c>
      <c r="K955" s="183">
        <f ca="1">VLOOKUP(F955,
    OFFSET(INDIRECT(ADDRESS(MATCH(J955,'Vehicle numbers'!$A$5:$A$162,0),1,1,1,$L$6)),4,1,COUNTIF('Vehicle numbers'!$A$5:$A$162,J955),4),
    MATCH(K$8,'Vehicle numbers'!$B$4:$D$4,0))*1000</f>
        <v>2542260</v>
      </c>
      <c r="L955" s="183">
        <f ca="1">VLOOKUP(F955,
    OFFSET(INDIRECT(ADDRESS(MATCH(J955,'Vehicle numbers'!$A$5:$A$162,0),1,1,1,$L$6)),4,1,COUNTIF('Vehicle numbers'!$A$5:$A$162,J955),4),
    MATCH(L$8,'Vehicle numbers'!$B$4:$D$4,0))*1000</f>
        <v>2615211.6353231976</v>
      </c>
      <c r="M955" s="184">
        <f>VLOOKUP(F955,'Annual distance covered (GB)'!$A$8:$H$33,MATCH(J955,'Annual distance covered (GB)'!$A$7:$H$7,0))</f>
        <v>54.7</v>
      </c>
      <c r="N955" s="2">
        <f t="shared" ca="1" si="42"/>
        <v>47739.169739534351</v>
      </c>
      <c r="O955" s="180">
        <f t="shared" ca="1" si="43"/>
        <v>1.8254419296216753E-2</v>
      </c>
      <c r="P955" s="180"/>
      <c r="Q955" s="180"/>
      <c r="R955" s="180"/>
      <c r="S955" s="180"/>
      <c r="T955" s="180"/>
    </row>
    <row r="956" spans="1:20" x14ac:dyDescent="0.25">
      <c r="A956" t="s">
        <v>244</v>
      </c>
      <c r="B956" t="s">
        <v>237</v>
      </c>
      <c r="C956" t="s">
        <v>238</v>
      </c>
      <c r="D956" t="s">
        <v>257</v>
      </c>
      <c r="E956" t="s">
        <v>229</v>
      </c>
      <c r="F956">
        <v>2002</v>
      </c>
      <c r="G956">
        <v>2.1210000000000001E-4</v>
      </c>
      <c r="H956" t="s">
        <v>240</v>
      </c>
      <c r="I956" t="s">
        <v>241</v>
      </c>
      <c r="J956" t="s">
        <v>188</v>
      </c>
      <c r="K956" s="183">
        <f ca="1">VLOOKUP(F956,
    OFFSET(INDIRECT(ADDRESS(MATCH(J956,'Vehicle numbers'!$A$5:$A$162,0),1,1,1,$L$6)),4,1,COUNTIF('Vehicle numbers'!$A$5:$A$162,J956),4),
    MATCH(K$8,'Vehicle numbers'!$B$4:$D$4,0))*1000</f>
        <v>2542260</v>
      </c>
      <c r="L956" s="183">
        <f ca="1">VLOOKUP(F956,
    OFFSET(INDIRECT(ADDRESS(MATCH(J956,'Vehicle numbers'!$A$5:$A$162,0),1,1,1,$L$6)),4,1,COUNTIF('Vehicle numbers'!$A$5:$A$162,J956),4),
    MATCH(L$8,'Vehicle numbers'!$B$4:$D$4,0))*1000</f>
        <v>2615211.6353231976</v>
      </c>
      <c r="M956" s="184">
        <f>VLOOKUP(F956,'Annual distance covered (GB)'!$A$8:$H$33,MATCH(J956,'Annual distance covered (GB)'!$A$7:$H$7,0))</f>
        <v>54.7</v>
      </c>
      <c r="N956" s="2">
        <f t="shared" ca="1" si="42"/>
        <v>11934.792434883588</v>
      </c>
      <c r="O956" s="180">
        <f t="shared" ca="1" si="43"/>
        <v>4.5636048240541884E-3</v>
      </c>
      <c r="P956" s="180"/>
      <c r="Q956" s="180"/>
      <c r="R956" s="180"/>
      <c r="S956" s="180"/>
      <c r="T956" s="180"/>
    </row>
    <row r="957" spans="1:20" x14ac:dyDescent="0.25">
      <c r="A957" t="s">
        <v>246</v>
      </c>
      <c r="B957" t="s">
        <v>237</v>
      </c>
      <c r="C957" t="s">
        <v>238</v>
      </c>
      <c r="D957" t="s">
        <v>257</v>
      </c>
      <c r="E957" t="s">
        <v>229</v>
      </c>
      <c r="F957">
        <v>2002</v>
      </c>
      <c r="G957">
        <v>1.6967999999999999E-4</v>
      </c>
      <c r="H957" t="s">
        <v>240</v>
      </c>
      <c r="I957" t="s">
        <v>241</v>
      </c>
      <c r="J957" t="s">
        <v>188</v>
      </c>
      <c r="K957" s="183">
        <f ca="1">VLOOKUP(F957,
    OFFSET(INDIRECT(ADDRESS(MATCH(J957,'Vehicle numbers'!$A$5:$A$162,0),1,1,1,$L$6)),4,1,COUNTIF('Vehicle numbers'!$A$5:$A$162,J957),4),
    MATCH(K$8,'Vehicle numbers'!$B$4:$D$4,0))*1000</f>
        <v>2542260</v>
      </c>
      <c r="L957" s="183">
        <f ca="1">VLOOKUP(F957,
    OFFSET(INDIRECT(ADDRESS(MATCH(J957,'Vehicle numbers'!$A$5:$A$162,0),1,1,1,$L$6)),4,1,COUNTIF('Vehicle numbers'!$A$5:$A$162,J957),4),
    MATCH(L$8,'Vehicle numbers'!$B$4:$D$4,0))*1000</f>
        <v>2615211.6353231976</v>
      </c>
      <c r="M957" s="184">
        <f>VLOOKUP(F957,'Annual distance covered (GB)'!$A$8:$H$33,MATCH(J957,'Annual distance covered (GB)'!$A$7:$H$7,0))</f>
        <v>54.7</v>
      </c>
      <c r="N957" s="2">
        <f t="shared" ca="1" si="42"/>
        <v>9547.8339479068709</v>
      </c>
      <c r="O957" s="180">
        <f t="shared" ca="1" si="43"/>
        <v>3.6508838592433511E-3</v>
      </c>
      <c r="P957" s="180"/>
      <c r="Q957" s="180"/>
      <c r="R957" s="180"/>
      <c r="S957" s="180"/>
      <c r="T957" s="180"/>
    </row>
    <row r="958" spans="1:20" x14ac:dyDescent="0.25">
      <c r="A958" t="s">
        <v>236</v>
      </c>
      <c r="B958" t="s">
        <v>237</v>
      </c>
      <c r="C958" t="s">
        <v>238</v>
      </c>
      <c r="D958" t="s">
        <v>257</v>
      </c>
      <c r="E958" t="s">
        <v>228</v>
      </c>
      <c r="F958">
        <v>2002</v>
      </c>
      <c r="G958">
        <v>9.1459999999999996E-3</v>
      </c>
      <c r="H958" t="s">
        <v>240</v>
      </c>
      <c r="I958" t="s">
        <v>241</v>
      </c>
      <c r="J958" t="s">
        <v>188</v>
      </c>
      <c r="K958" s="183">
        <f ca="1">VLOOKUP(F958,
    OFFSET(INDIRECT(ADDRESS(MATCH(J958,'Vehicle numbers'!$A$5:$A$162,0),1,1,1,$L$6)),4,1,COUNTIF('Vehicle numbers'!$A$5:$A$162,J958),4),
    MATCH(K$8,'Vehicle numbers'!$B$4:$D$4,0))*1000</f>
        <v>2542260</v>
      </c>
      <c r="L958" s="183">
        <f ca="1">VLOOKUP(F958,
    OFFSET(INDIRECT(ADDRESS(MATCH(J958,'Vehicle numbers'!$A$5:$A$162,0),1,1,1,$L$6)),4,1,COUNTIF('Vehicle numbers'!$A$5:$A$162,J958),4),
    MATCH(L$8,'Vehicle numbers'!$B$4:$D$4,0))*1000</f>
        <v>2615211.6353231976</v>
      </c>
      <c r="M958" s="184">
        <f>VLOOKUP(F958,'Annual distance covered (GB)'!$A$8:$H$33,MATCH(J958,'Annual distance covered (GB)'!$A$7:$H$7,0))</f>
        <v>54.7</v>
      </c>
      <c r="N958" s="2">
        <f t="shared" ca="1" si="42"/>
        <v>514642.20466499426</v>
      </c>
      <c r="O958" s="180">
        <f t="shared" ca="1" si="43"/>
        <v>0.1967879760528034</v>
      </c>
      <c r="P958" s="180"/>
      <c r="Q958" s="180"/>
      <c r="R958" s="180"/>
      <c r="S958" s="180"/>
      <c r="T958" s="180"/>
    </row>
    <row r="959" spans="1:20" x14ac:dyDescent="0.25">
      <c r="A959" t="s">
        <v>243</v>
      </c>
      <c r="B959" t="s">
        <v>237</v>
      </c>
      <c r="C959" t="s">
        <v>238</v>
      </c>
      <c r="D959" t="s">
        <v>257</v>
      </c>
      <c r="E959" t="s">
        <v>228</v>
      </c>
      <c r="F959">
        <v>2002</v>
      </c>
      <c r="G959">
        <v>6.4022000000000003E-3</v>
      </c>
      <c r="H959" t="s">
        <v>240</v>
      </c>
      <c r="I959" t="s">
        <v>241</v>
      </c>
      <c r="J959" t="s">
        <v>188</v>
      </c>
      <c r="K959" s="183">
        <f ca="1">VLOOKUP(F959,
    OFFSET(INDIRECT(ADDRESS(MATCH(J959,'Vehicle numbers'!$A$5:$A$162,0),1,1,1,$L$6)),4,1,COUNTIF('Vehicle numbers'!$A$5:$A$162,J959),4),
    MATCH(K$8,'Vehicle numbers'!$B$4:$D$4,0))*1000</f>
        <v>2542260</v>
      </c>
      <c r="L959" s="183">
        <f ca="1">VLOOKUP(F959,
    OFFSET(INDIRECT(ADDRESS(MATCH(J959,'Vehicle numbers'!$A$5:$A$162,0),1,1,1,$L$6)),4,1,COUNTIF('Vehicle numbers'!$A$5:$A$162,J959),4),
    MATCH(L$8,'Vehicle numbers'!$B$4:$D$4,0))*1000</f>
        <v>2615211.6353231976</v>
      </c>
      <c r="M959" s="184">
        <f>VLOOKUP(F959,'Annual distance covered (GB)'!$A$8:$H$33,MATCH(J959,'Annual distance covered (GB)'!$A$7:$H$7,0))</f>
        <v>54.7</v>
      </c>
      <c r="N959" s="2">
        <f t="shared" ca="1" si="42"/>
        <v>360249.54326549597</v>
      </c>
      <c r="O959" s="180">
        <f t="shared" ca="1" si="43"/>
        <v>0.13775158323696238</v>
      </c>
      <c r="P959" s="180"/>
      <c r="Q959" s="180"/>
      <c r="R959" s="180"/>
      <c r="S959" s="180"/>
      <c r="T959" s="180"/>
    </row>
    <row r="960" spans="1:20" x14ac:dyDescent="0.25">
      <c r="A960" t="s">
        <v>244</v>
      </c>
      <c r="B960" t="s">
        <v>237</v>
      </c>
      <c r="C960" t="s">
        <v>238</v>
      </c>
      <c r="D960" t="s">
        <v>257</v>
      </c>
      <c r="E960" t="s">
        <v>228</v>
      </c>
      <c r="F960">
        <v>2002</v>
      </c>
      <c r="G960">
        <v>9.0171830985915399E-4</v>
      </c>
      <c r="H960" t="s">
        <v>240</v>
      </c>
      <c r="I960" t="s">
        <v>241</v>
      </c>
      <c r="J960" t="s">
        <v>188</v>
      </c>
      <c r="K960" s="183">
        <f ca="1">VLOOKUP(F960,
    OFFSET(INDIRECT(ADDRESS(MATCH(J960,'Vehicle numbers'!$A$5:$A$162,0),1,1,1,$L$6)),4,1,COUNTIF('Vehicle numbers'!$A$5:$A$162,J960),4),
    MATCH(K$8,'Vehicle numbers'!$B$4:$D$4,0))*1000</f>
        <v>2542260</v>
      </c>
      <c r="L960" s="183">
        <f ca="1">VLOOKUP(F960,
    OFFSET(INDIRECT(ADDRESS(MATCH(J960,'Vehicle numbers'!$A$5:$A$162,0),1,1,1,$L$6)),4,1,COUNTIF('Vehicle numbers'!$A$5:$A$162,J960),4),
    MATCH(L$8,'Vehicle numbers'!$B$4:$D$4,0))*1000</f>
        <v>2615211.6353231976</v>
      </c>
      <c r="M960" s="184">
        <f>VLOOKUP(F960,'Annual distance covered (GB)'!$A$8:$H$33,MATCH(J960,'Annual distance covered (GB)'!$A$7:$H$7,0))</f>
        <v>54.7</v>
      </c>
      <c r="N960" s="2">
        <f t="shared" ca="1" si="42"/>
        <v>50739.372290914871</v>
      </c>
      <c r="O960" s="180">
        <f t="shared" ca="1" si="43"/>
        <v>1.9401631441825669E-2</v>
      </c>
      <c r="P960" s="180"/>
      <c r="Q960" s="180"/>
      <c r="R960" s="180"/>
      <c r="S960" s="180"/>
      <c r="T960" s="180"/>
    </row>
    <row r="961" spans="1:20" x14ac:dyDescent="0.25">
      <c r="A961" t="s">
        <v>246</v>
      </c>
      <c r="B961" t="s">
        <v>237</v>
      </c>
      <c r="C961" t="s">
        <v>238</v>
      </c>
      <c r="D961" t="s">
        <v>257</v>
      </c>
      <c r="E961" t="s">
        <v>228</v>
      </c>
      <c r="F961">
        <v>2002</v>
      </c>
      <c r="G961">
        <v>7.21374647887323E-4</v>
      </c>
      <c r="H961" t="s">
        <v>240</v>
      </c>
      <c r="I961" t="s">
        <v>241</v>
      </c>
      <c r="J961" t="s">
        <v>188</v>
      </c>
      <c r="K961" s="183">
        <f ca="1">VLOOKUP(F961,
    OFFSET(INDIRECT(ADDRESS(MATCH(J961,'Vehicle numbers'!$A$5:$A$162,0),1,1,1,$L$6)),4,1,COUNTIF('Vehicle numbers'!$A$5:$A$162,J961),4),
    MATCH(K$8,'Vehicle numbers'!$B$4:$D$4,0))*1000</f>
        <v>2542260</v>
      </c>
      <c r="L961" s="183">
        <f ca="1">VLOOKUP(F961,
    OFFSET(INDIRECT(ADDRESS(MATCH(J961,'Vehicle numbers'!$A$5:$A$162,0),1,1,1,$L$6)),4,1,COUNTIF('Vehicle numbers'!$A$5:$A$162,J961),4),
    MATCH(L$8,'Vehicle numbers'!$B$4:$D$4,0))*1000</f>
        <v>2615211.6353231976</v>
      </c>
      <c r="M961" s="184">
        <f>VLOOKUP(F961,'Annual distance covered (GB)'!$A$8:$H$33,MATCH(J961,'Annual distance covered (GB)'!$A$7:$H$7,0))</f>
        <v>54.7</v>
      </c>
      <c r="N961" s="2">
        <f t="shared" ca="1" si="42"/>
        <v>40591.49783273189</v>
      </c>
      <c r="O961" s="180">
        <f t="shared" ca="1" si="43"/>
        <v>1.5521305153460532E-2</v>
      </c>
      <c r="P961" s="180"/>
      <c r="Q961" s="180"/>
      <c r="R961" s="180"/>
      <c r="S961" s="180"/>
      <c r="T961" s="180"/>
    </row>
    <row r="962" spans="1:20" x14ac:dyDescent="0.25">
      <c r="A962" t="s">
        <v>236</v>
      </c>
      <c r="B962" t="s">
        <v>237</v>
      </c>
      <c r="C962" t="s">
        <v>238</v>
      </c>
      <c r="D962" t="s">
        <v>258</v>
      </c>
      <c r="E962" t="s">
        <v>229</v>
      </c>
      <c r="F962">
        <v>2002</v>
      </c>
      <c r="G962">
        <v>8.6219999999999995E-3</v>
      </c>
      <c r="H962" t="s">
        <v>240</v>
      </c>
      <c r="I962" t="s">
        <v>241</v>
      </c>
      <c r="J962" t="s">
        <v>188</v>
      </c>
      <c r="K962" s="183">
        <f ca="1">VLOOKUP(F962,
    OFFSET(INDIRECT(ADDRESS(MATCH(J962,'Vehicle numbers'!$A$5:$A$162,0),1,1,1,$L$6)),4,1,COUNTIF('Vehicle numbers'!$A$5:$A$162,J962),4),
    MATCH(K$8,'Vehicle numbers'!$B$4:$D$4,0))*1000</f>
        <v>2542260</v>
      </c>
      <c r="L962" s="183">
        <f ca="1">VLOOKUP(F962,
    OFFSET(INDIRECT(ADDRESS(MATCH(J962,'Vehicle numbers'!$A$5:$A$162,0),1,1,1,$L$6)),4,1,COUNTIF('Vehicle numbers'!$A$5:$A$162,J962),4),
    MATCH(L$8,'Vehicle numbers'!$B$4:$D$4,0))*1000</f>
        <v>2615211.6353231976</v>
      </c>
      <c r="M962" s="184">
        <f>VLOOKUP(F962,'Annual distance covered (GB)'!$A$8:$H$33,MATCH(J962,'Annual distance covered (GB)'!$A$7:$H$7,0))</f>
        <v>54.7</v>
      </c>
      <c r="N962" s="2">
        <f t="shared" ca="1" si="42"/>
        <v>485156.90888055763</v>
      </c>
      <c r="O962" s="180">
        <f t="shared" ca="1" si="43"/>
        <v>0.18551344079677137</v>
      </c>
      <c r="P962" s="180"/>
      <c r="Q962" s="180"/>
      <c r="R962" s="180"/>
      <c r="S962" s="180"/>
      <c r="T962" s="180"/>
    </row>
    <row r="963" spans="1:20" x14ac:dyDescent="0.25">
      <c r="A963" t="s">
        <v>243</v>
      </c>
      <c r="B963" t="s">
        <v>237</v>
      </c>
      <c r="C963" t="s">
        <v>238</v>
      </c>
      <c r="D963" t="s">
        <v>258</v>
      </c>
      <c r="E963" t="s">
        <v>229</v>
      </c>
      <c r="F963">
        <v>2002</v>
      </c>
      <c r="G963">
        <v>3.4488000000000001E-3</v>
      </c>
      <c r="H963" t="s">
        <v>240</v>
      </c>
      <c r="I963" t="s">
        <v>241</v>
      </c>
      <c r="J963" t="s">
        <v>188</v>
      </c>
      <c r="K963" s="183">
        <f ca="1">VLOOKUP(F963,
    OFFSET(INDIRECT(ADDRESS(MATCH(J963,'Vehicle numbers'!$A$5:$A$162,0),1,1,1,$L$6)),4,1,COUNTIF('Vehicle numbers'!$A$5:$A$162,J963),4),
    MATCH(K$8,'Vehicle numbers'!$B$4:$D$4,0))*1000</f>
        <v>2542260</v>
      </c>
      <c r="L963" s="183">
        <f ca="1">VLOOKUP(F963,
    OFFSET(INDIRECT(ADDRESS(MATCH(J963,'Vehicle numbers'!$A$5:$A$162,0),1,1,1,$L$6)),4,1,COUNTIF('Vehicle numbers'!$A$5:$A$162,J963),4),
    MATCH(L$8,'Vehicle numbers'!$B$4:$D$4,0))*1000</f>
        <v>2615211.6353231976</v>
      </c>
      <c r="M963" s="184">
        <f>VLOOKUP(F963,'Annual distance covered (GB)'!$A$8:$H$33,MATCH(J963,'Annual distance covered (GB)'!$A$7:$H$7,0))</f>
        <v>54.7</v>
      </c>
      <c r="N963" s="2">
        <f t="shared" ca="1" si="42"/>
        <v>194062.76355222307</v>
      </c>
      <c r="O963" s="180">
        <f t="shared" ca="1" si="43"/>
        <v>7.4205376318708549E-2</v>
      </c>
      <c r="P963" s="180"/>
      <c r="Q963" s="180"/>
      <c r="R963" s="180"/>
      <c r="S963" s="180"/>
      <c r="T963" s="180"/>
    </row>
    <row r="964" spans="1:20" x14ac:dyDescent="0.25">
      <c r="A964" t="s">
        <v>244</v>
      </c>
      <c r="B964" t="s">
        <v>237</v>
      </c>
      <c r="C964" t="s">
        <v>238</v>
      </c>
      <c r="D964" t="s">
        <v>258</v>
      </c>
      <c r="E964" t="s">
        <v>229</v>
      </c>
      <c r="F964">
        <v>2002</v>
      </c>
      <c r="G964">
        <v>8.6220000000000003E-4</v>
      </c>
      <c r="H964" t="s">
        <v>240</v>
      </c>
      <c r="I964" t="s">
        <v>241</v>
      </c>
      <c r="J964" t="s">
        <v>188</v>
      </c>
      <c r="K964" s="183">
        <f ca="1">VLOOKUP(F964,
    OFFSET(INDIRECT(ADDRESS(MATCH(J964,'Vehicle numbers'!$A$5:$A$162,0),1,1,1,$L$6)),4,1,COUNTIF('Vehicle numbers'!$A$5:$A$162,J964),4),
    MATCH(K$8,'Vehicle numbers'!$B$4:$D$4,0))*1000</f>
        <v>2542260</v>
      </c>
      <c r="L964" s="183">
        <f ca="1">VLOOKUP(F964,
    OFFSET(INDIRECT(ADDRESS(MATCH(J964,'Vehicle numbers'!$A$5:$A$162,0),1,1,1,$L$6)),4,1,COUNTIF('Vehicle numbers'!$A$5:$A$162,J964),4),
    MATCH(L$8,'Vehicle numbers'!$B$4:$D$4,0))*1000</f>
        <v>2615211.6353231976</v>
      </c>
      <c r="M964" s="184">
        <f>VLOOKUP(F964,'Annual distance covered (GB)'!$A$8:$H$33,MATCH(J964,'Annual distance covered (GB)'!$A$7:$H$7,0))</f>
        <v>54.7</v>
      </c>
      <c r="N964" s="2">
        <f t="shared" ca="1" si="42"/>
        <v>48515.690888055768</v>
      </c>
      <c r="O964" s="180">
        <f t="shared" ca="1" si="43"/>
        <v>1.8551344079677137E-2</v>
      </c>
      <c r="P964" s="180"/>
      <c r="Q964" s="180"/>
      <c r="R964" s="180"/>
      <c r="S964" s="180"/>
      <c r="T964" s="180"/>
    </row>
    <row r="965" spans="1:20" x14ac:dyDescent="0.25">
      <c r="A965" t="s">
        <v>246</v>
      </c>
      <c r="B965" t="s">
        <v>237</v>
      </c>
      <c r="C965" t="s">
        <v>238</v>
      </c>
      <c r="D965" t="s">
        <v>258</v>
      </c>
      <c r="E965" t="s">
        <v>229</v>
      </c>
      <c r="F965">
        <v>2002</v>
      </c>
      <c r="G965">
        <v>6.8975999999999998E-4</v>
      </c>
      <c r="H965" t="s">
        <v>240</v>
      </c>
      <c r="I965" t="s">
        <v>241</v>
      </c>
      <c r="J965" t="s">
        <v>188</v>
      </c>
      <c r="K965" s="183">
        <f ca="1">VLOOKUP(F965,
    OFFSET(INDIRECT(ADDRESS(MATCH(J965,'Vehicle numbers'!$A$5:$A$162,0),1,1,1,$L$6)),4,1,COUNTIF('Vehicle numbers'!$A$5:$A$162,J965),4),
    MATCH(K$8,'Vehicle numbers'!$B$4:$D$4,0))*1000</f>
        <v>2542260</v>
      </c>
      <c r="L965" s="183">
        <f ca="1">VLOOKUP(F965,
    OFFSET(INDIRECT(ADDRESS(MATCH(J965,'Vehicle numbers'!$A$5:$A$162,0),1,1,1,$L$6)),4,1,COUNTIF('Vehicle numbers'!$A$5:$A$162,J965),4),
    MATCH(L$8,'Vehicle numbers'!$B$4:$D$4,0))*1000</f>
        <v>2615211.6353231976</v>
      </c>
      <c r="M965" s="184">
        <f>VLOOKUP(F965,'Annual distance covered (GB)'!$A$8:$H$33,MATCH(J965,'Annual distance covered (GB)'!$A$7:$H$7,0))</f>
        <v>54.7</v>
      </c>
      <c r="N965" s="2">
        <f t="shared" ca="1" si="42"/>
        <v>38812.552710444608</v>
      </c>
      <c r="O965" s="180">
        <f t="shared" ca="1" si="43"/>
        <v>1.4841075263741708E-2</v>
      </c>
      <c r="P965" s="180"/>
      <c r="Q965" s="180"/>
      <c r="R965" s="180"/>
      <c r="S965" s="180"/>
      <c r="T965" s="180"/>
    </row>
    <row r="966" spans="1:20" x14ac:dyDescent="0.25">
      <c r="A966" t="s">
        <v>236</v>
      </c>
      <c r="B966" t="s">
        <v>237</v>
      </c>
      <c r="C966" t="s">
        <v>238</v>
      </c>
      <c r="D966" t="s">
        <v>258</v>
      </c>
      <c r="E966" t="s">
        <v>228</v>
      </c>
      <c r="F966">
        <v>2002</v>
      </c>
      <c r="G966">
        <v>1.0741000000000001E-2</v>
      </c>
      <c r="H966" t="s">
        <v>240</v>
      </c>
      <c r="I966" t="s">
        <v>241</v>
      </c>
      <c r="J966" t="s">
        <v>188</v>
      </c>
      <c r="K966" s="183">
        <f ca="1">VLOOKUP(F966,
    OFFSET(INDIRECT(ADDRESS(MATCH(J966,'Vehicle numbers'!$A$5:$A$162,0),1,1,1,$L$6)),4,1,COUNTIF('Vehicle numbers'!$A$5:$A$162,J966),4),
    MATCH(K$8,'Vehicle numbers'!$B$4:$D$4,0))*1000</f>
        <v>2542260</v>
      </c>
      <c r="L966" s="183">
        <f ca="1">VLOOKUP(F966,
    OFFSET(INDIRECT(ADDRESS(MATCH(J966,'Vehicle numbers'!$A$5:$A$162,0),1,1,1,$L$6)),4,1,COUNTIF('Vehicle numbers'!$A$5:$A$162,J966),4),
    MATCH(L$8,'Vehicle numbers'!$B$4:$D$4,0))*1000</f>
        <v>2615211.6353231976</v>
      </c>
      <c r="M966" s="184">
        <f>VLOOKUP(F966,'Annual distance covered (GB)'!$A$8:$H$33,MATCH(J966,'Annual distance covered (GB)'!$A$7:$H$7,0))</f>
        <v>54.7</v>
      </c>
      <c r="N966" s="2">
        <f t="shared" ca="1" si="42"/>
        <v>604392.29393250647</v>
      </c>
      <c r="O966" s="180">
        <f t="shared" ca="1" si="43"/>
        <v>0.23110645646000019</v>
      </c>
      <c r="P966" s="180"/>
      <c r="Q966" s="180"/>
      <c r="R966" s="180"/>
      <c r="S966" s="180"/>
      <c r="T966" s="180"/>
    </row>
    <row r="967" spans="1:20" x14ac:dyDescent="0.25">
      <c r="A967" t="s">
        <v>243</v>
      </c>
      <c r="B967" t="s">
        <v>237</v>
      </c>
      <c r="C967" t="s">
        <v>238</v>
      </c>
      <c r="D967" t="s">
        <v>258</v>
      </c>
      <c r="E967" t="s">
        <v>228</v>
      </c>
      <c r="F967">
        <v>2002</v>
      </c>
      <c r="G967">
        <v>7.5186999999999997E-3</v>
      </c>
      <c r="H967" t="s">
        <v>240</v>
      </c>
      <c r="I967" t="s">
        <v>241</v>
      </c>
      <c r="J967" t="s">
        <v>188</v>
      </c>
      <c r="K967" s="183">
        <f ca="1">VLOOKUP(F967,
    OFFSET(INDIRECT(ADDRESS(MATCH(J967,'Vehicle numbers'!$A$5:$A$162,0),1,1,1,$L$6)),4,1,COUNTIF('Vehicle numbers'!$A$5:$A$162,J967),4),
    MATCH(K$8,'Vehicle numbers'!$B$4:$D$4,0))*1000</f>
        <v>2542260</v>
      </c>
      <c r="L967" s="183">
        <f ca="1">VLOOKUP(F967,
    OFFSET(INDIRECT(ADDRESS(MATCH(J967,'Vehicle numbers'!$A$5:$A$162,0),1,1,1,$L$6)),4,1,COUNTIF('Vehicle numbers'!$A$5:$A$162,J967),4),
    MATCH(L$8,'Vehicle numbers'!$B$4:$D$4,0))*1000</f>
        <v>2615211.6353231976</v>
      </c>
      <c r="M967" s="184">
        <f>VLOOKUP(F967,'Annual distance covered (GB)'!$A$8:$H$33,MATCH(J967,'Annual distance covered (GB)'!$A$7:$H$7,0))</f>
        <v>54.7</v>
      </c>
      <c r="N967" s="2">
        <f t="shared" ca="1" si="42"/>
        <v>423074.60575275449</v>
      </c>
      <c r="O967" s="180">
        <f t="shared" ca="1" si="43"/>
        <v>0.16177451952200012</v>
      </c>
      <c r="P967" s="180"/>
      <c r="Q967" s="180"/>
      <c r="R967" s="180"/>
      <c r="S967" s="180"/>
      <c r="T967" s="180"/>
    </row>
    <row r="968" spans="1:20" x14ac:dyDescent="0.25">
      <c r="A968" t="s">
        <v>244</v>
      </c>
      <c r="B968" t="s">
        <v>237</v>
      </c>
      <c r="C968" t="s">
        <v>238</v>
      </c>
      <c r="D968" t="s">
        <v>258</v>
      </c>
      <c r="E968" t="s">
        <v>228</v>
      </c>
      <c r="F968">
        <v>2002</v>
      </c>
      <c r="G968">
        <v>1.05897183098591E-3</v>
      </c>
      <c r="H968" t="s">
        <v>240</v>
      </c>
      <c r="I968" t="s">
        <v>241</v>
      </c>
      <c r="J968" t="s">
        <v>188</v>
      </c>
      <c r="K968" s="183">
        <f ca="1">VLOOKUP(F968,
    OFFSET(INDIRECT(ADDRESS(MATCH(J968,'Vehicle numbers'!$A$5:$A$162,0),1,1,1,$L$6)),4,1,COUNTIF('Vehicle numbers'!$A$5:$A$162,J968),4),
    MATCH(K$8,'Vehicle numbers'!$B$4:$D$4,0))*1000</f>
        <v>2542260</v>
      </c>
      <c r="L968" s="183">
        <f ca="1">VLOOKUP(F968,
    OFFSET(INDIRECT(ADDRESS(MATCH(J968,'Vehicle numbers'!$A$5:$A$162,0),1,1,1,$L$6)),4,1,COUNTIF('Vehicle numbers'!$A$5:$A$162,J968),4),
    MATCH(L$8,'Vehicle numbers'!$B$4:$D$4,0))*1000</f>
        <v>2615211.6353231976</v>
      </c>
      <c r="M968" s="184">
        <f>VLOOKUP(F968,'Annual distance covered (GB)'!$A$8:$H$33,MATCH(J968,'Annual distance covered (GB)'!$A$7:$H$7,0))</f>
        <v>54.7</v>
      </c>
      <c r="N968" s="2">
        <f t="shared" ca="1" si="42"/>
        <v>59587.972641232715</v>
      </c>
      <c r="O968" s="180">
        <f t="shared" ca="1" si="43"/>
        <v>2.2785143594647787E-2</v>
      </c>
      <c r="P968" s="180"/>
      <c r="Q968" s="180"/>
      <c r="R968" s="180"/>
      <c r="S968" s="180"/>
      <c r="T968" s="180"/>
    </row>
    <row r="969" spans="1:20" x14ac:dyDescent="0.25">
      <c r="A969" t="s">
        <v>246</v>
      </c>
      <c r="B969" t="s">
        <v>237</v>
      </c>
      <c r="C969" t="s">
        <v>238</v>
      </c>
      <c r="D969" t="s">
        <v>258</v>
      </c>
      <c r="E969" t="s">
        <v>228</v>
      </c>
      <c r="F969">
        <v>2002</v>
      </c>
      <c r="G969">
        <v>8.47177464788731E-4</v>
      </c>
      <c r="H969" t="s">
        <v>240</v>
      </c>
      <c r="I969" t="s">
        <v>241</v>
      </c>
      <c r="J969" t="s">
        <v>188</v>
      </c>
      <c r="K969" s="183">
        <f ca="1">VLOOKUP(F969,
    OFFSET(INDIRECT(ADDRESS(MATCH(J969,'Vehicle numbers'!$A$5:$A$162,0),1,1,1,$L$6)),4,1,COUNTIF('Vehicle numbers'!$A$5:$A$162,J969),4),
    MATCH(K$8,'Vehicle numbers'!$B$4:$D$4,0))*1000</f>
        <v>2542260</v>
      </c>
      <c r="L969" s="183">
        <f ca="1">VLOOKUP(F969,
    OFFSET(INDIRECT(ADDRESS(MATCH(J969,'Vehicle numbers'!$A$5:$A$162,0),1,1,1,$L$6)),4,1,COUNTIF('Vehicle numbers'!$A$5:$A$162,J969),4),
    MATCH(L$8,'Vehicle numbers'!$B$4:$D$4,0))*1000</f>
        <v>2615211.6353231976</v>
      </c>
      <c r="M969" s="184">
        <f>VLOOKUP(F969,'Annual distance covered (GB)'!$A$8:$H$33,MATCH(J969,'Annual distance covered (GB)'!$A$7:$H$7,0))</f>
        <v>54.7</v>
      </c>
      <c r="N969" s="2">
        <f t="shared" ca="1" si="42"/>
        <v>47670.378112986342</v>
      </c>
      <c r="O969" s="180">
        <f t="shared" ca="1" si="43"/>
        <v>1.8228114875718293E-2</v>
      </c>
      <c r="P969" s="180"/>
      <c r="Q969" s="180"/>
      <c r="R969" s="180"/>
      <c r="S969" s="180"/>
      <c r="T969" s="180"/>
    </row>
    <row r="970" spans="1:20" x14ac:dyDescent="0.25">
      <c r="A970" t="s">
        <v>236</v>
      </c>
      <c r="B970" t="s">
        <v>237</v>
      </c>
      <c r="C970" t="s">
        <v>238</v>
      </c>
      <c r="D970" t="s">
        <v>259</v>
      </c>
      <c r="E970" t="s">
        <v>229</v>
      </c>
      <c r="F970">
        <v>2002</v>
      </c>
      <c r="G970">
        <v>1.8218999999999999E-2</v>
      </c>
      <c r="H970" t="s">
        <v>240</v>
      </c>
      <c r="I970" t="s">
        <v>241</v>
      </c>
      <c r="J970" t="s">
        <v>188</v>
      </c>
      <c r="K970" s="183">
        <f ca="1">VLOOKUP(F970,
    OFFSET(INDIRECT(ADDRESS(MATCH(J970,'Vehicle numbers'!$A$5:$A$162,0),1,1,1,$L$6)),4,1,COUNTIF('Vehicle numbers'!$A$5:$A$162,J970),4),
    MATCH(K$8,'Vehicle numbers'!$B$4:$D$4,0))*1000</f>
        <v>2542260</v>
      </c>
      <c r="L970" s="183">
        <f ca="1">VLOOKUP(F970,
    OFFSET(INDIRECT(ADDRESS(MATCH(J970,'Vehicle numbers'!$A$5:$A$162,0),1,1,1,$L$6)),4,1,COUNTIF('Vehicle numbers'!$A$5:$A$162,J970),4),
    MATCH(L$8,'Vehicle numbers'!$B$4:$D$4,0))*1000</f>
        <v>2615211.6353231976</v>
      </c>
      <c r="M970" s="184">
        <f>VLOOKUP(F970,'Annual distance covered (GB)'!$A$8:$H$33,MATCH(J970,'Annual distance covered (GB)'!$A$7:$H$7,0))</f>
        <v>54.7</v>
      </c>
      <c r="N970" s="2">
        <f t="shared" ca="1" si="42"/>
        <v>1025176.7249936071</v>
      </c>
      <c r="O970" s="180">
        <f t="shared" ca="1" si="43"/>
        <v>0.39200526303367872</v>
      </c>
      <c r="P970" s="180"/>
      <c r="Q970" s="180"/>
      <c r="R970" s="180"/>
      <c r="S970" s="180"/>
      <c r="T970" s="180"/>
    </row>
    <row r="971" spans="1:20" x14ac:dyDescent="0.25">
      <c r="A971" t="s">
        <v>243</v>
      </c>
      <c r="B971" t="s">
        <v>237</v>
      </c>
      <c r="C971" t="s">
        <v>238</v>
      </c>
      <c r="D971" t="s">
        <v>259</v>
      </c>
      <c r="E971" t="s">
        <v>229</v>
      </c>
      <c r="F971">
        <v>2002</v>
      </c>
      <c r="G971">
        <v>7.2876E-3</v>
      </c>
      <c r="H971" t="s">
        <v>240</v>
      </c>
      <c r="I971" t="s">
        <v>241</v>
      </c>
      <c r="J971" t="s">
        <v>188</v>
      </c>
      <c r="K971" s="183">
        <f ca="1">VLOOKUP(F971,
    OFFSET(INDIRECT(ADDRESS(MATCH(J971,'Vehicle numbers'!$A$5:$A$162,0),1,1,1,$L$6)),4,1,COUNTIF('Vehicle numbers'!$A$5:$A$162,J971),4),
    MATCH(K$8,'Vehicle numbers'!$B$4:$D$4,0))*1000</f>
        <v>2542260</v>
      </c>
      <c r="L971" s="183">
        <f ca="1">VLOOKUP(F971,
    OFFSET(INDIRECT(ADDRESS(MATCH(J971,'Vehicle numbers'!$A$5:$A$162,0),1,1,1,$L$6)),4,1,COUNTIF('Vehicle numbers'!$A$5:$A$162,J971),4),
    MATCH(L$8,'Vehicle numbers'!$B$4:$D$4,0))*1000</f>
        <v>2615211.6353231976</v>
      </c>
      <c r="M971" s="184">
        <f>VLOOKUP(F971,'Annual distance covered (GB)'!$A$8:$H$33,MATCH(J971,'Annual distance covered (GB)'!$A$7:$H$7,0))</f>
        <v>54.7</v>
      </c>
      <c r="N971" s="2">
        <f t="shared" ref="N971:N1034" ca="1" si="44">M971*G971*1000000*(L971/K971)</f>
        <v>410070.68999744288</v>
      </c>
      <c r="O971" s="180">
        <f t="shared" ref="O971:O1034" ca="1" si="45">N971/L971</f>
        <v>0.15680210521347149</v>
      </c>
      <c r="P971" s="180"/>
      <c r="Q971" s="180"/>
      <c r="R971" s="180"/>
      <c r="S971" s="180"/>
      <c r="T971" s="180"/>
    </row>
    <row r="972" spans="1:20" x14ac:dyDescent="0.25">
      <c r="A972" t="s">
        <v>244</v>
      </c>
      <c r="B972" t="s">
        <v>237</v>
      </c>
      <c r="C972" t="s">
        <v>238</v>
      </c>
      <c r="D972" t="s">
        <v>259</v>
      </c>
      <c r="E972" t="s">
        <v>229</v>
      </c>
      <c r="F972">
        <v>2002</v>
      </c>
      <c r="G972">
        <v>1.8219E-3</v>
      </c>
      <c r="H972" t="s">
        <v>240</v>
      </c>
      <c r="I972" t="s">
        <v>241</v>
      </c>
      <c r="J972" t="s">
        <v>188</v>
      </c>
      <c r="K972" s="183">
        <f ca="1">VLOOKUP(F972,
    OFFSET(INDIRECT(ADDRESS(MATCH(J972,'Vehicle numbers'!$A$5:$A$162,0),1,1,1,$L$6)),4,1,COUNTIF('Vehicle numbers'!$A$5:$A$162,J972),4),
    MATCH(K$8,'Vehicle numbers'!$B$4:$D$4,0))*1000</f>
        <v>2542260</v>
      </c>
      <c r="L972" s="183">
        <f ca="1">VLOOKUP(F972,
    OFFSET(INDIRECT(ADDRESS(MATCH(J972,'Vehicle numbers'!$A$5:$A$162,0),1,1,1,$L$6)),4,1,COUNTIF('Vehicle numbers'!$A$5:$A$162,J972),4),
    MATCH(L$8,'Vehicle numbers'!$B$4:$D$4,0))*1000</f>
        <v>2615211.6353231976</v>
      </c>
      <c r="M972" s="184">
        <f>VLOOKUP(F972,'Annual distance covered (GB)'!$A$8:$H$33,MATCH(J972,'Annual distance covered (GB)'!$A$7:$H$7,0))</f>
        <v>54.7</v>
      </c>
      <c r="N972" s="2">
        <f t="shared" ca="1" si="44"/>
        <v>102517.67249936072</v>
      </c>
      <c r="O972" s="180">
        <f t="shared" ca="1" si="45"/>
        <v>3.9200526303367872E-2</v>
      </c>
      <c r="P972" s="180"/>
      <c r="Q972" s="180"/>
      <c r="R972" s="180"/>
      <c r="S972" s="180"/>
      <c r="T972" s="180"/>
    </row>
    <row r="973" spans="1:20" x14ac:dyDescent="0.25">
      <c r="A973" t="s">
        <v>246</v>
      </c>
      <c r="B973" t="s">
        <v>237</v>
      </c>
      <c r="C973" t="s">
        <v>238</v>
      </c>
      <c r="D973" t="s">
        <v>259</v>
      </c>
      <c r="E973" t="s">
        <v>229</v>
      </c>
      <c r="F973">
        <v>2002</v>
      </c>
      <c r="G973">
        <v>1.4575199999999999E-3</v>
      </c>
      <c r="H973" t="s">
        <v>240</v>
      </c>
      <c r="I973" t="s">
        <v>241</v>
      </c>
      <c r="J973" t="s">
        <v>188</v>
      </c>
      <c r="K973" s="183">
        <f ca="1">VLOOKUP(F973,
    OFFSET(INDIRECT(ADDRESS(MATCH(J973,'Vehicle numbers'!$A$5:$A$162,0),1,1,1,$L$6)),4,1,COUNTIF('Vehicle numbers'!$A$5:$A$162,J973),4),
    MATCH(K$8,'Vehicle numbers'!$B$4:$D$4,0))*1000</f>
        <v>2542260</v>
      </c>
      <c r="L973" s="183">
        <f ca="1">VLOOKUP(F973,
    OFFSET(INDIRECT(ADDRESS(MATCH(J973,'Vehicle numbers'!$A$5:$A$162,0),1,1,1,$L$6)),4,1,COUNTIF('Vehicle numbers'!$A$5:$A$162,J973),4),
    MATCH(L$8,'Vehicle numbers'!$B$4:$D$4,0))*1000</f>
        <v>2615211.6353231976</v>
      </c>
      <c r="M973" s="184">
        <f>VLOOKUP(F973,'Annual distance covered (GB)'!$A$8:$H$33,MATCH(J973,'Annual distance covered (GB)'!$A$7:$H$7,0))</f>
        <v>54.7</v>
      </c>
      <c r="N973" s="2">
        <f t="shared" ca="1" si="44"/>
        <v>82014.137999488565</v>
      </c>
      <c r="O973" s="180">
        <f t="shared" ca="1" si="45"/>
        <v>3.1360421042694292E-2</v>
      </c>
      <c r="P973" s="180"/>
      <c r="Q973" s="180"/>
      <c r="R973" s="180"/>
      <c r="S973" s="180"/>
      <c r="T973" s="180"/>
    </row>
    <row r="974" spans="1:20" x14ac:dyDescent="0.25">
      <c r="A974" t="s">
        <v>236</v>
      </c>
      <c r="B974" t="s">
        <v>237</v>
      </c>
      <c r="C974" t="s">
        <v>238</v>
      </c>
      <c r="D974" t="s">
        <v>259</v>
      </c>
      <c r="E974" t="s">
        <v>228</v>
      </c>
      <c r="F974">
        <v>2002</v>
      </c>
      <c r="G974">
        <v>1.3802E-2</v>
      </c>
      <c r="H974" t="s">
        <v>240</v>
      </c>
      <c r="I974" t="s">
        <v>241</v>
      </c>
      <c r="J974" t="s">
        <v>188</v>
      </c>
      <c r="K974" s="183">
        <f ca="1">VLOOKUP(F974,
    OFFSET(INDIRECT(ADDRESS(MATCH(J974,'Vehicle numbers'!$A$5:$A$162,0),1,1,1,$L$6)),4,1,COUNTIF('Vehicle numbers'!$A$5:$A$162,J974),4),
    MATCH(K$8,'Vehicle numbers'!$B$4:$D$4,0))*1000</f>
        <v>2542260</v>
      </c>
      <c r="L974" s="183">
        <f ca="1">VLOOKUP(F974,
    OFFSET(INDIRECT(ADDRESS(MATCH(J974,'Vehicle numbers'!$A$5:$A$162,0),1,1,1,$L$6)),4,1,COUNTIF('Vehicle numbers'!$A$5:$A$162,J974),4),
    MATCH(L$8,'Vehicle numbers'!$B$4:$D$4,0))*1000</f>
        <v>2615211.6353231976</v>
      </c>
      <c r="M974" s="184">
        <f>VLOOKUP(F974,'Annual distance covered (GB)'!$A$8:$H$33,MATCH(J974,'Annual distance covered (GB)'!$A$7:$H$7,0))</f>
        <v>54.7</v>
      </c>
      <c r="N974" s="2">
        <f t="shared" ca="1" si="44"/>
        <v>776633.68781830859</v>
      </c>
      <c r="O974" s="180">
        <f t="shared" ca="1" si="45"/>
        <v>0.29696781603769873</v>
      </c>
      <c r="P974" s="180"/>
      <c r="Q974" s="180"/>
      <c r="R974" s="180"/>
      <c r="S974" s="180"/>
      <c r="T974" s="180"/>
    </row>
    <row r="975" spans="1:20" x14ac:dyDescent="0.25">
      <c r="A975" t="s">
        <v>243</v>
      </c>
      <c r="B975" t="s">
        <v>237</v>
      </c>
      <c r="C975" t="s">
        <v>238</v>
      </c>
      <c r="D975" t="s">
        <v>259</v>
      </c>
      <c r="E975" t="s">
        <v>228</v>
      </c>
      <c r="F975">
        <v>2002</v>
      </c>
      <c r="G975">
        <v>9.6614000000000005E-3</v>
      </c>
      <c r="H975" t="s">
        <v>240</v>
      </c>
      <c r="I975" t="s">
        <v>241</v>
      </c>
      <c r="J975" t="s">
        <v>188</v>
      </c>
      <c r="K975" s="183">
        <f ca="1">VLOOKUP(F975,
    OFFSET(INDIRECT(ADDRESS(MATCH(J975,'Vehicle numbers'!$A$5:$A$162,0),1,1,1,$L$6)),4,1,COUNTIF('Vehicle numbers'!$A$5:$A$162,J975),4),
    MATCH(K$8,'Vehicle numbers'!$B$4:$D$4,0))*1000</f>
        <v>2542260</v>
      </c>
      <c r="L975" s="183">
        <f ca="1">VLOOKUP(F975,
    OFFSET(INDIRECT(ADDRESS(MATCH(J975,'Vehicle numbers'!$A$5:$A$162,0),1,1,1,$L$6)),4,1,COUNTIF('Vehicle numbers'!$A$5:$A$162,J975),4),
    MATCH(L$8,'Vehicle numbers'!$B$4:$D$4,0))*1000</f>
        <v>2615211.6353231976</v>
      </c>
      <c r="M975" s="184">
        <f>VLOOKUP(F975,'Annual distance covered (GB)'!$A$8:$H$33,MATCH(J975,'Annual distance covered (GB)'!$A$7:$H$7,0))</f>
        <v>54.7</v>
      </c>
      <c r="N975" s="2">
        <f t="shared" ca="1" si="44"/>
        <v>543643.58147281606</v>
      </c>
      <c r="O975" s="180">
        <f t="shared" ca="1" si="45"/>
        <v>0.20787747122638914</v>
      </c>
      <c r="P975" s="180"/>
      <c r="Q975" s="180"/>
      <c r="R975" s="180"/>
      <c r="S975" s="180"/>
      <c r="T975" s="180"/>
    </row>
    <row r="976" spans="1:20" x14ac:dyDescent="0.25">
      <c r="A976" t="s">
        <v>244</v>
      </c>
      <c r="B976" t="s">
        <v>237</v>
      </c>
      <c r="C976" t="s">
        <v>238</v>
      </c>
      <c r="D976" t="s">
        <v>259</v>
      </c>
      <c r="E976" t="s">
        <v>228</v>
      </c>
      <c r="F976">
        <v>2002</v>
      </c>
      <c r="G976">
        <v>1.3607605633802801E-3</v>
      </c>
      <c r="H976" t="s">
        <v>240</v>
      </c>
      <c r="I976" t="s">
        <v>241</v>
      </c>
      <c r="J976" t="s">
        <v>188</v>
      </c>
      <c r="K976" s="183">
        <f ca="1">VLOOKUP(F976,
    OFFSET(INDIRECT(ADDRESS(MATCH(J976,'Vehicle numbers'!$A$5:$A$162,0),1,1,1,$L$6)),4,1,COUNTIF('Vehicle numbers'!$A$5:$A$162,J976),4),
    MATCH(K$8,'Vehicle numbers'!$B$4:$D$4,0))*1000</f>
        <v>2542260</v>
      </c>
      <c r="L976" s="183">
        <f ca="1">VLOOKUP(F976,
    OFFSET(INDIRECT(ADDRESS(MATCH(J976,'Vehicle numbers'!$A$5:$A$162,0),1,1,1,$L$6)),4,1,COUNTIF('Vehicle numbers'!$A$5:$A$162,J976),4),
    MATCH(L$8,'Vehicle numbers'!$B$4:$D$4,0))*1000</f>
        <v>2615211.6353231976</v>
      </c>
      <c r="M976" s="184">
        <f>VLOOKUP(F976,'Annual distance covered (GB)'!$A$8:$H$33,MATCH(J976,'Annual distance covered (GB)'!$A$7:$H$7,0))</f>
        <v>54.7</v>
      </c>
      <c r="N976" s="2">
        <f t="shared" ca="1" si="44"/>
        <v>76569.518517297955</v>
      </c>
      <c r="O976" s="180">
        <f t="shared" ca="1" si="45"/>
        <v>2.9278517074139282E-2</v>
      </c>
      <c r="P976" s="180"/>
      <c r="Q976" s="180"/>
      <c r="R976" s="180"/>
      <c r="S976" s="180"/>
      <c r="T976" s="180"/>
    </row>
    <row r="977" spans="1:20" x14ac:dyDescent="0.25">
      <c r="A977" t="s">
        <v>246</v>
      </c>
      <c r="B977" t="s">
        <v>237</v>
      </c>
      <c r="C977" t="s">
        <v>238</v>
      </c>
      <c r="D977" t="s">
        <v>259</v>
      </c>
      <c r="E977" t="s">
        <v>228</v>
      </c>
      <c r="F977">
        <v>2002</v>
      </c>
      <c r="G977">
        <v>1.0886084507042201E-3</v>
      </c>
      <c r="H977" t="s">
        <v>240</v>
      </c>
      <c r="I977" t="s">
        <v>241</v>
      </c>
      <c r="J977" t="s">
        <v>188</v>
      </c>
      <c r="K977" s="183">
        <f ca="1">VLOOKUP(F977,
    OFFSET(INDIRECT(ADDRESS(MATCH(J977,'Vehicle numbers'!$A$5:$A$162,0),1,1,1,$L$6)),4,1,COUNTIF('Vehicle numbers'!$A$5:$A$162,J977),4),
    MATCH(K$8,'Vehicle numbers'!$B$4:$D$4,0))*1000</f>
        <v>2542260</v>
      </c>
      <c r="L977" s="183">
        <f ca="1">VLOOKUP(F977,
    OFFSET(INDIRECT(ADDRESS(MATCH(J977,'Vehicle numbers'!$A$5:$A$162,0),1,1,1,$L$6)),4,1,COUNTIF('Vehicle numbers'!$A$5:$A$162,J977),4),
    MATCH(L$8,'Vehicle numbers'!$B$4:$D$4,0))*1000</f>
        <v>2615211.6353231976</v>
      </c>
      <c r="M977" s="184">
        <f>VLOOKUP(F977,'Annual distance covered (GB)'!$A$8:$H$33,MATCH(J977,'Annual distance covered (GB)'!$A$7:$H$7,0))</f>
        <v>54.7</v>
      </c>
      <c r="N977" s="2">
        <f t="shared" ca="1" si="44"/>
        <v>61255.614813838132</v>
      </c>
      <c r="O977" s="180">
        <f t="shared" ca="1" si="45"/>
        <v>2.3422813659311339E-2</v>
      </c>
      <c r="P977" s="180"/>
      <c r="Q977" s="180"/>
      <c r="R977" s="180"/>
      <c r="S977" s="180"/>
      <c r="T977" s="180"/>
    </row>
    <row r="978" spans="1:20" x14ac:dyDescent="0.25">
      <c r="A978" t="s">
        <v>236</v>
      </c>
      <c r="B978" t="s">
        <v>237</v>
      </c>
      <c r="C978" t="s">
        <v>238</v>
      </c>
      <c r="D978" t="s">
        <v>260</v>
      </c>
      <c r="E978" t="s">
        <v>229</v>
      </c>
      <c r="F978">
        <v>2002</v>
      </c>
      <c r="G978">
        <v>5.8399999999999997E-3</v>
      </c>
      <c r="H978" t="s">
        <v>240</v>
      </c>
      <c r="I978" t="s">
        <v>241</v>
      </c>
      <c r="J978" t="s">
        <v>3</v>
      </c>
      <c r="K978" s="183">
        <f ca="1">VLOOKUP(F978,
    OFFSET(INDIRECT(ADDRESS(MATCH(J978,'Vehicle numbers'!$A$5:$A$162,0),1,1,1,$L$6)),4,1,COUNTIF('Vehicle numbers'!$A$5:$A$162,J978),4),
    MATCH(K$8,'Vehicle numbers'!$B$4:$D$4,0))*1000</f>
        <v>1070022</v>
      </c>
      <c r="L978" s="183">
        <f ca="1">VLOOKUP(F978,
    OFFSET(INDIRECT(ADDRESS(MATCH(J978,'Vehicle numbers'!$A$5:$A$162,0),1,1,1,$L$6)),4,1,COUNTIF('Vehicle numbers'!$A$5:$A$162,J978),4),
    MATCH(L$8,'Vehicle numbers'!$B$4:$D$4,0))*1000</f>
        <v>1089684.9163523328</v>
      </c>
      <c r="M978" s="184">
        <f>VLOOKUP(F978,'Annual distance covered (GB)'!$A$8:$H$33,MATCH(J978,'Annual distance covered (GB)'!$A$7:$H$7,0))</f>
        <v>5</v>
      </c>
      <c r="N978" s="2">
        <f t="shared" ca="1" si="44"/>
        <v>29736.584441710649</v>
      </c>
      <c r="O978" s="180">
        <f t="shared" ca="1" si="45"/>
        <v>2.7289158540665513E-2</v>
      </c>
      <c r="P978" s="180"/>
      <c r="Q978" s="180"/>
      <c r="R978" s="180"/>
      <c r="S978" s="180"/>
      <c r="T978" s="180"/>
    </row>
    <row r="979" spans="1:20" x14ac:dyDescent="0.25">
      <c r="A979" t="s">
        <v>243</v>
      </c>
      <c r="B979" t="s">
        <v>237</v>
      </c>
      <c r="C979" t="s">
        <v>238</v>
      </c>
      <c r="D979" t="s">
        <v>260</v>
      </c>
      <c r="E979" t="s">
        <v>229</v>
      </c>
      <c r="F979">
        <v>2002</v>
      </c>
      <c r="G979">
        <v>2.336E-3</v>
      </c>
      <c r="H979" t="s">
        <v>240</v>
      </c>
      <c r="I979" t="s">
        <v>241</v>
      </c>
      <c r="J979" t="s">
        <v>3</v>
      </c>
      <c r="K979" s="183">
        <f ca="1">VLOOKUP(F979,
    OFFSET(INDIRECT(ADDRESS(MATCH(J979,'Vehicle numbers'!$A$5:$A$162,0),1,1,1,$L$6)),4,1,COUNTIF('Vehicle numbers'!$A$5:$A$162,J979),4),
    MATCH(K$8,'Vehicle numbers'!$B$4:$D$4,0))*1000</f>
        <v>1070022</v>
      </c>
      <c r="L979" s="183">
        <f ca="1">VLOOKUP(F979,
    OFFSET(INDIRECT(ADDRESS(MATCH(J979,'Vehicle numbers'!$A$5:$A$162,0),1,1,1,$L$6)),4,1,COUNTIF('Vehicle numbers'!$A$5:$A$162,J979),4),
    MATCH(L$8,'Vehicle numbers'!$B$4:$D$4,0))*1000</f>
        <v>1089684.9163523328</v>
      </c>
      <c r="M979" s="184">
        <f>VLOOKUP(F979,'Annual distance covered (GB)'!$A$8:$H$33,MATCH(J979,'Annual distance covered (GB)'!$A$7:$H$7,0))</f>
        <v>5</v>
      </c>
      <c r="N979" s="2">
        <f t="shared" ca="1" si="44"/>
        <v>11894.633776684261</v>
      </c>
      <c r="O979" s="180">
        <f t="shared" ca="1" si="45"/>
        <v>1.0915663416266206E-2</v>
      </c>
      <c r="P979" s="180"/>
      <c r="Q979" s="180"/>
      <c r="R979" s="180"/>
      <c r="S979" s="180"/>
      <c r="T979" s="180"/>
    </row>
    <row r="980" spans="1:20" x14ac:dyDescent="0.25">
      <c r="A980" t="s">
        <v>244</v>
      </c>
      <c r="B980" t="s">
        <v>237</v>
      </c>
      <c r="C980" t="s">
        <v>238</v>
      </c>
      <c r="D980" t="s">
        <v>260</v>
      </c>
      <c r="E980" t="s">
        <v>229</v>
      </c>
      <c r="F980">
        <v>2002</v>
      </c>
      <c r="G980">
        <v>5.8399999999999999E-4</v>
      </c>
      <c r="H980" t="s">
        <v>240</v>
      </c>
      <c r="I980" t="s">
        <v>241</v>
      </c>
      <c r="J980" t="s">
        <v>3</v>
      </c>
      <c r="K980" s="183">
        <f ca="1">VLOOKUP(F980,
    OFFSET(INDIRECT(ADDRESS(MATCH(J980,'Vehicle numbers'!$A$5:$A$162,0),1,1,1,$L$6)),4,1,COUNTIF('Vehicle numbers'!$A$5:$A$162,J980),4),
    MATCH(K$8,'Vehicle numbers'!$B$4:$D$4,0))*1000</f>
        <v>1070022</v>
      </c>
      <c r="L980" s="183">
        <f ca="1">VLOOKUP(F980,
    OFFSET(INDIRECT(ADDRESS(MATCH(J980,'Vehicle numbers'!$A$5:$A$162,0),1,1,1,$L$6)),4,1,COUNTIF('Vehicle numbers'!$A$5:$A$162,J980),4),
    MATCH(L$8,'Vehicle numbers'!$B$4:$D$4,0))*1000</f>
        <v>1089684.9163523328</v>
      </c>
      <c r="M980" s="184">
        <f>VLOOKUP(F980,'Annual distance covered (GB)'!$A$8:$H$33,MATCH(J980,'Annual distance covered (GB)'!$A$7:$H$7,0))</f>
        <v>5</v>
      </c>
      <c r="N980" s="2">
        <f t="shared" ca="1" si="44"/>
        <v>2973.6584441710652</v>
      </c>
      <c r="O980" s="180">
        <f t="shared" ca="1" si="45"/>
        <v>2.7289158540665516E-3</v>
      </c>
      <c r="P980" s="180"/>
      <c r="Q980" s="180"/>
      <c r="R980" s="180"/>
      <c r="S980" s="180"/>
      <c r="T980" s="180"/>
    </row>
    <row r="981" spans="1:20" x14ac:dyDescent="0.25">
      <c r="A981" t="s">
        <v>246</v>
      </c>
      <c r="B981" t="s">
        <v>237</v>
      </c>
      <c r="C981" t="s">
        <v>238</v>
      </c>
      <c r="D981" t="s">
        <v>260</v>
      </c>
      <c r="E981" t="s">
        <v>229</v>
      </c>
      <c r="F981">
        <v>2002</v>
      </c>
      <c r="G981">
        <v>4.6720000000000003E-4</v>
      </c>
      <c r="H981" t="s">
        <v>240</v>
      </c>
      <c r="I981" t="s">
        <v>241</v>
      </c>
      <c r="J981" t="s">
        <v>3</v>
      </c>
      <c r="K981" s="183">
        <f ca="1">VLOOKUP(F981,
    OFFSET(INDIRECT(ADDRESS(MATCH(J981,'Vehicle numbers'!$A$5:$A$162,0),1,1,1,$L$6)),4,1,COUNTIF('Vehicle numbers'!$A$5:$A$162,J981),4),
    MATCH(K$8,'Vehicle numbers'!$B$4:$D$4,0))*1000</f>
        <v>1070022</v>
      </c>
      <c r="L981" s="183">
        <f ca="1">VLOOKUP(F981,
    OFFSET(INDIRECT(ADDRESS(MATCH(J981,'Vehicle numbers'!$A$5:$A$162,0),1,1,1,$L$6)),4,1,COUNTIF('Vehicle numbers'!$A$5:$A$162,J981),4),
    MATCH(L$8,'Vehicle numbers'!$B$4:$D$4,0))*1000</f>
        <v>1089684.9163523328</v>
      </c>
      <c r="M981" s="184">
        <f>VLOOKUP(F981,'Annual distance covered (GB)'!$A$8:$H$33,MATCH(J981,'Annual distance covered (GB)'!$A$7:$H$7,0))</f>
        <v>5</v>
      </c>
      <c r="N981" s="2">
        <f t="shared" ca="1" si="44"/>
        <v>2378.9267553368522</v>
      </c>
      <c r="O981" s="180">
        <f t="shared" ca="1" si="45"/>
        <v>2.1831326832532413E-3</v>
      </c>
      <c r="P981" s="180"/>
      <c r="Q981" s="180"/>
      <c r="R981" s="180"/>
      <c r="S981" s="180"/>
      <c r="T981" s="180"/>
    </row>
    <row r="982" spans="1:20" x14ac:dyDescent="0.25">
      <c r="A982" t="s">
        <v>236</v>
      </c>
      <c r="B982" t="s">
        <v>237</v>
      </c>
      <c r="C982" t="s">
        <v>238</v>
      </c>
      <c r="D982" t="s">
        <v>260</v>
      </c>
      <c r="E982" t="s">
        <v>228</v>
      </c>
      <c r="F982">
        <v>2002</v>
      </c>
      <c r="G982">
        <v>3.7569999999999999E-3</v>
      </c>
      <c r="H982" t="s">
        <v>240</v>
      </c>
      <c r="I982" t="s">
        <v>241</v>
      </c>
      <c r="J982" t="s">
        <v>3</v>
      </c>
      <c r="K982" s="183">
        <f ca="1">VLOOKUP(F982,
    OFFSET(INDIRECT(ADDRESS(MATCH(J982,'Vehicle numbers'!$A$5:$A$162,0),1,1,1,$L$6)),4,1,COUNTIF('Vehicle numbers'!$A$5:$A$162,J982),4),
    MATCH(K$8,'Vehicle numbers'!$B$4:$D$4,0))*1000</f>
        <v>1070022</v>
      </c>
      <c r="L982" s="183">
        <f ca="1">VLOOKUP(F982,
    OFFSET(INDIRECT(ADDRESS(MATCH(J982,'Vehicle numbers'!$A$5:$A$162,0),1,1,1,$L$6)),4,1,COUNTIF('Vehicle numbers'!$A$5:$A$162,J982),4),
    MATCH(L$8,'Vehicle numbers'!$B$4:$D$4,0))*1000</f>
        <v>1089684.9163523328</v>
      </c>
      <c r="M982" s="184">
        <f>VLOOKUP(F982,'Annual distance covered (GB)'!$A$8:$H$33,MATCH(J982,'Annual distance covered (GB)'!$A$7:$H$7,0))</f>
        <v>5</v>
      </c>
      <c r="N982" s="2">
        <f t="shared" ca="1" si="44"/>
        <v>19130.196532107348</v>
      </c>
      <c r="O982" s="180">
        <f t="shared" ca="1" si="45"/>
        <v>1.7555713807753483E-2</v>
      </c>
      <c r="P982" s="180"/>
      <c r="Q982" s="180"/>
      <c r="R982" s="180"/>
      <c r="S982" s="180"/>
      <c r="T982" s="180"/>
    </row>
    <row r="983" spans="1:20" x14ac:dyDescent="0.25">
      <c r="A983" t="s">
        <v>243</v>
      </c>
      <c r="B983" t="s">
        <v>237</v>
      </c>
      <c r="C983" t="s">
        <v>238</v>
      </c>
      <c r="D983" t="s">
        <v>260</v>
      </c>
      <c r="E983" t="s">
        <v>228</v>
      </c>
      <c r="F983">
        <v>2002</v>
      </c>
      <c r="G983">
        <v>2.6299000000000001E-3</v>
      </c>
      <c r="H983" t="s">
        <v>240</v>
      </c>
      <c r="I983" t="s">
        <v>241</v>
      </c>
      <c r="J983" t="s">
        <v>3</v>
      </c>
      <c r="K983" s="183">
        <f ca="1">VLOOKUP(F983,
    OFFSET(INDIRECT(ADDRESS(MATCH(J983,'Vehicle numbers'!$A$5:$A$162,0),1,1,1,$L$6)),4,1,COUNTIF('Vehicle numbers'!$A$5:$A$162,J983),4),
    MATCH(K$8,'Vehicle numbers'!$B$4:$D$4,0))*1000</f>
        <v>1070022</v>
      </c>
      <c r="L983" s="183">
        <f ca="1">VLOOKUP(F983,
    OFFSET(INDIRECT(ADDRESS(MATCH(J983,'Vehicle numbers'!$A$5:$A$162,0),1,1,1,$L$6)),4,1,COUNTIF('Vehicle numbers'!$A$5:$A$162,J983),4),
    MATCH(L$8,'Vehicle numbers'!$B$4:$D$4,0))*1000</f>
        <v>1089684.9163523328</v>
      </c>
      <c r="M983" s="184">
        <f>VLOOKUP(F983,'Annual distance covered (GB)'!$A$8:$H$33,MATCH(J983,'Annual distance covered (GB)'!$A$7:$H$7,0))</f>
        <v>5</v>
      </c>
      <c r="N983" s="2">
        <f t="shared" ca="1" si="44"/>
        <v>13391.137572475145</v>
      </c>
      <c r="O983" s="180">
        <f t="shared" ca="1" si="45"/>
        <v>1.2288999665427439E-2</v>
      </c>
      <c r="P983" s="180"/>
      <c r="Q983" s="180"/>
      <c r="R983" s="180"/>
      <c r="S983" s="180"/>
      <c r="T983" s="180"/>
    </row>
    <row r="984" spans="1:20" x14ac:dyDescent="0.25">
      <c r="A984" t="s">
        <v>244</v>
      </c>
      <c r="B984" t="s">
        <v>237</v>
      </c>
      <c r="C984" t="s">
        <v>238</v>
      </c>
      <c r="D984" t="s">
        <v>260</v>
      </c>
      <c r="E984" t="s">
        <v>228</v>
      </c>
      <c r="F984">
        <v>2002</v>
      </c>
      <c r="G984">
        <v>3.7040845070422499E-4</v>
      </c>
      <c r="H984" t="s">
        <v>240</v>
      </c>
      <c r="I984" t="s">
        <v>241</v>
      </c>
      <c r="J984" t="s">
        <v>3</v>
      </c>
      <c r="K984" s="183">
        <f ca="1">VLOOKUP(F984,
    OFFSET(INDIRECT(ADDRESS(MATCH(J984,'Vehicle numbers'!$A$5:$A$162,0),1,1,1,$L$6)),4,1,COUNTIF('Vehicle numbers'!$A$5:$A$162,J984),4),
    MATCH(K$8,'Vehicle numbers'!$B$4:$D$4,0))*1000</f>
        <v>1070022</v>
      </c>
      <c r="L984" s="183">
        <f ca="1">VLOOKUP(F984,
    OFFSET(INDIRECT(ADDRESS(MATCH(J984,'Vehicle numbers'!$A$5:$A$162,0),1,1,1,$L$6)),4,1,COUNTIF('Vehicle numbers'!$A$5:$A$162,J984),4),
    MATCH(L$8,'Vehicle numbers'!$B$4:$D$4,0))*1000</f>
        <v>1089684.9163523328</v>
      </c>
      <c r="M984" s="184">
        <f>VLOOKUP(F984,'Annual distance covered (GB)'!$A$8:$H$33,MATCH(J984,'Annual distance covered (GB)'!$A$7:$H$7,0))</f>
        <v>5</v>
      </c>
      <c r="N984" s="2">
        <f t="shared" ca="1" si="44"/>
        <v>1886.0757144331171</v>
      </c>
      <c r="O984" s="180">
        <f t="shared" ca="1" si="45"/>
        <v>1.7308450232996376E-3</v>
      </c>
      <c r="P984" s="180"/>
      <c r="Q984" s="180"/>
      <c r="R984" s="180"/>
      <c r="S984" s="180"/>
      <c r="T984" s="180"/>
    </row>
    <row r="985" spans="1:20" x14ac:dyDescent="0.25">
      <c r="A985" t="s">
        <v>246</v>
      </c>
      <c r="B985" t="s">
        <v>237</v>
      </c>
      <c r="C985" t="s">
        <v>238</v>
      </c>
      <c r="D985" t="s">
        <v>260</v>
      </c>
      <c r="E985" t="s">
        <v>228</v>
      </c>
      <c r="F985">
        <v>2002</v>
      </c>
      <c r="G985">
        <v>2.9632676056337998E-4</v>
      </c>
      <c r="H985" t="s">
        <v>240</v>
      </c>
      <c r="I985" t="s">
        <v>241</v>
      </c>
      <c r="J985" t="s">
        <v>3</v>
      </c>
      <c r="K985" s="183">
        <f ca="1">VLOOKUP(F985,
    OFFSET(INDIRECT(ADDRESS(MATCH(J985,'Vehicle numbers'!$A$5:$A$162,0),1,1,1,$L$6)),4,1,COUNTIF('Vehicle numbers'!$A$5:$A$162,J985),4),
    MATCH(K$8,'Vehicle numbers'!$B$4:$D$4,0))*1000</f>
        <v>1070022</v>
      </c>
      <c r="L985" s="183">
        <f ca="1">VLOOKUP(F985,
    OFFSET(INDIRECT(ADDRESS(MATCH(J985,'Vehicle numbers'!$A$5:$A$162,0),1,1,1,$L$6)),4,1,COUNTIF('Vehicle numbers'!$A$5:$A$162,J985),4),
    MATCH(L$8,'Vehicle numbers'!$B$4:$D$4,0))*1000</f>
        <v>1089684.9163523328</v>
      </c>
      <c r="M985" s="184">
        <f>VLOOKUP(F985,'Annual distance covered (GB)'!$A$8:$H$33,MATCH(J985,'Annual distance covered (GB)'!$A$7:$H$7,0))</f>
        <v>5</v>
      </c>
      <c r="N985" s="2">
        <f t="shared" ca="1" si="44"/>
        <v>1508.8605715464937</v>
      </c>
      <c r="O985" s="180">
        <f t="shared" ca="1" si="45"/>
        <v>1.3846760186397101E-3</v>
      </c>
      <c r="P985" s="180"/>
      <c r="Q985" s="180"/>
      <c r="R985" s="180"/>
      <c r="S985" s="180"/>
      <c r="T985" s="180"/>
    </row>
    <row r="986" spans="1:20" x14ac:dyDescent="0.25">
      <c r="A986" t="s">
        <v>236</v>
      </c>
      <c r="B986" t="s">
        <v>237</v>
      </c>
      <c r="C986" t="s">
        <v>238</v>
      </c>
      <c r="D986" t="s">
        <v>261</v>
      </c>
      <c r="E986" t="s">
        <v>229</v>
      </c>
      <c r="F986">
        <v>2002</v>
      </c>
      <c r="G986">
        <v>5.8399999999999997E-3</v>
      </c>
      <c r="H986" t="s">
        <v>240</v>
      </c>
      <c r="I986" t="s">
        <v>241</v>
      </c>
      <c r="J986" t="s">
        <v>3</v>
      </c>
      <c r="K986" s="183">
        <f ca="1">VLOOKUP(F986,
    OFFSET(INDIRECT(ADDRESS(MATCH(J986,'Vehicle numbers'!$A$5:$A$162,0),1,1,1,$L$6)),4,1,COUNTIF('Vehicle numbers'!$A$5:$A$162,J986),4),
    MATCH(K$8,'Vehicle numbers'!$B$4:$D$4,0))*1000</f>
        <v>1070022</v>
      </c>
      <c r="L986" s="183">
        <f ca="1">VLOOKUP(F986,
    OFFSET(INDIRECT(ADDRESS(MATCH(J986,'Vehicle numbers'!$A$5:$A$162,0),1,1,1,$L$6)),4,1,COUNTIF('Vehicle numbers'!$A$5:$A$162,J986),4),
    MATCH(L$8,'Vehicle numbers'!$B$4:$D$4,0))*1000</f>
        <v>1089684.9163523328</v>
      </c>
      <c r="M986" s="184">
        <f>VLOOKUP(F986,'Annual distance covered (GB)'!$A$8:$H$33,MATCH(J986,'Annual distance covered (GB)'!$A$7:$H$7,0))</f>
        <v>5</v>
      </c>
      <c r="N986" s="2">
        <f t="shared" ca="1" si="44"/>
        <v>29736.584441710649</v>
      </c>
      <c r="O986" s="180">
        <f t="shared" ca="1" si="45"/>
        <v>2.7289158540665513E-2</v>
      </c>
      <c r="P986" s="180"/>
      <c r="Q986" s="180"/>
      <c r="R986" s="180"/>
      <c r="S986" s="180"/>
      <c r="T986" s="180"/>
    </row>
    <row r="987" spans="1:20" x14ac:dyDescent="0.25">
      <c r="A987" t="s">
        <v>243</v>
      </c>
      <c r="B987" t="s">
        <v>237</v>
      </c>
      <c r="C987" t="s">
        <v>238</v>
      </c>
      <c r="D987" t="s">
        <v>261</v>
      </c>
      <c r="E987" t="s">
        <v>229</v>
      </c>
      <c r="F987">
        <v>2002</v>
      </c>
      <c r="G987">
        <v>2.336E-3</v>
      </c>
      <c r="H987" t="s">
        <v>240</v>
      </c>
      <c r="I987" t="s">
        <v>241</v>
      </c>
      <c r="J987" t="s">
        <v>3</v>
      </c>
      <c r="K987" s="183">
        <f ca="1">VLOOKUP(F987,
    OFFSET(INDIRECT(ADDRESS(MATCH(J987,'Vehicle numbers'!$A$5:$A$162,0),1,1,1,$L$6)),4,1,COUNTIF('Vehicle numbers'!$A$5:$A$162,J987),4),
    MATCH(K$8,'Vehicle numbers'!$B$4:$D$4,0))*1000</f>
        <v>1070022</v>
      </c>
      <c r="L987" s="183">
        <f ca="1">VLOOKUP(F987,
    OFFSET(INDIRECT(ADDRESS(MATCH(J987,'Vehicle numbers'!$A$5:$A$162,0),1,1,1,$L$6)),4,1,COUNTIF('Vehicle numbers'!$A$5:$A$162,J987),4),
    MATCH(L$8,'Vehicle numbers'!$B$4:$D$4,0))*1000</f>
        <v>1089684.9163523328</v>
      </c>
      <c r="M987" s="184">
        <f>VLOOKUP(F987,'Annual distance covered (GB)'!$A$8:$H$33,MATCH(J987,'Annual distance covered (GB)'!$A$7:$H$7,0))</f>
        <v>5</v>
      </c>
      <c r="N987" s="2">
        <f t="shared" ca="1" si="44"/>
        <v>11894.633776684261</v>
      </c>
      <c r="O987" s="180">
        <f t="shared" ca="1" si="45"/>
        <v>1.0915663416266206E-2</v>
      </c>
      <c r="P987" s="180"/>
      <c r="Q987" s="180"/>
      <c r="R987" s="180"/>
      <c r="S987" s="180"/>
      <c r="T987" s="180"/>
    </row>
    <row r="988" spans="1:20" x14ac:dyDescent="0.25">
      <c r="A988" t="s">
        <v>244</v>
      </c>
      <c r="B988" t="s">
        <v>237</v>
      </c>
      <c r="C988" t="s">
        <v>238</v>
      </c>
      <c r="D988" t="s">
        <v>261</v>
      </c>
      <c r="E988" t="s">
        <v>229</v>
      </c>
      <c r="F988">
        <v>2002</v>
      </c>
      <c r="G988">
        <v>5.8399999999999999E-4</v>
      </c>
      <c r="H988" t="s">
        <v>240</v>
      </c>
      <c r="I988" t="s">
        <v>241</v>
      </c>
      <c r="J988" t="s">
        <v>3</v>
      </c>
      <c r="K988" s="183">
        <f ca="1">VLOOKUP(F988,
    OFFSET(INDIRECT(ADDRESS(MATCH(J988,'Vehicle numbers'!$A$5:$A$162,0),1,1,1,$L$6)),4,1,COUNTIF('Vehicle numbers'!$A$5:$A$162,J988),4),
    MATCH(K$8,'Vehicle numbers'!$B$4:$D$4,0))*1000</f>
        <v>1070022</v>
      </c>
      <c r="L988" s="183">
        <f ca="1">VLOOKUP(F988,
    OFFSET(INDIRECT(ADDRESS(MATCH(J988,'Vehicle numbers'!$A$5:$A$162,0),1,1,1,$L$6)),4,1,COUNTIF('Vehicle numbers'!$A$5:$A$162,J988),4),
    MATCH(L$8,'Vehicle numbers'!$B$4:$D$4,0))*1000</f>
        <v>1089684.9163523328</v>
      </c>
      <c r="M988" s="184">
        <f>VLOOKUP(F988,'Annual distance covered (GB)'!$A$8:$H$33,MATCH(J988,'Annual distance covered (GB)'!$A$7:$H$7,0))</f>
        <v>5</v>
      </c>
      <c r="N988" s="2">
        <f t="shared" ca="1" si="44"/>
        <v>2973.6584441710652</v>
      </c>
      <c r="O988" s="180">
        <f t="shared" ca="1" si="45"/>
        <v>2.7289158540665516E-3</v>
      </c>
      <c r="P988" s="180"/>
      <c r="Q988" s="180"/>
      <c r="R988" s="180"/>
      <c r="S988" s="180"/>
      <c r="T988" s="180"/>
    </row>
    <row r="989" spans="1:20" x14ac:dyDescent="0.25">
      <c r="A989" t="s">
        <v>246</v>
      </c>
      <c r="B989" t="s">
        <v>237</v>
      </c>
      <c r="C989" t="s">
        <v>238</v>
      </c>
      <c r="D989" t="s">
        <v>261</v>
      </c>
      <c r="E989" t="s">
        <v>229</v>
      </c>
      <c r="F989">
        <v>2002</v>
      </c>
      <c r="G989">
        <v>4.6720000000000003E-4</v>
      </c>
      <c r="H989" t="s">
        <v>240</v>
      </c>
      <c r="I989" t="s">
        <v>241</v>
      </c>
      <c r="J989" t="s">
        <v>3</v>
      </c>
      <c r="K989" s="183">
        <f ca="1">VLOOKUP(F989,
    OFFSET(INDIRECT(ADDRESS(MATCH(J989,'Vehicle numbers'!$A$5:$A$162,0),1,1,1,$L$6)),4,1,COUNTIF('Vehicle numbers'!$A$5:$A$162,J989),4),
    MATCH(K$8,'Vehicle numbers'!$B$4:$D$4,0))*1000</f>
        <v>1070022</v>
      </c>
      <c r="L989" s="183">
        <f ca="1">VLOOKUP(F989,
    OFFSET(INDIRECT(ADDRESS(MATCH(J989,'Vehicle numbers'!$A$5:$A$162,0),1,1,1,$L$6)),4,1,COUNTIF('Vehicle numbers'!$A$5:$A$162,J989),4),
    MATCH(L$8,'Vehicle numbers'!$B$4:$D$4,0))*1000</f>
        <v>1089684.9163523328</v>
      </c>
      <c r="M989" s="184">
        <f>VLOOKUP(F989,'Annual distance covered (GB)'!$A$8:$H$33,MATCH(J989,'Annual distance covered (GB)'!$A$7:$H$7,0))</f>
        <v>5</v>
      </c>
      <c r="N989" s="2">
        <f t="shared" ca="1" si="44"/>
        <v>2378.9267553368522</v>
      </c>
      <c r="O989" s="180">
        <f t="shared" ca="1" si="45"/>
        <v>2.1831326832532413E-3</v>
      </c>
      <c r="P989" s="180"/>
      <c r="Q989" s="180"/>
      <c r="R989" s="180"/>
      <c r="S989" s="180"/>
      <c r="T989" s="180"/>
    </row>
    <row r="990" spans="1:20" x14ac:dyDescent="0.25">
      <c r="A990" t="s">
        <v>236</v>
      </c>
      <c r="B990" t="s">
        <v>237</v>
      </c>
      <c r="C990" t="s">
        <v>238</v>
      </c>
      <c r="D990" t="s">
        <v>261</v>
      </c>
      <c r="E990" t="s">
        <v>228</v>
      </c>
      <c r="F990">
        <v>2002</v>
      </c>
      <c r="G990">
        <v>3.7569999999999999E-3</v>
      </c>
      <c r="H990" t="s">
        <v>240</v>
      </c>
      <c r="I990" t="s">
        <v>241</v>
      </c>
      <c r="J990" t="s">
        <v>3</v>
      </c>
      <c r="K990" s="183">
        <f ca="1">VLOOKUP(F990,
    OFFSET(INDIRECT(ADDRESS(MATCH(J990,'Vehicle numbers'!$A$5:$A$162,0),1,1,1,$L$6)),4,1,COUNTIF('Vehicle numbers'!$A$5:$A$162,J990),4),
    MATCH(K$8,'Vehicle numbers'!$B$4:$D$4,0))*1000</f>
        <v>1070022</v>
      </c>
      <c r="L990" s="183">
        <f ca="1">VLOOKUP(F990,
    OFFSET(INDIRECT(ADDRESS(MATCH(J990,'Vehicle numbers'!$A$5:$A$162,0),1,1,1,$L$6)),4,1,COUNTIF('Vehicle numbers'!$A$5:$A$162,J990),4),
    MATCH(L$8,'Vehicle numbers'!$B$4:$D$4,0))*1000</f>
        <v>1089684.9163523328</v>
      </c>
      <c r="M990" s="184">
        <f>VLOOKUP(F990,'Annual distance covered (GB)'!$A$8:$H$33,MATCH(J990,'Annual distance covered (GB)'!$A$7:$H$7,0))</f>
        <v>5</v>
      </c>
      <c r="N990" s="2">
        <f t="shared" ca="1" si="44"/>
        <v>19130.196532107348</v>
      </c>
      <c r="O990" s="180">
        <f t="shared" ca="1" si="45"/>
        <v>1.7555713807753483E-2</v>
      </c>
      <c r="P990" s="180"/>
      <c r="Q990" s="180"/>
      <c r="R990" s="180"/>
      <c r="S990" s="180"/>
      <c r="T990" s="180"/>
    </row>
    <row r="991" spans="1:20" x14ac:dyDescent="0.25">
      <c r="A991" t="s">
        <v>243</v>
      </c>
      <c r="B991" t="s">
        <v>237</v>
      </c>
      <c r="C991" t="s">
        <v>238</v>
      </c>
      <c r="D991" t="s">
        <v>261</v>
      </c>
      <c r="E991" t="s">
        <v>228</v>
      </c>
      <c r="F991">
        <v>2002</v>
      </c>
      <c r="G991">
        <v>2.6299000000000001E-3</v>
      </c>
      <c r="H991" t="s">
        <v>240</v>
      </c>
      <c r="I991" t="s">
        <v>241</v>
      </c>
      <c r="J991" t="s">
        <v>3</v>
      </c>
      <c r="K991" s="183">
        <f ca="1">VLOOKUP(F991,
    OFFSET(INDIRECT(ADDRESS(MATCH(J991,'Vehicle numbers'!$A$5:$A$162,0),1,1,1,$L$6)),4,1,COUNTIF('Vehicle numbers'!$A$5:$A$162,J991),4),
    MATCH(K$8,'Vehicle numbers'!$B$4:$D$4,0))*1000</f>
        <v>1070022</v>
      </c>
      <c r="L991" s="183">
        <f ca="1">VLOOKUP(F991,
    OFFSET(INDIRECT(ADDRESS(MATCH(J991,'Vehicle numbers'!$A$5:$A$162,0),1,1,1,$L$6)),4,1,COUNTIF('Vehicle numbers'!$A$5:$A$162,J991),4),
    MATCH(L$8,'Vehicle numbers'!$B$4:$D$4,0))*1000</f>
        <v>1089684.9163523328</v>
      </c>
      <c r="M991" s="184">
        <f>VLOOKUP(F991,'Annual distance covered (GB)'!$A$8:$H$33,MATCH(J991,'Annual distance covered (GB)'!$A$7:$H$7,0))</f>
        <v>5</v>
      </c>
      <c r="N991" s="2">
        <f t="shared" ca="1" si="44"/>
        <v>13391.137572475145</v>
      </c>
      <c r="O991" s="180">
        <f t="shared" ca="1" si="45"/>
        <v>1.2288999665427439E-2</v>
      </c>
      <c r="P991" s="180"/>
      <c r="Q991" s="180"/>
      <c r="R991" s="180"/>
      <c r="S991" s="180"/>
      <c r="T991" s="180"/>
    </row>
    <row r="992" spans="1:20" x14ac:dyDescent="0.25">
      <c r="A992" t="s">
        <v>244</v>
      </c>
      <c r="B992" t="s">
        <v>237</v>
      </c>
      <c r="C992" t="s">
        <v>238</v>
      </c>
      <c r="D992" t="s">
        <v>261</v>
      </c>
      <c r="E992" t="s">
        <v>228</v>
      </c>
      <c r="F992">
        <v>2002</v>
      </c>
      <c r="G992">
        <v>3.7040845070422499E-4</v>
      </c>
      <c r="H992" t="s">
        <v>240</v>
      </c>
      <c r="I992" t="s">
        <v>241</v>
      </c>
      <c r="J992" t="s">
        <v>3</v>
      </c>
      <c r="K992" s="183">
        <f ca="1">VLOOKUP(F992,
    OFFSET(INDIRECT(ADDRESS(MATCH(J992,'Vehicle numbers'!$A$5:$A$162,0),1,1,1,$L$6)),4,1,COUNTIF('Vehicle numbers'!$A$5:$A$162,J992),4),
    MATCH(K$8,'Vehicle numbers'!$B$4:$D$4,0))*1000</f>
        <v>1070022</v>
      </c>
      <c r="L992" s="183">
        <f ca="1">VLOOKUP(F992,
    OFFSET(INDIRECT(ADDRESS(MATCH(J992,'Vehicle numbers'!$A$5:$A$162,0),1,1,1,$L$6)),4,1,COUNTIF('Vehicle numbers'!$A$5:$A$162,J992),4),
    MATCH(L$8,'Vehicle numbers'!$B$4:$D$4,0))*1000</f>
        <v>1089684.9163523328</v>
      </c>
      <c r="M992" s="184">
        <f>VLOOKUP(F992,'Annual distance covered (GB)'!$A$8:$H$33,MATCH(J992,'Annual distance covered (GB)'!$A$7:$H$7,0))</f>
        <v>5</v>
      </c>
      <c r="N992" s="2">
        <f t="shared" ca="1" si="44"/>
        <v>1886.0757144331171</v>
      </c>
      <c r="O992" s="180">
        <f t="shared" ca="1" si="45"/>
        <v>1.7308450232996376E-3</v>
      </c>
      <c r="P992" s="180"/>
      <c r="Q992" s="180"/>
      <c r="R992" s="180"/>
      <c r="S992" s="180"/>
      <c r="T992" s="180"/>
    </row>
    <row r="993" spans="1:20" x14ac:dyDescent="0.25">
      <c r="A993" t="s">
        <v>246</v>
      </c>
      <c r="B993" t="s">
        <v>237</v>
      </c>
      <c r="C993" t="s">
        <v>238</v>
      </c>
      <c r="D993" t="s">
        <v>261</v>
      </c>
      <c r="E993" t="s">
        <v>228</v>
      </c>
      <c r="F993">
        <v>2002</v>
      </c>
      <c r="G993">
        <v>2.9632676056337998E-4</v>
      </c>
      <c r="H993" t="s">
        <v>240</v>
      </c>
      <c r="I993" t="s">
        <v>241</v>
      </c>
      <c r="J993" t="s">
        <v>3</v>
      </c>
      <c r="K993" s="183">
        <f ca="1">VLOOKUP(F993,
    OFFSET(INDIRECT(ADDRESS(MATCH(J993,'Vehicle numbers'!$A$5:$A$162,0),1,1,1,$L$6)),4,1,COUNTIF('Vehicle numbers'!$A$5:$A$162,J993),4),
    MATCH(K$8,'Vehicle numbers'!$B$4:$D$4,0))*1000</f>
        <v>1070022</v>
      </c>
      <c r="L993" s="183">
        <f ca="1">VLOOKUP(F993,
    OFFSET(INDIRECT(ADDRESS(MATCH(J993,'Vehicle numbers'!$A$5:$A$162,0),1,1,1,$L$6)),4,1,COUNTIF('Vehicle numbers'!$A$5:$A$162,J993),4),
    MATCH(L$8,'Vehicle numbers'!$B$4:$D$4,0))*1000</f>
        <v>1089684.9163523328</v>
      </c>
      <c r="M993" s="184">
        <f>VLOOKUP(F993,'Annual distance covered (GB)'!$A$8:$H$33,MATCH(J993,'Annual distance covered (GB)'!$A$7:$H$7,0))</f>
        <v>5</v>
      </c>
      <c r="N993" s="2">
        <f t="shared" ca="1" si="44"/>
        <v>1508.8605715464937</v>
      </c>
      <c r="O993" s="180">
        <f t="shared" ca="1" si="45"/>
        <v>1.3846760186397101E-3</v>
      </c>
      <c r="P993" s="180"/>
      <c r="Q993" s="180"/>
      <c r="R993" s="180"/>
      <c r="S993" s="180"/>
      <c r="T993" s="180"/>
    </row>
    <row r="994" spans="1:20" x14ac:dyDescent="0.25">
      <c r="A994" t="s">
        <v>236</v>
      </c>
      <c r="B994" t="s">
        <v>237</v>
      </c>
      <c r="C994" t="s">
        <v>238</v>
      </c>
      <c r="D994" t="s">
        <v>262</v>
      </c>
      <c r="E994" t="s">
        <v>229</v>
      </c>
      <c r="F994">
        <v>2002</v>
      </c>
      <c r="G994">
        <v>6.8000000000000005E-4</v>
      </c>
      <c r="H994" t="s">
        <v>240</v>
      </c>
      <c r="I994" t="s">
        <v>241</v>
      </c>
      <c r="J994" t="s">
        <v>3</v>
      </c>
      <c r="K994" s="183">
        <f ca="1">VLOOKUP(F994,
    OFFSET(INDIRECT(ADDRESS(MATCH(J994,'Vehicle numbers'!$A$5:$A$162,0),1,1,1,$L$6)),4,1,COUNTIF('Vehicle numbers'!$A$5:$A$162,J994),4),
    MATCH(K$8,'Vehicle numbers'!$B$4:$D$4,0))*1000</f>
        <v>1070022</v>
      </c>
      <c r="L994" s="183">
        <f ca="1">VLOOKUP(F994,
    OFFSET(INDIRECT(ADDRESS(MATCH(J994,'Vehicle numbers'!$A$5:$A$162,0),1,1,1,$L$6)),4,1,COUNTIF('Vehicle numbers'!$A$5:$A$162,J994),4),
    MATCH(L$8,'Vehicle numbers'!$B$4:$D$4,0))*1000</f>
        <v>1089684.9163523328</v>
      </c>
      <c r="M994" s="184">
        <f>VLOOKUP(F994,'Annual distance covered (GB)'!$A$8:$H$33,MATCH(J994,'Annual distance covered (GB)'!$A$7:$H$7,0))</f>
        <v>5</v>
      </c>
      <c r="N994" s="2">
        <f t="shared" ca="1" si="44"/>
        <v>3462.479010336172</v>
      </c>
      <c r="O994" s="180">
        <f t="shared" ca="1" si="45"/>
        <v>3.177504761584341E-3</v>
      </c>
      <c r="P994" s="180"/>
      <c r="Q994" s="180"/>
      <c r="R994" s="180"/>
      <c r="S994" s="180"/>
      <c r="T994" s="180"/>
    </row>
    <row r="995" spans="1:20" x14ac:dyDescent="0.25">
      <c r="A995" t="s">
        <v>243</v>
      </c>
      <c r="B995" t="s">
        <v>237</v>
      </c>
      <c r="C995" t="s">
        <v>238</v>
      </c>
      <c r="D995" t="s">
        <v>262</v>
      </c>
      <c r="E995" t="s">
        <v>229</v>
      </c>
      <c r="F995">
        <v>2002</v>
      </c>
      <c r="G995">
        <v>2.72E-4</v>
      </c>
      <c r="H995" t="s">
        <v>240</v>
      </c>
      <c r="I995" t="s">
        <v>241</v>
      </c>
      <c r="J995" t="s">
        <v>3</v>
      </c>
      <c r="K995" s="183">
        <f ca="1">VLOOKUP(F995,
    OFFSET(INDIRECT(ADDRESS(MATCH(J995,'Vehicle numbers'!$A$5:$A$162,0),1,1,1,$L$6)),4,1,COUNTIF('Vehicle numbers'!$A$5:$A$162,J995),4),
    MATCH(K$8,'Vehicle numbers'!$B$4:$D$4,0))*1000</f>
        <v>1070022</v>
      </c>
      <c r="L995" s="183">
        <f ca="1">VLOOKUP(F995,
    OFFSET(INDIRECT(ADDRESS(MATCH(J995,'Vehicle numbers'!$A$5:$A$162,0),1,1,1,$L$6)),4,1,COUNTIF('Vehicle numbers'!$A$5:$A$162,J995),4),
    MATCH(L$8,'Vehicle numbers'!$B$4:$D$4,0))*1000</f>
        <v>1089684.9163523328</v>
      </c>
      <c r="M995" s="184">
        <f>VLOOKUP(F995,'Annual distance covered (GB)'!$A$8:$H$33,MATCH(J995,'Annual distance covered (GB)'!$A$7:$H$7,0))</f>
        <v>5</v>
      </c>
      <c r="N995" s="2">
        <f t="shared" ca="1" si="44"/>
        <v>1384.9916041344686</v>
      </c>
      <c r="O995" s="180">
        <f t="shared" ca="1" si="45"/>
        <v>1.2710019046337363E-3</v>
      </c>
      <c r="P995" s="180"/>
      <c r="Q995" s="180"/>
      <c r="R995" s="180"/>
      <c r="S995" s="180"/>
      <c r="T995" s="180"/>
    </row>
    <row r="996" spans="1:20" x14ac:dyDescent="0.25">
      <c r="A996" t="s">
        <v>244</v>
      </c>
      <c r="B996" t="s">
        <v>237</v>
      </c>
      <c r="C996" t="s">
        <v>238</v>
      </c>
      <c r="D996" t="s">
        <v>262</v>
      </c>
      <c r="E996" t="s">
        <v>229</v>
      </c>
      <c r="F996">
        <v>2002</v>
      </c>
      <c r="G996" s="189">
        <v>6.7999999999999999E-5</v>
      </c>
      <c r="H996" t="s">
        <v>240</v>
      </c>
      <c r="I996" t="s">
        <v>241</v>
      </c>
      <c r="J996" t="s">
        <v>3</v>
      </c>
      <c r="K996" s="183">
        <f ca="1">VLOOKUP(F996,
    OFFSET(INDIRECT(ADDRESS(MATCH(J996,'Vehicle numbers'!$A$5:$A$162,0),1,1,1,$L$6)),4,1,COUNTIF('Vehicle numbers'!$A$5:$A$162,J996),4),
    MATCH(K$8,'Vehicle numbers'!$B$4:$D$4,0))*1000</f>
        <v>1070022</v>
      </c>
      <c r="L996" s="183">
        <f ca="1">VLOOKUP(F996,
    OFFSET(INDIRECT(ADDRESS(MATCH(J996,'Vehicle numbers'!$A$5:$A$162,0),1,1,1,$L$6)),4,1,COUNTIF('Vehicle numbers'!$A$5:$A$162,J996),4),
    MATCH(L$8,'Vehicle numbers'!$B$4:$D$4,0))*1000</f>
        <v>1089684.9163523328</v>
      </c>
      <c r="M996" s="184">
        <f>VLOOKUP(F996,'Annual distance covered (GB)'!$A$8:$H$33,MATCH(J996,'Annual distance covered (GB)'!$A$7:$H$7,0))</f>
        <v>5</v>
      </c>
      <c r="N996" s="2">
        <f t="shared" ca="1" si="44"/>
        <v>346.24790103361715</v>
      </c>
      <c r="O996" s="180">
        <f t="shared" ca="1" si="45"/>
        <v>3.1775047615843408E-4</v>
      </c>
      <c r="P996" s="180"/>
      <c r="Q996" s="180"/>
      <c r="R996" s="180"/>
      <c r="S996" s="180"/>
      <c r="T996" s="180"/>
    </row>
    <row r="997" spans="1:20" x14ac:dyDescent="0.25">
      <c r="A997" t="s">
        <v>246</v>
      </c>
      <c r="B997" t="s">
        <v>237</v>
      </c>
      <c r="C997" t="s">
        <v>238</v>
      </c>
      <c r="D997" t="s">
        <v>262</v>
      </c>
      <c r="E997" t="s">
        <v>229</v>
      </c>
      <c r="F997">
        <v>2002</v>
      </c>
      <c r="G997" s="189">
        <v>5.4400000000000001E-5</v>
      </c>
      <c r="H997" t="s">
        <v>240</v>
      </c>
      <c r="I997" t="s">
        <v>241</v>
      </c>
      <c r="J997" t="s">
        <v>3</v>
      </c>
      <c r="K997" s="183">
        <f ca="1">VLOOKUP(F997,
    OFFSET(INDIRECT(ADDRESS(MATCH(J997,'Vehicle numbers'!$A$5:$A$162,0),1,1,1,$L$6)),4,1,COUNTIF('Vehicle numbers'!$A$5:$A$162,J997),4),
    MATCH(K$8,'Vehicle numbers'!$B$4:$D$4,0))*1000</f>
        <v>1070022</v>
      </c>
      <c r="L997" s="183">
        <f ca="1">VLOOKUP(F997,
    OFFSET(INDIRECT(ADDRESS(MATCH(J997,'Vehicle numbers'!$A$5:$A$162,0),1,1,1,$L$6)),4,1,COUNTIF('Vehicle numbers'!$A$5:$A$162,J997),4),
    MATCH(L$8,'Vehicle numbers'!$B$4:$D$4,0))*1000</f>
        <v>1089684.9163523328</v>
      </c>
      <c r="M997" s="184">
        <f>VLOOKUP(F997,'Annual distance covered (GB)'!$A$8:$H$33,MATCH(J997,'Annual distance covered (GB)'!$A$7:$H$7,0))</f>
        <v>5</v>
      </c>
      <c r="N997" s="2">
        <f t="shared" ca="1" si="44"/>
        <v>276.99832082689375</v>
      </c>
      <c r="O997" s="180">
        <f t="shared" ca="1" si="45"/>
        <v>2.5420038092674728E-4</v>
      </c>
      <c r="P997" s="180"/>
      <c r="Q997" s="180"/>
      <c r="R997" s="180"/>
      <c r="S997" s="180"/>
      <c r="T997" s="180"/>
    </row>
    <row r="998" spans="1:20" x14ac:dyDescent="0.25">
      <c r="A998" t="s">
        <v>236</v>
      </c>
      <c r="B998" t="s">
        <v>237</v>
      </c>
      <c r="C998" t="s">
        <v>238</v>
      </c>
      <c r="D998" t="s">
        <v>262</v>
      </c>
      <c r="E998" t="s">
        <v>228</v>
      </c>
      <c r="F998">
        <v>2002</v>
      </c>
      <c r="G998">
        <v>2.49E-3</v>
      </c>
      <c r="H998" t="s">
        <v>240</v>
      </c>
      <c r="I998" t="s">
        <v>241</v>
      </c>
      <c r="J998" t="s">
        <v>3</v>
      </c>
      <c r="K998" s="183">
        <f ca="1">VLOOKUP(F998,
    OFFSET(INDIRECT(ADDRESS(MATCH(J998,'Vehicle numbers'!$A$5:$A$162,0),1,1,1,$L$6)),4,1,COUNTIF('Vehicle numbers'!$A$5:$A$162,J998),4),
    MATCH(K$8,'Vehicle numbers'!$B$4:$D$4,0))*1000</f>
        <v>1070022</v>
      </c>
      <c r="L998" s="183">
        <f ca="1">VLOOKUP(F998,
    OFFSET(INDIRECT(ADDRESS(MATCH(J998,'Vehicle numbers'!$A$5:$A$162,0),1,1,1,$L$6)),4,1,COUNTIF('Vehicle numbers'!$A$5:$A$162,J998),4),
    MATCH(L$8,'Vehicle numbers'!$B$4:$D$4,0))*1000</f>
        <v>1089684.9163523328</v>
      </c>
      <c r="M998" s="184">
        <f>VLOOKUP(F998,'Annual distance covered (GB)'!$A$8:$H$33,MATCH(J998,'Annual distance covered (GB)'!$A$7:$H$7,0))</f>
        <v>5</v>
      </c>
      <c r="N998" s="2">
        <f t="shared" ca="1" si="44"/>
        <v>12678.783434907453</v>
      </c>
      <c r="O998" s="180">
        <f t="shared" ca="1" si="45"/>
        <v>1.1635274788742661E-2</v>
      </c>
      <c r="P998" s="180"/>
      <c r="Q998" s="180"/>
      <c r="R998" s="180"/>
      <c r="S998" s="180"/>
      <c r="T998" s="180"/>
    </row>
    <row r="999" spans="1:20" x14ac:dyDescent="0.25">
      <c r="A999" t="s">
        <v>243</v>
      </c>
      <c r="B999" t="s">
        <v>237</v>
      </c>
      <c r="C999" t="s">
        <v>238</v>
      </c>
      <c r="D999" t="s">
        <v>262</v>
      </c>
      <c r="E999" t="s">
        <v>228</v>
      </c>
      <c r="F999">
        <v>2002</v>
      </c>
      <c r="G999">
        <v>1.743E-3</v>
      </c>
      <c r="H999" t="s">
        <v>240</v>
      </c>
      <c r="I999" t="s">
        <v>241</v>
      </c>
      <c r="J999" t="s">
        <v>3</v>
      </c>
      <c r="K999" s="183">
        <f ca="1">VLOOKUP(F999,
    OFFSET(INDIRECT(ADDRESS(MATCH(J999,'Vehicle numbers'!$A$5:$A$162,0),1,1,1,$L$6)),4,1,COUNTIF('Vehicle numbers'!$A$5:$A$162,J999),4),
    MATCH(K$8,'Vehicle numbers'!$B$4:$D$4,0))*1000</f>
        <v>1070022</v>
      </c>
      <c r="L999" s="183">
        <f ca="1">VLOOKUP(F999,
    OFFSET(INDIRECT(ADDRESS(MATCH(J999,'Vehicle numbers'!$A$5:$A$162,0),1,1,1,$L$6)),4,1,COUNTIF('Vehicle numbers'!$A$5:$A$162,J999),4),
    MATCH(L$8,'Vehicle numbers'!$B$4:$D$4,0))*1000</f>
        <v>1089684.9163523328</v>
      </c>
      <c r="M999" s="184">
        <f>VLOOKUP(F999,'Annual distance covered (GB)'!$A$8:$H$33,MATCH(J999,'Annual distance covered (GB)'!$A$7:$H$7,0))</f>
        <v>5</v>
      </c>
      <c r="N999" s="2">
        <f t="shared" ca="1" si="44"/>
        <v>8875.1484044352164</v>
      </c>
      <c r="O999" s="180">
        <f t="shared" ca="1" si="45"/>
        <v>8.1446923521198613E-3</v>
      </c>
      <c r="P999" s="180"/>
      <c r="Q999" s="180"/>
      <c r="R999" s="180"/>
      <c r="S999" s="180"/>
      <c r="T999" s="180"/>
    </row>
    <row r="1000" spans="1:20" x14ac:dyDescent="0.25">
      <c r="A1000" t="s">
        <v>244</v>
      </c>
      <c r="B1000" t="s">
        <v>237</v>
      </c>
      <c r="C1000" t="s">
        <v>238</v>
      </c>
      <c r="D1000" t="s">
        <v>262</v>
      </c>
      <c r="E1000" t="s">
        <v>228</v>
      </c>
      <c r="F1000">
        <v>2002</v>
      </c>
      <c r="G1000">
        <v>2.4549295774647798E-4</v>
      </c>
      <c r="H1000" t="s">
        <v>240</v>
      </c>
      <c r="I1000" t="s">
        <v>241</v>
      </c>
      <c r="J1000" t="s">
        <v>3</v>
      </c>
      <c r="K1000" s="183">
        <f ca="1">VLOOKUP(F1000,
    OFFSET(INDIRECT(ADDRESS(MATCH(J1000,'Vehicle numbers'!$A$5:$A$162,0),1,1,1,$L$6)),4,1,COUNTIF('Vehicle numbers'!$A$5:$A$162,J1000),4),
    MATCH(K$8,'Vehicle numbers'!$B$4:$D$4,0))*1000</f>
        <v>1070022</v>
      </c>
      <c r="L1000" s="183">
        <f ca="1">VLOOKUP(F1000,
    OFFSET(INDIRECT(ADDRESS(MATCH(J1000,'Vehicle numbers'!$A$5:$A$162,0),1,1,1,$L$6)),4,1,COUNTIF('Vehicle numbers'!$A$5:$A$162,J1000),4),
    MATCH(L$8,'Vehicle numbers'!$B$4:$D$4,0))*1000</f>
        <v>1089684.9163523328</v>
      </c>
      <c r="M1000" s="184">
        <f>VLOOKUP(F1000,'Annual distance covered (GB)'!$A$8:$H$33,MATCH(J1000,'Annual distance covered (GB)'!$A$7:$H$7,0))</f>
        <v>5</v>
      </c>
      <c r="N1000" s="2">
        <f t="shared" ca="1" si="44"/>
        <v>1250.0209020331247</v>
      </c>
      <c r="O1000" s="180">
        <f t="shared" ca="1" si="45"/>
        <v>1.147139767904202E-3</v>
      </c>
      <c r="P1000" s="180"/>
      <c r="Q1000" s="180"/>
      <c r="R1000" s="180"/>
      <c r="S1000" s="180"/>
      <c r="T1000" s="180"/>
    </row>
    <row r="1001" spans="1:20" x14ac:dyDescent="0.25">
      <c r="A1001" t="s">
        <v>246</v>
      </c>
      <c r="B1001" t="s">
        <v>237</v>
      </c>
      <c r="C1001" t="s">
        <v>238</v>
      </c>
      <c r="D1001" t="s">
        <v>262</v>
      </c>
      <c r="E1001" t="s">
        <v>228</v>
      </c>
      <c r="F1001">
        <v>2002</v>
      </c>
      <c r="G1001">
        <v>1.96394366197183E-4</v>
      </c>
      <c r="H1001" t="s">
        <v>240</v>
      </c>
      <c r="I1001" t="s">
        <v>241</v>
      </c>
      <c r="J1001" t="s">
        <v>3</v>
      </c>
      <c r="K1001" s="183">
        <f ca="1">VLOOKUP(F1001,
    OFFSET(INDIRECT(ADDRESS(MATCH(J1001,'Vehicle numbers'!$A$5:$A$162,0),1,1,1,$L$6)),4,1,COUNTIF('Vehicle numbers'!$A$5:$A$162,J1001),4),
    MATCH(K$8,'Vehicle numbers'!$B$4:$D$4,0))*1000</f>
        <v>1070022</v>
      </c>
      <c r="L1001" s="183">
        <f ca="1">VLOOKUP(F1001,
    OFFSET(INDIRECT(ADDRESS(MATCH(J1001,'Vehicle numbers'!$A$5:$A$162,0),1,1,1,$L$6)),4,1,COUNTIF('Vehicle numbers'!$A$5:$A$162,J1001),4),
    MATCH(L$8,'Vehicle numbers'!$B$4:$D$4,0))*1000</f>
        <v>1089684.9163523328</v>
      </c>
      <c r="M1001" s="184">
        <f>VLOOKUP(F1001,'Annual distance covered (GB)'!$A$8:$H$33,MATCH(J1001,'Annual distance covered (GB)'!$A$7:$H$7,0))</f>
        <v>5</v>
      </c>
      <c r="N1001" s="2">
        <f t="shared" ca="1" si="44"/>
        <v>1000.0167216265028</v>
      </c>
      <c r="O1001" s="180">
        <f t="shared" ca="1" si="45"/>
        <v>9.1771181432336426E-4</v>
      </c>
      <c r="P1001" s="180"/>
      <c r="Q1001" s="180"/>
      <c r="R1001" s="180"/>
      <c r="S1001" s="180"/>
      <c r="T1001" s="180"/>
    </row>
    <row r="1002" spans="1:20" x14ac:dyDescent="0.25">
      <c r="A1002" t="s">
        <v>236</v>
      </c>
      <c r="B1002" t="s">
        <v>237</v>
      </c>
      <c r="C1002" t="s">
        <v>238</v>
      </c>
      <c r="D1002" t="s">
        <v>263</v>
      </c>
      <c r="E1002" t="s">
        <v>229</v>
      </c>
      <c r="F1002">
        <v>2002</v>
      </c>
      <c r="G1002">
        <v>2.764E-3</v>
      </c>
      <c r="H1002" t="s">
        <v>240</v>
      </c>
      <c r="I1002" t="s">
        <v>241</v>
      </c>
      <c r="J1002" t="s">
        <v>3</v>
      </c>
      <c r="K1002" s="183">
        <f ca="1">VLOOKUP(F1002,
    OFFSET(INDIRECT(ADDRESS(MATCH(J1002,'Vehicle numbers'!$A$5:$A$162,0),1,1,1,$L$6)),4,1,COUNTIF('Vehicle numbers'!$A$5:$A$162,J1002),4),
    MATCH(K$8,'Vehicle numbers'!$B$4:$D$4,0))*1000</f>
        <v>1070022</v>
      </c>
      <c r="L1002" s="183">
        <f ca="1">VLOOKUP(F1002,
    OFFSET(INDIRECT(ADDRESS(MATCH(J1002,'Vehicle numbers'!$A$5:$A$162,0),1,1,1,$L$6)),4,1,COUNTIF('Vehicle numbers'!$A$5:$A$162,J1002),4),
    MATCH(L$8,'Vehicle numbers'!$B$4:$D$4,0))*1000</f>
        <v>1089684.9163523328</v>
      </c>
      <c r="M1002" s="184">
        <f>VLOOKUP(F1002,'Annual distance covered (GB)'!$A$8:$H$33,MATCH(J1002,'Annual distance covered (GB)'!$A$7:$H$7,0))</f>
        <v>5</v>
      </c>
      <c r="N1002" s="2">
        <f t="shared" ca="1" si="44"/>
        <v>14073.958800837027</v>
      </c>
      <c r="O1002" s="180">
        <f t="shared" ca="1" si="45"/>
        <v>1.2915622295616349E-2</v>
      </c>
      <c r="P1002" s="180"/>
      <c r="Q1002" s="180"/>
      <c r="R1002" s="180"/>
      <c r="S1002" s="180"/>
      <c r="T1002" s="180"/>
    </row>
    <row r="1003" spans="1:20" x14ac:dyDescent="0.25">
      <c r="A1003" t="s">
        <v>243</v>
      </c>
      <c r="B1003" t="s">
        <v>237</v>
      </c>
      <c r="C1003" t="s">
        <v>238</v>
      </c>
      <c r="D1003" t="s">
        <v>263</v>
      </c>
      <c r="E1003" t="s">
        <v>229</v>
      </c>
      <c r="F1003">
        <v>2002</v>
      </c>
      <c r="G1003">
        <v>1.1056E-3</v>
      </c>
      <c r="H1003" t="s">
        <v>240</v>
      </c>
      <c r="I1003" t="s">
        <v>241</v>
      </c>
      <c r="J1003" t="s">
        <v>3</v>
      </c>
      <c r="K1003" s="183">
        <f ca="1">VLOOKUP(F1003,
    OFFSET(INDIRECT(ADDRESS(MATCH(J1003,'Vehicle numbers'!$A$5:$A$162,0),1,1,1,$L$6)),4,1,COUNTIF('Vehicle numbers'!$A$5:$A$162,J1003),4),
    MATCH(K$8,'Vehicle numbers'!$B$4:$D$4,0))*1000</f>
        <v>1070022</v>
      </c>
      <c r="L1003" s="183">
        <f ca="1">VLOOKUP(F1003,
    OFFSET(INDIRECT(ADDRESS(MATCH(J1003,'Vehicle numbers'!$A$5:$A$162,0),1,1,1,$L$6)),4,1,COUNTIF('Vehicle numbers'!$A$5:$A$162,J1003),4),
    MATCH(L$8,'Vehicle numbers'!$B$4:$D$4,0))*1000</f>
        <v>1089684.9163523328</v>
      </c>
      <c r="M1003" s="184">
        <f>VLOOKUP(F1003,'Annual distance covered (GB)'!$A$8:$H$33,MATCH(J1003,'Annual distance covered (GB)'!$A$7:$H$7,0))</f>
        <v>5</v>
      </c>
      <c r="N1003" s="2">
        <f t="shared" ca="1" si="44"/>
        <v>5629.5835203348106</v>
      </c>
      <c r="O1003" s="180">
        <f t="shared" ca="1" si="45"/>
        <v>5.1662489182465396E-3</v>
      </c>
      <c r="P1003" s="180"/>
      <c r="Q1003" s="180"/>
      <c r="R1003" s="180"/>
      <c r="S1003" s="180"/>
      <c r="T1003" s="180"/>
    </row>
    <row r="1004" spans="1:20" x14ac:dyDescent="0.25">
      <c r="A1004" t="s">
        <v>244</v>
      </c>
      <c r="B1004" t="s">
        <v>237</v>
      </c>
      <c r="C1004" t="s">
        <v>238</v>
      </c>
      <c r="D1004" t="s">
        <v>263</v>
      </c>
      <c r="E1004" t="s">
        <v>229</v>
      </c>
      <c r="F1004">
        <v>2002</v>
      </c>
      <c r="G1004">
        <v>2.764E-4</v>
      </c>
      <c r="H1004" t="s">
        <v>240</v>
      </c>
      <c r="I1004" t="s">
        <v>241</v>
      </c>
      <c r="J1004" t="s">
        <v>3</v>
      </c>
      <c r="K1004" s="183">
        <f ca="1">VLOOKUP(F1004,
    OFFSET(INDIRECT(ADDRESS(MATCH(J1004,'Vehicle numbers'!$A$5:$A$162,0),1,1,1,$L$6)),4,1,COUNTIF('Vehicle numbers'!$A$5:$A$162,J1004),4),
    MATCH(K$8,'Vehicle numbers'!$B$4:$D$4,0))*1000</f>
        <v>1070022</v>
      </c>
      <c r="L1004" s="183">
        <f ca="1">VLOOKUP(F1004,
    OFFSET(INDIRECT(ADDRESS(MATCH(J1004,'Vehicle numbers'!$A$5:$A$162,0),1,1,1,$L$6)),4,1,COUNTIF('Vehicle numbers'!$A$5:$A$162,J1004),4),
    MATCH(L$8,'Vehicle numbers'!$B$4:$D$4,0))*1000</f>
        <v>1089684.9163523328</v>
      </c>
      <c r="M1004" s="184">
        <f>VLOOKUP(F1004,'Annual distance covered (GB)'!$A$8:$H$33,MATCH(J1004,'Annual distance covered (GB)'!$A$7:$H$7,0))</f>
        <v>5</v>
      </c>
      <c r="N1004" s="2">
        <f t="shared" ca="1" si="44"/>
        <v>1407.3958800837027</v>
      </c>
      <c r="O1004" s="180">
        <f t="shared" ca="1" si="45"/>
        <v>1.2915622295616349E-3</v>
      </c>
      <c r="P1004" s="180"/>
      <c r="Q1004" s="180"/>
      <c r="R1004" s="180"/>
      <c r="S1004" s="180"/>
      <c r="T1004" s="180"/>
    </row>
    <row r="1005" spans="1:20" x14ac:dyDescent="0.25">
      <c r="A1005" t="s">
        <v>246</v>
      </c>
      <c r="B1005" t="s">
        <v>237</v>
      </c>
      <c r="C1005" t="s">
        <v>238</v>
      </c>
      <c r="D1005" t="s">
        <v>263</v>
      </c>
      <c r="E1005" t="s">
        <v>229</v>
      </c>
      <c r="F1005">
        <v>2002</v>
      </c>
      <c r="G1005">
        <v>2.2112E-4</v>
      </c>
      <c r="H1005" t="s">
        <v>240</v>
      </c>
      <c r="I1005" t="s">
        <v>241</v>
      </c>
      <c r="J1005" t="s">
        <v>3</v>
      </c>
      <c r="K1005" s="183">
        <f ca="1">VLOOKUP(F1005,
    OFFSET(INDIRECT(ADDRESS(MATCH(J1005,'Vehicle numbers'!$A$5:$A$162,0),1,1,1,$L$6)),4,1,COUNTIF('Vehicle numbers'!$A$5:$A$162,J1005),4),
    MATCH(K$8,'Vehicle numbers'!$B$4:$D$4,0))*1000</f>
        <v>1070022</v>
      </c>
      <c r="L1005" s="183">
        <f ca="1">VLOOKUP(F1005,
    OFFSET(INDIRECT(ADDRESS(MATCH(J1005,'Vehicle numbers'!$A$5:$A$162,0),1,1,1,$L$6)),4,1,COUNTIF('Vehicle numbers'!$A$5:$A$162,J1005),4),
    MATCH(L$8,'Vehicle numbers'!$B$4:$D$4,0))*1000</f>
        <v>1089684.9163523328</v>
      </c>
      <c r="M1005" s="184">
        <f>VLOOKUP(F1005,'Annual distance covered (GB)'!$A$8:$H$33,MATCH(J1005,'Annual distance covered (GB)'!$A$7:$H$7,0))</f>
        <v>5</v>
      </c>
      <c r="N1005" s="2">
        <f t="shared" ca="1" si="44"/>
        <v>1125.9167040669622</v>
      </c>
      <c r="O1005" s="180">
        <f t="shared" ca="1" si="45"/>
        <v>1.033249783649308E-3</v>
      </c>
      <c r="P1005" s="180"/>
      <c r="Q1005" s="180"/>
      <c r="R1005" s="180"/>
      <c r="S1005" s="180"/>
      <c r="T1005" s="180"/>
    </row>
    <row r="1006" spans="1:20" x14ac:dyDescent="0.25">
      <c r="A1006" t="s">
        <v>236</v>
      </c>
      <c r="B1006" t="s">
        <v>237</v>
      </c>
      <c r="C1006" t="s">
        <v>238</v>
      </c>
      <c r="D1006" t="s">
        <v>263</v>
      </c>
      <c r="E1006" t="s">
        <v>228</v>
      </c>
      <c r="F1006">
        <v>2002</v>
      </c>
      <c r="G1006">
        <v>2.9239999999999999E-3</v>
      </c>
      <c r="H1006" t="s">
        <v>240</v>
      </c>
      <c r="I1006" t="s">
        <v>241</v>
      </c>
      <c r="J1006" t="s">
        <v>3</v>
      </c>
      <c r="K1006" s="183">
        <f ca="1">VLOOKUP(F1006,
    OFFSET(INDIRECT(ADDRESS(MATCH(J1006,'Vehicle numbers'!$A$5:$A$162,0),1,1,1,$L$6)),4,1,COUNTIF('Vehicle numbers'!$A$5:$A$162,J1006),4),
    MATCH(K$8,'Vehicle numbers'!$B$4:$D$4,0))*1000</f>
        <v>1070022</v>
      </c>
      <c r="L1006" s="183">
        <f ca="1">VLOOKUP(F1006,
    OFFSET(INDIRECT(ADDRESS(MATCH(J1006,'Vehicle numbers'!$A$5:$A$162,0),1,1,1,$L$6)),4,1,COUNTIF('Vehicle numbers'!$A$5:$A$162,J1006),4),
    MATCH(L$8,'Vehicle numbers'!$B$4:$D$4,0))*1000</f>
        <v>1089684.9163523328</v>
      </c>
      <c r="M1006" s="184">
        <f>VLOOKUP(F1006,'Annual distance covered (GB)'!$A$8:$H$33,MATCH(J1006,'Annual distance covered (GB)'!$A$7:$H$7,0))</f>
        <v>5</v>
      </c>
      <c r="N1006" s="2">
        <f t="shared" ca="1" si="44"/>
        <v>14888.659744445538</v>
      </c>
      <c r="O1006" s="180">
        <f t="shared" ca="1" si="45"/>
        <v>1.3663270474812667E-2</v>
      </c>
      <c r="P1006" s="180"/>
      <c r="Q1006" s="180"/>
      <c r="R1006" s="180"/>
      <c r="S1006" s="180"/>
      <c r="T1006" s="180"/>
    </row>
    <row r="1007" spans="1:20" x14ac:dyDescent="0.25">
      <c r="A1007" t="s">
        <v>243</v>
      </c>
      <c r="B1007" t="s">
        <v>237</v>
      </c>
      <c r="C1007" t="s">
        <v>238</v>
      </c>
      <c r="D1007" t="s">
        <v>263</v>
      </c>
      <c r="E1007" t="s">
        <v>228</v>
      </c>
      <c r="F1007">
        <v>2002</v>
      </c>
      <c r="G1007">
        <v>2.0468000000000001E-3</v>
      </c>
      <c r="H1007" t="s">
        <v>240</v>
      </c>
      <c r="I1007" t="s">
        <v>241</v>
      </c>
      <c r="J1007" t="s">
        <v>3</v>
      </c>
      <c r="K1007" s="183">
        <f ca="1">VLOOKUP(F1007,
    OFFSET(INDIRECT(ADDRESS(MATCH(J1007,'Vehicle numbers'!$A$5:$A$162,0),1,1,1,$L$6)),4,1,COUNTIF('Vehicle numbers'!$A$5:$A$162,J1007),4),
    MATCH(K$8,'Vehicle numbers'!$B$4:$D$4,0))*1000</f>
        <v>1070022</v>
      </c>
      <c r="L1007" s="183">
        <f ca="1">VLOOKUP(F1007,
    OFFSET(INDIRECT(ADDRESS(MATCH(J1007,'Vehicle numbers'!$A$5:$A$162,0),1,1,1,$L$6)),4,1,COUNTIF('Vehicle numbers'!$A$5:$A$162,J1007),4),
    MATCH(L$8,'Vehicle numbers'!$B$4:$D$4,0))*1000</f>
        <v>1089684.9163523328</v>
      </c>
      <c r="M1007" s="184">
        <f>VLOOKUP(F1007,'Annual distance covered (GB)'!$A$8:$H$33,MATCH(J1007,'Annual distance covered (GB)'!$A$7:$H$7,0))</f>
        <v>5</v>
      </c>
      <c r="N1007" s="2">
        <f t="shared" ca="1" si="44"/>
        <v>10422.061821111876</v>
      </c>
      <c r="O1007" s="180">
        <f t="shared" ca="1" si="45"/>
        <v>9.5642893323688652E-3</v>
      </c>
      <c r="P1007" s="180"/>
      <c r="Q1007" s="180"/>
      <c r="R1007" s="180"/>
      <c r="S1007" s="180"/>
      <c r="T1007" s="180"/>
    </row>
    <row r="1008" spans="1:20" x14ac:dyDescent="0.25">
      <c r="A1008" t="s">
        <v>244</v>
      </c>
      <c r="B1008" t="s">
        <v>237</v>
      </c>
      <c r="C1008" t="s">
        <v>238</v>
      </c>
      <c r="D1008" t="s">
        <v>263</v>
      </c>
      <c r="E1008" t="s">
        <v>228</v>
      </c>
      <c r="F1008">
        <v>2002</v>
      </c>
      <c r="G1008">
        <v>2.8828169014084501E-4</v>
      </c>
      <c r="H1008" t="s">
        <v>240</v>
      </c>
      <c r="I1008" t="s">
        <v>241</v>
      </c>
      <c r="J1008" t="s">
        <v>3</v>
      </c>
      <c r="K1008" s="183">
        <f ca="1">VLOOKUP(F1008,
    OFFSET(INDIRECT(ADDRESS(MATCH(J1008,'Vehicle numbers'!$A$5:$A$162,0),1,1,1,$L$6)),4,1,COUNTIF('Vehicle numbers'!$A$5:$A$162,J1008),4),
    MATCH(K$8,'Vehicle numbers'!$B$4:$D$4,0))*1000</f>
        <v>1070022</v>
      </c>
      <c r="L1008" s="183">
        <f ca="1">VLOOKUP(F1008,
    OFFSET(INDIRECT(ADDRESS(MATCH(J1008,'Vehicle numbers'!$A$5:$A$162,0),1,1,1,$L$6)),4,1,COUNTIF('Vehicle numbers'!$A$5:$A$162,J1008),4),
    MATCH(L$8,'Vehicle numbers'!$B$4:$D$4,0))*1000</f>
        <v>1089684.9163523328</v>
      </c>
      <c r="M1008" s="184">
        <f>VLOOKUP(F1008,'Annual distance covered (GB)'!$A$8:$H$33,MATCH(J1008,'Annual distance covered (GB)'!$A$7:$H$7,0))</f>
        <v>5</v>
      </c>
      <c r="N1008" s="2">
        <f t="shared" ca="1" si="44"/>
        <v>1467.8960311425176</v>
      </c>
      <c r="O1008" s="180">
        <f t="shared" ca="1" si="45"/>
        <v>1.3470830045589949E-3</v>
      </c>
      <c r="P1008" s="180"/>
      <c r="Q1008" s="180"/>
      <c r="R1008" s="180"/>
      <c r="S1008" s="180"/>
      <c r="T1008" s="180"/>
    </row>
    <row r="1009" spans="1:20" x14ac:dyDescent="0.25">
      <c r="A1009" t="s">
        <v>246</v>
      </c>
      <c r="B1009" t="s">
        <v>237</v>
      </c>
      <c r="C1009" t="s">
        <v>238</v>
      </c>
      <c r="D1009" t="s">
        <v>263</v>
      </c>
      <c r="E1009" t="s">
        <v>228</v>
      </c>
      <c r="F1009">
        <v>2002</v>
      </c>
      <c r="G1009">
        <v>2.3062535211267599E-4</v>
      </c>
      <c r="H1009" t="s">
        <v>240</v>
      </c>
      <c r="I1009" t="s">
        <v>241</v>
      </c>
      <c r="J1009" t="s">
        <v>3</v>
      </c>
      <c r="K1009" s="183">
        <f ca="1">VLOOKUP(F1009,
    OFFSET(INDIRECT(ADDRESS(MATCH(J1009,'Vehicle numbers'!$A$5:$A$162,0),1,1,1,$L$6)),4,1,COUNTIF('Vehicle numbers'!$A$5:$A$162,J1009),4),
    MATCH(K$8,'Vehicle numbers'!$B$4:$D$4,0))*1000</f>
        <v>1070022</v>
      </c>
      <c r="L1009" s="183">
        <f ca="1">VLOOKUP(F1009,
    OFFSET(INDIRECT(ADDRESS(MATCH(J1009,'Vehicle numbers'!$A$5:$A$162,0),1,1,1,$L$6)),4,1,COUNTIF('Vehicle numbers'!$A$5:$A$162,J1009),4),
    MATCH(L$8,'Vehicle numbers'!$B$4:$D$4,0))*1000</f>
        <v>1089684.9163523328</v>
      </c>
      <c r="M1009" s="184">
        <f>VLOOKUP(F1009,'Annual distance covered (GB)'!$A$8:$H$33,MATCH(J1009,'Annual distance covered (GB)'!$A$7:$H$7,0))</f>
        <v>5</v>
      </c>
      <c r="N1009" s="2">
        <f t="shared" ca="1" si="44"/>
        <v>1174.316824914014</v>
      </c>
      <c r="O1009" s="180">
        <f t="shared" ca="1" si="45"/>
        <v>1.0776664036471959E-3</v>
      </c>
      <c r="P1009" s="180"/>
      <c r="Q1009" s="180"/>
      <c r="R1009" s="180"/>
      <c r="S1009" s="180"/>
      <c r="T1009" s="180"/>
    </row>
    <row r="1010" spans="1:20" x14ac:dyDescent="0.25">
      <c r="A1010" t="s">
        <v>236</v>
      </c>
      <c r="B1010" t="s">
        <v>237</v>
      </c>
      <c r="C1010" t="s">
        <v>238</v>
      </c>
      <c r="D1010" t="s">
        <v>264</v>
      </c>
      <c r="E1010" t="s">
        <v>229</v>
      </c>
      <c r="F1010">
        <v>2002</v>
      </c>
      <c r="G1010">
        <v>5.8399999999999997E-3</v>
      </c>
      <c r="H1010" t="s">
        <v>240</v>
      </c>
      <c r="I1010" t="s">
        <v>241</v>
      </c>
      <c r="J1010" t="s">
        <v>3</v>
      </c>
      <c r="K1010" s="183">
        <f ca="1">VLOOKUP(F1010,
    OFFSET(INDIRECT(ADDRESS(MATCH(J1010,'Vehicle numbers'!$A$5:$A$162,0),1,1,1,$L$6)),4,1,COUNTIF('Vehicle numbers'!$A$5:$A$162,J1010),4),
    MATCH(K$8,'Vehicle numbers'!$B$4:$D$4,0))*1000</f>
        <v>1070022</v>
      </c>
      <c r="L1010" s="183">
        <f ca="1">VLOOKUP(F1010,
    OFFSET(INDIRECT(ADDRESS(MATCH(J1010,'Vehicle numbers'!$A$5:$A$162,0),1,1,1,$L$6)),4,1,COUNTIF('Vehicle numbers'!$A$5:$A$162,J1010),4),
    MATCH(L$8,'Vehicle numbers'!$B$4:$D$4,0))*1000</f>
        <v>1089684.9163523328</v>
      </c>
      <c r="M1010" s="184">
        <f>VLOOKUP(F1010,'Annual distance covered (GB)'!$A$8:$H$33,MATCH(J1010,'Annual distance covered (GB)'!$A$7:$H$7,0))</f>
        <v>5</v>
      </c>
      <c r="N1010" s="2">
        <f t="shared" ca="1" si="44"/>
        <v>29736.584441710649</v>
      </c>
      <c r="O1010" s="180">
        <f t="shared" ca="1" si="45"/>
        <v>2.7289158540665513E-2</v>
      </c>
      <c r="P1010" s="180"/>
      <c r="Q1010" s="180"/>
      <c r="R1010" s="180"/>
      <c r="S1010" s="180"/>
      <c r="T1010" s="180"/>
    </row>
    <row r="1011" spans="1:20" x14ac:dyDescent="0.25">
      <c r="A1011" t="s">
        <v>243</v>
      </c>
      <c r="B1011" t="s">
        <v>237</v>
      </c>
      <c r="C1011" t="s">
        <v>238</v>
      </c>
      <c r="D1011" t="s">
        <v>264</v>
      </c>
      <c r="E1011" t="s">
        <v>229</v>
      </c>
      <c r="F1011">
        <v>2002</v>
      </c>
      <c r="G1011">
        <v>2.336E-3</v>
      </c>
      <c r="H1011" t="s">
        <v>240</v>
      </c>
      <c r="I1011" t="s">
        <v>241</v>
      </c>
      <c r="J1011" t="s">
        <v>3</v>
      </c>
      <c r="K1011" s="183">
        <f ca="1">VLOOKUP(F1011,
    OFFSET(INDIRECT(ADDRESS(MATCH(J1011,'Vehicle numbers'!$A$5:$A$162,0),1,1,1,$L$6)),4,1,COUNTIF('Vehicle numbers'!$A$5:$A$162,J1011),4),
    MATCH(K$8,'Vehicle numbers'!$B$4:$D$4,0))*1000</f>
        <v>1070022</v>
      </c>
      <c r="L1011" s="183">
        <f ca="1">VLOOKUP(F1011,
    OFFSET(INDIRECT(ADDRESS(MATCH(J1011,'Vehicle numbers'!$A$5:$A$162,0),1,1,1,$L$6)),4,1,COUNTIF('Vehicle numbers'!$A$5:$A$162,J1011),4),
    MATCH(L$8,'Vehicle numbers'!$B$4:$D$4,0))*1000</f>
        <v>1089684.9163523328</v>
      </c>
      <c r="M1011" s="184">
        <f>VLOOKUP(F1011,'Annual distance covered (GB)'!$A$8:$H$33,MATCH(J1011,'Annual distance covered (GB)'!$A$7:$H$7,0))</f>
        <v>5</v>
      </c>
      <c r="N1011" s="2">
        <f t="shared" ca="1" si="44"/>
        <v>11894.633776684261</v>
      </c>
      <c r="O1011" s="180">
        <f t="shared" ca="1" si="45"/>
        <v>1.0915663416266206E-2</v>
      </c>
      <c r="P1011" s="180"/>
      <c r="Q1011" s="180"/>
      <c r="R1011" s="180"/>
      <c r="S1011" s="180"/>
      <c r="T1011" s="180"/>
    </row>
    <row r="1012" spans="1:20" x14ac:dyDescent="0.25">
      <c r="A1012" t="s">
        <v>244</v>
      </c>
      <c r="B1012" t="s">
        <v>237</v>
      </c>
      <c r="C1012" t="s">
        <v>238</v>
      </c>
      <c r="D1012" t="s">
        <v>264</v>
      </c>
      <c r="E1012" t="s">
        <v>229</v>
      </c>
      <c r="F1012">
        <v>2002</v>
      </c>
      <c r="G1012">
        <v>5.8399999999999999E-4</v>
      </c>
      <c r="H1012" t="s">
        <v>240</v>
      </c>
      <c r="I1012" t="s">
        <v>241</v>
      </c>
      <c r="J1012" t="s">
        <v>3</v>
      </c>
      <c r="K1012" s="183">
        <f ca="1">VLOOKUP(F1012,
    OFFSET(INDIRECT(ADDRESS(MATCH(J1012,'Vehicle numbers'!$A$5:$A$162,0),1,1,1,$L$6)),4,1,COUNTIF('Vehicle numbers'!$A$5:$A$162,J1012),4),
    MATCH(K$8,'Vehicle numbers'!$B$4:$D$4,0))*1000</f>
        <v>1070022</v>
      </c>
      <c r="L1012" s="183">
        <f ca="1">VLOOKUP(F1012,
    OFFSET(INDIRECT(ADDRESS(MATCH(J1012,'Vehicle numbers'!$A$5:$A$162,0),1,1,1,$L$6)),4,1,COUNTIF('Vehicle numbers'!$A$5:$A$162,J1012),4),
    MATCH(L$8,'Vehicle numbers'!$B$4:$D$4,0))*1000</f>
        <v>1089684.9163523328</v>
      </c>
      <c r="M1012" s="184">
        <f>VLOOKUP(F1012,'Annual distance covered (GB)'!$A$8:$H$33,MATCH(J1012,'Annual distance covered (GB)'!$A$7:$H$7,0))</f>
        <v>5</v>
      </c>
      <c r="N1012" s="2">
        <f t="shared" ca="1" si="44"/>
        <v>2973.6584441710652</v>
      </c>
      <c r="O1012" s="180">
        <f t="shared" ca="1" si="45"/>
        <v>2.7289158540665516E-3</v>
      </c>
      <c r="P1012" s="180"/>
      <c r="Q1012" s="180"/>
      <c r="R1012" s="180"/>
      <c r="S1012" s="180"/>
      <c r="T1012" s="180"/>
    </row>
    <row r="1013" spans="1:20" x14ac:dyDescent="0.25">
      <c r="A1013" t="s">
        <v>246</v>
      </c>
      <c r="B1013" t="s">
        <v>237</v>
      </c>
      <c r="C1013" t="s">
        <v>238</v>
      </c>
      <c r="D1013" t="s">
        <v>264</v>
      </c>
      <c r="E1013" t="s">
        <v>229</v>
      </c>
      <c r="F1013">
        <v>2002</v>
      </c>
      <c r="G1013">
        <v>4.6720000000000003E-4</v>
      </c>
      <c r="H1013" t="s">
        <v>240</v>
      </c>
      <c r="I1013" t="s">
        <v>241</v>
      </c>
      <c r="J1013" t="s">
        <v>3</v>
      </c>
      <c r="K1013" s="183">
        <f ca="1">VLOOKUP(F1013,
    OFFSET(INDIRECT(ADDRESS(MATCH(J1013,'Vehicle numbers'!$A$5:$A$162,0),1,1,1,$L$6)),4,1,COUNTIF('Vehicle numbers'!$A$5:$A$162,J1013),4),
    MATCH(K$8,'Vehicle numbers'!$B$4:$D$4,0))*1000</f>
        <v>1070022</v>
      </c>
      <c r="L1013" s="183">
        <f ca="1">VLOOKUP(F1013,
    OFFSET(INDIRECT(ADDRESS(MATCH(J1013,'Vehicle numbers'!$A$5:$A$162,0),1,1,1,$L$6)),4,1,COUNTIF('Vehicle numbers'!$A$5:$A$162,J1013),4),
    MATCH(L$8,'Vehicle numbers'!$B$4:$D$4,0))*1000</f>
        <v>1089684.9163523328</v>
      </c>
      <c r="M1013" s="184">
        <f>VLOOKUP(F1013,'Annual distance covered (GB)'!$A$8:$H$33,MATCH(J1013,'Annual distance covered (GB)'!$A$7:$H$7,0))</f>
        <v>5</v>
      </c>
      <c r="N1013" s="2">
        <f t="shared" ca="1" si="44"/>
        <v>2378.9267553368522</v>
      </c>
      <c r="O1013" s="180">
        <f t="shared" ca="1" si="45"/>
        <v>2.1831326832532413E-3</v>
      </c>
      <c r="P1013" s="180"/>
      <c r="Q1013" s="180"/>
      <c r="R1013" s="180"/>
      <c r="S1013" s="180"/>
      <c r="T1013" s="180"/>
    </row>
    <row r="1014" spans="1:20" x14ac:dyDescent="0.25">
      <c r="A1014" t="s">
        <v>236</v>
      </c>
      <c r="B1014" t="s">
        <v>237</v>
      </c>
      <c r="C1014" t="s">
        <v>238</v>
      </c>
      <c r="D1014" t="s">
        <v>264</v>
      </c>
      <c r="E1014" t="s">
        <v>228</v>
      </c>
      <c r="F1014">
        <v>2002</v>
      </c>
      <c r="G1014">
        <v>3.7569999999999999E-3</v>
      </c>
      <c r="H1014" t="s">
        <v>240</v>
      </c>
      <c r="I1014" t="s">
        <v>241</v>
      </c>
      <c r="J1014" t="s">
        <v>3</v>
      </c>
      <c r="K1014" s="183">
        <f ca="1">VLOOKUP(F1014,
    OFFSET(INDIRECT(ADDRESS(MATCH(J1014,'Vehicle numbers'!$A$5:$A$162,0),1,1,1,$L$6)),4,1,COUNTIF('Vehicle numbers'!$A$5:$A$162,J1014),4),
    MATCH(K$8,'Vehicle numbers'!$B$4:$D$4,0))*1000</f>
        <v>1070022</v>
      </c>
      <c r="L1014" s="183">
        <f ca="1">VLOOKUP(F1014,
    OFFSET(INDIRECT(ADDRESS(MATCH(J1014,'Vehicle numbers'!$A$5:$A$162,0),1,1,1,$L$6)),4,1,COUNTIF('Vehicle numbers'!$A$5:$A$162,J1014),4),
    MATCH(L$8,'Vehicle numbers'!$B$4:$D$4,0))*1000</f>
        <v>1089684.9163523328</v>
      </c>
      <c r="M1014" s="184">
        <f>VLOOKUP(F1014,'Annual distance covered (GB)'!$A$8:$H$33,MATCH(J1014,'Annual distance covered (GB)'!$A$7:$H$7,0))</f>
        <v>5</v>
      </c>
      <c r="N1014" s="2">
        <f t="shared" ca="1" si="44"/>
        <v>19130.196532107348</v>
      </c>
      <c r="O1014" s="180">
        <f t="shared" ca="1" si="45"/>
        <v>1.7555713807753483E-2</v>
      </c>
      <c r="P1014" s="180"/>
      <c r="Q1014" s="180"/>
      <c r="R1014" s="180"/>
      <c r="S1014" s="180"/>
      <c r="T1014" s="180"/>
    </row>
    <row r="1015" spans="1:20" x14ac:dyDescent="0.25">
      <c r="A1015" t="s">
        <v>243</v>
      </c>
      <c r="B1015" t="s">
        <v>237</v>
      </c>
      <c r="C1015" t="s">
        <v>238</v>
      </c>
      <c r="D1015" t="s">
        <v>264</v>
      </c>
      <c r="E1015" t="s">
        <v>228</v>
      </c>
      <c r="F1015">
        <v>2002</v>
      </c>
      <c r="G1015">
        <v>2.6299000000000001E-3</v>
      </c>
      <c r="H1015" t="s">
        <v>240</v>
      </c>
      <c r="I1015" t="s">
        <v>241</v>
      </c>
      <c r="J1015" t="s">
        <v>3</v>
      </c>
      <c r="K1015" s="183">
        <f ca="1">VLOOKUP(F1015,
    OFFSET(INDIRECT(ADDRESS(MATCH(J1015,'Vehicle numbers'!$A$5:$A$162,0),1,1,1,$L$6)),4,1,COUNTIF('Vehicle numbers'!$A$5:$A$162,J1015),4),
    MATCH(K$8,'Vehicle numbers'!$B$4:$D$4,0))*1000</f>
        <v>1070022</v>
      </c>
      <c r="L1015" s="183">
        <f ca="1">VLOOKUP(F1015,
    OFFSET(INDIRECT(ADDRESS(MATCH(J1015,'Vehicle numbers'!$A$5:$A$162,0),1,1,1,$L$6)),4,1,COUNTIF('Vehicle numbers'!$A$5:$A$162,J1015),4),
    MATCH(L$8,'Vehicle numbers'!$B$4:$D$4,0))*1000</f>
        <v>1089684.9163523328</v>
      </c>
      <c r="M1015" s="184">
        <f>VLOOKUP(F1015,'Annual distance covered (GB)'!$A$8:$H$33,MATCH(J1015,'Annual distance covered (GB)'!$A$7:$H$7,0))</f>
        <v>5</v>
      </c>
      <c r="N1015" s="2">
        <f t="shared" ca="1" si="44"/>
        <v>13391.137572475145</v>
      </c>
      <c r="O1015" s="180">
        <f t="shared" ca="1" si="45"/>
        <v>1.2288999665427439E-2</v>
      </c>
      <c r="P1015" s="180"/>
      <c r="Q1015" s="180"/>
      <c r="R1015" s="180"/>
      <c r="S1015" s="180"/>
      <c r="T1015" s="180"/>
    </row>
    <row r="1016" spans="1:20" x14ac:dyDescent="0.25">
      <c r="A1016" t="s">
        <v>244</v>
      </c>
      <c r="B1016" t="s">
        <v>237</v>
      </c>
      <c r="C1016" t="s">
        <v>238</v>
      </c>
      <c r="D1016" t="s">
        <v>264</v>
      </c>
      <c r="E1016" t="s">
        <v>228</v>
      </c>
      <c r="F1016">
        <v>2002</v>
      </c>
      <c r="G1016">
        <v>3.7040845070422499E-4</v>
      </c>
      <c r="H1016" t="s">
        <v>240</v>
      </c>
      <c r="I1016" t="s">
        <v>241</v>
      </c>
      <c r="J1016" t="s">
        <v>3</v>
      </c>
      <c r="K1016" s="183">
        <f ca="1">VLOOKUP(F1016,
    OFFSET(INDIRECT(ADDRESS(MATCH(J1016,'Vehicle numbers'!$A$5:$A$162,0),1,1,1,$L$6)),4,1,COUNTIF('Vehicle numbers'!$A$5:$A$162,J1016),4),
    MATCH(K$8,'Vehicle numbers'!$B$4:$D$4,0))*1000</f>
        <v>1070022</v>
      </c>
      <c r="L1016" s="183">
        <f ca="1">VLOOKUP(F1016,
    OFFSET(INDIRECT(ADDRESS(MATCH(J1016,'Vehicle numbers'!$A$5:$A$162,0),1,1,1,$L$6)),4,1,COUNTIF('Vehicle numbers'!$A$5:$A$162,J1016),4),
    MATCH(L$8,'Vehicle numbers'!$B$4:$D$4,0))*1000</f>
        <v>1089684.9163523328</v>
      </c>
      <c r="M1016" s="184">
        <f>VLOOKUP(F1016,'Annual distance covered (GB)'!$A$8:$H$33,MATCH(J1016,'Annual distance covered (GB)'!$A$7:$H$7,0))</f>
        <v>5</v>
      </c>
      <c r="N1016" s="2">
        <f t="shared" ca="1" si="44"/>
        <v>1886.0757144331171</v>
      </c>
      <c r="O1016" s="180">
        <f t="shared" ca="1" si="45"/>
        <v>1.7308450232996376E-3</v>
      </c>
      <c r="P1016" s="180"/>
      <c r="Q1016" s="180"/>
      <c r="R1016" s="180"/>
      <c r="S1016" s="180"/>
      <c r="T1016" s="180"/>
    </row>
    <row r="1017" spans="1:20" x14ac:dyDescent="0.25">
      <c r="A1017" t="s">
        <v>246</v>
      </c>
      <c r="B1017" t="s">
        <v>237</v>
      </c>
      <c r="C1017" t="s">
        <v>238</v>
      </c>
      <c r="D1017" t="s">
        <v>264</v>
      </c>
      <c r="E1017" t="s">
        <v>228</v>
      </c>
      <c r="F1017">
        <v>2002</v>
      </c>
      <c r="G1017">
        <v>2.9632676056337998E-4</v>
      </c>
      <c r="H1017" t="s">
        <v>240</v>
      </c>
      <c r="I1017" t="s">
        <v>241</v>
      </c>
      <c r="J1017" t="s">
        <v>3</v>
      </c>
      <c r="K1017" s="183">
        <f ca="1">VLOOKUP(F1017,
    OFFSET(INDIRECT(ADDRESS(MATCH(J1017,'Vehicle numbers'!$A$5:$A$162,0),1,1,1,$L$6)),4,1,COUNTIF('Vehicle numbers'!$A$5:$A$162,J1017),4),
    MATCH(K$8,'Vehicle numbers'!$B$4:$D$4,0))*1000</f>
        <v>1070022</v>
      </c>
      <c r="L1017" s="183">
        <f ca="1">VLOOKUP(F1017,
    OFFSET(INDIRECT(ADDRESS(MATCH(J1017,'Vehicle numbers'!$A$5:$A$162,0),1,1,1,$L$6)),4,1,COUNTIF('Vehicle numbers'!$A$5:$A$162,J1017),4),
    MATCH(L$8,'Vehicle numbers'!$B$4:$D$4,0))*1000</f>
        <v>1089684.9163523328</v>
      </c>
      <c r="M1017" s="184">
        <f>VLOOKUP(F1017,'Annual distance covered (GB)'!$A$8:$H$33,MATCH(J1017,'Annual distance covered (GB)'!$A$7:$H$7,0))</f>
        <v>5</v>
      </c>
      <c r="N1017" s="2">
        <f t="shared" ca="1" si="44"/>
        <v>1508.8605715464937</v>
      </c>
      <c r="O1017" s="180">
        <f t="shared" ca="1" si="45"/>
        <v>1.3846760186397101E-3</v>
      </c>
      <c r="P1017" s="180"/>
      <c r="Q1017" s="180"/>
      <c r="R1017" s="180"/>
      <c r="S1017" s="180"/>
      <c r="T1017" s="180"/>
    </row>
    <row r="1018" spans="1:20" x14ac:dyDescent="0.25">
      <c r="A1018" t="s">
        <v>236</v>
      </c>
      <c r="B1018" t="s">
        <v>237</v>
      </c>
      <c r="C1018" t="s">
        <v>238</v>
      </c>
      <c r="D1018" t="s">
        <v>239</v>
      </c>
      <c r="E1018" t="s">
        <v>229</v>
      </c>
      <c r="F1018">
        <v>2003</v>
      </c>
      <c r="G1018">
        <v>8.4410000000000006E-3</v>
      </c>
      <c r="H1018" t="s">
        <v>240</v>
      </c>
      <c r="I1018" t="s">
        <v>241</v>
      </c>
      <c r="J1018" t="s">
        <v>242</v>
      </c>
      <c r="K1018" s="183">
        <f ca="1">VLOOKUP(F1018,
    OFFSET(INDIRECT(ADDRESS(MATCH(J1018,'Vehicle numbers'!$A$5:$A$162,0),1,1,1,$L$6)),4,1,COUNTIF('Vehicle numbers'!$A$5:$A$162,J1018),4),
    MATCH(K$8,'Vehicle numbers'!$B$4:$D$4,0))*1000</f>
        <v>174691</v>
      </c>
      <c r="L1018" s="183">
        <f ca="1">VLOOKUP(F1018,
    OFFSET(INDIRECT(ADDRESS(MATCH(J1018,'Vehicle numbers'!$A$5:$A$162,0),1,1,1,$L$6)),4,1,COUNTIF('Vehicle numbers'!$A$5:$A$162,J1018),4),
    MATCH(L$8,'Vehicle numbers'!$B$4:$D$4,0))*1000</f>
        <v>180794.64001519984</v>
      </c>
      <c r="M1018" s="184">
        <f>VLOOKUP(F1018,'Annual distance covered (GB)'!$A$8:$H$33,MATCH(J1018,'Annual distance covered (GB)'!$A$7:$H$7,0))</f>
        <v>5.3</v>
      </c>
      <c r="N1018" s="2">
        <f t="shared" ca="1" si="44"/>
        <v>46300.404993685996</v>
      </c>
      <c r="O1018" s="180">
        <f t="shared" ca="1" si="45"/>
        <v>0.25609390294863504</v>
      </c>
      <c r="P1018" s="180"/>
      <c r="Q1018" s="180"/>
      <c r="R1018" s="180"/>
      <c r="S1018" s="180"/>
      <c r="T1018" s="180"/>
    </row>
    <row r="1019" spans="1:20" x14ac:dyDescent="0.25">
      <c r="A1019" t="s">
        <v>243</v>
      </c>
      <c r="B1019" t="s">
        <v>237</v>
      </c>
      <c r="C1019" t="s">
        <v>238</v>
      </c>
      <c r="D1019" t="s">
        <v>239</v>
      </c>
      <c r="E1019" t="s">
        <v>229</v>
      </c>
      <c r="F1019">
        <v>2003</v>
      </c>
      <c r="G1019">
        <v>3.3763999999999999E-3</v>
      </c>
      <c r="H1019" t="s">
        <v>240</v>
      </c>
      <c r="I1019" t="s">
        <v>241</v>
      </c>
      <c r="J1019" t="s">
        <v>242</v>
      </c>
      <c r="K1019" s="183">
        <f ca="1">VLOOKUP(F1019,
    OFFSET(INDIRECT(ADDRESS(MATCH(J1019,'Vehicle numbers'!$A$5:$A$162,0),1,1,1,$L$6)),4,1,COUNTIF('Vehicle numbers'!$A$5:$A$162,J1019),4),
    MATCH(K$8,'Vehicle numbers'!$B$4:$D$4,0))*1000</f>
        <v>174691</v>
      </c>
      <c r="L1019" s="183">
        <f ca="1">VLOOKUP(F1019,
    OFFSET(INDIRECT(ADDRESS(MATCH(J1019,'Vehicle numbers'!$A$5:$A$162,0),1,1,1,$L$6)),4,1,COUNTIF('Vehicle numbers'!$A$5:$A$162,J1019),4),
    MATCH(L$8,'Vehicle numbers'!$B$4:$D$4,0))*1000</f>
        <v>180794.64001519984</v>
      </c>
      <c r="M1019" s="184">
        <f>VLOOKUP(F1019,'Annual distance covered (GB)'!$A$8:$H$33,MATCH(J1019,'Annual distance covered (GB)'!$A$7:$H$7,0))</f>
        <v>5.3</v>
      </c>
      <c r="N1019" s="2">
        <f t="shared" ca="1" si="44"/>
        <v>18520.161997474395</v>
      </c>
      <c r="O1019" s="180">
        <f t="shared" ca="1" si="45"/>
        <v>0.102437561179454</v>
      </c>
      <c r="P1019" s="180"/>
      <c r="Q1019" s="180"/>
      <c r="R1019" s="180"/>
      <c r="S1019" s="180"/>
      <c r="T1019" s="180"/>
    </row>
    <row r="1020" spans="1:20" x14ac:dyDescent="0.25">
      <c r="A1020" t="s">
        <v>244</v>
      </c>
      <c r="B1020" t="s">
        <v>237</v>
      </c>
      <c r="C1020" t="s">
        <v>238</v>
      </c>
      <c r="D1020" t="s">
        <v>239</v>
      </c>
      <c r="E1020" t="s">
        <v>229</v>
      </c>
      <c r="F1020">
        <v>2003</v>
      </c>
      <c r="G1020">
        <v>8.4409999999999997E-4</v>
      </c>
      <c r="H1020" t="s">
        <v>240</v>
      </c>
      <c r="I1020" t="s">
        <v>241</v>
      </c>
      <c r="J1020" t="s">
        <v>242</v>
      </c>
      <c r="K1020" s="183">
        <f ca="1">VLOOKUP(F1020,
    OFFSET(INDIRECT(ADDRESS(MATCH(J1020,'Vehicle numbers'!$A$5:$A$162,0),1,1,1,$L$6)),4,1,COUNTIF('Vehicle numbers'!$A$5:$A$162,J1020),4),
    MATCH(K$8,'Vehicle numbers'!$B$4:$D$4,0))*1000</f>
        <v>174691</v>
      </c>
      <c r="L1020" s="183">
        <f ca="1">VLOOKUP(F1020,
    OFFSET(INDIRECT(ADDRESS(MATCH(J1020,'Vehicle numbers'!$A$5:$A$162,0),1,1,1,$L$6)),4,1,COUNTIF('Vehicle numbers'!$A$5:$A$162,J1020),4),
    MATCH(L$8,'Vehicle numbers'!$B$4:$D$4,0))*1000</f>
        <v>180794.64001519984</v>
      </c>
      <c r="M1020" s="184">
        <f>VLOOKUP(F1020,'Annual distance covered (GB)'!$A$8:$H$33,MATCH(J1020,'Annual distance covered (GB)'!$A$7:$H$7,0))</f>
        <v>5.3</v>
      </c>
      <c r="N1020" s="2">
        <f t="shared" ca="1" si="44"/>
        <v>4630.0404993685988</v>
      </c>
      <c r="O1020" s="180">
        <f t="shared" ca="1" si="45"/>
        <v>2.5609390294863501E-2</v>
      </c>
      <c r="P1020" s="180"/>
      <c r="Q1020" s="180"/>
      <c r="R1020" s="180"/>
      <c r="S1020" s="180"/>
      <c r="T1020" s="180"/>
    </row>
    <row r="1021" spans="1:20" x14ac:dyDescent="0.25">
      <c r="A1021" t="s">
        <v>246</v>
      </c>
      <c r="B1021" t="s">
        <v>237</v>
      </c>
      <c r="C1021" t="s">
        <v>238</v>
      </c>
      <c r="D1021" t="s">
        <v>239</v>
      </c>
      <c r="E1021" t="s">
        <v>229</v>
      </c>
      <c r="F1021">
        <v>2003</v>
      </c>
      <c r="G1021">
        <v>6.7528E-4</v>
      </c>
      <c r="H1021" t="s">
        <v>240</v>
      </c>
      <c r="I1021" t="s">
        <v>241</v>
      </c>
      <c r="J1021" t="s">
        <v>242</v>
      </c>
      <c r="K1021" s="183">
        <f ca="1">VLOOKUP(F1021,
    OFFSET(INDIRECT(ADDRESS(MATCH(J1021,'Vehicle numbers'!$A$5:$A$162,0),1,1,1,$L$6)),4,1,COUNTIF('Vehicle numbers'!$A$5:$A$162,J1021),4),
    MATCH(K$8,'Vehicle numbers'!$B$4:$D$4,0))*1000</f>
        <v>174691</v>
      </c>
      <c r="L1021" s="183">
        <f ca="1">VLOOKUP(F1021,
    OFFSET(INDIRECT(ADDRESS(MATCH(J1021,'Vehicle numbers'!$A$5:$A$162,0),1,1,1,$L$6)),4,1,COUNTIF('Vehicle numbers'!$A$5:$A$162,J1021),4),
    MATCH(L$8,'Vehicle numbers'!$B$4:$D$4,0))*1000</f>
        <v>180794.64001519984</v>
      </c>
      <c r="M1021" s="184">
        <f>VLOOKUP(F1021,'Annual distance covered (GB)'!$A$8:$H$33,MATCH(J1021,'Annual distance covered (GB)'!$A$7:$H$7,0))</f>
        <v>5.3</v>
      </c>
      <c r="N1021" s="2">
        <f t="shared" ca="1" si="44"/>
        <v>3704.0323994948794</v>
      </c>
      <c r="O1021" s="180">
        <f t="shared" ca="1" si="45"/>
        <v>2.0487512235890803E-2</v>
      </c>
      <c r="P1021" s="180"/>
      <c r="Q1021" s="180"/>
      <c r="R1021" s="180"/>
      <c r="S1021" s="180"/>
      <c r="T1021" s="180"/>
    </row>
    <row r="1022" spans="1:20" x14ac:dyDescent="0.25">
      <c r="A1022" t="s">
        <v>236</v>
      </c>
      <c r="B1022" t="s">
        <v>237</v>
      </c>
      <c r="C1022" t="s">
        <v>238</v>
      </c>
      <c r="D1022" t="s">
        <v>239</v>
      </c>
      <c r="E1022" t="s">
        <v>228</v>
      </c>
      <c r="F1022">
        <v>2003</v>
      </c>
      <c r="G1022">
        <v>1.3984E-2</v>
      </c>
      <c r="H1022" t="s">
        <v>240</v>
      </c>
      <c r="I1022" t="s">
        <v>241</v>
      </c>
      <c r="J1022" t="s">
        <v>242</v>
      </c>
      <c r="K1022" s="183">
        <f ca="1">VLOOKUP(F1022,
    OFFSET(INDIRECT(ADDRESS(MATCH(J1022,'Vehicle numbers'!$A$5:$A$162,0),1,1,1,$L$6)),4,1,COUNTIF('Vehicle numbers'!$A$5:$A$162,J1022),4),
    MATCH(K$8,'Vehicle numbers'!$B$4:$D$4,0))*1000</f>
        <v>174691</v>
      </c>
      <c r="L1022" s="183">
        <f ca="1">VLOOKUP(F1022,
    OFFSET(INDIRECT(ADDRESS(MATCH(J1022,'Vehicle numbers'!$A$5:$A$162,0),1,1,1,$L$6)),4,1,COUNTIF('Vehicle numbers'!$A$5:$A$162,J1022),4),
    MATCH(L$8,'Vehicle numbers'!$B$4:$D$4,0))*1000</f>
        <v>180794.64001519984</v>
      </c>
      <c r="M1022" s="184">
        <f>VLOOKUP(F1022,'Annual distance covered (GB)'!$A$8:$H$33,MATCH(J1022,'Annual distance covered (GB)'!$A$7:$H$7,0))</f>
        <v>5.3</v>
      </c>
      <c r="N1022" s="2">
        <f t="shared" ca="1" si="44"/>
        <v>76704.758136678705</v>
      </c>
      <c r="O1022" s="180">
        <f t="shared" ca="1" si="45"/>
        <v>0.42426455856340628</v>
      </c>
      <c r="P1022" s="180"/>
      <c r="Q1022" s="180"/>
      <c r="R1022" s="180"/>
      <c r="S1022" s="180"/>
      <c r="T1022" s="180"/>
    </row>
    <row r="1023" spans="1:20" x14ac:dyDescent="0.25">
      <c r="A1023" t="s">
        <v>243</v>
      </c>
      <c r="B1023" t="s">
        <v>237</v>
      </c>
      <c r="C1023" t="s">
        <v>238</v>
      </c>
      <c r="D1023" t="s">
        <v>239</v>
      </c>
      <c r="E1023" t="s">
        <v>228</v>
      </c>
      <c r="F1023">
        <v>2003</v>
      </c>
      <c r="G1023">
        <v>9.7888000000000003E-3</v>
      </c>
      <c r="H1023" t="s">
        <v>240</v>
      </c>
      <c r="I1023" t="s">
        <v>241</v>
      </c>
      <c r="J1023" t="s">
        <v>242</v>
      </c>
      <c r="K1023" s="183">
        <f ca="1">VLOOKUP(F1023,
    OFFSET(INDIRECT(ADDRESS(MATCH(J1023,'Vehicle numbers'!$A$5:$A$162,0),1,1,1,$L$6)),4,1,COUNTIF('Vehicle numbers'!$A$5:$A$162,J1023),4),
    MATCH(K$8,'Vehicle numbers'!$B$4:$D$4,0))*1000</f>
        <v>174691</v>
      </c>
      <c r="L1023" s="183">
        <f ca="1">VLOOKUP(F1023,
    OFFSET(INDIRECT(ADDRESS(MATCH(J1023,'Vehicle numbers'!$A$5:$A$162,0),1,1,1,$L$6)),4,1,COUNTIF('Vehicle numbers'!$A$5:$A$162,J1023),4),
    MATCH(L$8,'Vehicle numbers'!$B$4:$D$4,0))*1000</f>
        <v>180794.64001519984</v>
      </c>
      <c r="M1023" s="184">
        <f>VLOOKUP(F1023,'Annual distance covered (GB)'!$A$8:$H$33,MATCH(J1023,'Annual distance covered (GB)'!$A$7:$H$7,0))</f>
        <v>5.3</v>
      </c>
      <c r="N1023" s="2">
        <f t="shared" ca="1" si="44"/>
        <v>53693.330695675089</v>
      </c>
      <c r="O1023" s="180">
        <f t="shared" ca="1" si="45"/>
        <v>0.29698519099438436</v>
      </c>
      <c r="P1023" s="180"/>
      <c r="Q1023" s="180"/>
      <c r="R1023" s="180"/>
      <c r="S1023" s="180"/>
      <c r="T1023" s="180"/>
    </row>
    <row r="1024" spans="1:20" x14ac:dyDescent="0.25">
      <c r="A1024" t="s">
        <v>244</v>
      </c>
      <c r="B1024" t="s">
        <v>237</v>
      </c>
      <c r="C1024" t="s">
        <v>238</v>
      </c>
      <c r="D1024" t="s">
        <v>239</v>
      </c>
      <c r="E1024" t="s">
        <v>228</v>
      </c>
      <c r="F1024">
        <v>2003</v>
      </c>
      <c r="G1024">
        <v>1.3787042253521099E-3</v>
      </c>
      <c r="H1024" t="s">
        <v>240</v>
      </c>
      <c r="I1024" t="s">
        <v>241</v>
      </c>
      <c r="J1024" t="s">
        <v>242</v>
      </c>
      <c r="K1024" s="183">
        <f ca="1">VLOOKUP(F1024,
    OFFSET(INDIRECT(ADDRESS(MATCH(J1024,'Vehicle numbers'!$A$5:$A$162,0),1,1,1,$L$6)),4,1,COUNTIF('Vehicle numbers'!$A$5:$A$162,J1024),4),
    MATCH(K$8,'Vehicle numbers'!$B$4:$D$4,0))*1000</f>
        <v>174691</v>
      </c>
      <c r="L1024" s="183">
        <f ca="1">VLOOKUP(F1024,
    OFFSET(INDIRECT(ADDRESS(MATCH(J1024,'Vehicle numbers'!$A$5:$A$162,0),1,1,1,$L$6)),4,1,COUNTIF('Vehicle numbers'!$A$5:$A$162,J1024),4),
    MATCH(L$8,'Vehicle numbers'!$B$4:$D$4,0))*1000</f>
        <v>180794.64001519984</v>
      </c>
      <c r="M1024" s="184">
        <f>VLOOKUP(F1024,'Annual distance covered (GB)'!$A$8:$H$33,MATCH(J1024,'Annual distance covered (GB)'!$A$7:$H$7,0))</f>
        <v>5.3</v>
      </c>
      <c r="N1024" s="2">
        <f t="shared" ca="1" si="44"/>
        <v>7562.440943052814</v>
      </c>
      <c r="O1024" s="180">
        <f t="shared" ca="1" si="45"/>
        <v>4.1828900140054047E-2</v>
      </c>
      <c r="P1024" s="180"/>
      <c r="Q1024" s="180"/>
      <c r="R1024" s="180"/>
      <c r="S1024" s="180"/>
      <c r="T1024" s="180"/>
    </row>
    <row r="1025" spans="1:20" x14ac:dyDescent="0.25">
      <c r="A1025" t="s">
        <v>246</v>
      </c>
      <c r="B1025" t="s">
        <v>237</v>
      </c>
      <c r="C1025" t="s">
        <v>238</v>
      </c>
      <c r="D1025" t="s">
        <v>239</v>
      </c>
      <c r="E1025" t="s">
        <v>228</v>
      </c>
      <c r="F1025">
        <v>2003</v>
      </c>
      <c r="G1025">
        <v>1.10296338028169E-3</v>
      </c>
      <c r="H1025" t="s">
        <v>240</v>
      </c>
      <c r="I1025" t="s">
        <v>241</v>
      </c>
      <c r="J1025" t="s">
        <v>242</v>
      </c>
      <c r="K1025" s="183">
        <f ca="1">VLOOKUP(F1025,
    OFFSET(INDIRECT(ADDRESS(MATCH(J1025,'Vehicle numbers'!$A$5:$A$162,0),1,1,1,$L$6)),4,1,COUNTIF('Vehicle numbers'!$A$5:$A$162,J1025),4),
    MATCH(K$8,'Vehicle numbers'!$B$4:$D$4,0))*1000</f>
        <v>174691</v>
      </c>
      <c r="L1025" s="183">
        <f ca="1">VLOOKUP(F1025,
    OFFSET(INDIRECT(ADDRESS(MATCH(J1025,'Vehicle numbers'!$A$5:$A$162,0),1,1,1,$L$6)),4,1,COUNTIF('Vehicle numbers'!$A$5:$A$162,J1025),4),
    MATCH(L$8,'Vehicle numbers'!$B$4:$D$4,0))*1000</f>
        <v>180794.64001519984</v>
      </c>
      <c r="M1025" s="184">
        <f>VLOOKUP(F1025,'Annual distance covered (GB)'!$A$8:$H$33,MATCH(J1025,'Annual distance covered (GB)'!$A$7:$H$7,0))</f>
        <v>5.3</v>
      </c>
      <c r="N1025" s="2">
        <f t="shared" ca="1" si="44"/>
        <v>6049.9527544422635</v>
      </c>
      <c r="O1025" s="180">
        <f t="shared" ca="1" si="45"/>
        <v>3.3463120112043311E-2</v>
      </c>
      <c r="P1025" s="180"/>
      <c r="Q1025" s="180"/>
      <c r="R1025" s="180"/>
      <c r="S1025" s="180"/>
      <c r="T1025" s="180"/>
    </row>
    <row r="1026" spans="1:20" x14ac:dyDescent="0.25">
      <c r="A1026" t="s">
        <v>236</v>
      </c>
      <c r="B1026" t="s">
        <v>237</v>
      </c>
      <c r="C1026" t="s">
        <v>238</v>
      </c>
      <c r="D1026" t="s">
        <v>248</v>
      </c>
      <c r="E1026" t="s">
        <v>229</v>
      </c>
      <c r="F1026">
        <v>2003</v>
      </c>
      <c r="G1026">
        <v>2.7143000000000101E-2</v>
      </c>
      <c r="H1026" t="s">
        <v>240</v>
      </c>
      <c r="I1026" t="s">
        <v>241</v>
      </c>
      <c r="J1026" t="s">
        <v>242</v>
      </c>
      <c r="K1026" s="183">
        <f ca="1">VLOOKUP(F1026,
    OFFSET(INDIRECT(ADDRESS(MATCH(J1026,'Vehicle numbers'!$A$5:$A$162,0),1,1,1,$L$6)),4,1,COUNTIF('Vehicle numbers'!$A$5:$A$162,J1026),4),
    MATCH(K$8,'Vehicle numbers'!$B$4:$D$4,0))*1000</f>
        <v>174691</v>
      </c>
      <c r="L1026" s="183">
        <f ca="1">VLOOKUP(F1026,
    OFFSET(INDIRECT(ADDRESS(MATCH(J1026,'Vehicle numbers'!$A$5:$A$162,0),1,1,1,$L$6)),4,1,COUNTIF('Vehicle numbers'!$A$5:$A$162,J1026),4),
    MATCH(L$8,'Vehicle numbers'!$B$4:$D$4,0))*1000</f>
        <v>180794.64001519984</v>
      </c>
      <c r="M1026" s="184">
        <f>VLOOKUP(F1026,'Annual distance covered (GB)'!$A$8:$H$33,MATCH(J1026,'Annual distance covered (GB)'!$A$7:$H$7,0))</f>
        <v>5.3</v>
      </c>
      <c r="N1026" s="2">
        <f t="shared" ca="1" si="44"/>
        <v>148884.24271337801</v>
      </c>
      <c r="O1026" s="180">
        <f t="shared" ca="1" si="45"/>
        <v>0.82349920717152325</v>
      </c>
      <c r="P1026" s="180"/>
      <c r="Q1026" s="180"/>
      <c r="R1026" s="180"/>
      <c r="S1026" s="180"/>
      <c r="T1026" s="180"/>
    </row>
    <row r="1027" spans="1:20" x14ac:dyDescent="0.25">
      <c r="A1027" t="s">
        <v>243</v>
      </c>
      <c r="B1027" t="s">
        <v>237</v>
      </c>
      <c r="C1027" t="s">
        <v>238</v>
      </c>
      <c r="D1027" t="s">
        <v>248</v>
      </c>
      <c r="E1027" t="s">
        <v>229</v>
      </c>
      <c r="F1027">
        <v>2003</v>
      </c>
      <c r="G1027">
        <v>1.0857199999999999E-2</v>
      </c>
      <c r="H1027" t="s">
        <v>240</v>
      </c>
      <c r="I1027" t="s">
        <v>241</v>
      </c>
      <c r="J1027" t="s">
        <v>242</v>
      </c>
      <c r="K1027" s="183">
        <f ca="1">VLOOKUP(F1027,
    OFFSET(INDIRECT(ADDRESS(MATCH(J1027,'Vehicle numbers'!$A$5:$A$162,0),1,1,1,$L$6)),4,1,COUNTIF('Vehicle numbers'!$A$5:$A$162,J1027),4),
    MATCH(K$8,'Vehicle numbers'!$B$4:$D$4,0))*1000</f>
        <v>174691</v>
      </c>
      <c r="L1027" s="183">
        <f ca="1">VLOOKUP(F1027,
    OFFSET(INDIRECT(ADDRESS(MATCH(J1027,'Vehicle numbers'!$A$5:$A$162,0),1,1,1,$L$6)),4,1,COUNTIF('Vehicle numbers'!$A$5:$A$162,J1027),4),
    MATCH(L$8,'Vehicle numbers'!$B$4:$D$4,0))*1000</f>
        <v>180794.64001519984</v>
      </c>
      <c r="M1027" s="184">
        <f>VLOOKUP(F1027,'Annual distance covered (GB)'!$A$8:$H$33,MATCH(J1027,'Annual distance covered (GB)'!$A$7:$H$7,0))</f>
        <v>5.3</v>
      </c>
      <c r="N1027" s="2">
        <f t="shared" ca="1" si="44"/>
        <v>59553.69708535097</v>
      </c>
      <c r="O1027" s="180">
        <f t="shared" ca="1" si="45"/>
        <v>0.32939968286860799</v>
      </c>
      <c r="P1027" s="180"/>
      <c r="Q1027" s="180"/>
      <c r="R1027" s="180"/>
      <c r="S1027" s="180"/>
      <c r="T1027" s="180"/>
    </row>
    <row r="1028" spans="1:20" x14ac:dyDescent="0.25">
      <c r="A1028" t="s">
        <v>244</v>
      </c>
      <c r="B1028" t="s">
        <v>237</v>
      </c>
      <c r="C1028" t="s">
        <v>238</v>
      </c>
      <c r="D1028" t="s">
        <v>248</v>
      </c>
      <c r="E1028" t="s">
        <v>229</v>
      </c>
      <c r="F1028">
        <v>2003</v>
      </c>
      <c r="G1028">
        <v>2.7142999999999998E-3</v>
      </c>
      <c r="H1028" t="s">
        <v>240</v>
      </c>
      <c r="I1028" t="s">
        <v>241</v>
      </c>
      <c r="J1028" t="s">
        <v>242</v>
      </c>
      <c r="K1028" s="183">
        <f ca="1">VLOOKUP(F1028,
    OFFSET(INDIRECT(ADDRESS(MATCH(J1028,'Vehicle numbers'!$A$5:$A$162,0),1,1,1,$L$6)),4,1,COUNTIF('Vehicle numbers'!$A$5:$A$162,J1028),4),
    MATCH(K$8,'Vehicle numbers'!$B$4:$D$4,0))*1000</f>
        <v>174691</v>
      </c>
      <c r="L1028" s="183">
        <f ca="1">VLOOKUP(F1028,
    OFFSET(INDIRECT(ADDRESS(MATCH(J1028,'Vehicle numbers'!$A$5:$A$162,0),1,1,1,$L$6)),4,1,COUNTIF('Vehicle numbers'!$A$5:$A$162,J1028),4),
    MATCH(L$8,'Vehicle numbers'!$B$4:$D$4,0))*1000</f>
        <v>180794.64001519984</v>
      </c>
      <c r="M1028" s="184">
        <f>VLOOKUP(F1028,'Annual distance covered (GB)'!$A$8:$H$33,MATCH(J1028,'Annual distance covered (GB)'!$A$7:$H$7,0))</f>
        <v>5.3</v>
      </c>
      <c r="N1028" s="2">
        <f t="shared" ca="1" si="44"/>
        <v>14888.424271337743</v>
      </c>
      <c r="O1028" s="180">
        <f t="shared" ca="1" si="45"/>
        <v>8.2349920717151998E-2</v>
      </c>
      <c r="P1028" s="180"/>
      <c r="Q1028" s="180"/>
      <c r="R1028" s="180"/>
      <c r="S1028" s="180"/>
      <c r="T1028" s="180"/>
    </row>
    <row r="1029" spans="1:20" x14ac:dyDescent="0.25">
      <c r="A1029" t="s">
        <v>246</v>
      </c>
      <c r="B1029" t="s">
        <v>237</v>
      </c>
      <c r="C1029" t="s">
        <v>238</v>
      </c>
      <c r="D1029" t="s">
        <v>248</v>
      </c>
      <c r="E1029" t="s">
        <v>229</v>
      </c>
      <c r="F1029">
        <v>2003</v>
      </c>
      <c r="G1029">
        <v>2.1714400000000002E-3</v>
      </c>
      <c r="H1029" t="s">
        <v>240</v>
      </c>
      <c r="I1029" t="s">
        <v>241</v>
      </c>
      <c r="J1029" t="s">
        <v>242</v>
      </c>
      <c r="K1029" s="183">
        <f ca="1">VLOOKUP(F1029,
    OFFSET(INDIRECT(ADDRESS(MATCH(J1029,'Vehicle numbers'!$A$5:$A$162,0),1,1,1,$L$6)),4,1,COUNTIF('Vehicle numbers'!$A$5:$A$162,J1029),4),
    MATCH(K$8,'Vehicle numbers'!$B$4:$D$4,0))*1000</f>
        <v>174691</v>
      </c>
      <c r="L1029" s="183">
        <f ca="1">VLOOKUP(F1029,
    OFFSET(INDIRECT(ADDRESS(MATCH(J1029,'Vehicle numbers'!$A$5:$A$162,0),1,1,1,$L$6)),4,1,COUNTIF('Vehicle numbers'!$A$5:$A$162,J1029),4),
    MATCH(L$8,'Vehicle numbers'!$B$4:$D$4,0))*1000</f>
        <v>180794.64001519984</v>
      </c>
      <c r="M1029" s="184">
        <f>VLOOKUP(F1029,'Annual distance covered (GB)'!$A$8:$H$33,MATCH(J1029,'Annual distance covered (GB)'!$A$7:$H$7,0))</f>
        <v>5.3</v>
      </c>
      <c r="N1029" s="2">
        <f t="shared" ca="1" si="44"/>
        <v>11910.739417070195</v>
      </c>
      <c r="O1029" s="180">
        <f t="shared" ca="1" si="45"/>
        <v>6.5879936573721612E-2</v>
      </c>
      <c r="P1029" s="180"/>
      <c r="Q1029" s="180"/>
      <c r="R1029" s="180"/>
      <c r="S1029" s="180"/>
      <c r="T1029" s="180"/>
    </row>
    <row r="1030" spans="1:20" x14ac:dyDescent="0.25">
      <c r="A1030" t="s">
        <v>236</v>
      </c>
      <c r="B1030" t="s">
        <v>237</v>
      </c>
      <c r="C1030" t="s">
        <v>238</v>
      </c>
      <c r="D1030" t="s">
        <v>248</v>
      </c>
      <c r="E1030" t="s">
        <v>228</v>
      </c>
      <c r="F1030">
        <v>2003</v>
      </c>
      <c r="G1030">
        <v>1.68578987779569E-2</v>
      </c>
      <c r="H1030" t="s">
        <v>240</v>
      </c>
      <c r="I1030" t="s">
        <v>241</v>
      </c>
      <c r="J1030" t="s">
        <v>242</v>
      </c>
      <c r="K1030" s="183">
        <f ca="1">VLOOKUP(F1030,
    OFFSET(INDIRECT(ADDRESS(MATCH(J1030,'Vehicle numbers'!$A$5:$A$162,0),1,1,1,$L$6)),4,1,COUNTIF('Vehicle numbers'!$A$5:$A$162,J1030),4),
    MATCH(K$8,'Vehicle numbers'!$B$4:$D$4,0))*1000</f>
        <v>174691</v>
      </c>
      <c r="L1030" s="183">
        <f ca="1">VLOOKUP(F1030,
    OFFSET(INDIRECT(ADDRESS(MATCH(J1030,'Vehicle numbers'!$A$5:$A$162,0),1,1,1,$L$6)),4,1,COUNTIF('Vehicle numbers'!$A$5:$A$162,J1030),4),
    MATCH(L$8,'Vehicle numbers'!$B$4:$D$4,0))*1000</f>
        <v>180794.64001519984</v>
      </c>
      <c r="M1030" s="184">
        <f>VLOOKUP(F1030,'Annual distance covered (GB)'!$A$8:$H$33,MATCH(J1030,'Annual distance covered (GB)'!$A$7:$H$7,0))</f>
        <v>5.3</v>
      </c>
      <c r="N1030" s="2">
        <f t="shared" ca="1" si="44"/>
        <v>92468.610444493374</v>
      </c>
      <c r="O1030" s="180">
        <f t="shared" ca="1" si="45"/>
        <v>0.51145659205781391</v>
      </c>
      <c r="P1030" s="180"/>
      <c r="Q1030" s="180"/>
      <c r="R1030" s="180"/>
      <c r="S1030" s="180"/>
      <c r="T1030" s="180"/>
    </row>
    <row r="1031" spans="1:20" x14ac:dyDescent="0.25">
      <c r="A1031" t="s">
        <v>243</v>
      </c>
      <c r="B1031" t="s">
        <v>237</v>
      </c>
      <c r="C1031" t="s">
        <v>238</v>
      </c>
      <c r="D1031" t="s">
        <v>248</v>
      </c>
      <c r="E1031" t="s">
        <v>228</v>
      </c>
      <c r="F1031">
        <v>2003</v>
      </c>
      <c r="G1031">
        <v>1.1800529144569799E-2</v>
      </c>
      <c r="H1031" t="s">
        <v>240</v>
      </c>
      <c r="I1031" t="s">
        <v>241</v>
      </c>
      <c r="J1031" t="s">
        <v>242</v>
      </c>
      <c r="K1031" s="183">
        <f ca="1">VLOOKUP(F1031,
    OFFSET(INDIRECT(ADDRESS(MATCH(J1031,'Vehicle numbers'!$A$5:$A$162,0),1,1,1,$L$6)),4,1,COUNTIF('Vehicle numbers'!$A$5:$A$162,J1031),4),
    MATCH(K$8,'Vehicle numbers'!$B$4:$D$4,0))*1000</f>
        <v>174691</v>
      </c>
      <c r="L1031" s="183">
        <f ca="1">VLOOKUP(F1031,
    OFFSET(INDIRECT(ADDRESS(MATCH(J1031,'Vehicle numbers'!$A$5:$A$162,0),1,1,1,$L$6)),4,1,COUNTIF('Vehicle numbers'!$A$5:$A$162,J1031),4),
    MATCH(L$8,'Vehicle numbers'!$B$4:$D$4,0))*1000</f>
        <v>180794.64001519984</v>
      </c>
      <c r="M1031" s="184">
        <f>VLOOKUP(F1031,'Annual distance covered (GB)'!$A$8:$H$33,MATCH(J1031,'Annual distance covered (GB)'!$A$7:$H$7,0))</f>
        <v>5.3</v>
      </c>
      <c r="N1031" s="2">
        <f t="shared" ca="1" si="44"/>
        <v>64728.027311145197</v>
      </c>
      <c r="O1031" s="180">
        <f t="shared" ca="1" si="45"/>
        <v>0.35801961444046881</v>
      </c>
      <c r="P1031" s="180"/>
      <c r="Q1031" s="180"/>
      <c r="R1031" s="180"/>
      <c r="S1031" s="180"/>
      <c r="T1031" s="180"/>
    </row>
    <row r="1032" spans="1:20" x14ac:dyDescent="0.25">
      <c r="A1032" t="s">
        <v>244</v>
      </c>
      <c r="B1032" t="s">
        <v>237</v>
      </c>
      <c r="C1032" t="s">
        <v>238</v>
      </c>
      <c r="D1032" t="s">
        <v>248</v>
      </c>
      <c r="E1032" t="s">
        <v>228</v>
      </c>
      <c r="F1032">
        <v>2003</v>
      </c>
      <c r="G1032">
        <v>1.66204635839011E-3</v>
      </c>
      <c r="H1032" t="s">
        <v>240</v>
      </c>
      <c r="I1032" t="s">
        <v>241</v>
      </c>
      <c r="J1032" t="s">
        <v>242</v>
      </c>
      <c r="K1032" s="183">
        <f ca="1">VLOOKUP(F1032,
    OFFSET(INDIRECT(ADDRESS(MATCH(J1032,'Vehicle numbers'!$A$5:$A$162,0),1,1,1,$L$6)),4,1,COUNTIF('Vehicle numbers'!$A$5:$A$162,J1032),4),
    MATCH(K$8,'Vehicle numbers'!$B$4:$D$4,0))*1000</f>
        <v>174691</v>
      </c>
      <c r="L1032" s="183">
        <f ca="1">VLOOKUP(F1032,
    OFFSET(INDIRECT(ADDRESS(MATCH(J1032,'Vehicle numbers'!$A$5:$A$162,0),1,1,1,$L$6)),4,1,COUNTIF('Vehicle numbers'!$A$5:$A$162,J1032),4),
    MATCH(L$8,'Vehicle numbers'!$B$4:$D$4,0))*1000</f>
        <v>180794.64001519984</v>
      </c>
      <c r="M1032" s="184">
        <f>VLOOKUP(F1032,'Annual distance covered (GB)'!$A$8:$H$33,MATCH(J1032,'Annual distance covered (GB)'!$A$7:$H$7,0))</f>
        <v>5.3</v>
      </c>
      <c r="N1032" s="2">
        <f t="shared" ca="1" si="44"/>
        <v>9116.623564950014</v>
      </c>
      <c r="O1032" s="180">
        <f t="shared" ca="1" si="45"/>
        <v>5.0425297808516657E-2</v>
      </c>
      <c r="P1032" s="180"/>
      <c r="Q1032" s="180"/>
      <c r="R1032" s="180"/>
      <c r="S1032" s="180"/>
      <c r="T1032" s="180"/>
    </row>
    <row r="1033" spans="1:20" x14ac:dyDescent="0.25">
      <c r="A1033" t="s">
        <v>246</v>
      </c>
      <c r="B1033" t="s">
        <v>237</v>
      </c>
      <c r="C1033" t="s">
        <v>238</v>
      </c>
      <c r="D1033" t="s">
        <v>248</v>
      </c>
      <c r="E1033" t="s">
        <v>228</v>
      </c>
      <c r="F1033">
        <v>2003</v>
      </c>
      <c r="G1033">
        <v>1.32963708671209E-3</v>
      </c>
      <c r="H1033" t="s">
        <v>240</v>
      </c>
      <c r="I1033" t="s">
        <v>241</v>
      </c>
      <c r="J1033" t="s">
        <v>242</v>
      </c>
      <c r="K1033" s="183">
        <f ca="1">VLOOKUP(F1033,
    OFFSET(INDIRECT(ADDRESS(MATCH(J1033,'Vehicle numbers'!$A$5:$A$162,0),1,1,1,$L$6)),4,1,COUNTIF('Vehicle numbers'!$A$5:$A$162,J1033),4),
    MATCH(K$8,'Vehicle numbers'!$B$4:$D$4,0))*1000</f>
        <v>174691</v>
      </c>
      <c r="L1033" s="183">
        <f ca="1">VLOOKUP(F1033,
    OFFSET(INDIRECT(ADDRESS(MATCH(J1033,'Vehicle numbers'!$A$5:$A$162,0),1,1,1,$L$6)),4,1,COUNTIF('Vehicle numbers'!$A$5:$A$162,J1033),4),
    MATCH(L$8,'Vehicle numbers'!$B$4:$D$4,0))*1000</f>
        <v>180794.64001519984</v>
      </c>
      <c r="M1033" s="184">
        <f>VLOOKUP(F1033,'Annual distance covered (GB)'!$A$8:$H$33,MATCH(J1033,'Annual distance covered (GB)'!$A$7:$H$7,0))</f>
        <v>5.3</v>
      </c>
      <c r="N1033" s="2">
        <f t="shared" ca="1" si="44"/>
        <v>7293.2988519600221</v>
      </c>
      <c r="O1033" s="180">
        <f t="shared" ca="1" si="45"/>
        <v>4.0340238246813383E-2</v>
      </c>
      <c r="P1033" s="180"/>
      <c r="Q1033" s="180"/>
      <c r="R1033" s="180"/>
      <c r="S1033" s="180"/>
      <c r="T1033" s="180"/>
    </row>
    <row r="1034" spans="1:20" x14ac:dyDescent="0.25">
      <c r="A1034" t="s">
        <v>236</v>
      </c>
      <c r="B1034" t="s">
        <v>237</v>
      </c>
      <c r="C1034" t="s">
        <v>238</v>
      </c>
      <c r="D1034" t="s">
        <v>249</v>
      </c>
      <c r="E1034" t="s">
        <v>229</v>
      </c>
      <c r="F1034">
        <v>2003</v>
      </c>
      <c r="G1034">
        <v>5.3594999999999997E-2</v>
      </c>
      <c r="H1034" t="s">
        <v>240</v>
      </c>
      <c r="I1034" t="s">
        <v>241</v>
      </c>
      <c r="J1034" t="s">
        <v>242</v>
      </c>
      <c r="K1034" s="183">
        <f ca="1">VLOOKUP(F1034,
    OFFSET(INDIRECT(ADDRESS(MATCH(J1034,'Vehicle numbers'!$A$5:$A$162,0),1,1,1,$L$6)),4,1,COUNTIF('Vehicle numbers'!$A$5:$A$162,J1034),4),
    MATCH(K$8,'Vehicle numbers'!$B$4:$D$4,0))*1000</f>
        <v>174691</v>
      </c>
      <c r="L1034" s="183">
        <f ca="1">VLOOKUP(F1034,
    OFFSET(INDIRECT(ADDRESS(MATCH(J1034,'Vehicle numbers'!$A$5:$A$162,0),1,1,1,$L$6)),4,1,COUNTIF('Vehicle numbers'!$A$5:$A$162,J1034),4),
    MATCH(L$8,'Vehicle numbers'!$B$4:$D$4,0))*1000</f>
        <v>180794.64001519984</v>
      </c>
      <c r="M1034" s="184">
        <f>VLOOKUP(F1034,'Annual distance covered (GB)'!$A$8:$H$33,MATCH(J1034,'Annual distance covered (GB)'!$A$7:$H$7,0))</f>
        <v>5.3</v>
      </c>
      <c r="N1034" s="2">
        <f t="shared" ca="1" si="44"/>
        <v>293978.22599651705</v>
      </c>
      <c r="O1034" s="180">
        <f t="shared" ca="1" si="45"/>
        <v>1.6260339685501828</v>
      </c>
      <c r="P1034" s="180"/>
      <c r="Q1034" s="180"/>
      <c r="R1034" s="180"/>
      <c r="S1034" s="180"/>
      <c r="T1034" s="180"/>
    </row>
    <row r="1035" spans="1:20" x14ac:dyDescent="0.25">
      <c r="A1035" t="s">
        <v>243</v>
      </c>
      <c r="B1035" t="s">
        <v>237</v>
      </c>
      <c r="C1035" t="s">
        <v>238</v>
      </c>
      <c r="D1035" t="s">
        <v>249</v>
      </c>
      <c r="E1035" t="s">
        <v>229</v>
      </c>
      <c r="F1035">
        <v>2003</v>
      </c>
      <c r="G1035">
        <v>2.1437999999999999E-2</v>
      </c>
      <c r="H1035" t="s">
        <v>240</v>
      </c>
      <c r="I1035" t="s">
        <v>241</v>
      </c>
      <c r="J1035" t="s">
        <v>242</v>
      </c>
      <c r="K1035" s="183">
        <f ca="1">VLOOKUP(F1035,
    OFFSET(INDIRECT(ADDRESS(MATCH(J1035,'Vehicle numbers'!$A$5:$A$162,0),1,1,1,$L$6)),4,1,COUNTIF('Vehicle numbers'!$A$5:$A$162,J1035),4),
    MATCH(K$8,'Vehicle numbers'!$B$4:$D$4,0))*1000</f>
        <v>174691</v>
      </c>
      <c r="L1035" s="183">
        <f ca="1">VLOOKUP(F1035,
    OFFSET(INDIRECT(ADDRESS(MATCH(J1035,'Vehicle numbers'!$A$5:$A$162,0),1,1,1,$L$6)),4,1,COUNTIF('Vehicle numbers'!$A$5:$A$162,J1035),4),
    MATCH(L$8,'Vehicle numbers'!$B$4:$D$4,0))*1000</f>
        <v>180794.64001519984</v>
      </c>
      <c r="M1035" s="184">
        <f>VLOOKUP(F1035,'Annual distance covered (GB)'!$A$8:$H$33,MATCH(J1035,'Annual distance covered (GB)'!$A$7:$H$7,0))</f>
        <v>5.3</v>
      </c>
      <c r="N1035" s="2">
        <f t="shared" ref="N1035:N1098" ca="1" si="46">M1035*G1035*1000000*(L1035/K1035)</f>
        <v>117591.29039860681</v>
      </c>
      <c r="O1035" s="180">
        <f t="shared" ref="O1035:O1098" ca="1" si="47">N1035/L1035</f>
        <v>0.65041358742007305</v>
      </c>
      <c r="P1035" s="180"/>
      <c r="Q1035" s="180"/>
      <c r="R1035" s="180"/>
      <c r="S1035" s="180"/>
      <c r="T1035" s="180"/>
    </row>
    <row r="1036" spans="1:20" x14ac:dyDescent="0.25">
      <c r="A1036" t="s">
        <v>244</v>
      </c>
      <c r="B1036" t="s">
        <v>237</v>
      </c>
      <c r="C1036" t="s">
        <v>238</v>
      </c>
      <c r="D1036" t="s">
        <v>249</v>
      </c>
      <c r="E1036" t="s">
        <v>229</v>
      </c>
      <c r="F1036">
        <v>2003</v>
      </c>
      <c r="G1036">
        <v>5.3594999999999997E-3</v>
      </c>
      <c r="H1036" t="s">
        <v>240</v>
      </c>
      <c r="I1036" t="s">
        <v>241</v>
      </c>
      <c r="J1036" t="s">
        <v>242</v>
      </c>
      <c r="K1036" s="183">
        <f ca="1">VLOOKUP(F1036,
    OFFSET(INDIRECT(ADDRESS(MATCH(J1036,'Vehicle numbers'!$A$5:$A$162,0),1,1,1,$L$6)),4,1,COUNTIF('Vehicle numbers'!$A$5:$A$162,J1036),4),
    MATCH(K$8,'Vehicle numbers'!$B$4:$D$4,0))*1000</f>
        <v>174691</v>
      </c>
      <c r="L1036" s="183">
        <f ca="1">VLOOKUP(F1036,
    OFFSET(INDIRECT(ADDRESS(MATCH(J1036,'Vehicle numbers'!$A$5:$A$162,0),1,1,1,$L$6)),4,1,COUNTIF('Vehicle numbers'!$A$5:$A$162,J1036),4),
    MATCH(L$8,'Vehicle numbers'!$B$4:$D$4,0))*1000</f>
        <v>180794.64001519984</v>
      </c>
      <c r="M1036" s="184">
        <f>VLOOKUP(F1036,'Annual distance covered (GB)'!$A$8:$H$33,MATCH(J1036,'Annual distance covered (GB)'!$A$7:$H$7,0))</f>
        <v>5.3</v>
      </c>
      <c r="N1036" s="2">
        <f t="shared" ca="1" si="46"/>
        <v>29397.822599651703</v>
      </c>
      <c r="O1036" s="180">
        <f t="shared" ca="1" si="47"/>
        <v>0.16260339685501826</v>
      </c>
      <c r="P1036" s="180"/>
      <c r="Q1036" s="180"/>
      <c r="R1036" s="180"/>
      <c r="S1036" s="180"/>
      <c r="T1036" s="180"/>
    </row>
    <row r="1037" spans="1:20" x14ac:dyDescent="0.25">
      <c r="A1037" t="s">
        <v>246</v>
      </c>
      <c r="B1037" t="s">
        <v>237</v>
      </c>
      <c r="C1037" t="s">
        <v>238</v>
      </c>
      <c r="D1037" t="s">
        <v>249</v>
      </c>
      <c r="E1037" t="s">
        <v>229</v>
      </c>
      <c r="F1037">
        <v>2003</v>
      </c>
      <c r="G1037">
        <v>4.2875999999999999E-3</v>
      </c>
      <c r="H1037" t="s">
        <v>240</v>
      </c>
      <c r="I1037" t="s">
        <v>241</v>
      </c>
      <c r="J1037" t="s">
        <v>242</v>
      </c>
      <c r="K1037" s="183">
        <f ca="1">VLOOKUP(F1037,
    OFFSET(INDIRECT(ADDRESS(MATCH(J1037,'Vehicle numbers'!$A$5:$A$162,0),1,1,1,$L$6)),4,1,COUNTIF('Vehicle numbers'!$A$5:$A$162,J1037),4),
    MATCH(K$8,'Vehicle numbers'!$B$4:$D$4,0))*1000</f>
        <v>174691</v>
      </c>
      <c r="L1037" s="183">
        <f ca="1">VLOOKUP(F1037,
    OFFSET(INDIRECT(ADDRESS(MATCH(J1037,'Vehicle numbers'!$A$5:$A$162,0),1,1,1,$L$6)),4,1,COUNTIF('Vehicle numbers'!$A$5:$A$162,J1037),4),
    MATCH(L$8,'Vehicle numbers'!$B$4:$D$4,0))*1000</f>
        <v>180794.64001519984</v>
      </c>
      <c r="M1037" s="184">
        <f>VLOOKUP(F1037,'Annual distance covered (GB)'!$A$8:$H$33,MATCH(J1037,'Annual distance covered (GB)'!$A$7:$H$7,0))</f>
        <v>5.3</v>
      </c>
      <c r="N1037" s="2">
        <f t="shared" ca="1" si="46"/>
        <v>23518.258079721367</v>
      </c>
      <c r="O1037" s="180">
        <f t="shared" ca="1" si="47"/>
        <v>0.13008271748401462</v>
      </c>
      <c r="P1037" s="180"/>
      <c r="Q1037" s="180"/>
      <c r="R1037" s="180"/>
      <c r="S1037" s="180"/>
      <c r="T1037" s="180"/>
    </row>
    <row r="1038" spans="1:20" x14ac:dyDescent="0.25">
      <c r="A1038" t="s">
        <v>236</v>
      </c>
      <c r="B1038" t="s">
        <v>237</v>
      </c>
      <c r="C1038" t="s">
        <v>238</v>
      </c>
      <c r="D1038" t="s">
        <v>249</v>
      </c>
      <c r="E1038" t="s">
        <v>228</v>
      </c>
      <c r="F1038">
        <v>2003</v>
      </c>
      <c r="G1038">
        <v>2.13932150884594E-2</v>
      </c>
      <c r="H1038" t="s">
        <v>240</v>
      </c>
      <c r="I1038" t="s">
        <v>241</v>
      </c>
      <c r="J1038" t="s">
        <v>242</v>
      </c>
      <c r="K1038" s="183">
        <f ca="1">VLOOKUP(F1038,
    OFFSET(INDIRECT(ADDRESS(MATCH(J1038,'Vehicle numbers'!$A$5:$A$162,0),1,1,1,$L$6)),4,1,COUNTIF('Vehicle numbers'!$A$5:$A$162,J1038),4),
    MATCH(K$8,'Vehicle numbers'!$B$4:$D$4,0))*1000</f>
        <v>174691</v>
      </c>
      <c r="L1038" s="183">
        <f ca="1">VLOOKUP(F1038,
    OFFSET(INDIRECT(ADDRESS(MATCH(J1038,'Vehicle numbers'!$A$5:$A$162,0),1,1,1,$L$6)),4,1,COUNTIF('Vehicle numbers'!$A$5:$A$162,J1038),4),
    MATCH(L$8,'Vehicle numbers'!$B$4:$D$4,0))*1000</f>
        <v>180794.64001519984</v>
      </c>
      <c r="M1038" s="184">
        <f>VLOOKUP(F1038,'Annual distance covered (GB)'!$A$8:$H$33,MATCH(J1038,'Annual distance covered (GB)'!$A$7:$H$7,0))</f>
        <v>5.3</v>
      </c>
      <c r="N1038" s="2">
        <f t="shared" ca="1" si="46"/>
        <v>117345.63709426657</v>
      </c>
      <c r="O1038" s="180">
        <f t="shared" ca="1" si="47"/>
        <v>0.64905484523435564</v>
      </c>
      <c r="P1038" s="180"/>
      <c r="Q1038" s="180"/>
      <c r="R1038" s="180"/>
      <c r="S1038" s="180"/>
      <c r="T1038" s="180"/>
    </row>
    <row r="1039" spans="1:20" x14ac:dyDescent="0.25">
      <c r="A1039" t="s">
        <v>243</v>
      </c>
      <c r="B1039" t="s">
        <v>237</v>
      </c>
      <c r="C1039" t="s">
        <v>238</v>
      </c>
      <c r="D1039" t="s">
        <v>249</v>
      </c>
      <c r="E1039" t="s">
        <v>228</v>
      </c>
      <c r="F1039">
        <v>2003</v>
      </c>
      <c r="G1039">
        <v>1.49752505619216E-2</v>
      </c>
      <c r="H1039" t="s">
        <v>240</v>
      </c>
      <c r="I1039" t="s">
        <v>241</v>
      </c>
      <c r="J1039" t="s">
        <v>242</v>
      </c>
      <c r="K1039" s="183">
        <f ca="1">VLOOKUP(F1039,
    OFFSET(INDIRECT(ADDRESS(MATCH(J1039,'Vehicle numbers'!$A$5:$A$162,0),1,1,1,$L$6)),4,1,COUNTIF('Vehicle numbers'!$A$5:$A$162,J1039),4),
    MATCH(K$8,'Vehicle numbers'!$B$4:$D$4,0))*1000</f>
        <v>174691</v>
      </c>
      <c r="L1039" s="183">
        <f ca="1">VLOOKUP(F1039,
    OFFSET(INDIRECT(ADDRESS(MATCH(J1039,'Vehicle numbers'!$A$5:$A$162,0),1,1,1,$L$6)),4,1,COUNTIF('Vehicle numbers'!$A$5:$A$162,J1039),4),
    MATCH(L$8,'Vehicle numbers'!$B$4:$D$4,0))*1000</f>
        <v>180794.64001519984</v>
      </c>
      <c r="M1039" s="184">
        <f>VLOOKUP(F1039,'Annual distance covered (GB)'!$A$8:$H$33,MATCH(J1039,'Annual distance covered (GB)'!$A$7:$H$7,0))</f>
        <v>5.3</v>
      </c>
      <c r="N1039" s="2">
        <f t="shared" ca="1" si="46"/>
        <v>82141.945965986713</v>
      </c>
      <c r="O1039" s="180">
        <f t="shared" ca="1" si="47"/>
        <v>0.45433839166404955</v>
      </c>
      <c r="P1039" s="180"/>
      <c r="Q1039" s="180"/>
      <c r="R1039" s="180"/>
      <c r="S1039" s="180"/>
      <c r="T1039" s="180"/>
    </row>
    <row r="1040" spans="1:20" x14ac:dyDescent="0.25">
      <c r="A1040" t="s">
        <v>244</v>
      </c>
      <c r="B1040" t="s">
        <v>237</v>
      </c>
      <c r="C1040" t="s">
        <v>238</v>
      </c>
      <c r="D1040" t="s">
        <v>249</v>
      </c>
      <c r="E1040" t="s">
        <v>228</v>
      </c>
      <c r="F1040">
        <v>2003</v>
      </c>
      <c r="G1040">
        <v>2.1091902199889502E-3</v>
      </c>
      <c r="H1040" t="s">
        <v>240</v>
      </c>
      <c r="I1040" t="s">
        <v>241</v>
      </c>
      <c r="J1040" t="s">
        <v>242</v>
      </c>
      <c r="K1040" s="183">
        <f ca="1">VLOOKUP(F1040,
    OFFSET(INDIRECT(ADDRESS(MATCH(J1040,'Vehicle numbers'!$A$5:$A$162,0),1,1,1,$L$6)),4,1,COUNTIF('Vehicle numbers'!$A$5:$A$162,J1040),4),
    MATCH(K$8,'Vehicle numbers'!$B$4:$D$4,0))*1000</f>
        <v>174691</v>
      </c>
      <c r="L1040" s="183">
        <f ca="1">VLOOKUP(F1040,
    OFFSET(INDIRECT(ADDRESS(MATCH(J1040,'Vehicle numbers'!$A$5:$A$162,0),1,1,1,$L$6)),4,1,COUNTIF('Vehicle numbers'!$A$5:$A$162,J1040),4),
    MATCH(L$8,'Vehicle numbers'!$B$4:$D$4,0))*1000</f>
        <v>180794.64001519984</v>
      </c>
      <c r="M1040" s="184">
        <f>VLOOKUP(F1040,'Annual distance covered (GB)'!$A$8:$H$33,MATCH(J1040,'Annual distance covered (GB)'!$A$7:$H$7,0))</f>
        <v>5.3</v>
      </c>
      <c r="N1040" s="2">
        <f t="shared" ca="1" si="46"/>
        <v>11569.288164223437</v>
      </c>
      <c r="O1040" s="180">
        <f t="shared" ca="1" si="47"/>
        <v>6.3991322769584205E-2</v>
      </c>
      <c r="P1040" s="180"/>
      <c r="Q1040" s="180"/>
      <c r="R1040" s="180"/>
      <c r="S1040" s="180"/>
      <c r="T1040" s="180"/>
    </row>
    <row r="1041" spans="1:20" x14ac:dyDescent="0.25">
      <c r="A1041" t="s">
        <v>246</v>
      </c>
      <c r="B1041" t="s">
        <v>237</v>
      </c>
      <c r="C1041" t="s">
        <v>238</v>
      </c>
      <c r="D1041" t="s">
        <v>249</v>
      </c>
      <c r="E1041" t="s">
        <v>228</v>
      </c>
      <c r="F1041">
        <v>2003</v>
      </c>
      <c r="G1041">
        <v>1.68735217599116E-3</v>
      </c>
      <c r="H1041" t="s">
        <v>240</v>
      </c>
      <c r="I1041" t="s">
        <v>241</v>
      </c>
      <c r="J1041" t="s">
        <v>242</v>
      </c>
      <c r="K1041" s="183">
        <f ca="1">VLOOKUP(F1041,
    OFFSET(INDIRECT(ADDRESS(MATCH(J1041,'Vehicle numbers'!$A$5:$A$162,0),1,1,1,$L$6)),4,1,COUNTIF('Vehicle numbers'!$A$5:$A$162,J1041),4),
    MATCH(K$8,'Vehicle numbers'!$B$4:$D$4,0))*1000</f>
        <v>174691</v>
      </c>
      <c r="L1041" s="183">
        <f ca="1">VLOOKUP(F1041,
    OFFSET(INDIRECT(ADDRESS(MATCH(J1041,'Vehicle numbers'!$A$5:$A$162,0),1,1,1,$L$6)),4,1,COUNTIF('Vehicle numbers'!$A$5:$A$162,J1041),4),
    MATCH(L$8,'Vehicle numbers'!$B$4:$D$4,0))*1000</f>
        <v>180794.64001519984</v>
      </c>
      <c r="M1041" s="184">
        <f>VLOOKUP(F1041,'Annual distance covered (GB)'!$A$8:$H$33,MATCH(J1041,'Annual distance covered (GB)'!$A$7:$H$7,0))</f>
        <v>5.3</v>
      </c>
      <c r="N1041" s="2">
        <f t="shared" ca="1" si="46"/>
        <v>9255.4305313787499</v>
      </c>
      <c r="O1041" s="180">
        <f t="shared" ca="1" si="47"/>
        <v>5.1193058215667366E-2</v>
      </c>
      <c r="P1041" s="180"/>
      <c r="Q1041" s="180"/>
      <c r="R1041" s="180"/>
      <c r="S1041" s="180"/>
      <c r="T1041" s="180"/>
    </row>
    <row r="1042" spans="1:20" x14ac:dyDescent="0.25">
      <c r="A1042" t="s">
        <v>236</v>
      </c>
      <c r="B1042" t="s">
        <v>237</v>
      </c>
      <c r="C1042" t="s">
        <v>238</v>
      </c>
      <c r="D1042" t="s">
        <v>250</v>
      </c>
      <c r="E1042" t="s">
        <v>229</v>
      </c>
      <c r="F1042">
        <v>2003</v>
      </c>
      <c r="G1042">
        <v>1.3600000000000001E-3</v>
      </c>
      <c r="H1042" t="s">
        <v>240</v>
      </c>
      <c r="I1042" t="s">
        <v>241</v>
      </c>
      <c r="J1042" t="s">
        <v>2</v>
      </c>
      <c r="K1042" s="183">
        <f ca="1">VLOOKUP(F1042,
    OFFSET(INDIRECT(ADDRESS(MATCH(J1042,'Vehicle numbers'!$A$5:$A$162,0),1,1,1,$L$6)),4,1,COUNTIF('Vehicle numbers'!$A$5:$A$162,J1042),4),
    MATCH(K$8,'Vehicle numbers'!$B$4:$D$4,0))*1000</f>
        <v>26240404</v>
      </c>
      <c r="L1042" s="183">
        <f ca="1">VLOOKUP(F1042,
    OFFSET(INDIRECT(ADDRESS(MATCH(J1042,'Vehicle numbers'!$A$5:$A$162,0),1,1,1,$L$6)),4,1,COUNTIF('Vehicle numbers'!$A$5:$A$162,J1042),4),
    MATCH(L$8,'Vehicle numbers'!$B$4:$D$4,0))*1000</f>
        <v>27046837.17846008</v>
      </c>
      <c r="M1042" s="184">
        <f>VLOOKUP(F1042,'Annual distance covered (GB)'!$A$8:$H$33,MATCH(J1042,'Annual distance covered (GB)'!$A$7:$H$7,0))</f>
        <v>390</v>
      </c>
      <c r="N1042" s="2">
        <f t="shared" ca="1" si="46"/>
        <v>546700.51724261662</v>
      </c>
      <c r="O1042" s="180">
        <f t="shared" ca="1" si="47"/>
        <v>2.0213103426303954E-2</v>
      </c>
      <c r="P1042" s="180"/>
      <c r="Q1042" s="180"/>
      <c r="R1042" s="180"/>
      <c r="S1042" s="180"/>
      <c r="T1042" s="180"/>
    </row>
    <row r="1043" spans="1:20" x14ac:dyDescent="0.25">
      <c r="A1043" t="s">
        <v>243</v>
      </c>
      <c r="B1043" t="s">
        <v>237</v>
      </c>
      <c r="C1043" t="s">
        <v>238</v>
      </c>
      <c r="D1043" t="s">
        <v>250</v>
      </c>
      <c r="E1043" t="s">
        <v>229</v>
      </c>
      <c r="F1043">
        <v>2003</v>
      </c>
      <c r="G1043">
        <v>5.44E-4</v>
      </c>
      <c r="H1043" t="s">
        <v>240</v>
      </c>
      <c r="I1043" t="s">
        <v>241</v>
      </c>
      <c r="J1043" t="s">
        <v>2</v>
      </c>
      <c r="K1043" s="183">
        <f ca="1">VLOOKUP(F1043,
    OFFSET(INDIRECT(ADDRESS(MATCH(J1043,'Vehicle numbers'!$A$5:$A$162,0),1,1,1,$L$6)),4,1,COUNTIF('Vehicle numbers'!$A$5:$A$162,J1043),4),
    MATCH(K$8,'Vehicle numbers'!$B$4:$D$4,0))*1000</f>
        <v>26240404</v>
      </c>
      <c r="L1043" s="183">
        <f ca="1">VLOOKUP(F1043,
    OFFSET(INDIRECT(ADDRESS(MATCH(J1043,'Vehicle numbers'!$A$5:$A$162,0),1,1,1,$L$6)),4,1,COUNTIF('Vehicle numbers'!$A$5:$A$162,J1043),4),
    MATCH(L$8,'Vehicle numbers'!$B$4:$D$4,0))*1000</f>
        <v>27046837.17846008</v>
      </c>
      <c r="M1043" s="184">
        <f>VLOOKUP(F1043,'Annual distance covered (GB)'!$A$8:$H$33,MATCH(J1043,'Annual distance covered (GB)'!$A$7:$H$7,0))</f>
        <v>390</v>
      </c>
      <c r="N1043" s="2">
        <f t="shared" ca="1" si="46"/>
        <v>218680.20689704665</v>
      </c>
      <c r="O1043" s="180">
        <f t="shared" ca="1" si="47"/>
        <v>8.0852413705215821E-3</v>
      </c>
      <c r="P1043" s="180"/>
      <c r="Q1043" s="180"/>
      <c r="R1043" s="180"/>
      <c r="S1043" s="180"/>
      <c r="T1043" s="180"/>
    </row>
    <row r="1044" spans="1:20" x14ac:dyDescent="0.25">
      <c r="A1044" t="s">
        <v>244</v>
      </c>
      <c r="B1044" t="s">
        <v>237</v>
      </c>
      <c r="C1044" t="s">
        <v>238</v>
      </c>
      <c r="D1044" t="s">
        <v>250</v>
      </c>
      <c r="E1044" t="s">
        <v>229</v>
      </c>
      <c r="F1044">
        <v>2003</v>
      </c>
      <c r="G1044">
        <v>1.36E-4</v>
      </c>
      <c r="H1044" t="s">
        <v>240</v>
      </c>
      <c r="I1044" t="s">
        <v>241</v>
      </c>
      <c r="J1044" t="s">
        <v>2</v>
      </c>
      <c r="K1044" s="183">
        <f ca="1">VLOOKUP(F1044,
    OFFSET(INDIRECT(ADDRESS(MATCH(J1044,'Vehicle numbers'!$A$5:$A$162,0),1,1,1,$L$6)),4,1,COUNTIF('Vehicle numbers'!$A$5:$A$162,J1044),4),
    MATCH(K$8,'Vehicle numbers'!$B$4:$D$4,0))*1000</f>
        <v>26240404</v>
      </c>
      <c r="L1044" s="183">
        <f ca="1">VLOOKUP(F1044,
    OFFSET(INDIRECT(ADDRESS(MATCH(J1044,'Vehicle numbers'!$A$5:$A$162,0),1,1,1,$L$6)),4,1,COUNTIF('Vehicle numbers'!$A$5:$A$162,J1044),4),
    MATCH(L$8,'Vehicle numbers'!$B$4:$D$4,0))*1000</f>
        <v>27046837.17846008</v>
      </c>
      <c r="M1044" s="184">
        <f>VLOOKUP(F1044,'Annual distance covered (GB)'!$A$8:$H$33,MATCH(J1044,'Annual distance covered (GB)'!$A$7:$H$7,0))</f>
        <v>390</v>
      </c>
      <c r="N1044" s="2">
        <f t="shared" ca="1" si="46"/>
        <v>54670.051724261662</v>
      </c>
      <c r="O1044" s="180">
        <f t="shared" ca="1" si="47"/>
        <v>2.0213103426303955E-3</v>
      </c>
      <c r="P1044" s="180"/>
      <c r="Q1044" s="180"/>
      <c r="R1044" s="180"/>
      <c r="S1044" s="180"/>
      <c r="T1044" s="180"/>
    </row>
    <row r="1045" spans="1:20" x14ac:dyDescent="0.25">
      <c r="A1045" t="s">
        <v>246</v>
      </c>
      <c r="B1045" t="s">
        <v>237</v>
      </c>
      <c r="C1045" t="s">
        <v>238</v>
      </c>
      <c r="D1045" t="s">
        <v>250</v>
      </c>
      <c r="E1045" t="s">
        <v>229</v>
      </c>
      <c r="F1045">
        <v>2003</v>
      </c>
      <c r="G1045">
        <v>1.088E-4</v>
      </c>
      <c r="H1045" t="s">
        <v>240</v>
      </c>
      <c r="I1045" t="s">
        <v>241</v>
      </c>
      <c r="J1045" t="s">
        <v>2</v>
      </c>
      <c r="K1045" s="183">
        <f ca="1">VLOOKUP(F1045,
    OFFSET(INDIRECT(ADDRESS(MATCH(J1045,'Vehicle numbers'!$A$5:$A$162,0),1,1,1,$L$6)),4,1,COUNTIF('Vehicle numbers'!$A$5:$A$162,J1045),4),
    MATCH(K$8,'Vehicle numbers'!$B$4:$D$4,0))*1000</f>
        <v>26240404</v>
      </c>
      <c r="L1045" s="183">
        <f ca="1">VLOOKUP(F1045,
    OFFSET(INDIRECT(ADDRESS(MATCH(J1045,'Vehicle numbers'!$A$5:$A$162,0),1,1,1,$L$6)),4,1,COUNTIF('Vehicle numbers'!$A$5:$A$162,J1045),4),
    MATCH(L$8,'Vehicle numbers'!$B$4:$D$4,0))*1000</f>
        <v>27046837.17846008</v>
      </c>
      <c r="M1045" s="184">
        <f>VLOOKUP(F1045,'Annual distance covered (GB)'!$A$8:$H$33,MATCH(J1045,'Annual distance covered (GB)'!$A$7:$H$7,0))</f>
        <v>390</v>
      </c>
      <c r="N1045" s="2">
        <f t="shared" ca="1" si="46"/>
        <v>43736.041379409333</v>
      </c>
      <c r="O1045" s="180">
        <f t="shared" ca="1" si="47"/>
        <v>1.6170482741043166E-3</v>
      </c>
      <c r="P1045" s="180"/>
      <c r="Q1045" s="180"/>
      <c r="R1045" s="180"/>
      <c r="S1045" s="180"/>
      <c r="T1045" s="180"/>
    </row>
    <row r="1046" spans="1:20" x14ac:dyDescent="0.25">
      <c r="A1046" t="s">
        <v>236</v>
      </c>
      <c r="B1046" t="s">
        <v>237</v>
      </c>
      <c r="C1046" t="s">
        <v>238</v>
      </c>
      <c r="D1046" t="s">
        <v>250</v>
      </c>
      <c r="E1046" t="s">
        <v>228</v>
      </c>
      <c r="F1046">
        <v>2003</v>
      </c>
      <c r="G1046">
        <v>5.7910000000000001E-3</v>
      </c>
      <c r="H1046" t="s">
        <v>240</v>
      </c>
      <c r="I1046" t="s">
        <v>241</v>
      </c>
      <c r="J1046" t="s">
        <v>2</v>
      </c>
      <c r="K1046" s="183">
        <f ca="1">VLOOKUP(F1046,
    OFFSET(INDIRECT(ADDRESS(MATCH(J1046,'Vehicle numbers'!$A$5:$A$162,0),1,1,1,$L$6)),4,1,COUNTIF('Vehicle numbers'!$A$5:$A$162,J1046),4),
    MATCH(K$8,'Vehicle numbers'!$B$4:$D$4,0))*1000</f>
        <v>26240404</v>
      </c>
      <c r="L1046" s="183">
        <f ca="1">VLOOKUP(F1046,
    OFFSET(INDIRECT(ADDRESS(MATCH(J1046,'Vehicle numbers'!$A$5:$A$162,0),1,1,1,$L$6)),4,1,COUNTIF('Vehicle numbers'!$A$5:$A$162,J1046),4),
    MATCH(L$8,'Vehicle numbers'!$B$4:$D$4,0))*1000</f>
        <v>27046837.17846008</v>
      </c>
      <c r="M1046" s="184">
        <f>VLOOKUP(F1046,'Annual distance covered (GB)'!$A$8:$H$33,MATCH(J1046,'Annual distance covered (GB)'!$A$7:$H$7,0))</f>
        <v>390</v>
      </c>
      <c r="N1046" s="2">
        <f t="shared" ca="1" si="46"/>
        <v>2327899.0406999947</v>
      </c>
      <c r="O1046" s="180">
        <f t="shared" ca="1" si="47"/>
        <v>8.6069177898328089E-2</v>
      </c>
      <c r="P1046" s="180"/>
      <c r="Q1046" s="180"/>
      <c r="R1046" s="180"/>
      <c r="S1046" s="180"/>
      <c r="T1046" s="180"/>
    </row>
    <row r="1047" spans="1:20" x14ac:dyDescent="0.25">
      <c r="A1047" t="s">
        <v>243</v>
      </c>
      <c r="B1047" t="s">
        <v>237</v>
      </c>
      <c r="C1047" t="s">
        <v>238</v>
      </c>
      <c r="D1047" t="s">
        <v>250</v>
      </c>
      <c r="E1047" t="s">
        <v>228</v>
      </c>
      <c r="F1047">
        <v>2003</v>
      </c>
      <c r="G1047">
        <v>4.0537000000000004E-3</v>
      </c>
      <c r="H1047" t="s">
        <v>240</v>
      </c>
      <c r="I1047" t="s">
        <v>241</v>
      </c>
      <c r="J1047" t="s">
        <v>2</v>
      </c>
      <c r="K1047" s="183">
        <f ca="1">VLOOKUP(F1047,
    OFFSET(INDIRECT(ADDRESS(MATCH(J1047,'Vehicle numbers'!$A$5:$A$162,0),1,1,1,$L$6)),4,1,COUNTIF('Vehicle numbers'!$A$5:$A$162,J1047),4),
    MATCH(K$8,'Vehicle numbers'!$B$4:$D$4,0))*1000</f>
        <v>26240404</v>
      </c>
      <c r="L1047" s="183">
        <f ca="1">VLOOKUP(F1047,
    OFFSET(INDIRECT(ADDRESS(MATCH(J1047,'Vehicle numbers'!$A$5:$A$162,0),1,1,1,$L$6)),4,1,COUNTIF('Vehicle numbers'!$A$5:$A$162,J1047),4),
    MATCH(L$8,'Vehicle numbers'!$B$4:$D$4,0))*1000</f>
        <v>27046837.17846008</v>
      </c>
      <c r="M1047" s="184">
        <f>VLOOKUP(F1047,'Annual distance covered (GB)'!$A$8:$H$33,MATCH(J1047,'Annual distance covered (GB)'!$A$7:$H$7,0))</f>
        <v>390</v>
      </c>
      <c r="N1047" s="2">
        <f t="shared" ca="1" si="46"/>
        <v>1629529.3284899967</v>
      </c>
      <c r="O1047" s="180">
        <f t="shared" ca="1" si="47"/>
        <v>6.0248424528829676E-2</v>
      </c>
      <c r="P1047" s="180"/>
      <c r="Q1047" s="180"/>
      <c r="R1047" s="180"/>
      <c r="S1047" s="180"/>
      <c r="T1047" s="180"/>
    </row>
    <row r="1048" spans="1:20" x14ac:dyDescent="0.25">
      <c r="A1048" t="s">
        <v>244</v>
      </c>
      <c r="B1048" t="s">
        <v>237</v>
      </c>
      <c r="C1048" t="s">
        <v>238</v>
      </c>
      <c r="D1048" t="s">
        <v>250</v>
      </c>
      <c r="E1048" t="s">
        <v>228</v>
      </c>
      <c r="F1048">
        <v>2003</v>
      </c>
      <c r="G1048">
        <v>5.7094366197182997E-4</v>
      </c>
      <c r="H1048" t="s">
        <v>240</v>
      </c>
      <c r="I1048" t="s">
        <v>241</v>
      </c>
      <c r="J1048" t="s">
        <v>2</v>
      </c>
      <c r="K1048" s="183">
        <f ca="1">VLOOKUP(F1048,
    OFFSET(INDIRECT(ADDRESS(MATCH(J1048,'Vehicle numbers'!$A$5:$A$162,0),1,1,1,$L$6)),4,1,COUNTIF('Vehicle numbers'!$A$5:$A$162,J1048),4),
    MATCH(K$8,'Vehicle numbers'!$B$4:$D$4,0))*1000</f>
        <v>26240404</v>
      </c>
      <c r="L1048" s="183">
        <f ca="1">VLOOKUP(F1048,
    OFFSET(INDIRECT(ADDRESS(MATCH(J1048,'Vehicle numbers'!$A$5:$A$162,0),1,1,1,$L$6)),4,1,COUNTIF('Vehicle numbers'!$A$5:$A$162,J1048),4),
    MATCH(L$8,'Vehicle numbers'!$B$4:$D$4,0))*1000</f>
        <v>27046837.17846008</v>
      </c>
      <c r="M1048" s="184">
        <f>VLOOKUP(F1048,'Annual distance covered (GB)'!$A$8:$H$33,MATCH(J1048,'Annual distance covered (GB)'!$A$7:$H$7,0))</f>
        <v>390</v>
      </c>
      <c r="N1048" s="2">
        <f t="shared" ca="1" si="46"/>
        <v>229511.17302675964</v>
      </c>
      <c r="O1048" s="180">
        <f t="shared" ca="1" si="47"/>
        <v>8.4856935956097966E-3</v>
      </c>
      <c r="P1048" s="180"/>
      <c r="Q1048" s="180"/>
      <c r="R1048" s="180"/>
      <c r="S1048" s="180"/>
      <c r="T1048" s="180"/>
    </row>
    <row r="1049" spans="1:20" x14ac:dyDescent="0.25">
      <c r="A1049" t="s">
        <v>246</v>
      </c>
      <c r="B1049" t="s">
        <v>237</v>
      </c>
      <c r="C1049" t="s">
        <v>238</v>
      </c>
      <c r="D1049" t="s">
        <v>250</v>
      </c>
      <c r="E1049" t="s">
        <v>228</v>
      </c>
      <c r="F1049">
        <v>2003</v>
      </c>
      <c r="G1049">
        <v>4.5675492957746402E-4</v>
      </c>
      <c r="H1049" t="s">
        <v>240</v>
      </c>
      <c r="I1049" t="s">
        <v>241</v>
      </c>
      <c r="J1049" t="s">
        <v>2</v>
      </c>
      <c r="K1049" s="183">
        <f ca="1">VLOOKUP(F1049,
    OFFSET(INDIRECT(ADDRESS(MATCH(J1049,'Vehicle numbers'!$A$5:$A$162,0),1,1,1,$L$6)),4,1,COUNTIF('Vehicle numbers'!$A$5:$A$162,J1049),4),
    MATCH(K$8,'Vehicle numbers'!$B$4:$D$4,0))*1000</f>
        <v>26240404</v>
      </c>
      <c r="L1049" s="183">
        <f ca="1">VLOOKUP(F1049,
    OFFSET(INDIRECT(ADDRESS(MATCH(J1049,'Vehicle numbers'!$A$5:$A$162,0),1,1,1,$L$6)),4,1,COUNTIF('Vehicle numbers'!$A$5:$A$162,J1049),4),
    MATCH(L$8,'Vehicle numbers'!$B$4:$D$4,0))*1000</f>
        <v>27046837.17846008</v>
      </c>
      <c r="M1049" s="184">
        <f>VLOOKUP(F1049,'Annual distance covered (GB)'!$A$8:$H$33,MATCH(J1049,'Annual distance covered (GB)'!$A$7:$H$7,0))</f>
        <v>390</v>
      </c>
      <c r="N1049" s="2">
        <f t="shared" ca="1" si="46"/>
        <v>183608.93842140774</v>
      </c>
      <c r="O1049" s="180">
        <f t="shared" ca="1" si="47"/>
        <v>6.7885548764878385E-3</v>
      </c>
      <c r="P1049" s="180"/>
      <c r="Q1049" s="180"/>
      <c r="R1049" s="180"/>
      <c r="S1049" s="180"/>
      <c r="T1049" s="180"/>
    </row>
    <row r="1050" spans="1:20" x14ac:dyDescent="0.25">
      <c r="A1050" t="s">
        <v>236</v>
      </c>
      <c r="B1050" t="s">
        <v>237</v>
      </c>
      <c r="C1050" t="s">
        <v>238</v>
      </c>
      <c r="D1050" t="s">
        <v>255</v>
      </c>
      <c r="E1050" t="s">
        <v>229</v>
      </c>
      <c r="F1050">
        <v>2003</v>
      </c>
      <c r="G1050">
        <v>5.5269999999999903E-3</v>
      </c>
      <c r="H1050" t="s">
        <v>240</v>
      </c>
      <c r="I1050" t="s">
        <v>241</v>
      </c>
      <c r="J1050" t="s">
        <v>2</v>
      </c>
      <c r="K1050" s="183">
        <f ca="1">VLOOKUP(F1050,
    OFFSET(INDIRECT(ADDRESS(MATCH(J1050,'Vehicle numbers'!$A$5:$A$162,0),1,1,1,$L$6)),4,1,COUNTIF('Vehicle numbers'!$A$5:$A$162,J1050),4),
    MATCH(K$8,'Vehicle numbers'!$B$4:$D$4,0))*1000</f>
        <v>26240404</v>
      </c>
      <c r="L1050" s="183">
        <f ca="1">VLOOKUP(F1050,
    OFFSET(INDIRECT(ADDRESS(MATCH(J1050,'Vehicle numbers'!$A$5:$A$162,0),1,1,1,$L$6)),4,1,COUNTIF('Vehicle numbers'!$A$5:$A$162,J1050),4),
    MATCH(L$8,'Vehicle numbers'!$B$4:$D$4,0))*1000</f>
        <v>27046837.17846008</v>
      </c>
      <c r="M1050" s="184">
        <f>VLOOKUP(F1050,'Annual distance covered (GB)'!$A$8:$H$33,MATCH(J1050,'Annual distance covered (GB)'!$A$7:$H$7,0))</f>
        <v>390</v>
      </c>
      <c r="N1050" s="2">
        <f t="shared" ca="1" si="46"/>
        <v>2221774.8226470123</v>
      </c>
      <c r="O1050" s="180">
        <f t="shared" ca="1" si="47"/>
        <v>8.2145457821457171E-2</v>
      </c>
      <c r="P1050" s="180"/>
      <c r="Q1050" s="180"/>
      <c r="R1050" s="180"/>
      <c r="S1050" s="180"/>
      <c r="T1050" s="180"/>
    </row>
    <row r="1051" spans="1:20" x14ac:dyDescent="0.25">
      <c r="A1051" t="s">
        <v>243</v>
      </c>
      <c r="B1051" t="s">
        <v>237</v>
      </c>
      <c r="C1051" t="s">
        <v>238</v>
      </c>
      <c r="D1051" t="s">
        <v>255</v>
      </c>
      <c r="E1051" t="s">
        <v>229</v>
      </c>
      <c r="F1051">
        <v>2003</v>
      </c>
      <c r="G1051">
        <v>2.2108000000000002E-3</v>
      </c>
      <c r="H1051" t="s">
        <v>240</v>
      </c>
      <c r="I1051" t="s">
        <v>241</v>
      </c>
      <c r="J1051" t="s">
        <v>2</v>
      </c>
      <c r="K1051" s="183">
        <f ca="1">VLOOKUP(F1051,
    OFFSET(INDIRECT(ADDRESS(MATCH(J1051,'Vehicle numbers'!$A$5:$A$162,0),1,1,1,$L$6)),4,1,COUNTIF('Vehicle numbers'!$A$5:$A$162,J1051),4),
    MATCH(K$8,'Vehicle numbers'!$B$4:$D$4,0))*1000</f>
        <v>26240404</v>
      </c>
      <c r="L1051" s="183">
        <f ca="1">VLOOKUP(F1051,
    OFFSET(INDIRECT(ADDRESS(MATCH(J1051,'Vehicle numbers'!$A$5:$A$162,0),1,1,1,$L$6)),4,1,COUNTIF('Vehicle numbers'!$A$5:$A$162,J1051),4),
    MATCH(L$8,'Vehicle numbers'!$B$4:$D$4,0))*1000</f>
        <v>27046837.17846008</v>
      </c>
      <c r="M1051" s="184">
        <f>VLOOKUP(F1051,'Annual distance covered (GB)'!$A$8:$H$33,MATCH(J1051,'Annual distance covered (GB)'!$A$7:$H$7,0))</f>
        <v>390</v>
      </c>
      <c r="N1051" s="2">
        <f t="shared" ca="1" si="46"/>
        <v>888709.92905880662</v>
      </c>
      <c r="O1051" s="180">
        <f t="shared" ca="1" si="47"/>
        <v>3.2858183128582935E-2</v>
      </c>
      <c r="P1051" s="180"/>
      <c r="Q1051" s="180"/>
      <c r="R1051" s="180"/>
      <c r="S1051" s="180"/>
      <c r="T1051" s="180"/>
    </row>
    <row r="1052" spans="1:20" x14ac:dyDescent="0.25">
      <c r="A1052" t="s">
        <v>244</v>
      </c>
      <c r="B1052" t="s">
        <v>237</v>
      </c>
      <c r="C1052" t="s">
        <v>238</v>
      </c>
      <c r="D1052" t="s">
        <v>255</v>
      </c>
      <c r="E1052" t="s">
        <v>229</v>
      </c>
      <c r="F1052">
        <v>2003</v>
      </c>
      <c r="G1052">
        <v>5.5270000000000004E-4</v>
      </c>
      <c r="H1052" t="s">
        <v>240</v>
      </c>
      <c r="I1052" t="s">
        <v>241</v>
      </c>
      <c r="J1052" t="s">
        <v>2</v>
      </c>
      <c r="K1052" s="183">
        <f ca="1">VLOOKUP(F1052,
    OFFSET(INDIRECT(ADDRESS(MATCH(J1052,'Vehicle numbers'!$A$5:$A$162,0),1,1,1,$L$6)),4,1,COUNTIF('Vehicle numbers'!$A$5:$A$162,J1052),4),
    MATCH(K$8,'Vehicle numbers'!$B$4:$D$4,0))*1000</f>
        <v>26240404</v>
      </c>
      <c r="L1052" s="183">
        <f ca="1">VLOOKUP(F1052,
    OFFSET(INDIRECT(ADDRESS(MATCH(J1052,'Vehicle numbers'!$A$5:$A$162,0),1,1,1,$L$6)),4,1,COUNTIF('Vehicle numbers'!$A$5:$A$162,J1052),4),
    MATCH(L$8,'Vehicle numbers'!$B$4:$D$4,0))*1000</f>
        <v>27046837.17846008</v>
      </c>
      <c r="M1052" s="184">
        <f>VLOOKUP(F1052,'Annual distance covered (GB)'!$A$8:$H$33,MATCH(J1052,'Annual distance covered (GB)'!$A$7:$H$7,0))</f>
        <v>390</v>
      </c>
      <c r="N1052" s="2">
        <f t="shared" ca="1" si="46"/>
        <v>222177.48226470166</v>
      </c>
      <c r="O1052" s="180">
        <f t="shared" ca="1" si="47"/>
        <v>8.2145457821457338E-3</v>
      </c>
      <c r="P1052" s="180"/>
      <c r="Q1052" s="180"/>
      <c r="R1052" s="180"/>
      <c r="S1052" s="180"/>
      <c r="T1052" s="180"/>
    </row>
    <row r="1053" spans="1:20" x14ac:dyDescent="0.25">
      <c r="A1053" t="s">
        <v>246</v>
      </c>
      <c r="B1053" t="s">
        <v>237</v>
      </c>
      <c r="C1053" t="s">
        <v>238</v>
      </c>
      <c r="D1053" t="s">
        <v>255</v>
      </c>
      <c r="E1053" t="s">
        <v>229</v>
      </c>
      <c r="F1053">
        <v>2003</v>
      </c>
      <c r="G1053">
        <v>4.4215999999999998E-4</v>
      </c>
      <c r="H1053" t="s">
        <v>240</v>
      </c>
      <c r="I1053" t="s">
        <v>241</v>
      </c>
      <c r="J1053" t="s">
        <v>2</v>
      </c>
      <c r="K1053" s="183">
        <f ca="1">VLOOKUP(F1053,
    OFFSET(INDIRECT(ADDRESS(MATCH(J1053,'Vehicle numbers'!$A$5:$A$162,0),1,1,1,$L$6)),4,1,COUNTIF('Vehicle numbers'!$A$5:$A$162,J1053),4),
    MATCH(K$8,'Vehicle numbers'!$B$4:$D$4,0))*1000</f>
        <v>26240404</v>
      </c>
      <c r="L1053" s="183">
        <f ca="1">VLOOKUP(F1053,
    OFFSET(INDIRECT(ADDRESS(MATCH(J1053,'Vehicle numbers'!$A$5:$A$162,0),1,1,1,$L$6)),4,1,COUNTIF('Vehicle numbers'!$A$5:$A$162,J1053),4),
    MATCH(L$8,'Vehicle numbers'!$B$4:$D$4,0))*1000</f>
        <v>27046837.17846008</v>
      </c>
      <c r="M1053" s="184">
        <f>VLOOKUP(F1053,'Annual distance covered (GB)'!$A$8:$H$33,MATCH(J1053,'Annual distance covered (GB)'!$A$7:$H$7,0))</f>
        <v>390</v>
      </c>
      <c r="N1053" s="2">
        <f t="shared" ca="1" si="46"/>
        <v>177741.98581176129</v>
      </c>
      <c r="O1053" s="180">
        <f t="shared" ca="1" si="47"/>
        <v>6.5716366257165849E-3</v>
      </c>
      <c r="P1053" s="180"/>
      <c r="Q1053" s="180"/>
      <c r="R1053" s="180"/>
      <c r="S1053" s="180"/>
      <c r="T1053" s="180"/>
    </row>
    <row r="1054" spans="1:20" x14ac:dyDescent="0.25">
      <c r="A1054" t="s">
        <v>236</v>
      </c>
      <c r="B1054" t="s">
        <v>237</v>
      </c>
      <c r="C1054" t="s">
        <v>238</v>
      </c>
      <c r="D1054" t="s">
        <v>255</v>
      </c>
      <c r="E1054" t="s">
        <v>228</v>
      </c>
      <c r="F1054">
        <v>2003</v>
      </c>
      <c r="G1054">
        <v>6.7999999999999901E-3</v>
      </c>
      <c r="H1054" t="s">
        <v>240</v>
      </c>
      <c r="I1054" t="s">
        <v>241</v>
      </c>
      <c r="J1054" t="s">
        <v>2</v>
      </c>
      <c r="K1054" s="183">
        <f ca="1">VLOOKUP(F1054,
    OFFSET(INDIRECT(ADDRESS(MATCH(J1054,'Vehicle numbers'!$A$5:$A$162,0),1,1,1,$L$6)),4,1,COUNTIF('Vehicle numbers'!$A$5:$A$162,J1054),4),
    MATCH(K$8,'Vehicle numbers'!$B$4:$D$4,0))*1000</f>
        <v>26240404</v>
      </c>
      <c r="L1054" s="183">
        <f ca="1">VLOOKUP(F1054,
    OFFSET(INDIRECT(ADDRESS(MATCH(J1054,'Vehicle numbers'!$A$5:$A$162,0),1,1,1,$L$6)),4,1,COUNTIF('Vehicle numbers'!$A$5:$A$162,J1054),4),
    MATCH(L$8,'Vehicle numbers'!$B$4:$D$4,0))*1000</f>
        <v>27046837.17846008</v>
      </c>
      <c r="M1054" s="184">
        <f>VLOOKUP(F1054,'Annual distance covered (GB)'!$A$8:$H$33,MATCH(J1054,'Annual distance covered (GB)'!$A$7:$H$7,0))</f>
        <v>390</v>
      </c>
      <c r="N1054" s="2">
        <f t="shared" ca="1" si="46"/>
        <v>2733502.5862130793</v>
      </c>
      <c r="O1054" s="180">
        <f t="shared" ca="1" si="47"/>
        <v>0.10106551713151964</v>
      </c>
      <c r="P1054" s="180"/>
      <c r="Q1054" s="180"/>
      <c r="R1054" s="180"/>
      <c r="S1054" s="180"/>
      <c r="T1054" s="180"/>
    </row>
    <row r="1055" spans="1:20" x14ac:dyDescent="0.25">
      <c r="A1055" t="s">
        <v>243</v>
      </c>
      <c r="B1055" t="s">
        <v>237</v>
      </c>
      <c r="C1055" t="s">
        <v>238</v>
      </c>
      <c r="D1055" t="s">
        <v>255</v>
      </c>
      <c r="E1055" t="s">
        <v>228</v>
      </c>
      <c r="F1055">
        <v>2003</v>
      </c>
      <c r="G1055">
        <v>4.7599999999999899E-3</v>
      </c>
      <c r="H1055" t="s">
        <v>240</v>
      </c>
      <c r="I1055" t="s">
        <v>241</v>
      </c>
      <c r="J1055" t="s">
        <v>2</v>
      </c>
      <c r="K1055" s="183">
        <f ca="1">VLOOKUP(F1055,
    OFFSET(INDIRECT(ADDRESS(MATCH(J1055,'Vehicle numbers'!$A$5:$A$162,0),1,1,1,$L$6)),4,1,COUNTIF('Vehicle numbers'!$A$5:$A$162,J1055),4),
    MATCH(K$8,'Vehicle numbers'!$B$4:$D$4,0))*1000</f>
        <v>26240404</v>
      </c>
      <c r="L1055" s="183">
        <f ca="1">VLOOKUP(F1055,
    OFFSET(INDIRECT(ADDRESS(MATCH(J1055,'Vehicle numbers'!$A$5:$A$162,0),1,1,1,$L$6)),4,1,COUNTIF('Vehicle numbers'!$A$5:$A$162,J1055),4),
    MATCH(L$8,'Vehicle numbers'!$B$4:$D$4,0))*1000</f>
        <v>27046837.17846008</v>
      </c>
      <c r="M1055" s="184">
        <f>VLOOKUP(F1055,'Annual distance covered (GB)'!$A$8:$H$33,MATCH(J1055,'Annual distance covered (GB)'!$A$7:$H$7,0))</f>
        <v>390</v>
      </c>
      <c r="N1055" s="2">
        <f t="shared" ca="1" si="46"/>
        <v>1913451.8103491543</v>
      </c>
      <c r="O1055" s="180">
        <f t="shared" ca="1" si="47"/>
        <v>7.0745861992063702E-2</v>
      </c>
      <c r="P1055" s="180"/>
      <c r="Q1055" s="180"/>
      <c r="R1055" s="180"/>
      <c r="S1055" s="180"/>
      <c r="T1055" s="180"/>
    </row>
    <row r="1056" spans="1:20" x14ac:dyDescent="0.25">
      <c r="A1056" t="s">
        <v>244</v>
      </c>
      <c r="B1056" t="s">
        <v>237</v>
      </c>
      <c r="C1056" t="s">
        <v>238</v>
      </c>
      <c r="D1056" t="s">
        <v>255</v>
      </c>
      <c r="E1056" t="s">
        <v>228</v>
      </c>
      <c r="F1056">
        <v>2003</v>
      </c>
      <c r="G1056">
        <v>6.7042253521126501E-4</v>
      </c>
      <c r="H1056" t="s">
        <v>240</v>
      </c>
      <c r="I1056" t="s">
        <v>241</v>
      </c>
      <c r="J1056" t="s">
        <v>2</v>
      </c>
      <c r="K1056" s="183">
        <f ca="1">VLOOKUP(F1056,
    OFFSET(INDIRECT(ADDRESS(MATCH(J1056,'Vehicle numbers'!$A$5:$A$162,0),1,1,1,$L$6)),4,1,COUNTIF('Vehicle numbers'!$A$5:$A$162,J1056),4),
    MATCH(K$8,'Vehicle numbers'!$B$4:$D$4,0))*1000</f>
        <v>26240404</v>
      </c>
      <c r="L1056" s="183">
        <f ca="1">VLOOKUP(F1056,
    OFFSET(INDIRECT(ADDRESS(MATCH(J1056,'Vehicle numbers'!$A$5:$A$162,0),1,1,1,$L$6)),4,1,COUNTIF('Vehicle numbers'!$A$5:$A$162,J1056),4),
    MATCH(L$8,'Vehicle numbers'!$B$4:$D$4,0))*1000</f>
        <v>27046837.17846008</v>
      </c>
      <c r="M1056" s="184">
        <f>VLOOKUP(F1056,'Annual distance covered (GB)'!$A$8:$H$33,MATCH(J1056,'Annual distance covered (GB)'!$A$7:$H$7,0))</f>
        <v>390</v>
      </c>
      <c r="N1056" s="2">
        <f t="shared" ca="1" si="46"/>
        <v>269500.25497875368</v>
      </c>
      <c r="O1056" s="180">
        <f t="shared" ca="1" si="47"/>
        <v>9.9642059143751523E-3</v>
      </c>
      <c r="P1056" s="180"/>
      <c r="Q1056" s="180"/>
      <c r="R1056" s="180"/>
      <c r="S1056" s="180"/>
      <c r="T1056" s="180"/>
    </row>
    <row r="1057" spans="1:20" x14ac:dyDescent="0.25">
      <c r="A1057" t="s">
        <v>246</v>
      </c>
      <c r="B1057" t="s">
        <v>237</v>
      </c>
      <c r="C1057" t="s">
        <v>238</v>
      </c>
      <c r="D1057" t="s">
        <v>255</v>
      </c>
      <c r="E1057" t="s">
        <v>228</v>
      </c>
      <c r="F1057">
        <v>2003</v>
      </c>
      <c r="G1057">
        <v>5.3633802816901196E-4</v>
      </c>
      <c r="H1057" t="s">
        <v>240</v>
      </c>
      <c r="I1057" t="s">
        <v>241</v>
      </c>
      <c r="J1057" t="s">
        <v>2</v>
      </c>
      <c r="K1057" s="183">
        <f ca="1">VLOOKUP(F1057,
    OFFSET(INDIRECT(ADDRESS(MATCH(J1057,'Vehicle numbers'!$A$5:$A$162,0),1,1,1,$L$6)),4,1,COUNTIF('Vehicle numbers'!$A$5:$A$162,J1057),4),
    MATCH(K$8,'Vehicle numbers'!$B$4:$D$4,0))*1000</f>
        <v>26240404</v>
      </c>
      <c r="L1057" s="183">
        <f ca="1">VLOOKUP(F1057,
    OFFSET(INDIRECT(ADDRESS(MATCH(J1057,'Vehicle numbers'!$A$5:$A$162,0),1,1,1,$L$6)),4,1,COUNTIF('Vehicle numbers'!$A$5:$A$162,J1057),4),
    MATCH(L$8,'Vehicle numbers'!$B$4:$D$4,0))*1000</f>
        <v>27046837.17846008</v>
      </c>
      <c r="M1057" s="184">
        <f>VLOOKUP(F1057,'Annual distance covered (GB)'!$A$8:$H$33,MATCH(J1057,'Annual distance covered (GB)'!$A$7:$H$7,0))</f>
        <v>390</v>
      </c>
      <c r="N1057" s="2">
        <f t="shared" ca="1" si="46"/>
        <v>215600.2039830029</v>
      </c>
      <c r="O1057" s="180">
        <f t="shared" ca="1" si="47"/>
        <v>7.971364731500119E-3</v>
      </c>
      <c r="P1057" s="180"/>
      <c r="Q1057" s="180"/>
      <c r="R1057" s="180"/>
      <c r="S1057" s="180"/>
      <c r="T1057" s="180"/>
    </row>
    <row r="1058" spans="1:20" x14ac:dyDescent="0.25">
      <c r="A1058" t="s">
        <v>236</v>
      </c>
      <c r="B1058" t="s">
        <v>237</v>
      </c>
      <c r="C1058" t="s">
        <v>238</v>
      </c>
      <c r="D1058" t="s">
        <v>256</v>
      </c>
      <c r="E1058" t="s">
        <v>229</v>
      </c>
      <c r="F1058">
        <v>2003</v>
      </c>
      <c r="G1058">
        <v>1.17231447441017E-2</v>
      </c>
      <c r="H1058" t="s">
        <v>240</v>
      </c>
      <c r="I1058" t="s">
        <v>241</v>
      </c>
      <c r="J1058" t="s">
        <v>2</v>
      </c>
      <c r="K1058" s="183">
        <f ca="1">VLOOKUP(F1058,
    OFFSET(INDIRECT(ADDRESS(MATCH(J1058,'Vehicle numbers'!$A$5:$A$162,0),1,1,1,$L$6)),4,1,COUNTIF('Vehicle numbers'!$A$5:$A$162,J1058),4),
    MATCH(K$8,'Vehicle numbers'!$B$4:$D$4,0))*1000</f>
        <v>26240404</v>
      </c>
      <c r="L1058" s="183">
        <f ca="1">VLOOKUP(F1058,
    OFFSET(INDIRECT(ADDRESS(MATCH(J1058,'Vehicle numbers'!$A$5:$A$162,0),1,1,1,$L$6)),4,1,COUNTIF('Vehicle numbers'!$A$5:$A$162,J1058),4),
    MATCH(L$8,'Vehicle numbers'!$B$4:$D$4,0))*1000</f>
        <v>27046837.17846008</v>
      </c>
      <c r="M1058" s="184">
        <f>VLOOKUP(F1058,'Annual distance covered (GB)'!$A$8:$H$33,MATCH(J1058,'Annual distance covered (GB)'!$A$7:$H$7,0))</f>
        <v>390</v>
      </c>
      <c r="N1058" s="2">
        <f t="shared" ca="1" si="46"/>
        <v>4712536.2465518098</v>
      </c>
      <c r="O1058" s="180">
        <f t="shared" ca="1" si="47"/>
        <v>0.17423613028974944</v>
      </c>
      <c r="P1058" s="180"/>
      <c r="Q1058" s="180"/>
      <c r="R1058" s="180"/>
      <c r="S1058" s="180"/>
      <c r="T1058" s="180"/>
    </row>
    <row r="1059" spans="1:20" x14ac:dyDescent="0.25">
      <c r="A1059" t="s">
        <v>243</v>
      </c>
      <c r="B1059" t="s">
        <v>237</v>
      </c>
      <c r="C1059" t="s">
        <v>238</v>
      </c>
      <c r="D1059" t="s">
        <v>256</v>
      </c>
      <c r="E1059" t="s">
        <v>229</v>
      </c>
      <c r="F1059">
        <v>2003</v>
      </c>
      <c r="G1059">
        <v>4.6892578976406802E-3</v>
      </c>
      <c r="H1059" t="s">
        <v>240</v>
      </c>
      <c r="I1059" t="s">
        <v>241</v>
      </c>
      <c r="J1059" t="s">
        <v>2</v>
      </c>
      <c r="K1059" s="183">
        <f ca="1">VLOOKUP(F1059,
    OFFSET(INDIRECT(ADDRESS(MATCH(J1059,'Vehicle numbers'!$A$5:$A$162,0),1,1,1,$L$6)),4,1,COUNTIF('Vehicle numbers'!$A$5:$A$162,J1059),4),
    MATCH(K$8,'Vehicle numbers'!$B$4:$D$4,0))*1000</f>
        <v>26240404</v>
      </c>
      <c r="L1059" s="183">
        <f ca="1">VLOOKUP(F1059,
    OFFSET(INDIRECT(ADDRESS(MATCH(J1059,'Vehicle numbers'!$A$5:$A$162,0),1,1,1,$L$6)),4,1,COUNTIF('Vehicle numbers'!$A$5:$A$162,J1059),4),
    MATCH(L$8,'Vehicle numbers'!$B$4:$D$4,0))*1000</f>
        <v>27046837.17846008</v>
      </c>
      <c r="M1059" s="184">
        <f>VLOOKUP(F1059,'Annual distance covered (GB)'!$A$8:$H$33,MATCH(J1059,'Annual distance covered (GB)'!$A$7:$H$7,0))</f>
        <v>390</v>
      </c>
      <c r="N1059" s="2">
        <f t="shared" ca="1" si="46"/>
        <v>1885014.4986207243</v>
      </c>
      <c r="O1059" s="180">
        <f t="shared" ca="1" si="47"/>
        <v>6.9694452115899794E-2</v>
      </c>
      <c r="P1059" s="180"/>
      <c r="Q1059" s="180"/>
      <c r="R1059" s="180"/>
      <c r="S1059" s="180"/>
      <c r="T1059" s="180"/>
    </row>
    <row r="1060" spans="1:20" x14ac:dyDescent="0.25">
      <c r="A1060" t="s">
        <v>244</v>
      </c>
      <c r="B1060" t="s">
        <v>237</v>
      </c>
      <c r="C1060" t="s">
        <v>238</v>
      </c>
      <c r="D1060" t="s">
        <v>256</v>
      </c>
      <c r="E1060" t="s">
        <v>229</v>
      </c>
      <c r="F1060">
        <v>2003</v>
      </c>
      <c r="G1060">
        <v>1.17231447441017E-3</v>
      </c>
      <c r="H1060" t="s">
        <v>240</v>
      </c>
      <c r="I1060" t="s">
        <v>241</v>
      </c>
      <c r="J1060" t="s">
        <v>2</v>
      </c>
      <c r="K1060" s="183">
        <f ca="1">VLOOKUP(F1060,
    OFFSET(INDIRECT(ADDRESS(MATCH(J1060,'Vehicle numbers'!$A$5:$A$162,0),1,1,1,$L$6)),4,1,COUNTIF('Vehicle numbers'!$A$5:$A$162,J1060),4),
    MATCH(K$8,'Vehicle numbers'!$B$4:$D$4,0))*1000</f>
        <v>26240404</v>
      </c>
      <c r="L1060" s="183">
        <f ca="1">VLOOKUP(F1060,
    OFFSET(INDIRECT(ADDRESS(MATCH(J1060,'Vehicle numbers'!$A$5:$A$162,0),1,1,1,$L$6)),4,1,COUNTIF('Vehicle numbers'!$A$5:$A$162,J1060),4),
    MATCH(L$8,'Vehicle numbers'!$B$4:$D$4,0))*1000</f>
        <v>27046837.17846008</v>
      </c>
      <c r="M1060" s="184">
        <f>VLOOKUP(F1060,'Annual distance covered (GB)'!$A$8:$H$33,MATCH(J1060,'Annual distance covered (GB)'!$A$7:$H$7,0))</f>
        <v>390</v>
      </c>
      <c r="N1060" s="2">
        <f t="shared" ca="1" si="46"/>
        <v>471253.62465518108</v>
      </c>
      <c r="O1060" s="180">
        <f t="shared" ca="1" si="47"/>
        <v>1.7423613028974948E-2</v>
      </c>
      <c r="P1060" s="180"/>
      <c r="Q1060" s="180"/>
      <c r="R1060" s="180"/>
      <c r="S1060" s="180"/>
      <c r="T1060" s="180"/>
    </row>
    <row r="1061" spans="1:20" x14ac:dyDescent="0.25">
      <c r="A1061" t="s">
        <v>246</v>
      </c>
      <c r="B1061" t="s">
        <v>237</v>
      </c>
      <c r="C1061" t="s">
        <v>238</v>
      </c>
      <c r="D1061" t="s">
        <v>256</v>
      </c>
      <c r="E1061" t="s">
        <v>229</v>
      </c>
      <c r="F1061">
        <v>2003</v>
      </c>
      <c r="G1061">
        <v>9.3785157952813595E-4</v>
      </c>
      <c r="H1061" t="s">
        <v>240</v>
      </c>
      <c r="I1061" t="s">
        <v>241</v>
      </c>
      <c r="J1061" t="s">
        <v>2</v>
      </c>
      <c r="K1061" s="183">
        <f ca="1">VLOOKUP(F1061,
    OFFSET(INDIRECT(ADDRESS(MATCH(J1061,'Vehicle numbers'!$A$5:$A$162,0),1,1,1,$L$6)),4,1,COUNTIF('Vehicle numbers'!$A$5:$A$162,J1061),4),
    MATCH(K$8,'Vehicle numbers'!$B$4:$D$4,0))*1000</f>
        <v>26240404</v>
      </c>
      <c r="L1061" s="183">
        <f ca="1">VLOOKUP(F1061,
    OFFSET(INDIRECT(ADDRESS(MATCH(J1061,'Vehicle numbers'!$A$5:$A$162,0),1,1,1,$L$6)),4,1,COUNTIF('Vehicle numbers'!$A$5:$A$162,J1061),4),
    MATCH(L$8,'Vehicle numbers'!$B$4:$D$4,0))*1000</f>
        <v>27046837.17846008</v>
      </c>
      <c r="M1061" s="184">
        <f>VLOOKUP(F1061,'Annual distance covered (GB)'!$A$8:$H$33,MATCH(J1061,'Annual distance covered (GB)'!$A$7:$H$7,0))</f>
        <v>390</v>
      </c>
      <c r="N1061" s="2">
        <f t="shared" ca="1" si="46"/>
        <v>377002.89972414484</v>
      </c>
      <c r="O1061" s="180">
        <f t="shared" ca="1" si="47"/>
        <v>1.3938890423179957E-2</v>
      </c>
      <c r="P1061" s="180"/>
      <c r="Q1061" s="180"/>
      <c r="R1061" s="180"/>
      <c r="S1061" s="180"/>
      <c r="T1061" s="180"/>
    </row>
    <row r="1062" spans="1:20" x14ac:dyDescent="0.25">
      <c r="A1062" t="s">
        <v>236</v>
      </c>
      <c r="B1062" t="s">
        <v>237</v>
      </c>
      <c r="C1062" t="s">
        <v>238</v>
      </c>
      <c r="D1062" t="s">
        <v>256</v>
      </c>
      <c r="E1062" t="s">
        <v>228</v>
      </c>
      <c r="F1062">
        <v>2003</v>
      </c>
      <c r="G1062">
        <v>8.7731750518939902E-3</v>
      </c>
      <c r="H1062" t="s">
        <v>240</v>
      </c>
      <c r="I1062" t="s">
        <v>241</v>
      </c>
      <c r="J1062" t="s">
        <v>2</v>
      </c>
      <c r="K1062" s="183">
        <f ca="1">VLOOKUP(F1062,
    OFFSET(INDIRECT(ADDRESS(MATCH(J1062,'Vehicle numbers'!$A$5:$A$162,0),1,1,1,$L$6)),4,1,COUNTIF('Vehicle numbers'!$A$5:$A$162,J1062),4),
    MATCH(K$8,'Vehicle numbers'!$B$4:$D$4,0))*1000</f>
        <v>26240404</v>
      </c>
      <c r="L1062" s="183">
        <f ca="1">VLOOKUP(F1062,
    OFFSET(INDIRECT(ADDRESS(MATCH(J1062,'Vehicle numbers'!$A$5:$A$162,0),1,1,1,$L$6)),4,1,COUNTIF('Vehicle numbers'!$A$5:$A$162,J1062),4),
    MATCH(L$8,'Vehicle numbers'!$B$4:$D$4,0))*1000</f>
        <v>27046837.17846008</v>
      </c>
      <c r="M1062" s="184">
        <f>VLOOKUP(F1062,'Annual distance covered (GB)'!$A$8:$H$33,MATCH(J1062,'Annual distance covered (GB)'!$A$7:$H$7,0))</f>
        <v>390</v>
      </c>
      <c r="N1062" s="2">
        <f t="shared" ca="1" si="46"/>
        <v>3526690.6902429885</v>
      </c>
      <c r="O1062" s="180">
        <f t="shared" ca="1" si="47"/>
        <v>0.13039198139779618</v>
      </c>
      <c r="P1062" s="180"/>
      <c r="Q1062" s="180"/>
      <c r="R1062" s="180"/>
      <c r="S1062" s="180"/>
      <c r="T1062" s="180"/>
    </row>
    <row r="1063" spans="1:20" x14ac:dyDescent="0.25">
      <c r="A1063" t="s">
        <v>243</v>
      </c>
      <c r="B1063" t="s">
        <v>237</v>
      </c>
      <c r="C1063" t="s">
        <v>238</v>
      </c>
      <c r="D1063" t="s">
        <v>256</v>
      </c>
      <c r="E1063" t="s">
        <v>228</v>
      </c>
      <c r="F1063">
        <v>2003</v>
      </c>
      <c r="G1063">
        <v>6.1412225363257902E-3</v>
      </c>
      <c r="H1063" t="s">
        <v>240</v>
      </c>
      <c r="I1063" t="s">
        <v>241</v>
      </c>
      <c r="J1063" t="s">
        <v>2</v>
      </c>
      <c r="K1063" s="183">
        <f ca="1">VLOOKUP(F1063,
    OFFSET(INDIRECT(ADDRESS(MATCH(J1063,'Vehicle numbers'!$A$5:$A$162,0),1,1,1,$L$6)),4,1,COUNTIF('Vehicle numbers'!$A$5:$A$162,J1063),4),
    MATCH(K$8,'Vehicle numbers'!$B$4:$D$4,0))*1000</f>
        <v>26240404</v>
      </c>
      <c r="L1063" s="183">
        <f ca="1">VLOOKUP(F1063,
    OFFSET(INDIRECT(ADDRESS(MATCH(J1063,'Vehicle numbers'!$A$5:$A$162,0),1,1,1,$L$6)),4,1,COUNTIF('Vehicle numbers'!$A$5:$A$162,J1063),4),
    MATCH(L$8,'Vehicle numbers'!$B$4:$D$4,0))*1000</f>
        <v>27046837.17846008</v>
      </c>
      <c r="M1063" s="184">
        <f>VLOOKUP(F1063,'Annual distance covered (GB)'!$A$8:$H$33,MATCH(J1063,'Annual distance covered (GB)'!$A$7:$H$7,0))</f>
        <v>390</v>
      </c>
      <c r="N1063" s="2">
        <f t="shared" ca="1" si="46"/>
        <v>2468683.4831700907</v>
      </c>
      <c r="O1063" s="180">
        <f t="shared" ca="1" si="47"/>
        <v>9.1274386978457273E-2</v>
      </c>
      <c r="P1063" s="180"/>
      <c r="Q1063" s="180"/>
      <c r="R1063" s="180"/>
      <c r="S1063" s="180"/>
      <c r="T1063" s="180"/>
    </row>
    <row r="1064" spans="1:20" x14ac:dyDescent="0.25">
      <c r="A1064" t="s">
        <v>244</v>
      </c>
      <c r="B1064" t="s">
        <v>237</v>
      </c>
      <c r="C1064" t="s">
        <v>238</v>
      </c>
      <c r="D1064" t="s">
        <v>256</v>
      </c>
      <c r="E1064" t="s">
        <v>228</v>
      </c>
      <c r="F1064">
        <v>2003</v>
      </c>
      <c r="G1064">
        <v>8.6496092060926505E-4</v>
      </c>
      <c r="H1064" t="s">
        <v>240</v>
      </c>
      <c r="I1064" t="s">
        <v>241</v>
      </c>
      <c r="J1064" t="s">
        <v>2</v>
      </c>
      <c r="K1064" s="183">
        <f ca="1">VLOOKUP(F1064,
    OFFSET(INDIRECT(ADDRESS(MATCH(J1064,'Vehicle numbers'!$A$5:$A$162,0),1,1,1,$L$6)),4,1,COUNTIF('Vehicle numbers'!$A$5:$A$162,J1064),4),
    MATCH(K$8,'Vehicle numbers'!$B$4:$D$4,0))*1000</f>
        <v>26240404</v>
      </c>
      <c r="L1064" s="183">
        <f ca="1">VLOOKUP(F1064,
    OFFSET(INDIRECT(ADDRESS(MATCH(J1064,'Vehicle numbers'!$A$5:$A$162,0),1,1,1,$L$6)),4,1,COUNTIF('Vehicle numbers'!$A$5:$A$162,J1064),4),
    MATCH(L$8,'Vehicle numbers'!$B$4:$D$4,0))*1000</f>
        <v>27046837.17846008</v>
      </c>
      <c r="M1064" s="184">
        <f>VLOOKUP(F1064,'Annual distance covered (GB)'!$A$8:$H$33,MATCH(J1064,'Annual distance covered (GB)'!$A$7:$H$7,0))</f>
        <v>390</v>
      </c>
      <c r="N1064" s="2">
        <f t="shared" ca="1" si="46"/>
        <v>347701.89903804054</v>
      </c>
      <c r="O1064" s="180">
        <f t="shared" ca="1" si="47"/>
        <v>1.2855547461754531E-2</v>
      </c>
      <c r="P1064" s="180"/>
      <c r="Q1064" s="180"/>
      <c r="R1064" s="180"/>
      <c r="S1064" s="180"/>
      <c r="T1064" s="180"/>
    </row>
    <row r="1065" spans="1:20" x14ac:dyDescent="0.25">
      <c r="A1065" t="s">
        <v>246</v>
      </c>
      <c r="B1065" t="s">
        <v>237</v>
      </c>
      <c r="C1065" t="s">
        <v>238</v>
      </c>
      <c r="D1065" t="s">
        <v>256</v>
      </c>
      <c r="E1065" t="s">
        <v>228</v>
      </c>
      <c r="F1065">
        <v>2003</v>
      </c>
      <c r="G1065">
        <v>6.9196873648741202E-4</v>
      </c>
      <c r="H1065" t="s">
        <v>240</v>
      </c>
      <c r="I1065" t="s">
        <v>241</v>
      </c>
      <c r="J1065" t="s">
        <v>2</v>
      </c>
      <c r="K1065" s="183">
        <f ca="1">VLOOKUP(F1065,
    OFFSET(INDIRECT(ADDRESS(MATCH(J1065,'Vehicle numbers'!$A$5:$A$162,0),1,1,1,$L$6)),4,1,COUNTIF('Vehicle numbers'!$A$5:$A$162,J1065),4),
    MATCH(K$8,'Vehicle numbers'!$B$4:$D$4,0))*1000</f>
        <v>26240404</v>
      </c>
      <c r="L1065" s="183">
        <f ca="1">VLOOKUP(F1065,
    OFFSET(INDIRECT(ADDRESS(MATCH(J1065,'Vehicle numbers'!$A$5:$A$162,0),1,1,1,$L$6)),4,1,COUNTIF('Vehicle numbers'!$A$5:$A$162,J1065),4),
    MATCH(L$8,'Vehicle numbers'!$B$4:$D$4,0))*1000</f>
        <v>27046837.17846008</v>
      </c>
      <c r="M1065" s="184">
        <f>VLOOKUP(F1065,'Annual distance covered (GB)'!$A$8:$H$33,MATCH(J1065,'Annual distance covered (GB)'!$A$7:$H$7,0))</f>
        <v>390</v>
      </c>
      <c r="N1065" s="2">
        <f t="shared" ca="1" si="46"/>
        <v>278161.51923043234</v>
      </c>
      <c r="O1065" s="180">
        <f t="shared" ca="1" si="47"/>
        <v>1.028443796940362E-2</v>
      </c>
      <c r="P1065" s="180"/>
      <c r="Q1065" s="180"/>
      <c r="R1065" s="180"/>
      <c r="S1065" s="180"/>
      <c r="T1065" s="180"/>
    </row>
    <row r="1066" spans="1:20" x14ac:dyDescent="0.25">
      <c r="A1066" t="s">
        <v>236</v>
      </c>
      <c r="B1066" t="s">
        <v>237</v>
      </c>
      <c r="C1066" t="s">
        <v>238</v>
      </c>
      <c r="D1066" t="s">
        <v>257</v>
      </c>
      <c r="E1066" t="s">
        <v>229</v>
      </c>
      <c r="F1066">
        <v>2003</v>
      </c>
      <c r="G1066">
        <v>2.1210000000000001E-3</v>
      </c>
      <c r="H1066" t="s">
        <v>240</v>
      </c>
      <c r="I1066" t="s">
        <v>241</v>
      </c>
      <c r="J1066" t="s">
        <v>188</v>
      </c>
      <c r="K1066" s="183">
        <f ca="1">VLOOKUP(F1066,
    OFFSET(INDIRECT(ADDRESS(MATCH(J1066,'Vehicle numbers'!$A$5:$A$162,0),1,1,1,$L$6)),4,1,COUNTIF('Vehicle numbers'!$A$5:$A$162,J1066),4),
    MATCH(K$8,'Vehicle numbers'!$B$4:$D$4,0))*1000</f>
        <v>2652913</v>
      </c>
      <c r="L1066" s="183">
        <f ca="1">VLOOKUP(F1066,
    OFFSET(INDIRECT(ADDRESS(MATCH(J1066,'Vehicle numbers'!$A$5:$A$162,0),1,1,1,$L$6)),4,1,COUNTIF('Vehicle numbers'!$A$5:$A$162,J1066),4),
    MATCH(L$8,'Vehicle numbers'!$B$4:$D$4,0))*1000</f>
        <v>2729039.887777084</v>
      </c>
      <c r="M1066" s="184">
        <f>VLOOKUP(F1066,'Annual distance covered (GB)'!$A$8:$H$33,MATCH(J1066,'Annual distance covered (GB)'!$A$7:$H$7,0))</f>
        <v>57.4</v>
      </c>
      <c r="N1066" s="2">
        <f t="shared" ca="1" si="46"/>
        <v>125238.95534960108</v>
      </c>
      <c r="O1066" s="180">
        <f t="shared" ca="1" si="47"/>
        <v>4.5891214676093792E-2</v>
      </c>
      <c r="P1066" s="180"/>
      <c r="Q1066" s="180"/>
      <c r="R1066" s="180"/>
      <c r="S1066" s="180"/>
      <c r="T1066" s="180"/>
    </row>
    <row r="1067" spans="1:20" x14ac:dyDescent="0.25">
      <c r="A1067" t="s">
        <v>243</v>
      </c>
      <c r="B1067" t="s">
        <v>237</v>
      </c>
      <c r="C1067" t="s">
        <v>238</v>
      </c>
      <c r="D1067" t="s">
        <v>257</v>
      </c>
      <c r="E1067" t="s">
        <v>229</v>
      </c>
      <c r="F1067">
        <v>2003</v>
      </c>
      <c r="G1067">
        <v>8.4840000000000002E-4</v>
      </c>
      <c r="H1067" t="s">
        <v>240</v>
      </c>
      <c r="I1067" t="s">
        <v>241</v>
      </c>
      <c r="J1067" t="s">
        <v>188</v>
      </c>
      <c r="K1067" s="183">
        <f ca="1">VLOOKUP(F1067,
    OFFSET(INDIRECT(ADDRESS(MATCH(J1067,'Vehicle numbers'!$A$5:$A$162,0),1,1,1,$L$6)),4,1,COUNTIF('Vehicle numbers'!$A$5:$A$162,J1067),4),
    MATCH(K$8,'Vehicle numbers'!$B$4:$D$4,0))*1000</f>
        <v>2652913</v>
      </c>
      <c r="L1067" s="183">
        <f ca="1">VLOOKUP(F1067,
    OFFSET(INDIRECT(ADDRESS(MATCH(J1067,'Vehicle numbers'!$A$5:$A$162,0),1,1,1,$L$6)),4,1,COUNTIF('Vehicle numbers'!$A$5:$A$162,J1067),4),
    MATCH(L$8,'Vehicle numbers'!$B$4:$D$4,0))*1000</f>
        <v>2729039.887777084</v>
      </c>
      <c r="M1067" s="184">
        <f>VLOOKUP(F1067,'Annual distance covered (GB)'!$A$8:$H$33,MATCH(J1067,'Annual distance covered (GB)'!$A$7:$H$7,0))</f>
        <v>57.4</v>
      </c>
      <c r="N1067" s="2">
        <f t="shared" ca="1" si="46"/>
        <v>50095.582139840422</v>
      </c>
      <c r="O1067" s="180">
        <f t="shared" ca="1" si="47"/>
        <v>1.8356485870437513E-2</v>
      </c>
      <c r="P1067" s="180"/>
      <c r="Q1067" s="180"/>
      <c r="R1067" s="180"/>
      <c r="S1067" s="180"/>
      <c r="T1067" s="180"/>
    </row>
    <row r="1068" spans="1:20" x14ac:dyDescent="0.25">
      <c r="A1068" t="s">
        <v>244</v>
      </c>
      <c r="B1068" t="s">
        <v>237</v>
      </c>
      <c r="C1068" t="s">
        <v>238</v>
      </c>
      <c r="D1068" t="s">
        <v>257</v>
      </c>
      <c r="E1068" t="s">
        <v>229</v>
      </c>
      <c r="F1068">
        <v>2003</v>
      </c>
      <c r="G1068">
        <v>2.1210000000000001E-4</v>
      </c>
      <c r="H1068" t="s">
        <v>240</v>
      </c>
      <c r="I1068" t="s">
        <v>241</v>
      </c>
      <c r="J1068" t="s">
        <v>188</v>
      </c>
      <c r="K1068" s="183">
        <f ca="1">VLOOKUP(F1068,
    OFFSET(INDIRECT(ADDRESS(MATCH(J1068,'Vehicle numbers'!$A$5:$A$162,0),1,1,1,$L$6)),4,1,COUNTIF('Vehicle numbers'!$A$5:$A$162,J1068),4),
    MATCH(K$8,'Vehicle numbers'!$B$4:$D$4,0))*1000</f>
        <v>2652913</v>
      </c>
      <c r="L1068" s="183">
        <f ca="1">VLOOKUP(F1068,
    OFFSET(INDIRECT(ADDRESS(MATCH(J1068,'Vehicle numbers'!$A$5:$A$162,0),1,1,1,$L$6)),4,1,COUNTIF('Vehicle numbers'!$A$5:$A$162,J1068),4),
    MATCH(L$8,'Vehicle numbers'!$B$4:$D$4,0))*1000</f>
        <v>2729039.887777084</v>
      </c>
      <c r="M1068" s="184">
        <f>VLOOKUP(F1068,'Annual distance covered (GB)'!$A$8:$H$33,MATCH(J1068,'Annual distance covered (GB)'!$A$7:$H$7,0))</f>
        <v>57.4</v>
      </c>
      <c r="N1068" s="2">
        <f t="shared" ca="1" si="46"/>
        <v>12523.895534960106</v>
      </c>
      <c r="O1068" s="180">
        <f t="shared" ca="1" si="47"/>
        <v>4.5891214676093781E-3</v>
      </c>
      <c r="P1068" s="180"/>
      <c r="Q1068" s="180"/>
      <c r="R1068" s="180"/>
      <c r="S1068" s="180"/>
      <c r="T1068" s="180"/>
    </row>
    <row r="1069" spans="1:20" x14ac:dyDescent="0.25">
      <c r="A1069" t="s">
        <v>246</v>
      </c>
      <c r="B1069" t="s">
        <v>237</v>
      </c>
      <c r="C1069" t="s">
        <v>238</v>
      </c>
      <c r="D1069" t="s">
        <v>257</v>
      </c>
      <c r="E1069" t="s">
        <v>229</v>
      </c>
      <c r="F1069">
        <v>2003</v>
      </c>
      <c r="G1069">
        <v>1.6967999999999999E-4</v>
      </c>
      <c r="H1069" t="s">
        <v>240</v>
      </c>
      <c r="I1069" t="s">
        <v>241</v>
      </c>
      <c r="J1069" t="s">
        <v>188</v>
      </c>
      <c r="K1069" s="183">
        <f ca="1">VLOOKUP(F1069,
    OFFSET(INDIRECT(ADDRESS(MATCH(J1069,'Vehicle numbers'!$A$5:$A$162,0),1,1,1,$L$6)),4,1,COUNTIF('Vehicle numbers'!$A$5:$A$162,J1069),4),
    MATCH(K$8,'Vehicle numbers'!$B$4:$D$4,0))*1000</f>
        <v>2652913</v>
      </c>
      <c r="L1069" s="183">
        <f ca="1">VLOOKUP(F1069,
    OFFSET(INDIRECT(ADDRESS(MATCH(J1069,'Vehicle numbers'!$A$5:$A$162,0),1,1,1,$L$6)),4,1,COUNTIF('Vehicle numbers'!$A$5:$A$162,J1069),4),
    MATCH(L$8,'Vehicle numbers'!$B$4:$D$4,0))*1000</f>
        <v>2729039.887777084</v>
      </c>
      <c r="M1069" s="184">
        <f>VLOOKUP(F1069,'Annual distance covered (GB)'!$A$8:$H$33,MATCH(J1069,'Annual distance covered (GB)'!$A$7:$H$7,0))</f>
        <v>57.4</v>
      </c>
      <c r="N1069" s="2">
        <f t="shared" ca="1" si="46"/>
        <v>10019.116427968085</v>
      </c>
      <c r="O1069" s="180">
        <f t="shared" ca="1" si="47"/>
        <v>3.6712971740875031E-3</v>
      </c>
      <c r="P1069" s="180"/>
      <c r="Q1069" s="180"/>
      <c r="R1069" s="180"/>
      <c r="S1069" s="180"/>
      <c r="T1069" s="180"/>
    </row>
    <row r="1070" spans="1:20" x14ac:dyDescent="0.25">
      <c r="A1070" t="s">
        <v>236</v>
      </c>
      <c r="B1070" t="s">
        <v>237</v>
      </c>
      <c r="C1070" t="s">
        <v>238</v>
      </c>
      <c r="D1070" t="s">
        <v>257</v>
      </c>
      <c r="E1070" t="s">
        <v>228</v>
      </c>
      <c r="F1070">
        <v>2003</v>
      </c>
      <c r="G1070">
        <v>9.14600000000001E-3</v>
      </c>
      <c r="H1070" t="s">
        <v>240</v>
      </c>
      <c r="I1070" t="s">
        <v>241</v>
      </c>
      <c r="J1070" t="s">
        <v>188</v>
      </c>
      <c r="K1070" s="183">
        <f ca="1">VLOOKUP(F1070,
    OFFSET(INDIRECT(ADDRESS(MATCH(J1070,'Vehicle numbers'!$A$5:$A$162,0),1,1,1,$L$6)),4,1,COUNTIF('Vehicle numbers'!$A$5:$A$162,J1070),4),
    MATCH(K$8,'Vehicle numbers'!$B$4:$D$4,0))*1000</f>
        <v>2652913</v>
      </c>
      <c r="L1070" s="183">
        <f ca="1">VLOOKUP(F1070,
    OFFSET(INDIRECT(ADDRESS(MATCH(J1070,'Vehicle numbers'!$A$5:$A$162,0),1,1,1,$L$6)),4,1,COUNTIF('Vehicle numbers'!$A$5:$A$162,J1070),4),
    MATCH(L$8,'Vehicle numbers'!$B$4:$D$4,0))*1000</f>
        <v>2729039.887777084</v>
      </c>
      <c r="M1070" s="184">
        <f>VLOOKUP(F1070,'Annual distance covered (GB)'!$A$8:$H$33,MATCH(J1070,'Annual distance covered (GB)'!$A$7:$H$7,0))</f>
        <v>57.4</v>
      </c>
      <c r="N1070" s="2">
        <f t="shared" ca="1" si="46"/>
        <v>540045.01915485749</v>
      </c>
      <c r="O1070" s="180">
        <f t="shared" ca="1" si="47"/>
        <v>0.19788828355848859</v>
      </c>
      <c r="P1070" s="180"/>
      <c r="Q1070" s="180"/>
      <c r="R1070" s="180"/>
      <c r="S1070" s="180"/>
      <c r="T1070" s="180"/>
    </row>
    <row r="1071" spans="1:20" x14ac:dyDescent="0.25">
      <c r="A1071" t="s">
        <v>243</v>
      </c>
      <c r="B1071" t="s">
        <v>237</v>
      </c>
      <c r="C1071" t="s">
        <v>238</v>
      </c>
      <c r="D1071" t="s">
        <v>257</v>
      </c>
      <c r="E1071" t="s">
        <v>228</v>
      </c>
      <c r="F1071">
        <v>2003</v>
      </c>
      <c r="G1071">
        <v>6.4022000000000098E-3</v>
      </c>
      <c r="H1071" t="s">
        <v>240</v>
      </c>
      <c r="I1071" t="s">
        <v>241</v>
      </c>
      <c r="J1071" t="s">
        <v>188</v>
      </c>
      <c r="K1071" s="183">
        <f ca="1">VLOOKUP(F1071,
    OFFSET(INDIRECT(ADDRESS(MATCH(J1071,'Vehicle numbers'!$A$5:$A$162,0),1,1,1,$L$6)),4,1,COUNTIF('Vehicle numbers'!$A$5:$A$162,J1071),4),
    MATCH(K$8,'Vehicle numbers'!$B$4:$D$4,0))*1000</f>
        <v>2652913</v>
      </c>
      <c r="L1071" s="183">
        <f ca="1">VLOOKUP(F1071,
    OFFSET(INDIRECT(ADDRESS(MATCH(J1071,'Vehicle numbers'!$A$5:$A$162,0),1,1,1,$L$6)),4,1,COUNTIF('Vehicle numbers'!$A$5:$A$162,J1071),4),
    MATCH(L$8,'Vehicle numbers'!$B$4:$D$4,0))*1000</f>
        <v>2729039.887777084</v>
      </c>
      <c r="M1071" s="184">
        <f>VLOOKUP(F1071,'Annual distance covered (GB)'!$A$8:$H$33,MATCH(J1071,'Annual distance covered (GB)'!$A$7:$H$7,0))</f>
        <v>57.4</v>
      </c>
      <c r="N1071" s="2">
        <f t="shared" ca="1" si="46"/>
        <v>378031.51340840035</v>
      </c>
      <c r="O1071" s="180">
        <f t="shared" ca="1" si="47"/>
        <v>0.13852179849094207</v>
      </c>
      <c r="P1071" s="180"/>
      <c r="Q1071" s="180"/>
      <c r="R1071" s="180"/>
      <c r="S1071" s="180"/>
      <c r="T1071" s="180"/>
    </row>
    <row r="1072" spans="1:20" x14ac:dyDescent="0.25">
      <c r="A1072" t="s">
        <v>244</v>
      </c>
      <c r="B1072" t="s">
        <v>237</v>
      </c>
      <c r="C1072" t="s">
        <v>238</v>
      </c>
      <c r="D1072" t="s">
        <v>257</v>
      </c>
      <c r="E1072" t="s">
        <v>228</v>
      </c>
      <c r="F1072">
        <v>2003</v>
      </c>
      <c r="G1072">
        <v>9.0171830985915497E-4</v>
      </c>
      <c r="H1072" t="s">
        <v>240</v>
      </c>
      <c r="I1072" t="s">
        <v>241</v>
      </c>
      <c r="J1072" t="s">
        <v>188</v>
      </c>
      <c r="K1072" s="183">
        <f ca="1">VLOOKUP(F1072,
    OFFSET(INDIRECT(ADDRESS(MATCH(J1072,'Vehicle numbers'!$A$5:$A$162,0),1,1,1,$L$6)),4,1,COUNTIF('Vehicle numbers'!$A$5:$A$162,J1072),4),
    MATCH(K$8,'Vehicle numbers'!$B$4:$D$4,0))*1000</f>
        <v>2652913</v>
      </c>
      <c r="L1072" s="183">
        <f ca="1">VLOOKUP(F1072,
    OFFSET(INDIRECT(ADDRESS(MATCH(J1072,'Vehicle numbers'!$A$5:$A$162,0),1,1,1,$L$6)),4,1,COUNTIF('Vehicle numbers'!$A$5:$A$162,J1072),4),
    MATCH(L$8,'Vehicle numbers'!$B$4:$D$4,0))*1000</f>
        <v>2729039.887777084</v>
      </c>
      <c r="M1072" s="184">
        <f>VLOOKUP(F1072,'Annual distance covered (GB)'!$A$8:$H$33,MATCH(J1072,'Annual distance covered (GB)'!$A$7:$H$7,0))</f>
        <v>57.4</v>
      </c>
      <c r="N1072" s="2">
        <f t="shared" ca="1" si="46"/>
        <v>53243.875127943633</v>
      </c>
      <c r="O1072" s="180">
        <f t="shared" ca="1" si="47"/>
        <v>1.9510112463512936E-2</v>
      </c>
      <c r="P1072" s="180"/>
      <c r="Q1072" s="180"/>
      <c r="R1072" s="180"/>
      <c r="S1072" s="180"/>
      <c r="T1072" s="180"/>
    </row>
    <row r="1073" spans="1:20" x14ac:dyDescent="0.25">
      <c r="A1073" t="s">
        <v>246</v>
      </c>
      <c r="B1073" t="s">
        <v>237</v>
      </c>
      <c r="C1073" t="s">
        <v>238</v>
      </c>
      <c r="D1073" t="s">
        <v>257</v>
      </c>
      <c r="E1073" t="s">
        <v>228</v>
      </c>
      <c r="F1073">
        <v>2003</v>
      </c>
      <c r="G1073">
        <v>7.2137464788732397E-4</v>
      </c>
      <c r="H1073" t="s">
        <v>240</v>
      </c>
      <c r="I1073" t="s">
        <v>241</v>
      </c>
      <c r="J1073" t="s">
        <v>188</v>
      </c>
      <c r="K1073" s="183">
        <f ca="1">VLOOKUP(F1073,
    OFFSET(INDIRECT(ADDRESS(MATCH(J1073,'Vehicle numbers'!$A$5:$A$162,0),1,1,1,$L$6)),4,1,COUNTIF('Vehicle numbers'!$A$5:$A$162,J1073),4),
    MATCH(K$8,'Vehicle numbers'!$B$4:$D$4,0))*1000</f>
        <v>2652913</v>
      </c>
      <c r="L1073" s="183">
        <f ca="1">VLOOKUP(F1073,
    OFFSET(INDIRECT(ADDRESS(MATCH(J1073,'Vehicle numbers'!$A$5:$A$162,0),1,1,1,$L$6)),4,1,COUNTIF('Vehicle numbers'!$A$5:$A$162,J1073),4),
    MATCH(L$8,'Vehicle numbers'!$B$4:$D$4,0))*1000</f>
        <v>2729039.887777084</v>
      </c>
      <c r="M1073" s="184">
        <f>VLOOKUP(F1073,'Annual distance covered (GB)'!$A$8:$H$33,MATCH(J1073,'Annual distance covered (GB)'!$A$7:$H$7,0))</f>
        <v>57.4</v>
      </c>
      <c r="N1073" s="2">
        <f t="shared" ca="1" si="46"/>
        <v>42595.100102354903</v>
      </c>
      <c r="O1073" s="180">
        <f t="shared" ca="1" si="47"/>
        <v>1.5608089970810347E-2</v>
      </c>
      <c r="P1073" s="180"/>
      <c r="Q1073" s="180"/>
      <c r="R1073" s="180"/>
      <c r="S1073" s="180"/>
      <c r="T1073" s="180"/>
    </row>
    <row r="1074" spans="1:20" x14ac:dyDescent="0.25">
      <c r="A1074" t="s">
        <v>236</v>
      </c>
      <c r="B1074" t="s">
        <v>237</v>
      </c>
      <c r="C1074" t="s">
        <v>238</v>
      </c>
      <c r="D1074" t="s">
        <v>258</v>
      </c>
      <c r="E1074" t="s">
        <v>229</v>
      </c>
      <c r="F1074">
        <v>2003</v>
      </c>
      <c r="G1074">
        <v>8.6220000000000099E-3</v>
      </c>
      <c r="H1074" t="s">
        <v>240</v>
      </c>
      <c r="I1074" t="s">
        <v>241</v>
      </c>
      <c r="J1074" t="s">
        <v>188</v>
      </c>
      <c r="K1074" s="183">
        <f ca="1">VLOOKUP(F1074,
    OFFSET(INDIRECT(ADDRESS(MATCH(J1074,'Vehicle numbers'!$A$5:$A$162,0),1,1,1,$L$6)),4,1,COUNTIF('Vehicle numbers'!$A$5:$A$162,J1074),4),
    MATCH(K$8,'Vehicle numbers'!$B$4:$D$4,0))*1000</f>
        <v>2652913</v>
      </c>
      <c r="L1074" s="183">
        <f ca="1">VLOOKUP(F1074,
    OFFSET(INDIRECT(ADDRESS(MATCH(J1074,'Vehicle numbers'!$A$5:$A$162,0),1,1,1,$L$6)),4,1,COUNTIF('Vehicle numbers'!$A$5:$A$162,J1074),4),
    MATCH(L$8,'Vehicle numbers'!$B$4:$D$4,0))*1000</f>
        <v>2729039.887777084</v>
      </c>
      <c r="M1074" s="184">
        <f>VLOOKUP(F1074,'Annual distance covered (GB)'!$A$8:$H$33,MATCH(J1074,'Annual distance covered (GB)'!$A$7:$H$7,0))</f>
        <v>57.4</v>
      </c>
      <c r="N1074" s="2">
        <f t="shared" ca="1" si="46"/>
        <v>509104.32485820912</v>
      </c>
      <c r="O1074" s="180">
        <f t="shared" ca="1" si="47"/>
        <v>0.1865507085984352</v>
      </c>
      <c r="P1074" s="180"/>
      <c r="Q1074" s="180"/>
      <c r="R1074" s="180"/>
      <c r="S1074" s="180"/>
      <c r="T1074" s="180"/>
    </row>
    <row r="1075" spans="1:20" x14ac:dyDescent="0.25">
      <c r="A1075" t="s">
        <v>243</v>
      </c>
      <c r="B1075" t="s">
        <v>237</v>
      </c>
      <c r="C1075" t="s">
        <v>238</v>
      </c>
      <c r="D1075" t="s">
        <v>258</v>
      </c>
      <c r="E1075" t="s">
        <v>229</v>
      </c>
      <c r="F1075">
        <v>2003</v>
      </c>
      <c r="G1075">
        <v>3.4488000000000001E-3</v>
      </c>
      <c r="H1075" t="s">
        <v>240</v>
      </c>
      <c r="I1075" t="s">
        <v>241</v>
      </c>
      <c r="J1075" t="s">
        <v>188</v>
      </c>
      <c r="K1075" s="183">
        <f ca="1">VLOOKUP(F1075,
    OFFSET(INDIRECT(ADDRESS(MATCH(J1075,'Vehicle numbers'!$A$5:$A$162,0),1,1,1,$L$6)),4,1,COUNTIF('Vehicle numbers'!$A$5:$A$162,J1075),4),
    MATCH(K$8,'Vehicle numbers'!$B$4:$D$4,0))*1000</f>
        <v>2652913</v>
      </c>
      <c r="L1075" s="183">
        <f ca="1">VLOOKUP(F1075,
    OFFSET(INDIRECT(ADDRESS(MATCH(J1075,'Vehicle numbers'!$A$5:$A$162,0),1,1,1,$L$6)),4,1,COUNTIF('Vehicle numbers'!$A$5:$A$162,J1075),4),
    MATCH(L$8,'Vehicle numbers'!$B$4:$D$4,0))*1000</f>
        <v>2729039.887777084</v>
      </c>
      <c r="M1075" s="184">
        <f>VLOOKUP(F1075,'Annual distance covered (GB)'!$A$8:$H$33,MATCH(J1075,'Annual distance covered (GB)'!$A$7:$H$7,0))</f>
        <v>57.4</v>
      </c>
      <c r="N1075" s="2">
        <f t="shared" ca="1" si="46"/>
        <v>203641.72994328343</v>
      </c>
      <c r="O1075" s="180">
        <f t="shared" ca="1" si="47"/>
        <v>7.4620283439374005E-2</v>
      </c>
      <c r="P1075" s="180"/>
      <c r="Q1075" s="180"/>
      <c r="R1075" s="180"/>
      <c r="S1075" s="180"/>
      <c r="T1075" s="180"/>
    </row>
    <row r="1076" spans="1:20" x14ac:dyDescent="0.25">
      <c r="A1076" t="s">
        <v>244</v>
      </c>
      <c r="B1076" t="s">
        <v>237</v>
      </c>
      <c r="C1076" t="s">
        <v>238</v>
      </c>
      <c r="D1076" t="s">
        <v>258</v>
      </c>
      <c r="E1076" t="s">
        <v>229</v>
      </c>
      <c r="F1076">
        <v>2003</v>
      </c>
      <c r="G1076">
        <v>8.6220000000000003E-4</v>
      </c>
      <c r="H1076" t="s">
        <v>240</v>
      </c>
      <c r="I1076" t="s">
        <v>241</v>
      </c>
      <c r="J1076" t="s">
        <v>188</v>
      </c>
      <c r="K1076" s="183">
        <f ca="1">VLOOKUP(F1076,
    OFFSET(INDIRECT(ADDRESS(MATCH(J1076,'Vehicle numbers'!$A$5:$A$162,0),1,1,1,$L$6)),4,1,COUNTIF('Vehicle numbers'!$A$5:$A$162,J1076),4),
    MATCH(K$8,'Vehicle numbers'!$B$4:$D$4,0))*1000</f>
        <v>2652913</v>
      </c>
      <c r="L1076" s="183">
        <f ca="1">VLOOKUP(F1076,
    OFFSET(INDIRECT(ADDRESS(MATCH(J1076,'Vehicle numbers'!$A$5:$A$162,0),1,1,1,$L$6)),4,1,COUNTIF('Vehicle numbers'!$A$5:$A$162,J1076),4),
    MATCH(L$8,'Vehicle numbers'!$B$4:$D$4,0))*1000</f>
        <v>2729039.887777084</v>
      </c>
      <c r="M1076" s="184">
        <f>VLOOKUP(F1076,'Annual distance covered (GB)'!$A$8:$H$33,MATCH(J1076,'Annual distance covered (GB)'!$A$7:$H$7,0))</f>
        <v>57.4</v>
      </c>
      <c r="N1076" s="2">
        <f t="shared" ca="1" si="46"/>
        <v>50910.432485820857</v>
      </c>
      <c r="O1076" s="180">
        <f t="shared" ca="1" si="47"/>
        <v>1.8655070859843501E-2</v>
      </c>
      <c r="P1076" s="180"/>
      <c r="Q1076" s="180"/>
      <c r="R1076" s="180"/>
      <c r="S1076" s="180"/>
      <c r="T1076" s="180"/>
    </row>
    <row r="1077" spans="1:20" x14ac:dyDescent="0.25">
      <c r="A1077" t="s">
        <v>246</v>
      </c>
      <c r="B1077" t="s">
        <v>237</v>
      </c>
      <c r="C1077" t="s">
        <v>238</v>
      </c>
      <c r="D1077" t="s">
        <v>258</v>
      </c>
      <c r="E1077" t="s">
        <v>229</v>
      </c>
      <c r="F1077">
        <v>2003</v>
      </c>
      <c r="G1077">
        <v>6.8975999999999998E-4</v>
      </c>
      <c r="H1077" t="s">
        <v>240</v>
      </c>
      <c r="I1077" t="s">
        <v>241</v>
      </c>
      <c r="J1077" t="s">
        <v>188</v>
      </c>
      <c r="K1077" s="183">
        <f ca="1">VLOOKUP(F1077,
    OFFSET(INDIRECT(ADDRESS(MATCH(J1077,'Vehicle numbers'!$A$5:$A$162,0),1,1,1,$L$6)),4,1,COUNTIF('Vehicle numbers'!$A$5:$A$162,J1077),4),
    MATCH(K$8,'Vehicle numbers'!$B$4:$D$4,0))*1000</f>
        <v>2652913</v>
      </c>
      <c r="L1077" s="183">
        <f ca="1">VLOOKUP(F1077,
    OFFSET(INDIRECT(ADDRESS(MATCH(J1077,'Vehicle numbers'!$A$5:$A$162,0),1,1,1,$L$6)),4,1,COUNTIF('Vehicle numbers'!$A$5:$A$162,J1077),4),
    MATCH(L$8,'Vehicle numbers'!$B$4:$D$4,0))*1000</f>
        <v>2729039.887777084</v>
      </c>
      <c r="M1077" s="184">
        <f>VLOOKUP(F1077,'Annual distance covered (GB)'!$A$8:$H$33,MATCH(J1077,'Annual distance covered (GB)'!$A$7:$H$7,0))</f>
        <v>57.4</v>
      </c>
      <c r="N1077" s="2">
        <f t="shared" ca="1" si="46"/>
        <v>40728.345988656685</v>
      </c>
      <c r="O1077" s="180">
        <f t="shared" ca="1" si="47"/>
        <v>1.49240566878748E-2</v>
      </c>
      <c r="P1077" s="180"/>
      <c r="Q1077" s="180"/>
      <c r="R1077" s="180"/>
      <c r="S1077" s="180"/>
      <c r="T1077" s="180"/>
    </row>
    <row r="1078" spans="1:20" x14ac:dyDescent="0.25">
      <c r="A1078" t="s">
        <v>236</v>
      </c>
      <c r="B1078" t="s">
        <v>237</v>
      </c>
      <c r="C1078" t="s">
        <v>238</v>
      </c>
      <c r="D1078" t="s">
        <v>258</v>
      </c>
      <c r="E1078" t="s">
        <v>228</v>
      </c>
      <c r="F1078">
        <v>2003</v>
      </c>
      <c r="G1078">
        <v>1.0741000000000001E-2</v>
      </c>
      <c r="H1078" t="s">
        <v>240</v>
      </c>
      <c r="I1078" t="s">
        <v>241</v>
      </c>
      <c r="J1078" t="s">
        <v>188</v>
      </c>
      <c r="K1078" s="183">
        <f ca="1">VLOOKUP(F1078,
    OFFSET(INDIRECT(ADDRESS(MATCH(J1078,'Vehicle numbers'!$A$5:$A$162,0),1,1,1,$L$6)),4,1,COUNTIF('Vehicle numbers'!$A$5:$A$162,J1078),4),
    MATCH(K$8,'Vehicle numbers'!$B$4:$D$4,0))*1000</f>
        <v>2652913</v>
      </c>
      <c r="L1078" s="183">
        <f ca="1">VLOOKUP(F1078,
    OFFSET(INDIRECT(ADDRESS(MATCH(J1078,'Vehicle numbers'!$A$5:$A$162,0),1,1,1,$L$6)),4,1,COUNTIF('Vehicle numbers'!$A$5:$A$162,J1078),4),
    MATCH(L$8,'Vehicle numbers'!$B$4:$D$4,0))*1000</f>
        <v>2729039.887777084</v>
      </c>
      <c r="M1078" s="184">
        <f>VLOOKUP(F1078,'Annual distance covered (GB)'!$A$8:$H$33,MATCH(J1078,'Annual distance covered (GB)'!$A$7:$H$7,0))</f>
        <v>57.4</v>
      </c>
      <c r="N1078" s="2">
        <f t="shared" ca="1" si="46"/>
        <v>634225.18595476903</v>
      </c>
      <c r="O1078" s="180">
        <f t="shared" ca="1" si="47"/>
        <v>0.23239865008765836</v>
      </c>
      <c r="P1078" s="180"/>
      <c r="Q1078" s="180"/>
      <c r="R1078" s="180"/>
      <c r="S1078" s="180"/>
      <c r="T1078" s="180"/>
    </row>
    <row r="1079" spans="1:20" x14ac:dyDescent="0.25">
      <c r="A1079" t="s">
        <v>243</v>
      </c>
      <c r="B1079" t="s">
        <v>237</v>
      </c>
      <c r="C1079" t="s">
        <v>238</v>
      </c>
      <c r="D1079" t="s">
        <v>258</v>
      </c>
      <c r="E1079" t="s">
        <v>228</v>
      </c>
      <c r="F1079">
        <v>2003</v>
      </c>
      <c r="G1079">
        <v>7.5186999999999997E-3</v>
      </c>
      <c r="H1079" t="s">
        <v>240</v>
      </c>
      <c r="I1079" t="s">
        <v>241</v>
      </c>
      <c r="J1079" t="s">
        <v>188</v>
      </c>
      <c r="K1079" s="183">
        <f ca="1">VLOOKUP(F1079,
    OFFSET(INDIRECT(ADDRESS(MATCH(J1079,'Vehicle numbers'!$A$5:$A$162,0),1,1,1,$L$6)),4,1,COUNTIF('Vehicle numbers'!$A$5:$A$162,J1079),4),
    MATCH(K$8,'Vehicle numbers'!$B$4:$D$4,0))*1000</f>
        <v>2652913</v>
      </c>
      <c r="L1079" s="183">
        <f ca="1">VLOOKUP(F1079,
    OFFSET(INDIRECT(ADDRESS(MATCH(J1079,'Vehicle numbers'!$A$5:$A$162,0),1,1,1,$L$6)),4,1,COUNTIF('Vehicle numbers'!$A$5:$A$162,J1079),4),
    MATCH(L$8,'Vehicle numbers'!$B$4:$D$4,0))*1000</f>
        <v>2729039.887777084</v>
      </c>
      <c r="M1079" s="184">
        <f>VLOOKUP(F1079,'Annual distance covered (GB)'!$A$8:$H$33,MATCH(J1079,'Annual distance covered (GB)'!$A$7:$H$7,0))</f>
        <v>57.4</v>
      </c>
      <c r="N1079" s="2">
        <f t="shared" ca="1" si="46"/>
        <v>443957.63016833825</v>
      </c>
      <c r="O1079" s="180">
        <f t="shared" ca="1" si="47"/>
        <v>0.16267905506136085</v>
      </c>
      <c r="P1079" s="180"/>
      <c r="Q1079" s="180"/>
      <c r="R1079" s="180"/>
      <c r="S1079" s="180"/>
      <c r="T1079" s="180"/>
    </row>
    <row r="1080" spans="1:20" x14ac:dyDescent="0.25">
      <c r="A1080" t="s">
        <v>244</v>
      </c>
      <c r="B1080" t="s">
        <v>237</v>
      </c>
      <c r="C1080" t="s">
        <v>238</v>
      </c>
      <c r="D1080" t="s">
        <v>258</v>
      </c>
      <c r="E1080" t="s">
        <v>228</v>
      </c>
      <c r="F1080">
        <v>2003</v>
      </c>
      <c r="G1080">
        <v>1.05897183098591E-3</v>
      </c>
      <c r="H1080" t="s">
        <v>240</v>
      </c>
      <c r="I1080" t="s">
        <v>241</v>
      </c>
      <c r="J1080" t="s">
        <v>188</v>
      </c>
      <c r="K1080" s="183">
        <f ca="1">VLOOKUP(F1080,
    OFFSET(INDIRECT(ADDRESS(MATCH(J1080,'Vehicle numbers'!$A$5:$A$162,0),1,1,1,$L$6)),4,1,COUNTIF('Vehicle numbers'!$A$5:$A$162,J1080),4),
    MATCH(K$8,'Vehicle numbers'!$B$4:$D$4,0))*1000</f>
        <v>2652913</v>
      </c>
      <c r="L1080" s="183">
        <f ca="1">VLOOKUP(F1080,
    OFFSET(INDIRECT(ADDRESS(MATCH(J1080,'Vehicle numbers'!$A$5:$A$162,0),1,1,1,$L$6)),4,1,COUNTIF('Vehicle numbers'!$A$5:$A$162,J1080),4),
    MATCH(L$8,'Vehicle numbers'!$B$4:$D$4,0))*1000</f>
        <v>2729039.887777084</v>
      </c>
      <c r="M1080" s="184">
        <f>VLOOKUP(F1080,'Annual distance covered (GB)'!$A$8:$H$33,MATCH(J1080,'Annual distance covered (GB)'!$A$7:$H$7,0))</f>
        <v>57.4</v>
      </c>
      <c r="N1080" s="2">
        <f t="shared" ca="1" si="46"/>
        <v>62529.243685681125</v>
      </c>
      <c r="O1080" s="180">
        <f t="shared" ca="1" si="47"/>
        <v>2.2912542966388734E-2</v>
      </c>
      <c r="P1080" s="180"/>
      <c r="Q1080" s="180"/>
      <c r="R1080" s="180"/>
      <c r="S1080" s="180"/>
      <c r="T1080" s="180"/>
    </row>
    <row r="1081" spans="1:20" x14ac:dyDescent="0.25">
      <c r="A1081" t="s">
        <v>246</v>
      </c>
      <c r="B1081" t="s">
        <v>237</v>
      </c>
      <c r="C1081" t="s">
        <v>238</v>
      </c>
      <c r="D1081" t="s">
        <v>258</v>
      </c>
      <c r="E1081" t="s">
        <v>228</v>
      </c>
      <c r="F1081">
        <v>2003</v>
      </c>
      <c r="G1081">
        <v>8.47177464788731E-4</v>
      </c>
      <c r="H1081" t="s">
        <v>240</v>
      </c>
      <c r="I1081" t="s">
        <v>241</v>
      </c>
      <c r="J1081" t="s">
        <v>188</v>
      </c>
      <c r="K1081" s="183">
        <f ca="1">VLOOKUP(F1081,
    OFFSET(INDIRECT(ADDRESS(MATCH(J1081,'Vehicle numbers'!$A$5:$A$162,0),1,1,1,$L$6)),4,1,COUNTIF('Vehicle numbers'!$A$5:$A$162,J1081),4),
    MATCH(K$8,'Vehicle numbers'!$B$4:$D$4,0))*1000</f>
        <v>2652913</v>
      </c>
      <c r="L1081" s="183">
        <f ca="1">VLOOKUP(F1081,
    OFFSET(INDIRECT(ADDRESS(MATCH(J1081,'Vehicle numbers'!$A$5:$A$162,0),1,1,1,$L$6)),4,1,COUNTIF('Vehicle numbers'!$A$5:$A$162,J1081),4),
    MATCH(L$8,'Vehicle numbers'!$B$4:$D$4,0))*1000</f>
        <v>2729039.887777084</v>
      </c>
      <c r="M1081" s="184">
        <f>VLOOKUP(F1081,'Annual distance covered (GB)'!$A$8:$H$33,MATCH(J1081,'Annual distance covered (GB)'!$A$7:$H$7,0))</f>
        <v>57.4</v>
      </c>
      <c r="N1081" s="2">
        <f t="shared" ca="1" si="46"/>
        <v>50023.394948545087</v>
      </c>
      <c r="O1081" s="180">
        <f t="shared" ca="1" si="47"/>
        <v>1.8330034373111054E-2</v>
      </c>
      <c r="P1081" s="180"/>
      <c r="Q1081" s="180"/>
      <c r="R1081" s="180"/>
      <c r="S1081" s="180"/>
      <c r="T1081" s="180"/>
    </row>
    <row r="1082" spans="1:20" x14ac:dyDescent="0.25">
      <c r="A1082" t="s">
        <v>236</v>
      </c>
      <c r="B1082" t="s">
        <v>237</v>
      </c>
      <c r="C1082" t="s">
        <v>238</v>
      </c>
      <c r="D1082" t="s">
        <v>259</v>
      </c>
      <c r="E1082" t="s">
        <v>229</v>
      </c>
      <c r="F1082">
        <v>2003</v>
      </c>
      <c r="G1082">
        <v>1.8218999999999999E-2</v>
      </c>
      <c r="H1082" t="s">
        <v>240</v>
      </c>
      <c r="I1082" t="s">
        <v>241</v>
      </c>
      <c r="J1082" t="s">
        <v>188</v>
      </c>
      <c r="K1082" s="183">
        <f ca="1">VLOOKUP(F1082,
    OFFSET(INDIRECT(ADDRESS(MATCH(J1082,'Vehicle numbers'!$A$5:$A$162,0),1,1,1,$L$6)),4,1,COUNTIF('Vehicle numbers'!$A$5:$A$162,J1082),4),
    MATCH(K$8,'Vehicle numbers'!$B$4:$D$4,0))*1000</f>
        <v>2652913</v>
      </c>
      <c r="L1082" s="183">
        <f ca="1">VLOOKUP(F1082,
    OFFSET(INDIRECT(ADDRESS(MATCH(J1082,'Vehicle numbers'!$A$5:$A$162,0),1,1,1,$L$6)),4,1,COUNTIF('Vehicle numbers'!$A$5:$A$162,J1082),4),
    MATCH(L$8,'Vehicle numbers'!$B$4:$D$4,0))*1000</f>
        <v>2729039.887777084</v>
      </c>
      <c r="M1082" s="184">
        <f>VLOOKUP(F1082,'Annual distance covered (GB)'!$A$8:$H$33,MATCH(J1082,'Annual distance covered (GB)'!$A$7:$H$7,0))</f>
        <v>57.4</v>
      </c>
      <c r="N1082" s="2">
        <f t="shared" ca="1" si="46"/>
        <v>1075779.5980737302</v>
      </c>
      <c r="O1082" s="180">
        <f t="shared" ca="1" si="47"/>
        <v>0.39419709579620593</v>
      </c>
      <c r="P1082" s="180"/>
      <c r="Q1082" s="180"/>
      <c r="R1082" s="180"/>
      <c r="S1082" s="180"/>
      <c r="T1082" s="180"/>
    </row>
    <row r="1083" spans="1:20" x14ac:dyDescent="0.25">
      <c r="A1083" t="s">
        <v>243</v>
      </c>
      <c r="B1083" t="s">
        <v>237</v>
      </c>
      <c r="C1083" t="s">
        <v>238</v>
      </c>
      <c r="D1083" t="s">
        <v>259</v>
      </c>
      <c r="E1083" t="s">
        <v>229</v>
      </c>
      <c r="F1083">
        <v>2003</v>
      </c>
      <c r="G1083">
        <v>7.2876E-3</v>
      </c>
      <c r="H1083" t="s">
        <v>240</v>
      </c>
      <c r="I1083" t="s">
        <v>241</v>
      </c>
      <c r="J1083" t="s">
        <v>188</v>
      </c>
      <c r="K1083" s="183">
        <f ca="1">VLOOKUP(F1083,
    OFFSET(INDIRECT(ADDRESS(MATCH(J1083,'Vehicle numbers'!$A$5:$A$162,0),1,1,1,$L$6)),4,1,COUNTIF('Vehicle numbers'!$A$5:$A$162,J1083),4),
    MATCH(K$8,'Vehicle numbers'!$B$4:$D$4,0))*1000</f>
        <v>2652913</v>
      </c>
      <c r="L1083" s="183">
        <f ca="1">VLOOKUP(F1083,
    OFFSET(INDIRECT(ADDRESS(MATCH(J1083,'Vehicle numbers'!$A$5:$A$162,0),1,1,1,$L$6)),4,1,COUNTIF('Vehicle numbers'!$A$5:$A$162,J1083),4),
    MATCH(L$8,'Vehicle numbers'!$B$4:$D$4,0))*1000</f>
        <v>2729039.887777084</v>
      </c>
      <c r="M1083" s="184">
        <f>VLOOKUP(F1083,'Annual distance covered (GB)'!$A$8:$H$33,MATCH(J1083,'Annual distance covered (GB)'!$A$7:$H$7,0))</f>
        <v>57.4</v>
      </c>
      <c r="N1083" s="2">
        <f t="shared" ca="1" si="46"/>
        <v>430311.83922949212</v>
      </c>
      <c r="O1083" s="180">
        <f t="shared" ca="1" si="47"/>
        <v>0.15767883831848237</v>
      </c>
      <c r="P1083" s="180"/>
      <c r="Q1083" s="180"/>
      <c r="R1083" s="180"/>
      <c r="S1083" s="180"/>
      <c r="T1083" s="180"/>
    </row>
    <row r="1084" spans="1:20" x14ac:dyDescent="0.25">
      <c r="A1084" t="s">
        <v>244</v>
      </c>
      <c r="B1084" t="s">
        <v>237</v>
      </c>
      <c r="C1084" t="s">
        <v>238</v>
      </c>
      <c r="D1084" t="s">
        <v>259</v>
      </c>
      <c r="E1084" t="s">
        <v>229</v>
      </c>
      <c r="F1084">
        <v>2003</v>
      </c>
      <c r="G1084">
        <v>1.8219E-3</v>
      </c>
      <c r="H1084" t="s">
        <v>240</v>
      </c>
      <c r="I1084" t="s">
        <v>241</v>
      </c>
      <c r="J1084" t="s">
        <v>188</v>
      </c>
      <c r="K1084" s="183">
        <f ca="1">VLOOKUP(F1084,
    OFFSET(INDIRECT(ADDRESS(MATCH(J1084,'Vehicle numbers'!$A$5:$A$162,0),1,1,1,$L$6)),4,1,COUNTIF('Vehicle numbers'!$A$5:$A$162,J1084),4),
    MATCH(K$8,'Vehicle numbers'!$B$4:$D$4,0))*1000</f>
        <v>2652913</v>
      </c>
      <c r="L1084" s="183">
        <f ca="1">VLOOKUP(F1084,
    OFFSET(INDIRECT(ADDRESS(MATCH(J1084,'Vehicle numbers'!$A$5:$A$162,0),1,1,1,$L$6)),4,1,COUNTIF('Vehicle numbers'!$A$5:$A$162,J1084),4),
    MATCH(L$8,'Vehicle numbers'!$B$4:$D$4,0))*1000</f>
        <v>2729039.887777084</v>
      </c>
      <c r="M1084" s="184">
        <f>VLOOKUP(F1084,'Annual distance covered (GB)'!$A$8:$H$33,MATCH(J1084,'Annual distance covered (GB)'!$A$7:$H$7,0))</f>
        <v>57.4</v>
      </c>
      <c r="N1084" s="2">
        <f t="shared" ca="1" si="46"/>
        <v>107577.95980737303</v>
      </c>
      <c r="O1084" s="180">
        <f t="shared" ca="1" si="47"/>
        <v>3.9419709579620592E-2</v>
      </c>
      <c r="P1084" s="180"/>
      <c r="Q1084" s="180"/>
      <c r="R1084" s="180"/>
      <c r="S1084" s="180"/>
      <c r="T1084" s="180"/>
    </row>
    <row r="1085" spans="1:20" x14ac:dyDescent="0.25">
      <c r="A1085" t="s">
        <v>246</v>
      </c>
      <c r="B1085" t="s">
        <v>237</v>
      </c>
      <c r="C1085" t="s">
        <v>238</v>
      </c>
      <c r="D1085" t="s">
        <v>259</v>
      </c>
      <c r="E1085" t="s">
        <v>229</v>
      </c>
      <c r="F1085">
        <v>2003</v>
      </c>
      <c r="G1085">
        <v>1.4575199999999999E-3</v>
      </c>
      <c r="H1085" t="s">
        <v>240</v>
      </c>
      <c r="I1085" t="s">
        <v>241</v>
      </c>
      <c r="J1085" t="s">
        <v>188</v>
      </c>
      <c r="K1085" s="183">
        <f ca="1">VLOOKUP(F1085,
    OFFSET(INDIRECT(ADDRESS(MATCH(J1085,'Vehicle numbers'!$A$5:$A$162,0),1,1,1,$L$6)),4,1,COUNTIF('Vehicle numbers'!$A$5:$A$162,J1085),4),
    MATCH(K$8,'Vehicle numbers'!$B$4:$D$4,0))*1000</f>
        <v>2652913</v>
      </c>
      <c r="L1085" s="183">
        <f ca="1">VLOOKUP(F1085,
    OFFSET(INDIRECT(ADDRESS(MATCH(J1085,'Vehicle numbers'!$A$5:$A$162,0),1,1,1,$L$6)),4,1,COUNTIF('Vehicle numbers'!$A$5:$A$162,J1085),4),
    MATCH(L$8,'Vehicle numbers'!$B$4:$D$4,0))*1000</f>
        <v>2729039.887777084</v>
      </c>
      <c r="M1085" s="184">
        <f>VLOOKUP(F1085,'Annual distance covered (GB)'!$A$8:$H$33,MATCH(J1085,'Annual distance covered (GB)'!$A$7:$H$7,0))</f>
        <v>57.4</v>
      </c>
      <c r="N1085" s="2">
        <f t="shared" ca="1" si="46"/>
        <v>86062.367845898407</v>
      </c>
      <c r="O1085" s="180">
        <f t="shared" ca="1" si="47"/>
        <v>3.1535767663696472E-2</v>
      </c>
      <c r="P1085" s="180"/>
      <c r="Q1085" s="180"/>
      <c r="R1085" s="180"/>
      <c r="S1085" s="180"/>
      <c r="T1085" s="180"/>
    </row>
    <row r="1086" spans="1:20" x14ac:dyDescent="0.25">
      <c r="A1086" t="s">
        <v>236</v>
      </c>
      <c r="B1086" t="s">
        <v>237</v>
      </c>
      <c r="C1086" t="s">
        <v>238</v>
      </c>
      <c r="D1086" t="s">
        <v>259</v>
      </c>
      <c r="E1086" t="s">
        <v>228</v>
      </c>
      <c r="F1086">
        <v>2003</v>
      </c>
      <c r="G1086">
        <v>1.3802E-2</v>
      </c>
      <c r="H1086" t="s">
        <v>240</v>
      </c>
      <c r="I1086" t="s">
        <v>241</v>
      </c>
      <c r="J1086" t="s">
        <v>188</v>
      </c>
      <c r="K1086" s="183">
        <f ca="1">VLOOKUP(F1086,
    OFFSET(INDIRECT(ADDRESS(MATCH(J1086,'Vehicle numbers'!$A$5:$A$162,0),1,1,1,$L$6)),4,1,COUNTIF('Vehicle numbers'!$A$5:$A$162,J1086),4),
    MATCH(K$8,'Vehicle numbers'!$B$4:$D$4,0))*1000</f>
        <v>2652913</v>
      </c>
      <c r="L1086" s="183">
        <f ca="1">VLOOKUP(F1086,
    OFFSET(INDIRECT(ADDRESS(MATCH(J1086,'Vehicle numbers'!$A$5:$A$162,0),1,1,1,$L$6)),4,1,COUNTIF('Vehicle numbers'!$A$5:$A$162,J1086),4),
    MATCH(L$8,'Vehicle numbers'!$B$4:$D$4,0))*1000</f>
        <v>2729039.887777084</v>
      </c>
      <c r="M1086" s="184">
        <f>VLOOKUP(F1086,'Annual distance covered (GB)'!$A$8:$H$33,MATCH(J1086,'Annual distance covered (GB)'!$A$7:$H$7,0))</f>
        <v>57.4</v>
      </c>
      <c r="N1086" s="2">
        <f t="shared" ca="1" si="46"/>
        <v>814968.44023347204</v>
      </c>
      <c r="O1086" s="180">
        <f t="shared" ca="1" si="47"/>
        <v>0.29862826259285552</v>
      </c>
      <c r="P1086" s="180"/>
      <c r="Q1086" s="180"/>
      <c r="R1086" s="180"/>
      <c r="S1086" s="180"/>
      <c r="T1086" s="180"/>
    </row>
    <row r="1087" spans="1:20" x14ac:dyDescent="0.25">
      <c r="A1087" t="s">
        <v>243</v>
      </c>
      <c r="B1087" t="s">
        <v>237</v>
      </c>
      <c r="C1087" t="s">
        <v>238</v>
      </c>
      <c r="D1087" t="s">
        <v>259</v>
      </c>
      <c r="E1087" t="s">
        <v>228</v>
      </c>
      <c r="F1087">
        <v>2003</v>
      </c>
      <c r="G1087">
        <v>9.6614000000000005E-3</v>
      </c>
      <c r="H1087" t="s">
        <v>240</v>
      </c>
      <c r="I1087" t="s">
        <v>241</v>
      </c>
      <c r="J1087" t="s">
        <v>188</v>
      </c>
      <c r="K1087" s="183">
        <f ca="1">VLOOKUP(F1087,
    OFFSET(INDIRECT(ADDRESS(MATCH(J1087,'Vehicle numbers'!$A$5:$A$162,0),1,1,1,$L$6)),4,1,COUNTIF('Vehicle numbers'!$A$5:$A$162,J1087),4),
    MATCH(K$8,'Vehicle numbers'!$B$4:$D$4,0))*1000</f>
        <v>2652913</v>
      </c>
      <c r="L1087" s="183">
        <f ca="1">VLOOKUP(F1087,
    OFFSET(INDIRECT(ADDRESS(MATCH(J1087,'Vehicle numbers'!$A$5:$A$162,0),1,1,1,$L$6)),4,1,COUNTIF('Vehicle numbers'!$A$5:$A$162,J1087),4),
    MATCH(L$8,'Vehicle numbers'!$B$4:$D$4,0))*1000</f>
        <v>2729039.887777084</v>
      </c>
      <c r="M1087" s="184">
        <f>VLOOKUP(F1087,'Annual distance covered (GB)'!$A$8:$H$33,MATCH(J1087,'Annual distance covered (GB)'!$A$7:$H$7,0))</f>
        <v>57.4</v>
      </c>
      <c r="N1087" s="2">
        <f t="shared" ca="1" si="46"/>
        <v>570477.90816343029</v>
      </c>
      <c r="O1087" s="180">
        <f t="shared" ca="1" si="47"/>
        <v>0.20903978381499883</v>
      </c>
      <c r="P1087" s="180"/>
      <c r="Q1087" s="180"/>
      <c r="R1087" s="180"/>
      <c r="S1087" s="180"/>
      <c r="T1087" s="180"/>
    </row>
    <row r="1088" spans="1:20" x14ac:dyDescent="0.25">
      <c r="A1088" t="s">
        <v>244</v>
      </c>
      <c r="B1088" t="s">
        <v>237</v>
      </c>
      <c r="C1088" t="s">
        <v>238</v>
      </c>
      <c r="D1088" t="s">
        <v>259</v>
      </c>
      <c r="E1088" t="s">
        <v>228</v>
      </c>
      <c r="F1088">
        <v>2003</v>
      </c>
      <c r="G1088">
        <v>1.3607605633802801E-3</v>
      </c>
      <c r="H1088" t="s">
        <v>240</v>
      </c>
      <c r="I1088" t="s">
        <v>241</v>
      </c>
      <c r="J1088" t="s">
        <v>188</v>
      </c>
      <c r="K1088" s="183">
        <f ca="1">VLOOKUP(F1088,
    OFFSET(INDIRECT(ADDRESS(MATCH(J1088,'Vehicle numbers'!$A$5:$A$162,0),1,1,1,$L$6)),4,1,COUNTIF('Vehicle numbers'!$A$5:$A$162,J1088),4),
    MATCH(K$8,'Vehicle numbers'!$B$4:$D$4,0))*1000</f>
        <v>2652913</v>
      </c>
      <c r="L1088" s="183">
        <f ca="1">VLOOKUP(F1088,
    OFFSET(INDIRECT(ADDRESS(MATCH(J1088,'Vehicle numbers'!$A$5:$A$162,0),1,1,1,$L$6)),4,1,COUNTIF('Vehicle numbers'!$A$5:$A$162,J1088),4),
    MATCH(L$8,'Vehicle numbers'!$B$4:$D$4,0))*1000</f>
        <v>2729039.887777084</v>
      </c>
      <c r="M1088" s="184">
        <f>VLOOKUP(F1088,'Annual distance covered (GB)'!$A$8:$H$33,MATCH(J1088,'Annual distance covered (GB)'!$A$7:$H$7,0))</f>
        <v>57.4</v>
      </c>
      <c r="N1088" s="2">
        <f t="shared" ca="1" si="46"/>
        <v>80349.001149778822</v>
      </c>
      <c r="O1088" s="180">
        <f t="shared" ca="1" si="47"/>
        <v>2.9442223072535013E-2</v>
      </c>
      <c r="P1088" s="180"/>
      <c r="Q1088" s="180"/>
      <c r="R1088" s="180"/>
      <c r="S1088" s="180"/>
      <c r="T1088" s="180"/>
    </row>
    <row r="1089" spans="1:20" x14ac:dyDescent="0.25">
      <c r="A1089" t="s">
        <v>246</v>
      </c>
      <c r="B1089" t="s">
        <v>237</v>
      </c>
      <c r="C1089" t="s">
        <v>238</v>
      </c>
      <c r="D1089" t="s">
        <v>259</v>
      </c>
      <c r="E1089" t="s">
        <v>228</v>
      </c>
      <c r="F1089">
        <v>2003</v>
      </c>
      <c r="G1089">
        <v>1.0886084507042201E-3</v>
      </c>
      <c r="H1089" t="s">
        <v>240</v>
      </c>
      <c r="I1089" t="s">
        <v>241</v>
      </c>
      <c r="J1089" t="s">
        <v>188</v>
      </c>
      <c r="K1089" s="183">
        <f ca="1">VLOOKUP(F1089,
    OFFSET(INDIRECT(ADDRESS(MATCH(J1089,'Vehicle numbers'!$A$5:$A$162,0),1,1,1,$L$6)),4,1,COUNTIF('Vehicle numbers'!$A$5:$A$162,J1089),4),
    MATCH(K$8,'Vehicle numbers'!$B$4:$D$4,0))*1000</f>
        <v>2652913</v>
      </c>
      <c r="L1089" s="183">
        <f ca="1">VLOOKUP(F1089,
    OFFSET(INDIRECT(ADDRESS(MATCH(J1089,'Vehicle numbers'!$A$5:$A$162,0),1,1,1,$L$6)),4,1,COUNTIF('Vehicle numbers'!$A$5:$A$162,J1089),4),
    MATCH(L$8,'Vehicle numbers'!$B$4:$D$4,0))*1000</f>
        <v>2729039.887777084</v>
      </c>
      <c r="M1089" s="184">
        <f>VLOOKUP(F1089,'Annual distance covered (GB)'!$A$8:$H$33,MATCH(J1089,'Annual distance covered (GB)'!$A$7:$H$7,0))</f>
        <v>57.4</v>
      </c>
      <c r="N1089" s="2">
        <f t="shared" ca="1" si="46"/>
        <v>64279.200919822819</v>
      </c>
      <c r="O1089" s="180">
        <f t="shared" ca="1" si="47"/>
        <v>2.3553778458027922E-2</v>
      </c>
      <c r="P1089" s="180"/>
      <c r="Q1089" s="180"/>
      <c r="R1089" s="180"/>
      <c r="S1089" s="180"/>
      <c r="T1089" s="180"/>
    </row>
    <row r="1090" spans="1:20" x14ac:dyDescent="0.25">
      <c r="A1090" t="s">
        <v>236</v>
      </c>
      <c r="B1090" t="s">
        <v>237</v>
      </c>
      <c r="C1090" t="s">
        <v>238</v>
      </c>
      <c r="D1090" t="s">
        <v>260</v>
      </c>
      <c r="E1090" t="s">
        <v>229</v>
      </c>
      <c r="F1090">
        <v>2003</v>
      </c>
      <c r="G1090">
        <v>5.8399999999999997E-3</v>
      </c>
      <c r="H1090" t="s">
        <v>240</v>
      </c>
      <c r="I1090" t="s">
        <v>241</v>
      </c>
      <c r="J1090" t="s">
        <v>3</v>
      </c>
      <c r="K1090" s="183">
        <f ca="1">VLOOKUP(F1090,
    OFFSET(INDIRECT(ADDRESS(MATCH(J1090,'Vehicle numbers'!$A$5:$A$162,0),1,1,1,$L$6)),4,1,COUNTIF('Vehicle numbers'!$A$5:$A$162,J1090),4),
    MATCH(K$8,'Vehicle numbers'!$B$4:$D$4,0))*1000</f>
        <v>1134682</v>
      </c>
      <c r="L1090" s="183">
        <f ca="1">VLOOKUP(F1090,
    OFFSET(INDIRECT(ADDRESS(MATCH(J1090,'Vehicle numbers'!$A$5:$A$162,0),1,1,1,$L$6)),4,1,COUNTIF('Vehicle numbers'!$A$5:$A$162,J1090),4),
    MATCH(L$8,'Vehicle numbers'!$B$4:$D$4,0))*1000</f>
        <v>1155533.1201194907</v>
      </c>
      <c r="M1090" s="184">
        <f>VLOOKUP(F1090,'Annual distance covered (GB)'!$A$8:$H$33,MATCH(J1090,'Annual distance covered (GB)'!$A$7:$H$7,0))</f>
        <v>5.6</v>
      </c>
      <c r="N1090" s="2">
        <f t="shared" ca="1" si="46"/>
        <v>33304.974574715925</v>
      </c>
      <c r="O1090" s="180">
        <f t="shared" ca="1" si="47"/>
        <v>2.8822172203313345E-2</v>
      </c>
      <c r="P1090" s="180"/>
      <c r="Q1090" s="180"/>
      <c r="R1090" s="180"/>
      <c r="S1090" s="180"/>
      <c r="T1090" s="180"/>
    </row>
    <row r="1091" spans="1:20" x14ac:dyDescent="0.25">
      <c r="A1091" t="s">
        <v>243</v>
      </c>
      <c r="B1091" t="s">
        <v>237</v>
      </c>
      <c r="C1091" t="s">
        <v>238</v>
      </c>
      <c r="D1091" t="s">
        <v>260</v>
      </c>
      <c r="E1091" t="s">
        <v>229</v>
      </c>
      <c r="F1091">
        <v>2003</v>
      </c>
      <c r="G1091">
        <v>2.336E-3</v>
      </c>
      <c r="H1091" t="s">
        <v>240</v>
      </c>
      <c r="I1091" t="s">
        <v>241</v>
      </c>
      <c r="J1091" t="s">
        <v>3</v>
      </c>
      <c r="K1091" s="183">
        <f ca="1">VLOOKUP(F1091,
    OFFSET(INDIRECT(ADDRESS(MATCH(J1091,'Vehicle numbers'!$A$5:$A$162,0),1,1,1,$L$6)),4,1,COUNTIF('Vehicle numbers'!$A$5:$A$162,J1091),4),
    MATCH(K$8,'Vehicle numbers'!$B$4:$D$4,0))*1000</f>
        <v>1134682</v>
      </c>
      <c r="L1091" s="183">
        <f ca="1">VLOOKUP(F1091,
    OFFSET(INDIRECT(ADDRESS(MATCH(J1091,'Vehicle numbers'!$A$5:$A$162,0),1,1,1,$L$6)),4,1,COUNTIF('Vehicle numbers'!$A$5:$A$162,J1091),4),
    MATCH(L$8,'Vehicle numbers'!$B$4:$D$4,0))*1000</f>
        <v>1155533.1201194907</v>
      </c>
      <c r="M1091" s="184">
        <f>VLOOKUP(F1091,'Annual distance covered (GB)'!$A$8:$H$33,MATCH(J1091,'Annual distance covered (GB)'!$A$7:$H$7,0))</f>
        <v>5.6</v>
      </c>
      <c r="N1091" s="2">
        <f t="shared" ca="1" si="46"/>
        <v>13321.98982988637</v>
      </c>
      <c r="O1091" s="180">
        <f t="shared" ca="1" si="47"/>
        <v>1.1528868881325339E-2</v>
      </c>
      <c r="P1091" s="180"/>
      <c r="Q1091" s="180"/>
      <c r="R1091" s="180"/>
      <c r="S1091" s="180"/>
      <c r="T1091" s="180"/>
    </row>
    <row r="1092" spans="1:20" x14ac:dyDescent="0.25">
      <c r="A1092" t="s">
        <v>244</v>
      </c>
      <c r="B1092" t="s">
        <v>237</v>
      </c>
      <c r="C1092" t="s">
        <v>238</v>
      </c>
      <c r="D1092" t="s">
        <v>260</v>
      </c>
      <c r="E1092" t="s">
        <v>229</v>
      </c>
      <c r="F1092">
        <v>2003</v>
      </c>
      <c r="G1092">
        <v>5.8399999999999999E-4</v>
      </c>
      <c r="H1092" t="s">
        <v>240</v>
      </c>
      <c r="I1092" t="s">
        <v>241</v>
      </c>
      <c r="J1092" t="s">
        <v>3</v>
      </c>
      <c r="K1092" s="183">
        <f ca="1">VLOOKUP(F1092,
    OFFSET(INDIRECT(ADDRESS(MATCH(J1092,'Vehicle numbers'!$A$5:$A$162,0),1,1,1,$L$6)),4,1,COUNTIF('Vehicle numbers'!$A$5:$A$162,J1092),4),
    MATCH(K$8,'Vehicle numbers'!$B$4:$D$4,0))*1000</f>
        <v>1134682</v>
      </c>
      <c r="L1092" s="183">
        <f ca="1">VLOOKUP(F1092,
    OFFSET(INDIRECT(ADDRESS(MATCH(J1092,'Vehicle numbers'!$A$5:$A$162,0),1,1,1,$L$6)),4,1,COUNTIF('Vehicle numbers'!$A$5:$A$162,J1092),4),
    MATCH(L$8,'Vehicle numbers'!$B$4:$D$4,0))*1000</f>
        <v>1155533.1201194907</v>
      </c>
      <c r="M1092" s="184">
        <f>VLOOKUP(F1092,'Annual distance covered (GB)'!$A$8:$H$33,MATCH(J1092,'Annual distance covered (GB)'!$A$7:$H$7,0))</f>
        <v>5.6</v>
      </c>
      <c r="N1092" s="2">
        <f t="shared" ca="1" si="46"/>
        <v>3330.4974574715925</v>
      </c>
      <c r="O1092" s="180">
        <f t="shared" ca="1" si="47"/>
        <v>2.8822172203313346E-3</v>
      </c>
      <c r="P1092" s="180"/>
      <c r="Q1092" s="180"/>
      <c r="R1092" s="180"/>
      <c r="S1092" s="180"/>
      <c r="T1092" s="180"/>
    </row>
    <row r="1093" spans="1:20" x14ac:dyDescent="0.25">
      <c r="A1093" t="s">
        <v>246</v>
      </c>
      <c r="B1093" t="s">
        <v>237</v>
      </c>
      <c r="C1093" t="s">
        <v>238</v>
      </c>
      <c r="D1093" t="s">
        <v>260</v>
      </c>
      <c r="E1093" t="s">
        <v>229</v>
      </c>
      <c r="F1093">
        <v>2003</v>
      </c>
      <c r="G1093">
        <v>4.6720000000000003E-4</v>
      </c>
      <c r="H1093" t="s">
        <v>240</v>
      </c>
      <c r="I1093" t="s">
        <v>241</v>
      </c>
      <c r="J1093" t="s">
        <v>3</v>
      </c>
      <c r="K1093" s="183">
        <f ca="1">VLOOKUP(F1093,
    OFFSET(INDIRECT(ADDRESS(MATCH(J1093,'Vehicle numbers'!$A$5:$A$162,0),1,1,1,$L$6)),4,1,COUNTIF('Vehicle numbers'!$A$5:$A$162,J1093),4),
    MATCH(K$8,'Vehicle numbers'!$B$4:$D$4,0))*1000</f>
        <v>1134682</v>
      </c>
      <c r="L1093" s="183">
        <f ca="1">VLOOKUP(F1093,
    OFFSET(INDIRECT(ADDRESS(MATCH(J1093,'Vehicle numbers'!$A$5:$A$162,0),1,1,1,$L$6)),4,1,COUNTIF('Vehicle numbers'!$A$5:$A$162,J1093),4),
    MATCH(L$8,'Vehicle numbers'!$B$4:$D$4,0))*1000</f>
        <v>1155533.1201194907</v>
      </c>
      <c r="M1093" s="184">
        <f>VLOOKUP(F1093,'Annual distance covered (GB)'!$A$8:$H$33,MATCH(J1093,'Annual distance covered (GB)'!$A$7:$H$7,0))</f>
        <v>5.6</v>
      </c>
      <c r="N1093" s="2">
        <f t="shared" ca="1" si="46"/>
        <v>2664.3979659772745</v>
      </c>
      <c r="O1093" s="180">
        <f t="shared" ca="1" si="47"/>
        <v>2.305773776265068E-3</v>
      </c>
      <c r="P1093" s="180"/>
      <c r="Q1093" s="180"/>
      <c r="R1093" s="180"/>
      <c r="S1093" s="180"/>
      <c r="T1093" s="180"/>
    </row>
    <row r="1094" spans="1:20" x14ac:dyDescent="0.25">
      <c r="A1094" t="s">
        <v>236</v>
      </c>
      <c r="B1094" t="s">
        <v>237</v>
      </c>
      <c r="C1094" t="s">
        <v>238</v>
      </c>
      <c r="D1094" t="s">
        <v>260</v>
      </c>
      <c r="E1094" t="s">
        <v>228</v>
      </c>
      <c r="F1094">
        <v>2003</v>
      </c>
      <c r="G1094">
        <v>3.7569999999999999E-3</v>
      </c>
      <c r="H1094" t="s">
        <v>240</v>
      </c>
      <c r="I1094" t="s">
        <v>241</v>
      </c>
      <c r="J1094" t="s">
        <v>3</v>
      </c>
      <c r="K1094" s="183">
        <f ca="1">VLOOKUP(F1094,
    OFFSET(INDIRECT(ADDRESS(MATCH(J1094,'Vehicle numbers'!$A$5:$A$162,0),1,1,1,$L$6)),4,1,COUNTIF('Vehicle numbers'!$A$5:$A$162,J1094),4),
    MATCH(K$8,'Vehicle numbers'!$B$4:$D$4,0))*1000</f>
        <v>1134682</v>
      </c>
      <c r="L1094" s="183">
        <f ca="1">VLOOKUP(F1094,
    OFFSET(INDIRECT(ADDRESS(MATCH(J1094,'Vehicle numbers'!$A$5:$A$162,0),1,1,1,$L$6)),4,1,COUNTIF('Vehicle numbers'!$A$5:$A$162,J1094),4),
    MATCH(L$8,'Vehicle numbers'!$B$4:$D$4,0))*1000</f>
        <v>1155533.1201194907</v>
      </c>
      <c r="M1094" s="184">
        <f>VLOOKUP(F1094,'Annual distance covered (GB)'!$A$8:$H$33,MATCH(J1094,'Annual distance covered (GB)'!$A$7:$H$7,0))</f>
        <v>5.6</v>
      </c>
      <c r="N1094" s="2">
        <f t="shared" ca="1" si="46"/>
        <v>21425.820115960229</v>
      </c>
      <c r="O1094" s="180">
        <f t="shared" ca="1" si="47"/>
        <v>1.8541935097234289E-2</v>
      </c>
      <c r="P1094" s="180"/>
      <c r="Q1094" s="180"/>
      <c r="R1094" s="180"/>
      <c r="S1094" s="180"/>
      <c r="T1094" s="180"/>
    </row>
    <row r="1095" spans="1:20" x14ac:dyDescent="0.25">
      <c r="A1095" t="s">
        <v>243</v>
      </c>
      <c r="B1095" t="s">
        <v>237</v>
      </c>
      <c r="C1095" t="s">
        <v>238</v>
      </c>
      <c r="D1095" t="s">
        <v>260</v>
      </c>
      <c r="E1095" t="s">
        <v>228</v>
      </c>
      <c r="F1095">
        <v>2003</v>
      </c>
      <c r="G1095">
        <v>2.6299000000000001E-3</v>
      </c>
      <c r="H1095" t="s">
        <v>240</v>
      </c>
      <c r="I1095" t="s">
        <v>241</v>
      </c>
      <c r="J1095" t="s">
        <v>3</v>
      </c>
      <c r="K1095" s="183">
        <f ca="1">VLOOKUP(F1095,
    OFFSET(INDIRECT(ADDRESS(MATCH(J1095,'Vehicle numbers'!$A$5:$A$162,0),1,1,1,$L$6)),4,1,COUNTIF('Vehicle numbers'!$A$5:$A$162,J1095),4),
    MATCH(K$8,'Vehicle numbers'!$B$4:$D$4,0))*1000</f>
        <v>1134682</v>
      </c>
      <c r="L1095" s="183">
        <f ca="1">VLOOKUP(F1095,
    OFFSET(INDIRECT(ADDRESS(MATCH(J1095,'Vehicle numbers'!$A$5:$A$162,0),1,1,1,$L$6)),4,1,COUNTIF('Vehicle numbers'!$A$5:$A$162,J1095),4),
    MATCH(L$8,'Vehicle numbers'!$B$4:$D$4,0))*1000</f>
        <v>1155533.1201194907</v>
      </c>
      <c r="M1095" s="184">
        <f>VLOOKUP(F1095,'Annual distance covered (GB)'!$A$8:$H$33,MATCH(J1095,'Annual distance covered (GB)'!$A$7:$H$7,0))</f>
        <v>5.6</v>
      </c>
      <c r="N1095" s="2">
        <f t="shared" ca="1" si="46"/>
        <v>14998.074081172163</v>
      </c>
      <c r="O1095" s="180">
        <f t="shared" ca="1" si="47"/>
        <v>1.2979354568064004E-2</v>
      </c>
      <c r="P1095" s="180"/>
      <c r="Q1095" s="180"/>
      <c r="R1095" s="180"/>
      <c r="S1095" s="180"/>
      <c r="T1095" s="180"/>
    </row>
    <row r="1096" spans="1:20" x14ac:dyDescent="0.25">
      <c r="A1096" t="s">
        <v>244</v>
      </c>
      <c r="B1096" t="s">
        <v>237</v>
      </c>
      <c r="C1096" t="s">
        <v>238</v>
      </c>
      <c r="D1096" t="s">
        <v>260</v>
      </c>
      <c r="E1096" t="s">
        <v>228</v>
      </c>
      <c r="F1096">
        <v>2003</v>
      </c>
      <c r="G1096">
        <v>3.7040845070422499E-4</v>
      </c>
      <c r="H1096" t="s">
        <v>240</v>
      </c>
      <c r="I1096" t="s">
        <v>241</v>
      </c>
      <c r="J1096" t="s">
        <v>3</v>
      </c>
      <c r="K1096" s="183">
        <f ca="1">VLOOKUP(F1096,
    OFFSET(INDIRECT(ADDRESS(MATCH(J1096,'Vehicle numbers'!$A$5:$A$162,0),1,1,1,$L$6)),4,1,COUNTIF('Vehicle numbers'!$A$5:$A$162,J1096),4),
    MATCH(K$8,'Vehicle numbers'!$B$4:$D$4,0))*1000</f>
        <v>1134682</v>
      </c>
      <c r="L1096" s="183">
        <f ca="1">VLOOKUP(F1096,
    OFFSET(INDIRECT(ADDRESS(MATCH(J1096,'Vehicle numbers'!$A$5:$A$162,0),1,1,1,$L$6)),4,1,COUNTIF('Vehicle numbers'!$A$5:$A$162,J1096),4),
    MATCH(L$8,'Vehicle numbers'!$B$4:$D$4,0))*1000</f>
        <v>1155533.1201194907</v>
      </c>
      <c r="M1096" s="184">
        <f>VLOOKUP(F1096,'Annual distance covered (GB)'!$A$8:$H$33,MATCH(J1096,'Annual distance covered (GB)'!$A$7:$H$7,0))</f>
        <v>5.6</v>
      </c>
      <c r="N1096" s="2">
        <f t="shared" ca="1" si="46"/>
        <v>2112.4048001650908</v>
      </c>
      <c r="O1096" s="180">
        <f t="shared" ca="1" si="47"/>
        <v>1.8280781081780266E-3</v>
      </c>
      <c r="P1096" s="180"/>
      <c r="Q1096" s="180"/>
      <c r="R1096" s="180"/>
      <c r="S1096" s="180"/>
      <c r="T1096" s="180"/>
    </row>
    <row r="1097" spans="1:20" x14ac:dyDescent="0.25">
      <c r="A1097" t="s">
        <v>246</v>
      </c>
      <c r="B1097" t="s">
        <v>237</v>
      </c>
      <c r="C1097" t="s">
        <v>238</v>
      </c>
      <c r="D1097" t="s">
        <v>260</v>
      </c>
      <c r="E1097" t="s">
        <v>228</v>
      </c>
      <c r="F1097">
        <v>2003</v>
      </c>
      <c r="G1097">
        <v>2.9632676056337998E-4</v>
      </c>
      <c r="H1097" t="s">
        <v>240</v>
      </c>
      <c r="I1097" t="s">
        <v>241</v>
      </c>
      <c r="J1097" t="s">
        <v>3</v>
      </c>
      <c r="K1097" s="183">
        <f ca="1">VLOOKUP(F1097,
    OFFSET(INDIRECT(ADDRESS(MATCH(J1097,'Vehicle numbers'!$A$5:$A$162,0),1,1,1,$L$6)),4,1,COUNTIF('Vehicle numbers'!$A$5:$A$162,J1097),4),
    MATCH(K$8,'Vehicle numbers'!$B$4:$D$4,0))*1000</f>
        <v>1134682</v>
      </c>
      <c r="L1097" s="183">
        <f ca="1">VLOOKUP(F1097,
    OFFSET(INDIRECT(ADDRESS(MATCH(J1097,'Vehicle numbers'!$A$5:$A$162,0),1,1,1,$L$6)),4,1,COUNTIF('Vehicle numbers'!$A$5:$A$162,J1097),4),
    MATCH(L$8,'Vehicle numbers'!$B$4:$D$4,0))*1000</f>
        <v>1155533.1201194907</v>
      </c>
      <c r="M1097" s="184">
        <f>VLOOKUP(F1097,'Annual distance covered (GB)'!$A$8:$H$33,MATCH(J1097,'Annual distance covered (GB)'!$A$7:$H$7,0))</f>
        <v>5.6</v>
      </c>
      <c r="N1097" s="2">
        <f t="shared" ca="1" si="46"/>
        <v>1689.9238401320727</v>
      </c>
      <c r="O1097" s="180">
        <f t="shared" ca="1" si="47"/>
        <v>1.4624624865424212E-3</v>
      </c>
      <c r="P1097" s="180"/>
      <c r="Q1097" s="180"/>
      <c r="R1097" s="180"/>
      <c r="S1097" s="180"/>
      <c r="T1097" s="180"/>
    </row>
    <row r="1098" spans="1:20" x14ac:dyDescent="0.25">
      <c r="A1098" t="s">
        <v>236</v>
      </c>
      <c r="B1098" t="s">
        <v>237</v>
      </c>
      <c r="C1098" t="s">
        <v>238</v>
      </c>
      <c r="D1098" t="s">
        <v>261</v>
      </c>
      <c r="E1098" t="s">
        <v>229</v>
      </c>
      <c r="F1098">
        <v>2003</v>
      </c>
      <c r="G1098">
        <v>5.8399999999999997E-3</v>
      </c>
      <c r="H1098" t="s">
        <v>240</v>
      </c>
      <c r="I1098" t="s">
        <v>241</v>
      </c>
      <c r="J1098" t="s">
        <v>3</v>
      </c>
      <c r="K1098" s="183">
        <f ca="1">VLOOKUP(F1098,
    OFFSET(INDIRECT(ADDRESS(MATCH(J1098,'Vehicle numbers'!$A$5:$A$162,0),1,1,1,$L$6)),4,1,COUNTIF('Vehicle numbers'!$A$5:$A$162,J1098),4),
    MATCH(K$8,'Vehicle numbers'!$B$4:$D$4,0))*1000</f>
        <v>1134682</v>
      </c>
      <c r="L1098" s="183">
        <f ca="1">VLOOKUP(F1098,
    OFFSET(INDIRECT(ADDRESS(MATCH(J1098,'Vehicle numbers'!$A$5:$A$162,0),1,1,1,$L$6)),4,1,COUNTIF('Vehicle numbers'!$A$5:$A$162,J1098),4),
    MATCH(L$8,'Vehicle numbers'!$B$4:$D$4,0))*1000</f>
        <v>1155533.1201194907</v>
      </c>
      <c r="M1098" s="184">
        <f>VLOOKUP(F1098,'Annual distance covered (GB)'!$A$8:$H$33,MATCH(J1098,'Annual distance covered (GB)'!$A$7:$H$7,0))</f>
        <v>5.6</v>
      </c>
      <c r="N1098" s="2">
        <f t="shared" ca="1" si="46"/>
        <v>33304.974574715925</v>
      </c>
      <c r="O1098" s="180">
        <f t="shared" ca="1" si="47"/>
        <v>2.8822172203313345E-2</v>
      </c>
      <c r="P1098" s="180"/>
      <c r="Q1098" s="180"/>
      <c r="R1098" s="180"/>
      <c r="S1098" s="180"/>
      <c r="T1098" s="180"/>
    </row>
    <row r="1099" spans="1:20" x14ac:dyDescent="0.25">
      <c r="A1099" t="s">
        <v>243</v>
      </c>
      <c r="B1099" t="s">
        <v>237</v>
      </c>
      <c r="C1099" t="s">
        <v>238</v>
      </c>
      <c r="D1099" t="s">
        <v>261</v>
      </c>
      <c r="E1099" t="s">
        <v>229</v>
      </c>
      <c r="F1099">
        <v>2003</v>
      </c>
      <c r="G1099">
        <v>2.336E-3</v>
      </c>
      <c r="H1099" t="s">
        <v>240</v>
      </c>
      <c r="I1099" t="s">
        <v>241</v>
      </c>
      <c r="J1099" t="s">
        <v>3</v>
      </c>
      <c r="K1099" s="183">
        <f ca="1">VLOOKUP(F1099,
    OFFSET(INDIRECT(ADDRESS(MATCH(J1099,'Vehicle numbers'!$A$5:$A$162,0),1,1,1,$L$6)),4,1,COUNTIF('Vehicle numbers'!$A$5:$A$162,J1099),4),
    MATCH(K$8,'Vehicle numbers'!$B$4:$D$4,0))*1000</f>
        <v>1134682</v>
      </c>
      <c r="L1099" s="183">
        <f ca="1">VLOOKUP(F1099,
    OFFSET(INDIRECT(ADDRESS(MATCH(J1099,'Vehicle numbers'!$A$5:$A$162,0),1,1,1,$L$6)),4,1,COUNTIF('Vehicle numbers'!$A$5:$A$162,J1099),4),
    MATCH(L$8,'Vehicle numbers'!$B$4:$D$4,0))*1000</f>
        <v>1155533.1201194907</v>
      </c>
      <c r="M1099" s="184">
        <f>VLOOKUP(F1099,'Annual distance covered (GB)'!$A$8:$H$33,MATCH(J1099,'Annual distance covered (GB)'!$A$7:$H$7,0))</f>
        <v>5.6</v>
      </c>
      <c r="N1099" s="2">
        <f t="shared" ref="N1099:N1162" ca="1" si="48">M1099*G1099*1000000*(L1099/K1099)</f>
        <v>13321.98982988637</v>
      </c>
      <c r="O1099" s="180">
        <f t="shared" ref="O1099:O1162" ca="1" si="49">N1099/L1099</f>
        <v>1.1528868881325339E-2</v>
      </c>
      <c r="P1099" s="180"/>
      <c r="Q1099" s="180"/>
      <c r="R1099" s="180"/>
      <c r="S1099" s="180"/>
      <c r="T1099" s="180"/>
    </row>
    <row r="1100" spans="1:20" x14ac:dyDescent="0.25">
      <c r="A1100" t="s">
        <v>244</v>
      </c>
      <c r="B1100" t="s">
        <v>237</v>
      </c>
      <c r="C1100" t="s">
        <v>238</v>
      </c>
      <c r="D1100" t="s">
        <v>261</v>
      </c>
      <c r="E1100" t="s">
        <v>229</v>
      </c>
      <c r="F1100">
        <v>2003</v>
      </c>
      <c r="G1100">
        <v>5.8399999999999999E-4</v>
      </c>
      <c r="H1100" t="s">
        <v>240</v>
      </c>
      <c r="I1100" t="s">
        <v>241</v>
      </c>
      <c r="J1100" t="s">
        <v>3</v>
      </c>
      <c r="K1100" s="183">
        <f ca="1">VLOOKUP(F1100,
    OFFSET(INDIRECT(ADDRESS(MATCH(J1100,'Vehicle numbers'!$A$5:$A$162,0),1,1,1,$L$6)),4,1,COUNTIF('Vehicle numbers'!$A$5:$A$162,J1100),4),
    MATCH(K$8,'Vehicle numbers'!$B$4:$D$4,0))*1000</f>
        <v>1134682</v>
      </c>
      <c r="L1100" s="183">
        <f ca="1">VLOOKUP(F1100,
    OFFSET(INDIRECT(ADDRESS(MATCH(J1100,'Vehicle numbers'!$A$5:$A$162,0),1,1,1,$L$6)),4,1,COUNTIF('Vehicle numbers'!$A$5:$A$162,J1100),4),
    MATCH(L$8,'Vehicle numbers'!$B$4:$D$4,0))*1000</f>
        <v>1155533.1201194907</v>
      </c>
      <c r="M1100" s="184">
        <f>VLOOKUP(F1100,'Annual distance covered (GB)'!$A$8:$H$33,MATCH(J1100,'Annual distance covered (GB)'!$A$7:$H$7,0))</f>
        <v>5.6</v>
      </c>
      <c r="N1100" s="2">
        <f t="shared" ca="1" si="48"/>
        <v>3330.4974574715925</v>
      </c>
      <c r="O1100" s="180">
        <f t="shared" ca="1" si="49"/>
        <v>2.8822172203313346E-3</v>
      </c>
      <c r="P1100" s="180"/>
      <c r="Q1100" s="180"/>
      <c r="R1100" s="180"/>
      <c r="S1100" s="180"/>
      <c r="T1100" s="180"/>
    </row>
    <row r="1101" spans="1:20" x14ac:dyDescent="0.25">
      <c r="A1101" t="s">
        <v>246</v>
      </c>
      <c r="B1101" t="s">
        <v>237</v>
      </c>
      <c r="C1101" t="s">
        <v>238</v>
      </c>
      <c r="D1101" t="s">
        <v>261</v>
      </c>
      <c r="E1101" t="s">
        <v>229</v>
      </c>
      <c r="F1101">
        <v>2003</v>
      </c>
      <c r="G1101">
        <v>4.6720000000000003E-4</v>
      </c>
      <c r="H1101" t="s">
        <v>240</v>
      </c>
      <c r="I1101" t="s">
        <v>241</v>
      </c>
      <c r="J1101" t="s">
        <v>3</v>
      </c>
      <c r="K1101" s="183">
        <f ca="1">VLOOKUP(F1101,
    OFFSET(INDIRECT(ADDRESS(MATCH(J1101,'Vehicle numbers'!$A$5:$A$162,0),1,1,1,$L$6)),4,1,COUNTIF('Vehicle numbers'!$A$5:$A$162,J1101),4),
    MATCH(K$8,'Vehicle numbers'!$B$4:$D$4,0))*1000</f>
        <v>1134682</v>
      </c>
      <c r="L1101" s="183">
        <f ca="1">VLOOKUP(F1101,
    OFFSET(INDIRECT(ADDRESS(MATCH(J1101,'Vehicle numbers'!$A$5:$A$162,0),1,1,1,$L$6)),4,1,COUNTIF('Vehicle numbers'!$A$5:$A$162,J1101),4),
    MATCH(L$8,'Vehicle numbers'!$B$4:$D$4,0))*1000</f>
        <v>1155533.1201194907</v>
      </c>
      <c r="M1101" s="184">
        <f>VLOOKUP(F1101,'Annual distance covered (GB)'!$A$8:$H$33,MATCH(J1101,'Annual distance covered (GB)'!$A$7:$H$7,0))</f>
        <v>5.6</v>
      </c>
      <c r="N1101" s="2">
        <f t="shared" ca="1" si="48"/>
        <v>2664.3979659772745</v>
      </c>
      <c r="O1101" s="180">
        <f t="shared" ca="1" si="49"/>
        <v>2.305773776265068E-3</v>
      </c>
      <c r="P1101" s="180"/>
      <c r="Q1101" s="180"/>
      <c r="R1101" s="180"/>
      <c r="S1101" s="180"/>
      <c r="T1101" s="180"/>
    </row>
    <row r="1102" spans="1:20" x14ac:dyDescent="0.25">
      <c r="A1102" t="s">
        <v>236</v>
      </c>
      <c r="B1102" t="s">
        <v>237</v>
      </c>
      <c r="C1102" t="s">
        <v>238</v>
      </c>
      <c r="D1102" t="s">
        <v>261</v>
      </c>
      <c r="E1102" t="s">
        <v>228</v>
      </c>
      <c r="F1102">
        <v>2003</v>
      </c>
      <c r="G1102">
        <v>3.7569999999999999E-3</v>
      </c>
      <c r="H1102" t="s">
        <v>240</v>
      </c>
      <c r="I1102" t="s">
        <v>241</v>
      </c>
      <c r="J1102" t="s">
        <v>3</v>
      </c>
      <c r="K1102" s="183">
        <f ca="1">VLOOKUP(F1102,
    OFFSET(INDIRECT(ADDRESS(MATCH(J1102,'Vehicle numbers'!$A$5:$A$162,0),1,1,1,$L$6)),4,1,COUNTIF('Vehicle numbers'!$A$5:$A$162,J1102),4),
    MATCH(K$8,'Vehicle numbers'!$B$4:$D$4,0))*1000</f>
        <v>1134682</v>
      </c>
      <c r="L1102" s="183">
        <f ca="1">VLOOKUP(F1102,
    OFFSET(INDIRECT(ADDRESS(MATCH(J1102,'Vehicle numbers'!$A$5:$A$162,0),1,1,1,$L$6)),4,1,COUNTIF('Vehicle numbers'!$A$5:$A$162,J1102),4),
    MATCH(L$8,'Vehicle numbers'!$B$4:$D$4,0))*1000</f>
        <v>1155533.1201194907</v>
      </c>
      <c r="M1102" s="184">
        <f>VLOOKUP(F1102,'Annual distance covered (GB)'!$A$8:$H$33,MATCH(J1102,'Annual distance covered (GB)'!$A$7:$H$7,0))</f>
        <v>5.6</v>
      </c>
      <c r="N1102" s="2">
        <f t="shared" ca="1" si="48"/>
        <v>21425.820115960229</v>
      </c>
      <c r="O1102" s="180">
        <f t="shared" ca="1" si="49"/>
        <v>1.8541935097234289E-2</v>
      </c>
      <c r="P1102" s="180"/>
      <c r="Q1102" s="180"/>
      <c r="R1102" s="180"/>
      <c r="S1102" s="180"/>
      <c r="T1102" s="180"/>
    </row>
    <row r="1103" spans="1:20" x14ac:dyDescent="0.25">
      <c r="A1103" t="s">
        <v>243</v>
      </c>
      <c r="B1103" t="s">
        <v>237</v>
      </c>
      <c r="C1103" t="s">
        <v>238</v>
      </c>
      <c r="D1103" t="s">
        <v>261</v>
      </c>
      <c r="E1103" t="s">
        <v>228</v>
      </c>
      <c r="F1103">
        <v>2003</v>
      </c>
      <c r="G1103">
        <v>2.6299000000000001E-3</v>
      </c>
      <c r="H1103" t="s">
        <v>240</v>
      </c>
      <c r="I1103" t="s">
        <v>241</v>
      </c>
      <c r="J1103" t="s">
        <v>3</v>
      </c>
      <c r="K1103" s="183">
        <f ca="1">VLOOKUP(F1103,
    OFFSET(INDIRECT(ADDRESS(MATCH(J1103,'Vehicle numbers'!$A$5:$A$162,0),1,1,1,$L$6)),4,1,COUNTIF('Vehicle numbers'!$A$5:$A$162,J1103),4),
    MATCH(K$8,'Vehicle numbers'!$B$4:$D$4,0))*1000</f>
        <v>1134682</v>
      </c>
      <c r="L1103" s="183">
        <f ca="1">VLOOKUP(F1103,
    OFFSET(INDIRECT(ADDRESS(MATCH(J1103,'Vehicle numbers'!$A$5:$A$162,0),1,1,1,$L$6)),4,1,COUNTIF('Vehicle numbers'!$A$5:$A$162,J1103),4),
    MATCH(L$8,'Vehicle numbers'!$B$4:$D$4,0))*1000</f>
        <v>1155533.1201194907</v>
      </c>
      <c r="M1103" s="184">
        <f>VLOOKUP(F1103,'Annual distance covered (GB)'!$A$8:$H$33,MATCH(J1103,'Annual distance covered (GB)'!$A$7:$H$7,0))</f>
        <v>5.6</v>
      </c>
      <c r="N1103" s="2">
        <f t="shared" ca="1" si="48"/>
        <v>14998.074081172163</v>
      </c>
      <c r="O1103" s="180">
        <f t="shared" ca="1" si="49"/>
        <v>1.2979354568064004E-2</v>
      </c>
      <c r="P1103" s="180"/>
      <c r="Q1103" s="180"/>
      <c r="R1103" s="180"/>
      <c r="S1103" s="180"/>
      <c r="T1103" s="180"/>
    </row>
    <row r="1104" spans="1:20" x14ac:dyDescent="0.25">
      <c r="A1104" t="s">
        <v>244</v>
      </c>
      <c r="B1104" t="s">
        <v>237</v>
      </c>
      <c r="C1104" t="s">
        <v>238</v>
      </c>
      <c r="D1104" t="s">
        <v>261</v>
      </c>
      <c r="E1104" t="s">
        <v>228</v>
      </c>
      <c r="F1104">
        <v>2003</v>
      </c>
      <c r="G1104">
        <v>3.7040845070422499E-4</v>
      </c>
      <c r="H1104" t="s">
        <v>240</v>
      </c>
      <c r="I1104" t="s">
        <v>241</v>
      </c>
      <c r="J1104" t="s">
        <v>3</v>
      </c>
      <c r="K1104" s="183">
        <f ca="1">VLOOKUP(F1104,
    OFFSET(INDIRECT(ADDRESS(MATCH(J1104,'Vehicle numbers'!$A$5:$A$162,0),1,1,1,$L$6)),4,1,COUNTIF('Vehicle numbers'!$A$5:$A$162,J1104),4),
    MATCH(K$8,'Vehicle numbers'!$B$4:$D$4,0))*1000</f>
        <v>1134682</v>
      </c>
      <c r="L1104" s="183">
        <f ca="1">VLOOKUP(F1104,
    OFFSET(INDIRECT(ADDRESS(MATCH(J1104,'Vehicle numbers'!$A$5:$A$162,0),1,1,1,$L$6)),4,1,COUNTIF('Vehicle numbers'!$A$5:$A$162,J1104),4),
    MATCH(L$8,'Vehicle numbers'!$B$4:$D$4,0))*1000</f>
        <v>1155533.1201194907</v>
      </c>
      <c r="M1104" s="184">
        <f>VLOOKUP(F1104,'Annual distance covered (GB)'!$A$8:$H$33,MATCH(J1104,'Annual distance covered (GB)'!$A$7:$H$7,0))</f>
        <v>5.6</v>
      </c>
      <c r="N1104" s="2">
        <f t="shared" ca="1" si="48"/>
        <v>2112.4048001650908</v>
      </c>
      <c r="O1104" s="180">
        <f t="shared" ca="1" si="49"/>
        <v>1.8280781081780266E-3</v>
      </c>
      <c r="P1104" s="180"/>
      <c r="Q1104" s="180"/>
      <c r="R1104" s="180"/>
      <c r="S1104" s="180"/>
      <c r="T1104" s="180"/>
    </row>
    <row r="1105" spans="1:20" x14ac:dyDescent="0.25">
      <c r="A1105" t="s">
        <v>246</v>
      </c>
      <c r="B1105" t="s">
        <v>237</v>
      </c>
      <c r="C1105" t="s">
        <v>238</v>
      </c>
      <c r="D1105" t="s">
        <v>261</v>
      </c>
      <c r="E1105" t="s">
        <v>228</v>
      </c>
      <c r="F1105">
        <v>2003</v>
      </c>
      <c r="G1105">
        <v>2.9632676056337998E-4</v>
      </c>
      <c r="H1105" t="s">
        <v>240</v>
      </c>
      <c r="I1105" t="s">
        <v>241</v>
      </c>
      <c r="J1105" t="s">
        <v>3</v>
      </c>
      <c r="K1105" s="183">
        <f ca="1">VLOOKUP(F1105,
    OFFSET(INDIRECT(ADDRESS(MATCH(J1105,'Vehicle numbers'!$A$5:$A$162,0),1,1,1,$L$6)),4,1,COUNTIF('Vehicle numbers'!$A$5:$A$162,J1105),4),
    MATCH(K$8,'Vehicle numbers'!$B$4:$D$4,0))*1000</f>
        <v>1134682</v>
      </c>
      <c r="L1105" s="183">
        <f ca="1">VLOOKUP(F1105,
    OFFSET(INDIRECT(ADDRESS(MATCH(J1105,'Vehicle numbers'!$A$5:$A$162,0),1,1,1,$L$6)),4,1,COUNTIF('Vehicle numbers'!$A$5:$A$162,J1105),4),
    MATCH(L$8,'Vehicle numbers'!$B$4:$D$4,0))*1000</f>
        <v>1155533.1201194907</v>
      </c>
      <c r="M1105" s="184">
        <f>VLOOKUP(F1105,'Annual distance covered (GB)'!$A$8:$H$33,MATCH(J1105,'Annual distance covered (GB)'!$A$7:$H$7,0))</f>
        <v>5.6</v>
      </c>
      <c r="N1105" s="2">
        <f t="shared" ca="1" si="48"/>
        <v>1689.9238401320727</v>
      </c>
      <c r="O1105" s="180">
        <f t="shared" ca="1" si="49"/>
        <v>1.4624624865424212E-3</v>
      </c>
      <c r="P1105" s="180"/>
      <c r="Q1105" s="180"/>
      <c r="R1105" s="180"/>
      <c r="S1105" s="180"/>
      <c r="T1105" s="180"/>
    </row>
    <row r="1106" spans="1:20" x14ac:dyDescent="0.25">
      <c r="A1106" t="s">
        <v>236</v>
      </c>
      <c r="B1106" t="s">
        <v>237</v>
      </c>
      <c r="C1106" t="s">
        <v>238</v>
      </c>
      <c r="D1106" t="s">
        <v>262</v>
      </c>
      <c r="E1106" t="s">
        <v>229</v>
      </c>
      <c r="F1106">
        <v>2003</v>
      </c>
      <c r="G1106">
        <v>6.8000000000000005E-4</v>
      </c>
      <c r="H1106" t="s">
        <v>240</v>
      </c>
      <c r="I1106" t="s">
        <v>241</v>
      </c>
      <c r="J1106" t="s">
        <v>3</v>
      </c>
      <c r="K1106" s="183">
        <f ca="1">VLOOKUP(F1106,
    OFFSET(INDIRECT(ADDRESS(MATCH(J1106,'Vehicle numbers'!$A$5:$A$162,0),1,1,1,$L$6)),4,1,COUNTIF('Vehicle numbers'!$A$5:$A$162,J1106),4),
    MATCH(K$8,'Vehicle numbers'!$B$4:$D$4,0))*1000</f>
        <v>1134682</v>
      </c>
      <c r="L1106" s="183">
        <f ca="1">VLOOKUP(F1106,
    OFFSET(INDIRECT(ADDRESS(MATCH(J1106,'Vehicle numbers'!$A$5:$A$162,0),1,1,1,$L$6)),4,1,COUNTIF('Vehicle numbers'!$A$5:$A$162,J1106),4),
    MATCH(L$8,'Vehicle numbers'!$B$4:$D$4,0))*1000</f>
        <v>1155533.1201194907</v>
      </c>
      <c r="M1106" s="184">
        <f>VLOOKUP(F1106,'Annual distance covered (GB)'!$A$8:$H$33,MATCH(J1106,'Annual distance covered (GB)'!$A$7:$H$7,0))</f>
        <v>5.6</v>
      </c>
      <c r="N1106" s="2">
        <f t="shared" ca="1" si="48"/>
        <v>3877.9764915765122</v>
      </c>
      <c r="O1106" s="180">
        <f t="shared" ca="1" si="49"/>
        <v>3.3560063524405953E-3</v>
      </c>
      <c r="P1106" s="180"/>
      <c r="Q1106" s="180"/>
      <c r="R1106" s="180"/>
      <c r="S1106" s="180"/>
      <c r="T1106" s="180"/>
    </row>
    <row r="1107" spans="1:20" x14ac:dyDescent="0.25">
      <c r="A1107" t="s">
        <v>243</v>
      </c>
      <c r="B1107" t="s">
        <v>237</v>
      </c>
      <c r="C1107" t="s">
        <v>238</v>
      </c>
      <c r="D1107" t="s">
        <v>262</v>
      </c>
      <c r="E1107" t="s">
        <v>229</v>
      </c>
      <c r="F1107">
        <v>2003</v>
      </c>
      <c r="G1107">
        <v>2.72E-4</v>
      </c>
      <c r="H1107" t="s">
        <v>240</v>
      </c>
      <c r="I1107" t="s">
        <v>241</v>
      </c>
      <c r="J1107" t="s">
        <v>3</v>
      </c>
      <c r="K1107" s="183">
        <f ca="1">VLOOKUP(F1107,
    OFFSET(INDIRECT(ADDRESS(MATCH(J1107,'Vehicle numbers'!$A$5:$A$162,0),1,1,1,$L$6)),4,1,COUNTIF('Vehicle numbers'!$A$5:$A$162,J1107),4),
    MATCH(K$8,'Vehicle numbers'!$B$4:$D$4,0))*1000</f>
        <v>1134682</v>
      </c>
      <c r="L1107" s="183">
        <f ca="1">VLOOKUP(F1107,
    OFFSET(INDIRECT(ADDRESS(MATCH(J1107,'Vehicle numbers'!$A$5:$A$162,0),1,1,1,$L$6)),4,1,COUNTIF('Vehicle numbers'!$A$5:$A$162,J1107),4),
    MATCH(L$8,'Vehicle numbers'!$B$4:$D$4,0))*1000</f>
        <v>1155533.1201194907</v>
      </c>
      <c r="M1107" s="184">
        <f>VLOOKUP(F1107,'Annual distance covered (GB)'!$A$8:$H$33,MATCH(J1107,'Annual distance covered (GB)'!$A$7:$H$7,0))</f>
        <v>5.6</v>
      </c>
      <c r="N1107" s="2">
        <f t="shared" ca="1" si="48"/>
        <v>1551.1905966306049</v>
      </c>
      <c r="O1107" s="180">
        <f t="shared" ca="1" si="49"/>
        <v>1.3424025409762381E-3</v>
      </c>
      <c r="P1107" s="180"/>
      <c r="Q1107" s="180"/>
      <c r="R1107" s="180"/>
      <c r="S1107" s="180"/>
      <c r="T1107" s="180"/>
    </row>
    <row r="1108" spans="1:20" x14ac:dyDescent="0.25">
      <c r="A1108" t="s">
        <v>244</v>
      </c>
      <c r="B1108" t="s">
        <v>237</v>
      </c>
      <c r="C1108" t="s">
        <v>238</v>
      </c>
      <c r="D1108" t="s">
        <v>262</v>
      </c>
      <c r="E1108" t="s">
        <v>229</v>
      </c>
      <c r="F1108">
        <v>2003</v>
      </c>
      <c r="G1108" s="189">
        <v>6.7999999999999999E-5</v>
      </c>
      <c r="H1108" t="s">
        <v>240</v>
      </c>
      <c r="I1108" t="s">
        <v>241</v>
      </c>
      <c r="J1108" t="s">
        <v>3</v>
      </c>
      <c r="K1108" s="183">
        <f ca="1">VLOOKUP(F1108,
    OFFSET(INDIRECT(ADDRESS(MATCH(J1108,'Vehicle numbers'!$A$5:$A$162,0),1,1,1,$L$6)),4,1,COUNTIF('Vehicle numbers'!$A$5:$A$162,J1108),4),
    MATCH(K$8,'Vehicle numbers'!$B$4:$D$4,0))*1000</f>
        <v>1134682</v>
      </c>
      <c r="L1108" s="183">
        <f ca="1">VLOOKUP(F1108,
    OFFSET(INDIRECT(ADDRESS(MATCH(J1108,'Vehicle numbers'!$A$5:$A$162,0),1,1,1,$L$6)),4,1,COUNTIF('Vehicle numbers'!$A$5:$A$162,J1108),4),
    MATCH(L$8,'Vehicle numbers'!$B$4:$D$4,0))*1000</f>
        <v>1155533.1201194907</v>
      </c>
      <c r="M1108" s="184">
        <f>VLOOKUP(F1108,'Annual distance covered (GB)'!$A$8:$H$33,MATCH(J1108,'Annual distance covered (GB)'!$A$7:$H$7,0))</f>
        <v>5.6</v>
      </c>
      <c r="N1108" s="2">
        <f t="shared" ca="1" si="48"/>
        <v>387.79764915765122</v>
      </c>
      <c r="O1108" s="180">
        <f t="shared" ca="1" si="49"/>
        <v>3.3560063524405953E-4</v>
      </c>
      <c r="P1108" s="180"/>
      <c r="Q1108" s="180"/>
      <c r="R1108" s="180"/>
      <c r="S1108" s="180"/>
      <c r="T1108" s="180"/>
    </row>
    <row r="1109" spans="1:20" x14ac:dyDescent="0.25">
      <c r="A1109" t="s">
        <v>246</v>
      </c>
      <c r="B1109" t="s">
        <v>237</v>
      </c>
      <c r="C1109" t="s">
        <v>238</v>
      </c>
      <c r="D1109" t="s">
        <v>262</v>
      </c>
      <c r="E1109" t="s">
        <v>229</v>
      </c>
      <c r="F1109">
        <v>2003</v>
      </c>
      <c r="G1109" s="189">
        <v>5.4400000000000001E-5</v>
      </c>
      <c r="H1109" t="s">
        <v>240</v>
      </c>
      <c r="I1109" t="s">
        <v>241</v>
      </c>
      <c r="J1109" t="s">
        <v>3</v>
      </c>
      <c r="K1109" s="183">
        <f ca="1">VLOOKUP(F1109,
    OFFSET(INDIRECT(ADDRESS(MATCH(J1109,'Vehicle numbers'!$A$5:$A$162,0),1,1,1,$L$6)),4,1,COUNTIF('Vehicle numbers'!$A$5:$A$162,J1109),4),
    MATCH(K$8,'Vehicle numbers'!$B$4:$D$4,0))*1000</f>
        <v>1134682</v>
      </c>
      <c r="L1109" s="183">
        <f ca="1">VLOOKUP(F1109,
    OFFSET(INDIRECT(ADDRESS(MATCH(J1109,'Vehicle numbers'!$A$5:$A$162,0),1,1,1,$L$6)),4,1,COUNTIF('Vehicle numbers'!$A$5:$A$162,J1109),4),
    MATCH(L$8,'Vehicle numbers'!$B$4:$D$4,0))*1000</f>
        <v>1155533.1201194907</v>
      </c>
      <c r="M1109" s="184">
        <f>VLOOKUP(F1109,'Annual distance covered (GB)'!$A$8:$H$33,MATCH(J1109,'Annual distance covered (GB)'!$A$7:$H$7,0))</f>
        <v>5.6</v>
      </c>
      <c r="N1109" s="2">
        <f t="shared" ca="1" si="48"/>
        <v>310.23811932612097</v>
      </c>
      <c r="O1109" s="180">
        <f t="shared" ca="1" si="49"/>
        <v>2.6848050819524763E-4</v>
      </c>
      <c r="P1109" s="180"/>
      <c r="Q1109" s="180"/>
      <c r="R1109" s="180"/>
      <c r="S1109" s="180"/>
      <c r="T1109" s="180"/>
    </row>
    <row r="1110" spans="1:20" x14ac:dyDescent="0.25">
      <c r="A1110" t="s">
        <v>236</v>
      </c>
      <c r="B1110" t="s">
        <v>237</v>
      </c>
      <c r="C1110" t="s">
        <v>238</v>
      </c>
      <c r="D1110" t="s">
        <v>262</v>
      </c>
      <c r="E1110" t="s">
        <v>228</v>
      </c>
      <c r="F1110">
        <v>2003</v>
      </c>
      <c r="G1110">
        <v>2.49E-3</v>
      </c>
      <c r="H1110" t="s">
        <v>240</v>
      </c>
      <c r="I1110" t="s">
        <v>241</v>
      </c>
      <c r="J1110" t="s">
        <v>3</v>
      </c>
      <c r="K1110" s="183">
        <f ca="1">VLOOKUP(F1110,
    OFFSET(INDIRECT(ADDRESS(MATCH(J1110,'Vehicle numbers'!$A$5:$A$162,0),1,1,1,$L$6)),4,1,COUNTIF('Vehicle numbers'!$A$5:$A$162,J1110),4),
    MATCH(K$8,'Vehicle numbers'!$B$4:$D$4,0))*1000</f>
        <v>1134682</v>
      </c>
      <c r="L1110" s="183">
        <f ca="1">VLOOKUP(F1110,
    OFFSET(INDIRECT(ADDRESS(MATCH(J1110,'Vehicle numbers'!$A$5:$A$162,0),1,1,1,$L$6)),4,1,COUNTIF('Vehicle numbers'!$A$5:$A$162,J1110),4),
    MATCH(L$8,'Vehicle numbers'!$B$4:$D$4,0))*1000</f>
        <v>1155533.1201194907</v>
      </c>
      <c r="M1110" s="184">
        <f>VLOOKUP(F1110,'Annual distance covered (GB)'!$A$8:$H$33,MATCH(J1110,'Annual distance covered (GB)'!$A$7:$H$7,0))</f>
        <v>5.6</v>
      </c>
      <c r="N1110" s="2">
        <f t="shared" ca="1" si="48"/>
        <v>14200.237447096346</v>
      </c>
      <c r="O1110" s="180">
        <f t="shared" ca="1" si="49"/>
        <v>1.2288905614083944E-2</v>
      </c>
      <c r="P1110" s="180"/>
      <c r="Q1110" s="180"/>
      <c r="R1110" s="180"/>
      <c r="S1110" s="180"/>
      <c r="T1110" s="180"/>
    </row>
    <row r="1111" spans="1:20" x14ac:dyDescent="0.25">
      <c r="A1111" t="s">
        <v>243</v>
      </c>
      <c r="B1111" t="s">
        <v>237</v>
      </c>
      <c r="C1111" t="s">
        <v>238</v>
      </c>
      <c r="D1111" t="s">
        <v>262</v>
      </c>
      <c r="E1111" t="s">
        <v>228</v>
      </c>
      <c r="F1111">
        <v>2003</v>
      </c>
      <c r="G1111">
        <v>1.743E-3</v>
      </c>
      <c r="H1111" t="s">
        <v>240</v>
      </c>
      <c r="I1111" t="s">
        <v>241</v>
      </c>
      <c r="J1111" t="s">
        <v>3</v>
      </c>
      <c r="K1111" s="183">
        <f ca="1">VLOOKUP(F1111,
    OFFSET(INDIRECT(ADDRESS(MATCH(J1111,'Vehicle numbers'!$A$5:$A$162,0),1,1,1,$L$6)),4,1,COUNTIF('Vehicle numbers'!$A$5:$A$162,J1111),4),
    MATCH(K$8,'Vehicle numbers'!$B$4:$D$4,0))*1000</f>
        <v>1134682</v>
      </c>
      <c r="L1111" s="183">
        <f ca="1">VLOOKUP(F1111,
    OFFSET(INDIRECT(ADDRESS(MATCH(J1111,'Vehicle numbers'!$A$5:$A$162,0),1,1,1,$L$6)),4,1,COUNTIF('Vehicle numbers'!$A$5:$A$162,J1111),4),
    MATCH(L$8,'Vehicle numbers'!$B$4:$D$4,0))*1000</f>
        <v>1155533.1201194907</v>
      </c>
      <c r="M1111" s="184">
        <f>VLOOKUP(F1111,'Annual distance covered (GB)'!$A$8:$H$33,MATCH(J1111,'Annual distance covered (GB)'!$A$7:$H$7,0))</f>
        <v>5.6</v>
      </c>
      <c r="N1111" s="2">
        <f t="shared" ca="1" si="48"/>
        <v>9940.1662129674423</v>
      </c>
      <c r="O1111" s="180">
        <f t="shared" ca="1" si="49"/>
        <v>8.602233929858762E-3</v>
      </c>
      <c r="P1111" s="180"/>
      <c r="Q1111" s="180"/>
      <c r="R1111" s="180"/>
      <c r="S1111" s="180"/>
      <c r="T1111" s="180"/>
    </row>
    <row r="1112" spans="1:20" x14ac:dyDescent="0.25">
      <c r="A1112" t="s">
        <v>244</v>
      </c>
      <c r="B1112" t="s">
        <v>237</v>
      </c>
      <c r="C1112" t="s">
        <v>238</v>
      </c>
      <c r="D1112" t="s">
        <v>262</v>
      </c>
      <c r="E1112" t="s">
        <v>228</v>
      </c>
      <c r="F1112">
        <v>2003</v>
      </c>
      <c r="G1112">
        <v>2.4549295774647798E-4</v>
      </c>
      <c r="H1112" t="s">
        <v>240</v>
      </c>
      <c r="I1112" t="s">
        <v>241</v>
      </c>
      <c r="J1112" t="s">
        <v>3</v>
      </c>
      <c r="K1112" s="183">
        <f ca="1">VLOOKUP(F1112,
    OFFSET(INDIRECT(ADDRESS(MATCH(J1112,'Vehicle numbers'!$A$5:$A$162,0),1,1,1,$L$6)),4,1,COUNTIF('Vehicle numbers'!$A$5:$A$162,J1112),4),
    MATCH(K$8,'Vehicle numbers'!$B$4:$D$4,0))*1000</f>
        <v>1134682</v>
      </c>
      <c r="L1112" s="183">
        <f ca="1">VLOOKUP(F1112,
    OFFSET(INDIRECT(ADDRESS(MATCH(J1112,'Vehicle numbers'!$A$5:$A$162,0),1,1,1,$L$6)),4,1,COUNTIF('Vehicle numbers'!$A$5:$A$162,J1112),4),
    MATCH(L$8,'Vehicle numbers'!$B$4:$D$4,0))*1000</f>
        <v>1155533.1201194907</v>
      </c>
      <c r="M1112" s="184">
        <f>VLOOKUP(F1112,'Annual distance covered (GB)'!$A$8:$H$33,MATCH(J1112,'Annual distance covered (GB)'!$A$7:$H$7,0))</f>
        <v>5.6</v>
      </c>
      <c r="N1112" s="2">
        <f t="shared" ca="1" si="48"/>
        <v>1400.0234102770994</v>
      </c>
      <c r="O1112" s="180">
        <f t="shared" ca="1" si="49"/>
        <v>1.2115822436420745E-3</v>
      </c>
      <c r="P1112" s="180"/>
      <c r="Q1112" s="180"/>
      <c r="R1112" s="180"/>
      <c r="S1112" s="180"/>
      <c r="T1112" s="180"/>
    </row>
    <row r="1113" spans="1:20" x14ac:dyDescent="0.25">
      <c r="A1113" t="s">
        <v>246</v>
      </c>
      <c r="B1113" t="s">
        <v>237</v>
      </c>
      <c r="C1113" t="s">
        <v>238</v>
      </c>
      <c r="D1113" t="s">
        <v>262</v>
      </c>
      <c r="E1113" t="s">
        <v>228</v>
      </c>
      <c r="F1113">
        <v>2003</v>
      </c>
      <c r="G1113">
        <v>1.96394366197183E-4</v>
      </c>
      <c r="H1113" t="s">
        <v>240</v>
      </c>
      <c r="I1113" t="s">
        <v>241</v>
      </c>
      <c r="J1113" t="s">
        <v>3</v>
      </c>
      <c r="K1113" s="183">
        <f ca="1">VLOOKUP(F1113,
    OFFSET(INDIRECT(ADDRESS(MATCH(J1113,'Vehicle numbers'!$A$5:$A$162,0),1,1,1,$L$6)),4,1,COUNTIF('Vehicle numbers'!$A$5:$A$162,J1113),4),
    MATCH(K$8,'Vehicle numbers'!$B$4:$D$4,0))*1000</f>
        <v>1134682</v>
      </c>
      <c r="L1113" s="183">
        <f ca="1">VLOOKUP(F1113,
    OFFSET(INDIRECT(ADDRESS(MATCH(J1113,'Vehicle numbers'!$A$5:$A$162,0),1,1,1,$L$6)),4,1,COUNTIF('Vehicle numbers'!$A$5:$A$162,J1113),4),
    MATCH(L$8,'Vehicle numbers'!$B$4:$D$4,0))*1000</f>
        <v>1155533.1201194907</v>
      </c>
      <c r="M1113" s="184">
        <f>VLOOKUP(F1113,'Annual distance covered (GB)'!$A$8:$H$33,MATCH(J1113,'Annual distance covered (GB)'!$A$7:$H$7,0))</f>
        <v>5.6</v>
      </c>
      <c r="N1113" s="2">
        <f t="shared" ca="1" si="48"/>
        <v>1120.018728221683</v>
      </c>
      <c r="O1113" s="180">
        <f t="shared" ca="1" si="49"/>
        <v>9.6926579491366264E-4</v>
      </c>
      <c r="P1113" s="180"/>
      <c r="Q1113" s="180"/>
      <c r="R1113" s="180"/>
      <c r="S1113" s="180"/>
      <c r="T1113" s="180"/>
    </row>
    <row r="1114" spans="1:20" x14ac:dyDescent="0.25">
      <c r="A1114" t="s">
        <v>236</v>
      </c>
      <c r="B1114" t="s">
        <v>237</v>
      </c>
      <c r="C1114" t="s">
        <v>238</v>
      </c>
      <c r="D1114" t="s">
        <v>263</v>
      </c>
      <c r="E1114" t="s">
        <v>229</v>
      </c>
      <c r="F1114">
        <v>2003</v>
      </c>
      <c r="G1114">
        <v>2.764E-3</v>
      </c>
      <c r="H1114" t="s">
        <v>240</v>
      </c>
      <c r="I1114" t="s">
        <v>241</v>
      </c>
      <c r="J1114" t="s">
        <v>3</v>
      </c>
      <c r="K1114" s="183">
        <f ca="1">VLOOKUP(F1114,
    OFFSET(INDIRECT(ADDRESS(MATCH(J1114,'Vehicle numbers'!$A$5:$A$162,0),1,1,1,$L$6)),4,1,COUNTIF('Vehicle numbers'!$A$5:$A$162,J1114),4),
    MATCH(K$8,'Vehicle numbers'!$B$4:$D$4,0))*1000</f>
        <v>1134682</v>
      </c>
      <c r="L1114" s="183">
        <f ca="1">VLOOKUP(F1114,
    OFFSET(INDIRECT(ADDRESS(MATCH(J1114,'Vehicle numbers'!$A$5:$A$162,0),1,1,1,$L$6)),4,1,COUNTIF('Vehicle numbers'!$A$5:$A$162,J1114),4),
    MATCH(L$8,'Vehicle numbers'!$B$4:$D$4,0))*1000</f>
        <v>1155533.1201194907</v>
      </c>
      <c r="M1114" s="184">
        <f>VLOOKUP(F1114,'Annual distance covered (GB)'!$A$8:$H$33,MATCH(J1114,'Annual distance covered (GB)'!$A$7:$H$7,0))</f>
        <v>5.6</v>
      </c>
      <c r="N1114" s="2">
        <f t="shared" ca="1" si="48"/>
        <v>15762.833856937468</v>
      </c>
      <c r="O1114" s="180">
        <f t="shared" ca="1" si="49"/>
        <v>1.3641178761979124E-2</v>
      </c>
      <c r="P1114" s="180"/>
      <c r="Q1114" s="180"/>
      <c r="R1114" s="180"/>
      <c r="S1114" s="180"/>
      <c r="T1114" s="180"/>
    </row>
    <row r="1115" spans="1:20" x14ac:dyDescent="0.25">
      <c r="A1115" t="s">
        <v>243</v>
      </c>
      <c r="B1115" t="s">
        <v>237</v>
      </c>
      <c r="C1115" t="s">
        <v>238</v>
      </c>
      <c r="D1115" t="s">
        <v>263</v>
      </c>
      <c r="E1115" t="s">
        <v>229</v>
      </c>
      <c r="F1115">
        <v>2003</v>
      </c>
      <c r="G1115">
        <v>1.1056E-3</v>
      </c>
      <c r="H1115" t="s">
        <v>240</v>
      </c>
      <c r="I1115" t="s">
        <v>241</v>
      </c>
      <c r="J1115" t="s">
        <v>3</v>
      </c>
      <c r="K1115" s="183">
        <f ca="1">VLOOKUP(F1115,
    OFFSET(INDIRECT(ADDRESS(MATCH(J1115,'Vehicle numbers'!$A$5:$A$162,0),1,1,1,$L$6)),4,1,COUNTIF('Vehicle numbers'!$A$5:$A$162,J1115),4),
    MATCH(K$8,'Vehicle numbers'!$B$4:$D$4,0))*1000</f>
        <v>1134682</v>
      </c>
      <c r="L1115" s="183">
        <f ca="1">VLOOKUP(F1115,
    OFFSET(INDIRECT(ADDRESS(MATCH(J1115,'Vehicle numbers'!$A$5:$A$162,0),1,1,1,$L$6)),4,1,COUNTIF('Vehicle numbers'!$A$5:$A$162,J1115),4),
    MATCH(L$8,'Vehicle numbers'!$B$4:$D$4,0))*1000</f>
        <v>1155533.1201194907</v>
      </c>
      <c r="M1115" s="184">
        <f>VLOOKUP(F1115,'Annual distance covered (GB)'!$A$8:$H$33,MATCH(J1115,'Annual distance covered (GB)'!$A$7:$H$7,0))</f>
        <v>5.6</v>
      </c>
      <c r="N1115" s="2">
        <f t="shared" ca="1" si="48"/>
        <v>6305.1335427749882</v>
      </c>
      <c r="O1115" s="180">
        <f t="shared" ca="1" si="49"/>
        <v>5.4564715047916504E-3</v>
      </c>
      <c r="P1115" s="180"/>
      <c r="Q1115" s="180"/>
      <c r="R1115" s="180"/>
      <c r="S1115" s="180"/>
      <c r="T1115" s="180"/>
    </row>
    <row r="1116" spans="1:20" x14ac:dyDescent="0.25">
      <c r="A1116" t="s">
        <v>244</v>
      </c>
      <c r="B1116" t="s">
        <v>237</v>
      </c>
      <c r="C1116" t="s">
        <v>238</v>
      </c>
      <c r="D1116" t="s">
        <v>263</v>
      </c>
      <c r="E1116" t="s">
        <v>229</v>
      </c>
      <c r="F1116">
        <v>2003</v>
      </c>
      <c r="G1116">
        <v>2.764E-4</v>
      </c>
      <c r="H1116" t="s">
        <v>240</v>
      </c>
      <c r="I1116" t="s">
        <v>241</v>
      </c>
      <c r="J1116" t="s">
        <v>3</v>
      </c>
      <c r="K1116" s="183">
        <f ca="1">VLOOKUP(F1116,
    OFFSET(INDIRECT(ADDRESS(MATCH(J1116,'Vehicle numbers'!$A$5:$A$162,0),1,1,1,$L$6)),4,1,COUNTIF('Vehicle numbers'!$A$5:$A$162,J1116),4),
    MATCH(K$8,'Vehicle numbers'!$B$4:$D$4,0))*1000</f>
        <v>1134682</v>
      </c>
      <c r="L1116" s="183">
        <f ca="1">VLOOKUP(F1116,
    OFFSET(INDIRECT(ADDRESS(MATCH(J1116,'Vehicle numbers'!$A$5:$A$162,0),1,1,1,$L$6)),4,1,COUNTIF('Vehicle numbers'!$A$5:$A$162,J1116),4),
    MATCH(L$8,'Vehicle numbers'!$B$4:$D$4,0))*1000</f>
        <v>1155533.1201194907</v>
      </c>
      <c r="M1116" s="184">
        <f>VLOOKUP(F1116,'Annual distance covered (GB)'!$A$8:$H$33,MATCH(J1116,'Annual distance covered (GB)'!$A$7:$H$7,0))</f>
        <v>5.6</v>
      </c>
      <c r="N1116" s="2">
        <f t="shared" ca="1" si="48"/>
        <v>1576.2833856937471</v>
      </c>
      <c r="O1116" s="180">
        <f t="shared" ca="1" si="49"/>
        <v>1.3641178761979126E-3</v>
      </c>
      <c r="P1116" s="180"/>
      <c r="Q1116" s="180"/>
      <c r="R1116" s="180"/>
      <c r="S1116" s="180"/>
      <c r="T1116" s="180"/>
    </row>
    <row r="1117" spans="1:20" x14ac:dyDescent="0.25">
      <c r="A1117" t="s">
        <v>246</v>
      </c>
      <c r="B1117" t="s">
        <v>237</v>
      </c>
      <c r="C1117" t="s">
        <v>238</v>
      </c>
      <c r="D1117" t="s">
        <v>263</v>
      </c>
      <c r="E1117" t="s">
        <v>229</v>
      </c>
      <c r="F1117">
        <v>2003</v>
      </c>
      <c r="G1117">
        <v>2.2112E-4</v>
      </c>
      <c r="H1117" t="s">
        <v>240</v>
      </c>
      <c r="I1117" t="s">
        <v>241</v>
      </c>
      <c r="J1117" t="s">
        <v>3</v>
      </c>
      <c r="K1117" s="183">
        <f ca="1">VLOOKUP(F1117,
    OFFSET(INDIRECT(ADDRESS(MATCH(J1117,'Vehicle numbers'!$A$5:$A$162,0),1,1,1,$L$6)),4,1,COUNTIF('Vehicle numbers'!$A$5:$A$162,J1117),4),
    MATCH(K$8,'Vehicle numbers'!$B$4:$D$4,0))*1000</f>
        <v>1134682</v>
      </c>
      <c r="L1117" s="183">
        <f ca="1">VLOOKUP(F1117,
    OFFSET(INDIRECT(ADDRESS(MATCH(J1117,'Vehicle numbers'!$A$5:$A$162,0),1,1,1,$L$6)),4,1,COUNTIF('Vehicle numbers'!$A$5:$A$162,J1117),4),
    MATCH(L$8,'Vehicle numbers'!$B$4:$D$4,0))*1000</f>
        <v>1155533.1201194907</v>
      </c>
      <c r="M1117" s="184">
        <f>VLOOKUP(F1117,'Annual distance covered (GB)'!$A$8:$H$33,MATCH(J1117,'Annual distance covered (GB)'!$A$7:$H$7,0))</f>
        <v>5.6</v>
      </c>
      <c r="N1117" s="2">
        <f t="shared" ca="1" si="48"/>
        <v>1261.0267085549976</v>
      </c>
      <c r="O1117" s="180">
        <f t="shared" ca="1" si="49"/>
        <v>1.0912943009583301E-3</v>
      </c>
      <c r="P1117" s="180"/>
      <c r="Q1117" s="180"/>
      <c r="R1117" s="180"/>
      <c r="S1117" s="180"/>
      <c r="T1117" s="180"/>
    </row>
    <row r="1118" spans="1:20" x14ac:dyDescent="0.25">
      <c r="A1118" t="s">
        <v>236</v>
      </c>
      <c r="B1118" t="s">
        <v>237</v>
      </c>
      <c r="C1118" t="s">
        <v>238</v>
      </c>
      <c r="D1118" t="s">
        <v>263</v>
      </c>
      <c r="E1118" t="s">
        <v>228</v>
      </c>
      <c r="F1118">
        <v>2003</v>
      </c>
      <c r="G1118">
        <v>2.9239999999999999E-3</v>
      </c>
      <c r="H1118" t="s">
        <v>240</v>
      </c>
      <c r="I1118" t="s">
        <v>241</v>
      </c>
      <c r="J1118" t="s">
        <v>3</v>
      </c>
      <c r="K1118" s="183">
        <f ca="1">VLOOKUP(F1118,
    OFFSET(INDIRECT(ADDRESS(MATCH(J1118,'Vehicle numbers'!$A$5:$A$162,0),1,1,1,$L$6)),4,1,COUNTIF('Vehicle numbers'!$A$5:$A$162,J1118),4),
    MATCH(K$8,'Vehicle numbers'!$B$4:$D$4,0))*1000</f>
        <v>1134682</v>
      </c>
      <c r="L1118" s="183">
        <f ca="1">VLOOKUP(F1118,
    OFFSET(INDIRECT(ADDRESS(MATCH(J1118,'Vehicle numbers'!$A$5:$A$162,0),1,1,1,$L$6)),4,1,COUNTIF('Vehicle numbers'!$A$5:$A$162,J1118),4),
    MATCH(L$8,'Vehicle numbers'!$B$4:$D$4,0))*1000</f>
        <v>1155533.1201194907</v>
      </c>
      <c r="M1118" s="184">
        <f>VLOOKUP(F1118,'Annual distance covered (GB)'!$A$8:$H$33,MATCH(J1118,'Annual distance covered (GB)'!$A$7:$H$7,0))</f>
        <v>5.6</v>
      </c>
      <c r="N1118" s="2">
        <f t="shared" ca="1" si="48"/>
        <v>16675.298913778999</v>
      </c>
      <c r="O1118" s="180">
        <f t="shared" ca="1" si="49"/>
        <v>1.4430827315494558E-2</v>
      </c>
      <c r="P1118" s="180"/>
      <c r="Q1118" s="180"/>
      <c r="R1118" s="180"/>
      <c r="S1118" s="180"/>
      <c r="T1118" s="180"/>
    </row>
    <row r="1119" spans="1:20" x14ac:dyDescent="0.25">
      <c r="A1119" t="s">
        <v>243</v>
      </c>
      <c r="B1119" t="s">
        <v>237</v>
      </c>
      <c r="C1119" t="s">
        <v>238</v>
      </c>
      <c r="D1119" t="s">
        <v>263</v>
      </c>
      <c r="E1119" t="s">
        <v>228</v>
      </c>
      <c r="F1119">
        <v>2003</v>
      </c>
      <c r="G1119">
        <v>2.0468000000000001E-3</v>
      </c>
      <c r="H1119" t="s">
        <v>240</v>
      </c>
      <c r="I1119" t="s">
        <v>241</v>
      </c>
      <c r="J1119" t="s">
        <v>3</v>
      </c>
      <c r="K1119" s="183">
        <f ca="1">VLOOKUP(F1119,
    OFFSET(INDIRECT(ADDRESS(MATCH(J1119,'Vehicle numbers'!$A$5:$A$162,0),1,1,1,$L$6)),4,1,COUNTIF('Vehicle numbers'!$A$5:$A$162,J1119),4),
    MATCH(K$8,'Vehicle numbers'!$B$4:$D$4,0))*1000</f>
        <v>1134682</v>
      </c>
      <c r="L1119" s="183">
        <f ca="1">VLOOKUP(F1119,
    OFFSET(INDIRECT(ADDRESS(MATCH(J1119,'Vehicle numbers'!$A$5:$A$162,0),1,1,1,$L$6)),4,1,COUNTIF('Vehicle numbers'!$A$5:$A$162,J1119),4),
    MATCH(L$8,'Vehicle numbers'!$B$4:$D$4,0))*1000</f>
        <v>1155533.1201194907</v>
      </c>
      <c r="M1119" s="184">
        <f>VLOOKUP(F1119,'Annual distance covered (GB)'!$A$8:$H$33,MATCH(J1119,'Annual distance covered (GB)'!$A$7:$H$7,0))</f>
        <v>5.6</v>
      </c>
      <c r="N1119" s="2">
        <f t="shared" ca="1" si="48"/>
        <v>11672.709239645303</v>
      </c>
      <c r="O1119" s="180">
        <f t="shared" ca="1" si="49"/>
        <v>1.0101579120846194E-2</v>
      </c>
      <c r="P1119" s="180"/>
      <c r="Q1119" s="180"/>
      <c r="R1119" s="180"/>
      <c r="S1119" s="180"/>
      <c r="T1119" s="180"/>
    </row>
    <row r="1120" spans="1:20" x14ac:dyDescent="0.25">
      <c r="A1120" t="s">
        <v>244</v>
      </c>
      <c r="B1120" t="s">
        <v>237</v>
      </c>
      <c r="C1120" t="s">
        <v>238</v>
      </c>
      <c r="D1120" t="s">
        <v>263</v>
      </c>
      <c r="E1120" t="s">
        <v>228</v>
      </c>
      <c r="F1120">
        <v>2003</v>
      </c>
      <c r="G1120">
        <v>2.8828169014084501E-4</v>
      </c>
      <c r="H1120" t="s">
        <v>240</v>
      </c>
      <c r="I1120" t="s">
        <v>241</v>
      </c>
      <c r="J1120" t="s">
        <v>3</v>
      </c>
      <c r="K1120" s="183">
        <f ca="1">VLOOKUP(F1120,
    OFFSET(INDIRECT(ADDRESS(MATCH(J1120,'Vehicle numbers'!$A$5:$A$162,0),1,1,1,$L$6)),4,1,COUNTIF('Vehicle numbers'!$A$5:$A$162,J1120),4),
    MATCH(K$8,'Vehicle numbers'!$B$4:$D$4,0))*1000</f>
        <v>1134682</v>
      </c>
      <c r="L1120" s="183">
        <f ca="1">VLOOKUP(F1120,
    OFFSET(INDIRECT(ADDRESS(MATCH(J1120,'Vehicle numbers'!$A$5:$A$162,0),1,1,1,$L$6)),4,1,COUNTIF('Vehicle numbers'!$A$5:$A$162,J1120),4),
    MATCH(L$8,'Vehicle numbers'!$B$4:$D$4,0))*1000</f>
        <v>1155533.1201194907</v>
      </c>
      <c r="M1120" s="184">
        <f>VLOOKUP(F1120,'Annual distance covered (GB)'!$A$8:$H$33,MATCH(J1120,'Annual distance covered (GB)'!$A$7:$H$7,0))</f>
        <v>5.6</v>
      </c>
      <c r="N1120" s="2">
        <f t="shared" ca="1" si="48"/>
        <v>1644.0435548796195</v>
      </c>
      <c r="O1120" s="180">
        <f t="shared" ca="1" si="49"/>
        <v>1.4227576226543929E-3</v>
      </c>
      <c r="P1120" s="180"/>
      <c r="Q1120" s="180"/>
      <c r="R1120" s="180"/>
      <c r="S1120" s="180"/>
      <c r="T1120" s="180"/>
    </row>
    <row r="1121" spans="1:20" x14ac:dyDescent="0.25">
      <c r="A1121" t="s">
        <v>246</v>
      </c>
      <c r="B1121" t="s">
        <v>237</v>
      </c>
      <c r="C1121" t="s">
        <v>238</v>
      </c>
      <c r="D1121" t="s">
        <v>263</v>
      </c>
      <c r="E1121" t="s">
        <v>228</v>
      </c>
      <c r="F1121">
        <v>2003</v>
      </c>
      <c r="G1121">
        <v>2.3062535211267599E-4</v>
      </c>
      <c r="H1121" t="s">
        <v>240</v>
      </c>
      <c r="I1121" t="s">
        <v>241</v>
      </c>
      <c r="J1121" t="s">
        <v>3</v>
      </c>
      <c r="K1121" s="183">
        <f ca="1">VLOOKUP(F1121,
    OFFSET(INDIRECT(ADDRESS(MATCH(J1121,'Vehicle numbers'!$A$5:$A$162,0),1,1,1,$L$6)),4,1,COUNTIF('Vehicle numbers'!$A$5:$A$162,J1121),4),
    MATCH(K$8,'Vehicle numbers'!$B$4:$D$4,0))*1000</f>
        <v>1134682</v>
      </c>
      <c r="L1121" s="183">
        <f ca="1">VLOOKUP(F1121,
    OFFSET(INDIRECT(ADDRESS(MATCH(J1121,'Vehicle numbers'!$A$5:$A$162,0),1,1,1,$L$6)),4,1,COUNTIF('Vehicle numbers'!$A$5:$A$162,J1121),4),
    MATCH(L$8,'Vehicle numbers'!$B$4:$D$4,0))*1000</f>
        <v>1155533.1201194907</v>
      </c>
      <c r="M1121" s="184">
        <f>VLOOKUP(F1121,'Annual distance covered (GB)'!$A$8:$H$33,MATCH(J1121,'Annual distance covered (GB)'!$A$7:$H$7,0))</f>
        <v>5.6</v>
      </c>
      <c r="N1121" s="2">
        <f t="shared" ca="1" si="48"/>
        <v>1315.2348439036955</v>
      </c>
      <c r="O1121" s="180">
        <f t="shared" ca="1" si="49"/>
        <v>1.1382060981235142E-3</v>
      </c>
      <c r="P1121" s="180"/>
      <c r="Q1121" s="180"/>
      <c r="R1121" s="180"/>
      <c r="S1121" s="180"/>
      <c r="T1121" s="180"/>
    </row>
    <row r="1122" spans="1:20" x14ac:dyDescent="0.25">
      <c r="A1122" t="s">
        <v>236</v>
      </c>
      <c r="B1122" t="s">
        <v>237</v>
      </c>
      <c r="C1122" t="s">
        <v>238</v>
      </c>
      <c r="D1122" t="s">
        <v>264</v>
      </c>
      <c r="E1122" t="s">
        <v>229</v>
      </c>
      <c r="F1122">
        <v>2003</v>
      </c>
      <c r="G1122">
        <v>5.8399999999999997E-3</v>
      </c>
      <c r="H1122" t="s">
        <v>240</v>
      </c>
      <c r="I1122" t="s">
        <v>241</v>
      </c>
      <c r="J1122" t="s">
        <v>3</v>
      </c>
      <c r="K1122" s="183">
        <f ca="1">VLOOKUP(F1122,
    OFFSET(INDIRECT(ADDRESS(MATCH(J1122,'Vehicle numbers'!$A$5:$A$162,0),1,1,1,$L$6)),4,1,COUNTIF('Vehicle numbers'!$A$5:$A$162,J1122),4),
    MATCH(K$8,'Vehicle numbers'!$B$4:$D$4,0))*1000</f>
        <v>1134682</v>
      </c>
      <c r="L1122" s="183">
        <f ca="1">VLOOKUP(F1122,
    OFFSET(INDIRECT(ADDRESS(MATCH(J1122,'Vehicle numbers'!$A$5:$A$162,0),1,1,1,$L$6)),4,1,COUNTIF('Vehicle numbers'!$A$5:$A$162,J1122),4),
    MATCH(L$8,'Vehicle numbers'!$B$4:$D$4,0))*1000</f>
        <v>1155533.1201194907</v>
      </c>
      <c r="M1122" s="184">
        <f>VLOOKUP(F1122,'Annual distance covered (GB)'!$A$8:$H$33,MATCH(J1122,'Annual distance covered (GB)'!$A$7:$H$7,0))</f>
        <v>5.6</v>
      </c>
      <c r="N1122" s="2">
        <f t="shared" ca="1" si="48"/>
        <v>33304.974574715925</v>
      </c>
      <c r="O1122" s="180">
        <f t="shared" ca="1" si="49"/>
        <v>2.8822172203313345E-2</v>
      </c>
      <c r="P1122" s="180"/>
      <c r="Q1122" s="180"/>
      <c r="R1122" s="180"/>
      <c r="S1122" s="180"/>
      <c r="T1122" s="180"/>
    </row>
    <row r="1123" spans="1:20" x14ac:dyDescent="0.25">
      <c r="A1123" t="s">
        <v>243</v>
      </c>
      <c r="B1123" t="s">
        <v>237</v>
      </c>
      <c r="C1123" t="s">
        <v>238</v>
      </c>
      <c r="D1123" t="s">
        <v>264</v>
      </c>
      <c r="E1123" t="s">
        <v>229</v>
      </c>
      <c r="F1123">
        <v>2003</v>
      </c>
      <c r="G1123">
        <v>2.336E-3</v>
      </c>
      <c r="H1123" t="s">
        <v>240</v>
      </c>
      <c r="I1123" t="s">
        <v>241</v>
      </c>
      <c r="J1123" t="s">
        <v>3</v>
      </c>
      <c r="K1123" s="183">
        <f ca="1">VLOOKUP(F1123,
    OFFSET(INDIRECT(ADDRESS(MATCH(J1123,'Vehicle numbers'!$A$5:$A$162,0),1,1,1,$L$6)),4,1,COUNTIF('Vehicle numbers'!$A$5:$A$162,J1123),4),
    MATCH(K$8,'Vehicle numbers'!$B$4:$D$4,0))*1000</f>
        <v>1134682</v>
      </c>
      <c r="L1123" s="183">
        <f ca="1">VLOOKUP(F1123,
    OFFSET(INDIRECT(ADDRESS(MATCH(J1123,'Vehicle numbers'!$A$5:$A$162,0),1,1,1,$L$6)),4,1,COUNTIF('Vehicle numbers'!$A$5:$A$162,J1123),4),
    MATCH(L$8,'Vehicle numbers'!$B$4:$D$4,0))*1000</f>
        <v>1155533.1201194907</v>
      </c>
      <c r="M1123" s="184">
        <f>VLOOKUP(F1123,'Annual distance covered (GB)'!$A$8:$H$33,MATCH(J1123,'Annual distance covered (GB)'!$A$7:$H$7,0))</f>
        <v>5.6</v>
      </c>
      <c r="N1123" s="2">
        <f t="shared" ca="1" si="48"/>
        <v>13321.98982988637</v>
      </c>
      <c r="O1123" s="180">
        <f t="shared" ca="1" si="49"/>
        <v>1.1528868881325339E-2</v>
      </c>
      <c r="P1123" s="180"/>
      <c r="Q1123" s="180"/>
      <c r="R1123" s="180"/>
      <c r="S1123" s="180"/>
      <c r="T1123" s="180"/>
    </row>
    <row r="1124" spans="1:20" x14ac:dyDescent="0.25">
      <c r="A1124" t="s">
        <v>244</v>
      </c>
      <c r="B1124" t="s">
        <v>237</v>
      </c>
      <c r="C1124" t="s">
        <v>238</v>
      </c>
      <c r="D1124" t="s">
        <v>264</v>
      </c>
      <c r="E1124" t="s">
        <v>229</v>
      </c>
      <c r="F1124">
        <v>2003</v>
      </c>
      <c r="G1124">
        <v>5.8399999999999999E-4</v>
      </c>
      <c r="H1124" t="s">
        <v>240</v>
      </c>
      <c r="I1124" t="s">
        <v>241</v>
      </c>
      <c r="J1124" t="s">
        <v>3</v>
      </c>
      <c r="K1124" s="183">
        <f ca="1">VLOOKUP(F1124,
    OFFSET(INDIRECT(ADDRESS(MATCH(J1124,'Vehicle numbers'!$A$5:$A$162,0),1,1,1,$L$6)),4,1,COUNTIF('Vehicle numbers'!$A$5:$A$162,J1124),4),
    MATCH(K$8,'Vehicle numbers'!$B$4:$D$4,0))*1000</f>
        <v>1134682</v>
      </c>
      <c r="L1124" s="183">
        <f ca="1">VLOOKUP(F1124,
    OFFSET(INDIRECT(ADDRESS(MATCH(J1124,'Vehicle numbers'!$A$5:$A$162,0),1,1,1,$L$6)),4,1,COUNTIF('Vehicle numbers'!$A$5:$A$162,J1124),4),
    MATCH(L$8,'Vehicle numbers'!$B$4:$D$4,0))*1000</f>
        <v>1155533.1201194907</v>
      </c>
      <c r="M1124" s="184">
        <f>VLOOKUP(F1124,'Annual distance covered (GB)'!$A$8:$H$33,MATCH(J1124,'Annual distance covered (GB)'!$A$7:$H$7,0))</f>
        <v>5.6</v>
      </c>
      <c r="N1124" s="2">
        <f t="shared" ca="1" si="48"/>
        <v>3330.4974574715925</v>
      </c>
      <c r="O1124" s="180">
        <f t="shared" ca="1" si="49"/>
        <v>2.8822172203313346E-3</v>
      </c>
      <c r="P1124" s="180"/>
      <c r="Q1124" s="180"/>
      <c r="R1124" s="180"/>
      <c r="S1124" s="180"/>
      <c r="T1124" s="180"/>
    </row>
    <row r="1125" spans="1:20" x14ac:dyDescent="0.25">
      <c r="A1125" t="s">
        <v>246</v>
      </c>
      <c r="B1125" t="s">
        <v>237</v>
      </c>
      <c r="C1125" t="s">
        <v>238</v>
      </c>
      <c r="D1125" t="s">
        <v>264</v>
      </c>
      <c r="E1125" t="s">
        <v>229</v>
      </c>
      <c r="F1125">
        <v>2003</v>
      </c>
      <c r="G1125">
        <v>4.6720000000000003E-4</v>
      </c>
      <c r="H1125" t="s">
        <v>240</v>
      </c>
      <c r="I1125" t="s">
        <v>241</v>
      </c>
      <c r="J1125" t="s">
        <v>3</v>
      </c>
      <c r="K1125" s="183">
        <f ca="1">VLOOKUP(F1125,
    OFFSET(INDIRECT(ADDRESS(MATCH(J1125,'Vehicle numbers'!$A$5:$A$162,0),1,1,1,$L$6)),4,1,COUNTIF('Vehicle numbers'!$A$5:$A$162,J1125),4),
    MATCH(K$8,'Vehicle numbers'!$B$4:$D$4,0))*1000</f>
        <v>1134682</v>
      </c>
      <c r="L1125" s="183">
        <f ca="1">VLOOKUP(F1125,
    OFFSET(INDIRECT(ADDRESS(MATCH(J1125,'Vehicle numbers'!$A$5:$A$162,0),1,1,1,$L$6)),4,1,COUNTIF('Vehicle numbers'!$A$5:$A$162,J1125),4),
    MATCH(L$8,'Vehicle numbers'!$B$4:$D$4,0))*1000</f>
        <v>1155533.1201194907</v>
      </c>
      <c r="M1125" s="184">
        <f>VLOOKUP(F1125,'Annual distance covered (GB)'!$A$8:$H$33,MATCH(J1125,'Annual distance covered (GB)'!$A$7:$H$7,0))</f>
        <v>5.6</v>
      </c>
      <c r="N1125" s="2">
        <f t="shared" ca="1" si="48"/>
        <v>2664.3979659772745</v>
      </c>
      <c r="O1125" s="180">
        <f t="shared" ca="1" si="49"/>
        <v>2.305773776265068E-3</v>
      </c>
      <c r="P1125" s="180"/>
      <c r="Q1125" s="180"/>
      <c r="R1125" s="180"/>
      <c r="S1125" s="180"/>
      <c r="T1125" s="180"/>
    </row>
    <row r="1126" spans="1:20" x14ac:dyDescent="0.25">
      <c r="A1126" t="s">
        <v>236</v>
      </c>
      <c r="B1126" t="s">
        <v>237</v>
      </c>
      <c r="C1126" t="s">
        <v>238</v>
      </c>
      <c r="D1126" t="s">
        <v>264</v>
      </c>
      <c r="E1126" t="s">
        <v>228</v>
      </c>
      <c r="F1126">
        <v>2003</v>
      </c>
      <c r="G1126">
        <v>3.7569999999999999E-3</v>
      </c>
      <c r="H1126" t="s">
        <v>240</v>
      </c>
      <c r="I1126" t="s">
        <v>241</v>
      </c>
      <c r="J1126" t="s">
        <v>3</v>
      </c>
      <c r="K1126" s="183">
        <f ca="1">VLOOKUP(F1126,
    OFFSET(INDIRECT(ADDRESS(MATCH(J1126,'Vehicle numbers'!$A$5:$A$162,0),1,1,1,$L$6)),4,1,COUNTIF('Vehicle numbers'!$A$5:$A$162,J1126),4),
    MATCH(K$8,'Vehicle numbers'!$B$4:$D$4,0))*1000</f>
        <v>1134682</v>
      </c>
      <c r="L1126" s="183">
        <f ca="1">VLOOKUP(F1126,
    OFFSET(INDIRECT(ADDRESS(MATCH(J1126,'Vehicle numbers'!$A$5:$A$162,0),1,1,1,$L$6)),4,1,COUNTIF('Vehicle numbers'!$A$5:$A$162,J1126),4),
    MATCH(L$8,'Vehicle numbers'!$B$4:$D$4,0))*1000</f>
        <v>1155533.1201194907</v>
      </c>
      <c r="M1126" s="184">
        <f>VLOOKUP(F1126,'Annual distance covered (GB)'!$A$8:$H$33,MATCH(J1126,'Annual distance covered (GB)'!$A$7:$H$7,0))</f>
        <v>5.6</v>
      </c>
      <c r="N1126" s="2">
        <f t="shared" ca="1" si="48"/>
        <v>21425.820115960229</v>
      </c>
      <c r="O1126" s="180">
        <f t="shared" ca="1" si="49"/>
        <v>1.8541935097234289E-2</v>
      </c>
      <c r="P1126" s="180"/>
      <c r="Q1126" s="180"/>
      <c r="R1126" s="180"/>
      <c r="S1126" s="180"/>
      <c r="T1126" s="180"/>
    </row>
    <row r="1127" spans="1:20" x14ac:dyDescent="0.25">
      <c r="A1127" t="s">
        <v>243</v>
      </c>
      <c r="B1127" t="s">
        <v>237</v>
      </c>
      <c r="C1127" t="s">
        <v>238</v>
      </c>
      <c r="D1127" t="s">
        <v>264</v>
      </c>
      <c r="E1127" t="s">
        <v>228</v>
      </c>
      <c r="F1127">
        <v>2003</v>
      </c>
      <c r="G1127">
        <v>2.6299000000000001E-3</v>
      </c>
      <c r="H1127" t="s">
        <v>240</v>
      </c>
      <c r="I1127" t="s">
        <v>241</v>
      </c>
      <c r="J1127" t="s">
        <v>3</v>
      </c>
      <c r="K1127" s="183">
        <f ca="1">VLOOKUP(F1127,
    OFFSET(INDIRECT(ADDRESS(MATCH(J1127,'Vehicle numbers'!$A$5:$A$162,0),1,1,1,$L$6)),4,1,COUNTIF('Vehicle numbers'!$A$5:$A$162,J1127),4),
    MATCH(K$8,'Vehicle numbers'!$B$4:$D$4,0))*1000</f>
        <v>1134682</v>
      </c>
      <c r="L1127" s="183">
        <f ca="1">VLOOKUP(F1127,
    OFFSET(INDIRECT(ADDRESS(MATCH(J1127,'Vehicle numbers'!$A$5:$A$162,0),1,1,1,$L$6)),4,1,COUNTIF('Vehicle numbers'!$A$5:$A$162,J1127),4),
    MATCH(L$8,'Vehicle numbers'!$B$4:$D$4,0))*1000</f>
        <v>1155533.1201194907</v>
      </c>
      <c r="M1127" s="184">
        <f>VLOOKUP(F1127,'Annual distance covered (GB)'!$A$8:$H$33,MATCH(J1127,'Annual distance covered (GB)'!$A$7:$H$7,0))</f>
        <v>5.6</v>
      </c>
      <c r="N1127" s="2">
        <f t="shared" ca="1" si="48"/>
        <v>14998.074081172163</v>
      </c>
      <c r="O1127" s="180">
        <f t="shared" ca="1" si="49"/>
        <v>1.2979354568064004E-2</v>
      </c>
      <c r="P1127" s="180"/>
      <c r="Q1127" s="180"/>
      <c r="R1127" s="180"/>
      <c r="S1127" s="180"/>
      <c r="T1127" s="180"/>
    </row>
    <row r="1128" spans="1:20" x14ac:dyDescent="0.25">
      <c r="A1128" t="s">
        <v>244</v>
      </c>
      <c r="B1128" t="s">
        <v>237</v>
      </c>
      <c r="C1128" t="s">
        <v>238</v>
      </c>
      <c r="D1128" t="s">
        <v>264</v>
      </c>
      <c r="E1128" t="s">
        <v>228</v>
      </c>
      <c r="F1128">
        <v>2003</v>
      </c>
      <c r="G1128">
        <v>3.7040845070422499E-4</v>
      </c>
      <c r="H1128" t="s">
        <v>240</v>
      </c>
      <c r="I1128" t="s">
        <v>241</v>
      </c>
      <c r="J1128" t="s">
        <v>3</v>
      </c>
      <c r="K1128" s="183">
        <f ca="1">VLOOKUP(F1128,
    OFFSET(INDIRECT(ADDRESS(MATCH(J1128,'Vehicle numbers'!$A$5:$A$162,0),1,1,1,$L$6)),4,1,COUNTIF('Vehicle numbers'!$A$5:$A$162,J1128),4),
    MATCH(K$8,'Vehicle numbers'!$B$4:$D$4,0))*1000</f>
        <v>1134682</v>
      </c>
      <c r="L1128" s="183">
        <f ca="1">VLOOKUP(F1128,
    OFFSET(INDIRECT(ADDRESS(MATCH(J1128,'Vehicle numbers'!$A$5:$A$162,0),1,1,1,$L$6)),4,1,COUNTIF('Vehicle numbers'!$A$5:$A$162,J1128),4),
    MATCH(L$8,'Vehicle numbers'!$B$4:$D$4,0))*1000</f>
        <v>1155533.1201194907</v>
      </c>
      <c r="M1128" s="184">
        <f>VLOOKUP(F1128,'Annual distance covered (GB)'!$A$8:$H$33,MATCH(J1128,'Annual distance covered (GB)'!$A$7:$H$7,0))</f>
        <v>5.6</v>
      </c>
      <c r="N1128" s="2">
        <f t="shared" ca="1" si="48"/>
        <v>2112.4048001650908</v>
      </c>
      <c r="O1128" s="180">
        <f t="shared" ca="1" si="49"/>
        <v>1.8280781081780266E-3</v>
      </c>
      <c r="P1128" s="180"/>
      <c r="Q1128" s="180"/>
      <c r="R1128" s="180"/>
      <c r="S1128" s="180"/>
      <c r="T1128" s="180"/>
    </row>
    <row r="1129" spans="1:20" x14ac:dyDescent="0.25">
      <c r="A1129" t="s">
        <v>246</v>
      </c>
      <c r="B1129" t="s">
        <v>237</v>
      </c>
      <c r="C1129" t="s">
        <v>238</v>
      </c>
      <c r="D1129" t="s">
        <v>264</v>
      </c>
      <c r="E1129" t="s">
        <v>228</v>
      </c>
      <c r="F1129">
        <v>2003</v>
      </c>
      <c r="G1129">
        <v>2.9632676056337998E-4</v>
      </c>
      <c r="H1129" t="s">
        <v>240</v>
      </c>
      <c r="I1129" t="s">
        <v>241</v>
      </c>
      <c r="J1129" t="s">
        <v>3</v>
      </c>
      <c r="K1129" s="183">
        <f ca="1">VLOOKUP(F1129,
    OFFSET(INDIRECT(ADDRESS(MATCH(J1129,'Vehicle numbers'!$A$5:$A$162,0),1,1,1,$L$6)),4,1,COUNTIF('Vehicle numbers'!$A$5:$A$162,J1129),4),
    MATCH(K$8,'Vehicle numbers'!$B$4:$D$4,0))*1000</f>
        <v>1134682</v>
      </c>
      <c r="L1129" s="183">
        <f ca="1">VLOOKUP(F1129,
    OFFSET(INDIRECT(ADDRESS(MATCH(J1129,'Vehicle numbers'!$A$5:$A$162,0),1,1,1,$L$6)),4,1,COUNTIF('Vehicle numbers'!$A$5:$A$162,J1129),4),
    MATCH(L$8,'Vehicle numbers'!$B$4:$D$4,0))*1000</f>
        <v>1155533.1201194907</v>
      </c>
      <c r="M1129" s="184">
        <f>VLOOKUP(F1129,'Annual distance covered (GB)'!$A$8:$H$33,MATCH(J1129,'Annual distance covered (GB)'!$A$7:$H$7,0))</f>
        <v>5.6</v>
      </c>
      <c r="N1129" s="2">
        <f t="shared" ca="1" si="48"/>
        <v>1689.9238401320727</v>
      </c>
      <c r="O1129" s="180">
        <f t="shared" ca="1" si="49"/>
        <v>1.4624624865424212E-3</v>
      </c>
      <c r="P1129" s="180"/>
      <c r="Q1129" s="180"/>
      <c r="R1129" s="180"/>
      <c r="S1129" s="180"/>
      <c r="T1129" s="180"/>
    </row>
    <row r="1130" spans="1:20" x14ac:dyDescent="0.25">
      <c r="A1130" t="s">
        <v>236</v>
      </c>
      <c r="B1130" t="s">
        <v>237</v>
      </c>
      <c r="C1130" t="s">
        <v>238</v>
      </c>
      <c r="D1130" t="s">
        <v>239</v>
      </c>
      <c r="E1130" t="s">
        <v>229</v>
      </c>
      <c r="F1130">
        <v>2004</v>
      </c>
      <c r="G1130">
        <v>8.4410000000000093E-3</v>
      </c>
      <c r="H1130" t="s">
        <v>240</v>
      </c>
      <c r="I1130" t="s">
        <v>241</v>
      </c>
      <c r="J1130" t="s">
        <v>242</v>
      </c>
      <c r="K1130" s="183">
        <f ca="1">VLOOKUP(F1130,
    OFFSET(INDIRECT(ADDRESS(MATCH(J1130,'Vehicle numbers'!$A$5:$A$162,0),1,1,1,$L$6)),4,1,COUNTIF('Vehicle numbers'!$A$5:$A$162,J1130),4),
    MATCH(K$8,'Vehicle numbers'!$B$4:$D$4,0))*1000</f>
        <v>177659</v>
      </c>
      <c r="L1130" s="183">
        <f ca="1">VLOOKUP(F1130,
    OFFSET(INDIRECT(ADDRESS(MATCH(J1130,'Vehicle numbers'!$A$5:$A$162,0),1,1,1,$L$6)),4,1,COUNTIF('Vehicle numbers'!$A$5:$A$162,J1130),4),
    MATCH(L$8,'Vehicle numbers'!$B$4:$D$4,0))*1000</f>
        <v>183866.3408559135</v>
      </c>
      <c r="M1130" s="184">
        <f>VLOOKUP(F1130,'Annual distance covered (GB)'!$A$8:$H$33,MATCH(J1130,'Annual distance covered (GB)'!$A$7:$H$7,0))</f>
        <v>5.0999999999999996</v>
      </c>
      <c r="N1130" s="2">
        <f t="shared" ca="1" si="48"/>
        <v>44553.21989958467</v>
      </c>
      <c r="O1130" s="180">
        <f t="shared" ca="1" si="49"/>
        <v>0.24231308292853185</v>
      </c>
      <c r="P1130" s="180"/>
      <c r="Q1130" s="180"/>
      <c r="R1130" s="180"/>
      <c r="S1130" s="180"/>
      <c r="T1130" s="180"/>
    </row>
    <row r="1131" spans="1:20" x14ac:dyDescent="0.25">
      <c r="A1131" t="s">
        <v>243</v>
      </c>
      <c r="B1131" t="s">
        <v>237</v>
      </c>
      <c r="C1131" t="s">
        <v>238</v>
      </c>
      <c r="D1131" t="s">
        <v>239</v>
      </c>
      <c r="E1131" t="s">
        <v>229</v>
      </c>
      <c r="F1131">
        <v>2004</v>
      </c>
      <c r="G1131">
        <v>3.3763999999999999E-3</v>
      </c>
      <c r="H1131" t="s">
        <v>240</v>
      </c>
      <c r="I1131" t="s">
        <v>241</v>
      </c>
      <c r="J1131" t="s">
        <v>242</v>
      </c>
      <c r="K1131" s="183">
        <f ca="1">VLOOKUP(F1131,
    OFFSET(INDIRECT(ADDRESS(MATCH(J1131,'Vehicle numbers'!$A$5:$A$162,0),1,1,1,$L$6)),4,1,COUNTIF('Vehicle numbers'!$A$5:$A$162,J1131),4),
    MATCH(K$8,'Vehicle numbers'!$B$4:$D$4,0))*1000</f>
        <v>177659</v>
      </c>
      <c r="L1131" s="183">
        <f ca="1">VLOOKUP(F1131,
    OFFSET(INDIRECT(ADDRESS(MATCH(J1131,'Vehicle numbers'!$A$5:$A$162,0),1,1,1,$L$6)),4,1,COUNTIF('Vehicle numbers'!$A$5:$A$162,J1131),4),
    MATCH(L$8,'Vehicle numbers'!$B$4:$D$4,0))*1000</f>
        <v>183866.3408559135</v>
      </c>
      <c r="M1131" s="184">
        <f>VLOOKUP(F1131,'Annual distance covered (GB)'!$A$8:$H$33,MATCH(J1131,'Annual distance covered (GB)'!$A$7:$H$7,0))</f>
        <v>5.0999999999999996</v>
      </c>
      <c r="N1131" s="2">
        <f t="shared" ca="1" si="48"/>
        <v>17821.287959833851</v>
      </c>
      <c r="O1131" s="180">
        <f t="shared" ca="1" si="49"/>
        <v>9.6925233171412647E-2</v>
      </c>
      <c r="P1131" s="180"/>
      <c r="Q1131" s="180"/>
      <c r="R1131" s="180"/>
      <c r="S1131" s="180"/>
      <c r="T1131" s="180"/>
    </row>
    <row r="1132" spans="1:20" x14ac:dyDescent="0.25">
      <c r="A1132" t="s">
        <v>244</v>
      </c>
      <c r="B1132" t="s">
        <v>237</v>
      </c>
      <c r="C1132" t="s">
        <v>238</v>
      </c>
      <c r="D1132" t="s">
        <v>239</v>
      </c>
      <c r="E1132" t="s">
        <v>229</v>
      </c>
      <c r="F1132">
        <v>2004</v>
      </c>
      <c r="G1132">
        <v>8.4409999999999997E-4</v>
      </c>
      <c r="H1132" t="s">
        <v>240</v>
      </c>
      <c r="I1132" t="s">
        <v>241</v>
      </c>
      <c r="J1132" t="s">
        <v>242</v>
      </c>
      <c r="K1132" s="183">
        <f ca="1">VLOOKUP(F1132,
    OFFSET(INDIRECT(ADDRESS(MATCH(J1132,'Vehicle numbers'!$A$5:$A$162,0),1,1,1,$L$6)),4,1,COUNTIF('Vehicle numbers'!$A$5:$A$162,J1132),4),
    MATCH(K$8,'Vehicle numbers'!$B$4:$D$4,0))*1000</f>
        <v>177659</v>
      </c>
      <c r="L1132" s="183">
        <f ca="1">VLOOKUP(F1132,
    OFFSET(INDIRECT(ADDRESS(MATCH(J1132,'Vehicle numbers'!$A$5:$A$162,0),1,1,1,$L$6)),4,1,COUNTIF('Vehicle numbers'!$A$5:$A$162,J1132),4),
    MATCH(L$8,'Vehicle numbers'!$B$4:$D$4,0))*1000</f>
        <v>183866.3408559135</v>
      </c>
      <c r="M1132" s="184">
        <f>VLOOKUP(F1132,'Annual distance covered (GB)'!$A$8:$H$33,MATCH(J1132,'Annual distance covered (GB)'!$A$7:$H$7,0))</f>
        <v>5.0999999999999996</v>
      </c>
      <c r="N1132" s="2">
        <f t="shared" ca="1" si="48"/>
        <v>4455.3219899584628</v>
      </c>
      <c r="O1132" s="180">
        <f t="shared" ca="1" si="49"/>
        <v>2.4231308292853162E-2</v>
      </c>
      <c r="P1132" s="180"/>
      <c r="Q1132" s="180"/>
      <c r="R1132" s="180"/>
      <c r="S1132" s="180"/>
      <c r="T1132" s="180"/>
    </row>
    <row r="1133" spans="1:20" x14ac:dyDescent="0.25">
      <c r="A1133" t="s">
        <v>246</v>
      </c>
      <c r="B1133" t="s">
        <v>237</v>
      </c>
      <c r="C1133" t="s">
        <v>238</v>
      </c>
      <c r="D1133" t="s">
        <v>239</v>
      </c>
      <c r="E1133" t="s">
        <v>229</v>
      </c>
      <c r="F1133">
        <v>2004</v>
      </c>
      <c r="G1133">
        <v>6.7528E-4</v>
      </c>
      <c r="H1133" t="s">
        <v>240</v>
      </c>
      <c r="I1133" t="s">
        <v>241</v>
      </c>
      <c r="J1133" t="s">
        <v>242</v>
      </c>
      <c r="K1133" s="183">
        <f ca="1">VLOOKUP(F1133,
    OFFSET(INDIRECT(ADDRESS(MATCH(J1133,'Vehicle numbers'!$A$5:$A$162,0),1,1,1,$L$6)),4,1,COUNTIF('Vehicle numbers'!$A$5:$A$162,J1133),4),
    MATCH(K$8,'Vehicle numbers'!$B$4:$D$4,0))*1000</f>
        <v>177659</v>
      </c>
      <c r="L1133" s="183">
        <f ca="1">VLOOKUP(F1133,
    OFFSET(INDIRECT(ADDRESS(MATCH(J1133,'Vehicle numbers'!$A$5:$A$162,0),1,1,1,$L$6)),4,1,COUNTIF('Vehicle numbers'!$A$5:$A$162,J1133),4),
    MATCH(L$8,'Vehicle numbers'!$B$4:$D$4,0))*1000</f>
        <v>183866.3408559135</v>
      </c>
      <c r="M1133" s="184">
        <f>VLOOKUP(F1133,'Annual distance covered (GB)'!$A$8:$H$33,MATCH(J1133,'Annual distance covered (GB)'!$A$7:$H$7,0))</f>
        <v>5.0999999999999996</v>
      </c>
      <c r="N1133" s="2">
        <f t="shared" ca="1" si="48"/>
        <v>3564.2575919667697</v>
      </c>
      <c r="O1133" s="180">
        <f t="shared" ca="1" si="49"/>
        <v>1.9385046634282525E-2</v>
      </c>
      <c r="P1133" s="180"/>
      <c r="Q1133" s="180"/>
      <c r="R1133" s="180"/>
      <c r="S1133" s="180"/>
      <c r="T1133" s="180"/>
    </row>
    <row r="1134" spans="1:20" x14ac:dyDescent="0.25">
      <c r="A1134" t="s">
        <v>236</v>
      </c>
      <c r="B1134" t="s">
        <v>237</v>
      </c>
      <c r="C1134" t="s">
        <v>238</v>
      </c>
      <c r="D1134" t="s">
        <v>239</v>
      </c>
      <c r="E1134" t="s">
        <v>228</v>
      </c>
      <c r="F1134">
        <v>2004</v>
      </c>
      <c r="G1134">
        <v>1.3984E-2</v>
      </c>
      <c r="H1134" t="s">
        <v>240</v>
      </c>
      <c r="I1134" t="s">
        <v>241</v>
      </c>
      <c r="J1134" t="s">
        <v>242</v>
      </c>
      <c r="K1134" s="183">
        <f ca="1">VLOOKUP(F1134,
    OFFSET(INDIRECT(ADDRESS(MATCH(J1134,'Vehicle numbers'!$A$5:$A$162,0),1,1,1,$L$6)),4,1,COUNTIF('Vehicle numbers'!$A$5:$A$162,J1134),4),
    MATCH(K$8,'Vehicle numbers'!$B$4:$D$4,0))*1000</f>
        <v>177659</v>
      </c>
      <c r="L1134" s="183">
        <f ca="1">VLOOKUP(F1134,
    OFFSET(INDIRECT(ADDRESS(MATCH(J1134,'Vehicle numbers'!$A$5:$A$162,0),1,1,1,$L$6)),4,1,COUNTIF('Vehicle numbers'!$A$5:$A$162,J1134),4),
    MATCH(L$8,'Vehicle numbers'!$B$4:$D$4,0))*1000</f>
        <v>183866.3408559135</v>
      </c>
      <c r="M1134" s="184">
        <f>VLOOKUP(F1134,'Annual distance covered (GB)'!$A$8:$H$33,MATCH(J1134,'Annual distance covered (GB)'!$A$7:$H$7,0))</f>
        <v>5.0999999999999996</v>
      </c>
      <c r="N1134" s="2">
        <f t="shared" ca="1" si="48"/>
        <v>73810.238961709678</v>
      </c>
      <c r="O1134" s="180">
        <f t="shared" ca="1" si="49"/>
        <v>0.40143420823037385</v>
      </c>
      <c r="P1134" s="180"/>
      <c r="Q1134" s="180"/>
      <c r="R1134" s="180"/>
      <c r="S1134" s="180"/>
      <c r="T1134" s="180"/>
    </row>
    <row r="1135" spans="1:20" x14ac:dyDescent="0.25">
      <c r="A1135" t="s">
        <v>243</v>
      </c>
      <c r="B1135" t="s">
        <v>237</v>
      </c>
      <c r="C1135" t="s">
        <v>238</v>
      </c>
      <c r="D1135" t="s">
        <v>239</v>
      </c>
      <c r="E1135" t="s">
        <v>228</v>
      </c>
      <c r="F1135">
        <v>2004</v>
      </c>
      <c r="G1135">
        <v>9.7888000000000003E-3</v>
      </c>
      <c r="H1135" t="s">
        <v>240</v>
      </c>
      <c r="I1135" t="s">
        <v>241</v>
      </c>
      <c r="J1135" t="s">
        <v>242</v>
      </c>
      <c r="K1135" s="183">
        <f ca="1">VLOOKUP(F1135,
    OFFSET(INDIRECT(ADDRESS(MATCH(J1135,'Vehicle numbers'!$A$5:$A$162,0),1,1,1,$L$6)),4,1,COUNTIF('Vehicle numbers'!$A$5:$A$162,J1135),4),
    MATCH(K$8,'Vehicle numbers'!$B$4:$D$4,0))*1000</f>
        <v>177659</v>
      </c>
      <c r="L1135" s="183">
        <f ca="1">VLOOKUP(F1135,
    OFFSET(INDIRECT(ADDRESS(MATCH(J1135,'Vehicle numbers'!$A$5:$A$162,0),1,1,1,$L$6)),4,1,COUNTIF('Vehicle numbers'!$A$5:$A$162,J1135),4),
    MATCH(L$8,'Vehicle numbers'!$B$4:$D$4,0))*1000</f>
        <v>183866.3408559135</v>
      </c>
      <c r="M1135" s="184">
        <f>VLOOKUP(F1135,'Annual distance covered (GB)'!$A$8:$H$33,MATCH(J1135,'Annual distance covered (GB)'!$A$7:$H$7,0))</f>
        <v>5.0999999999999996</v>
      </c>
      <c r="N1135" s="2">
        <f t="shared" ca="1" si="48"/>
        <v>51667.16727319677</v>
      </c>
      <c r="O1135" s="180">
        <f t="shared" ca="1" si="49"/>
        <v>0.2810039457612617</v>
      </c>
      <c r="P1135" s="180"/>
      <c r="Q1135" s="180"/>
      <c r="R1135" s="180"/>
      <c r="S1135" s="180"/>
      <c r="T1135" s="180"/>
    </row>
    <row r="1136" spans="1:20" x14ac:dyDescent="0.25">
      <c r="A1136" t="s">
        <v>244</v>
      </c>
      <c r="B1136" t="s">
        <v>237</v>
      </c>
      <c r="C1136" t="s">
        <v>238</v>
      </c>
      <c r="D1136" t="s">
        <v>239</v>
      </c>
      <c r="E1136" t="s">
        <v>228</v>
      </c>
      <c r="F1136">
        <v>2004</v>
      </c>
      <c r="G1136">
        <v>1.3787042253521099E-3</v>
      </c>
      <c r="H1136" t="s">
        <v>240</v>
      </c>
      <c r="I1136" t="s">
        <v>241</v>
      </c>
      <c r="J1136" t="s">
        <v>242</v>
      </c>
      <c r="K1136" s="183">
        <f ca="1">VLOOKUP(F1136,
    OFFSET(INDIRECT(ADDRESS(MATCH(J1136,'Vehicle numbers'!$A$5:$A$162,0),1,1,1,$L$6)),4,1,COUNTIF('Vehicle numbers'!$A$5:$A$162,J1136),4),
    MATCH(K$8,'Vehicle numbers'!$B$4:$D$4,0))*1000</f>
        <v>177659</v>
      </c>
      <c r="L1136" s="183">
        <f ca="1">VLOOKUP(F1136,
    OFFSET(INDIRECT(ADDRESS(MATCH(J1136,'Vehicle numbers'!$A$5:$A$162,0),1,1,1,$L$6)),4,1,COUNTIF('Vehicle numbers'!$A$5:$A$162,J1136),4),
    MATCH(L$8,'Vehicle numbers'!$B$4:$D$4,0))*1000</f>
        <v>183866.3408559135</v>
      </c>
      <c r="M1136" s="184">
        <f>VLOOKUP(F1136,'Annual distance covered (GB)'!$A$8:$H$33,MATCH(J1136,'Annual distance covered (GB)'!$A$7:$H$7,0))</f>
        <v>5.0999999999999996</v>
      </c>
      <c r="N1136" s="2">
        <f t="shared" ca="1" si="48"/>
        <v>7277.0658131262917</v>
      </c>
      <c r="O1136" s="180">
        <f t="shared" ca="1" si="49"/>
        <v>3.9578020529755092E-2</v>
      </c>
      <c r="P1136" s="180"/>
      <c r="Q1136" s="180"/>
      <c r="R1136" s="180"/>
      <c r="S1136" s="180"/>
      <c r="T1136" s="180"/>
    </row>
    <row r="1137" spans="1:20" x14ac:dyDescent="0.25">
      <c r="A1137" t="s">
        <v>246</v>
      </c>
      <c r="B1137" t="s">
        <v>237</v>
      </c>
      <c r="C1137" t="s">
        <v>238</v>
      </c>
      <c r="D1137" t="s">
        <v>239</v>
      </c>
      <c r="E1137" t="s">
        <v>228</v>
      </c>
      <c r="F1137">
        <v>2004</v>
      </c>
      <c r="G1137">
        <v>1.10296338028169E-3</v>
      </c>
      <c r="H1137" t="s">
        <v>240</v>
      </c>
      <c r="I1137" t="s">
        <v>241</v>
      </c>
      <c r="J1137" t="s">
        <v>242</v>
      </c>
      <c r="K1137" s="183">
        <f ca="1">VLOOKUP(F1137,
    OFFSET(INDIRECT(ADDRESS(MATCH(J1137,'Vehicle numbers'!$A$5:$A$162,0),1,1,1,$L$6)),4,1,COUNTIF('Vehicle numbers'!$A$5:$A$162,J1137),4),
    MATCH(K$8,'Vehicle numbers'!$B$4:$D$4,0))*1000</f>
        <v>177659</v>
      </c>
      <c r="L1137" s="183">
        <f ca="1">VLOOKUP(F1137,
    OFFSET(INDIRECT(ADDRESS(MATCH(J1137,'Vehicle numbers'!$A$5:$A$162,0),1,1,1,$L$6)),4,1,COUNTIF('Vehicle numbers'!$A$5:$A$162,J1137),4),
    MATCH(L$8,'Vehicle numbers'!$B$4:$D$4,0))*1000</f>
        <v>183866.3408559135</v>
      </c>
      <c r="M1137" s="184">
        <f>VLOOKUP(F1137,'Annual distance covered (GB)'!$A$8:$H$33,MATCH(J1137,'Annual distance covered (GB)'!$A$7:$H$7,0))</f>
        <v>5.0999999999999996</v>
      </c>
      <c r="N1137" s="2">
        <f t="shared" ca="1" si="48"/>
        <v>5821.6526505010452</v>
      </c>
      <c r="O1137" s="180">
        <f t="shared" ca="1" si="49"/>
        <v>3.1662416423804136E-2</v>
      </c>
      <c r="P1137" s="180"/>
      <c r="Q1137" s="180"/>
      <c r="R1137" s="180"/>
      <c r="S1137" s="180"/>
      <c r="T1137" s="180"/>
    </row>
    <row r="1138" spans="1:20" x14ac:dyDescent="0.25">
      <c r="A1138" t="s">
        <v>236</v>
      </c>
      <c r="B1138" t="s">
        <v>237</v>
      </c>
      <c r="C1138" t="s">
        <v>238</v>
      </c>
      <c r="D1138" t="s">
        <v>248</v>
      </c>
      <c r="E1138" t="s">
        <v>229</v>
      </c>
      <c r="F1138">
        <v>2004</v>
      </c>
      <c r="G1138">
        <v>2.7143E-2</v>
      </c>
      <c r="H1138" t="s">
        <v>240</v>
      </c>
      <c r="I1138" t="s">
        <v>241</v>
      </c>
      <c r="J1138" t="s">
        <v>242</v>
      </c>
      <c r="K1138" s="183">
        <f ca="1">VLOOKUP(F1138,
    OFFSET(INDIRECT(ADDRESS(MATCH(J1138,'Vehicle numbers'!$A$5:$A$162,0),1,1,1,$L$6)),4,1,COUNTIF('Vehicle numbers'!$A$5:$A$162,J1138),4),
    MATCH(K$8,'Vehicle numbers'!$B$4:$D$4,0))*1000</f>
        <v>177659</v>
      </c>
      <c r="L1138" s="183">
        <f ca="1">VLOOKUP(F1138,
    OFFSET(INDIRECT(ADDRESS(MATCH(J1138,'Vehicle numbers'!$A$5:$A$162,0),1,1,1,$L$6)),4,1,COUNTIF('Vehicle numbers'!$A$5:$A$162,J1138),4),
    MATCH(L$8,'Vehicle numbers'!$B$4:$D$4,0))*1000</f>
        <v>183866.3408559135</v>
      </c>
      <c r="M1138" s="184">
        <f>VLOOKUP(F1138,'Annual distance covered (GB)'!$A$8:$H$33,MATCH(J1138,'Annual distance covered (GB)'!$A$7:$H$7,0))</f>
        <v>5.0999999999999996</v>
      </c>
      <c r="N1138" s="2">
        <f t="shared" ca="1" si="48"/>
        <v>143265.96940343865</v>
      </c>
      <c r="O1138" s="180">
        <f t="shared" ca="1" si="49"/>
        <v>0.77918540574921624</v>
      </c>
      <c r="P1138" s="180"/>
      <c r="Q1138" s="180"/>
      <c r="R1138" s="180"/>
      <c r="S1138" s="180"/>
      <c r="T1138" s="180"/>
    </row>
    <row r="1139" spans="1:20" x14ac:dyDescent="0.25">
      <c r="A1139" t="s">
        <v>243</v>
      </c>
      <c r="B1139" t="s">
        <v>237</v>
      </c>
      <c r="C1139" t="s">
        <v>238</v>
      </c>
      <c r="D1139" t="s">
        <v>248</v>
      </c>
      <c r="E1139" t="s">
        <v>229</v>
      </c>
      <c r="F1139">
        <v>2004</v>
      </c>
      <c r="G1139">
        <v>1.0857199999999999E-2</v>
      </c>
      <c r="H1139" t="s">
        <v>240</v>
      </c>
      <c r="I1139" t="s">
        <v>241</v>
      </c>
      <c r="J1139" t="s">
        <v>242</v>
      </c>
      <c r="K1139" s="183">
        <f ca="1">VLOOKUP(F1139,
    OFFSET(INDIRECT(ADDRESS(MATCH(J1139,'Vehicle numbers'!$A$5:$A$162,0),1,1,1,$L$6)),4,1,COUNTIF('Vehicle numbers'!$A$5:$A$162,J1139),4),
    MATCH(K$8,'Vehicle numbers'!$B$4:$D$4,0))*1000</f>
        <v>177659</v>
      </c>
      <c r="L1139" s="183">
        <f ca="1">VLOOKUP(F1139,
    OFFSET(INDIRECT(ADDRESS(MATCH(J1139,'Vehicle numbers'!$A$5:$A$162,0),1,1,1,$L$6)),4,1,COUNTIF('Vehicle numbers'!$A$5:$A$162,J1139),4),
    MATCH(L$8,'Vehicle numbers'!$B$4:$D$4,0))*1000</f>
        <v>183866.3408559135</v>
      </c>
      <c r="M1139" s="184">
        <f>VLOOKUP(F1139,'Annual distance covered (GB)'!$A$8:$H$33,MATCH(J1139,'Annual distance covered (GB)'!$A$7:$H$7,0))</f>
        <v>5.0999999999999996</v>
      </c>
      <c r="N1139" s="2">
        <f t="shared" ca="1" si="48"/>
        <v>57306.387761375445</v>
      </c>
      <c r="O1139" s="180">
        <f t="shared" ca="1" si="49"/>
        <v>0.31167416229968642</v>
      </c>
      <c r="P1139" s="180"/>
      <c r="Q1139" s="180"/>
      <c r="R1139" s="180"/>
      <c r="S1139" s="180"/>
      <c r="T1139" s="180"/>
    </row>
    <row r="1140" spans="1:20" x14ac:dyDescent="0.25">
      <c r="A1140" t="s">
        <v>244</v>
      </c>
      <c r="B1140" t="s">
        <v>237</v>
      </c>
      <c r="C1140" t="s">
        <v>238</v>
      </c>
      <c r="D1140" t="s">
        <v>248</v>
      </c>
      <c r="E1140" t="s">
        <v>229</v>
      </c>
      <c r="F1140">
        <v>2004</v>
      </c>
      <c r="G1140">
        <v>2.7142999999999998E-3</v>
      </c>
      <c r="H1140" t="s">
        <v>240</v>
      </c>
      <c r="I1140" t="s">
        <v>241</v>
      </c>
      <c r="J1140" t="s">
        <v>242</v>
      </c>
      <c r="K1140" s="183">
        <f ca="1">VLOOKUP(F1140,
    OFFSET(INDIRECT(ADDRESS(MATCH(J1140,'Vehicle numbers'!$A$5:$A$162,0),1,1,1,$L$6)),4,1,COUNTIF('Vehicle numbers'!$A$5:$A$162,J1140),4),
    MATCH(K$8,'Vehicle numbers'!$B$4:$D$4,0))*1000</f>
        <v>177659</v>
      </c>
      <c r="L1140" s="183">
        <f ca="1">VLOOKUP(F1140,
    OFFSET(INDIRECT(ADDRESS(MATCH(J1140,'Vehicle numbers'!$A$5:$A$162,0),1,1,1,$L$6)),4,1,COUNTIF('Vehicle numbers'!$A$5:$A$162,J1140),4),
    MATCH(L$8,'Vehicle numbers'!$B$4:$D$4,0))*1000</f>
        <v>183866.3408559135</v>
      </c>
      <c r="M1140" s="184">
        <f>VLOOKUP(F1140,'Annual distance covered (GB)'!$A$8:$H$33,MATCH(J1140,'Annual distance covered (GB)'!$A$7:$H$7,0))</f>
        <v>5.0999999999999996</v>
      </c>
      <c r="N1140" s="2">
        <f t="shared" ca="1" si="48"/>
        <v>14326.596940343861</v>
      </c>
      <c r="O1140" s="180">
        <f t="shared" ca="1" si="49"/>
        <v>7.7918540574921605E-2</v>
      </c>
      <c r="P1140" s="180"/>
      <c r="Q1140" s="180"/>
      <c r="R1140" s="180"/>
      <c r="S1140" s="180"/>
      <c r="T1140" s="180"/>
    </row>
    <row r="1141" spans="1:20" x14ac:dyDescent="0.25">
      <c r="A1141" t="s">
        <v>246</v>
      </c>
      <c r="B1141" t="s">
        <v>237</v>
      </c>
      <c r="C1141" t="s">
        <v>238</v>
      </c>
      <c r="D1141" t="s">
        <v>248</v>
      </c>
      <c r="E1141" t="s">
        <v>229</v>
      </c>
      <c r="F1141">
        <v>2004</v>
      </c>
      <c r="G1141">
        <v>2.1714400000000002E-3</v>
      </c>
      <c r="H1141" t="s">
        <v>240</v>
      </c>
      <c r="I1141" t="s">
        <v>241</v>
      </c>
      <c r="J1141" t="s">
        <v>242</v>
      </c>
      <c r="K1141" s="183">
        <f ca="1">VLOOKUP(F1141,
    OFFSET(INDIRECT(ADDRESS(MATCH(J1141,'Vehicle numbers'!$A$5:$A$162,0),1,1,1,$L$6)),4,1,COUNTIF('Vehicle numbers'!$A$5:$A$162,J1141),4),
    MATCH(K$8,'Vehicle numbers'!$B$4:$D$4,0))*1000</f>
        <v>177659</v>
      </c>
      <c r="L1141" s="183">
        <f ca="1">VLOOKUP(F1141,
    OFFSET(INDIRECT(ADDRESS(MATCH(J1141,'Vehicle numbers'!$A$5:$A$162,0),1,1,1,$L$6)),4,1,COUNTIF('Vehicle numbers'!$A$5:$A$162,J1141),4),
    MATCH(L$8,'Vehicle numbers'!$B$4:$D$4,0))*1000</f>
        <v>183866.3408559135</v>
      </c>
      <c r="M1141" s="184">
        <f>VLOOKUP(F1141,'Annual distance covered (GB)'!$A$8:$H$33,MATCH(J1141,'Annual distance covered (GB)'!$A$7:$H$7,0))</f>
        <v>5.0999999999999996</v>
      </c>
      <c r="N1141" s="2">
        <f t="shared" ca="1" si="48"/>
        <v>11461.277552275089</v>
      </c>
      <c r="O1141" s="180">
        <f t="shared" ca="1" si="49"/>
        <v>6.2334832459937282E-2</v>
      </c>
      <c r="P1141" s="180"/>
      <c r="Q1141" s="180"/>
      <c r="R1141" s="180"/>
      <c r="S1141" s="180"/>
      <c r="T1141" s="180"/>
    </row>
    <row r="1142" spans="1:20" x14ac:dyDescent="0.25">
      <c r="A1142" t="s">
        <v>236</v>
      </c>
      <c r="B1142" t="s">
        <v>237</v>
      </c>
      <c r="C1142" t="s">
        <v>238</v>
      </c>
      <c r="D1142" t="s">
        <v>248</v>
      </c>
      <c r="E1142" t="s">
        <v>228</v>
      </c>
      <c r="F1142">
        <v>2004</v>
      </c>
      <c r="G1142">
        <v>1.6857898777956799E-2</v>
      </c>
      <c r="H1142" t="s">
        <v>240</v>
      </c>
      <c r="I1142" t="s">
        <v>241</v>
      </c>
      <c r="J1142" t="s">
        <v>242</v>
      </c>
      <c r="K1142" s="183">
        <f ca="1">VLOOKUP(F1142,
    OFFSET(INDIRECT(ADDRESS(MATCH(J1142,'Vehicle numbers'!$A$5:$A$162,0),1,1,1,$L$6)),4,1,COUNTIF('Vehicle numbers'!$A$5:$A$162,J1142),4),
    MATCH(K$8,'Vehicle numbers'!$B$4:$D$4,0))*1000</f>
        <v>177659</v>
      </c>
      <c r="L1142" s="183">
        <f ca="1">VLOOKUP(F1142,
    OFFSET(INDIRECT(ADDRESS(MATCH(J1142,'Vehicle numbers'!$A$5:$A$162,0),1,1,1,$L$6)),4,1,COUNTIF('Vehicle numbers'!$A$5:$A$162,J1142),4),
    MATCH(L$8,'Vehicle numbers'!$B$4:$D$4,0))*1000</f>
        <v>183866.3408559135</v>
      </c>
      <c r="M1142" s="184">
        <f>VLOOKUP(F1142,'Annual distance covered (GB)'!$A$8:$H$33,MATCH(J1142,'Annual distance covered (GB)'!$A$7:$H$7,0))</f>
        <v>5.0999999999999996</v>
      </c>
      <c r="N1142" s="2">
        <f t="shared" ca="1" si="48"/>
        <v>88979.228918285517</v>
      </c>
      <c r="O1142" s="180">
        <f t="shared" ca="1" si="49"/>
        <v>0.48393429979668717</v>
      </c>
      <c r="P1142" s="180"/>
      <c r="Q1142" s="180"/>
      <c r="R1142" s="180"/>
      <c r="S1142" s="180"/>
      <c r="T1142" s="180"/>
    </row>
    <row r="1143" spans="1:20" x14ac:dyDescent="0.25">
      <c r="A1143" t="s">
        <v>243</v>
      </c>
      <c r="B1143" t="s">
        <v>237</v>
      </c>
      <c r="C1143" t="s">
        <v>238</v>
      </c>
      <c r="D1143" t="s">
        <v>248</v>
      </c>
      <c r="E1143" t="s">
        <v>228</v>
      </c>
      <c r="F1143">
        <v>2004</v>
      </c>
      <c r="G1143">
        <v>1.1800529144569799E-2</v>
      </c>
      <c r="H1143" t="s">
        <v>240</v>
      </c>
      <c r="I1143" t="s">
        <v>241</v>
      </c>
      <c r="J1143" t="s">
        <v>242</v>
      </c>
      <c r="K1143" s="183">
        <f ca="1">VLOOKUP(F1143,
    OFFSET(INDIRECT(ADDRESS(MATCH(J1143,'Vehicle numbers'!$A$5:$A$162,0),1,1,1,$L$6)),4,1,COUNTIF('Vehicle numbers'!$A$5:$A$162,J1143),4),
    MATCH(K$8,'Vehicle numbers'!$B$4:$D$4,0))*1000</f>
        <v>177659</v>
      </c>
      <c r="L1143" s="183">
        <f ca="1">VLOOKUP(F1143,
    OFFSET(INDIRECT(ADDRESS(MATCH(J1143,'Vehicle numbers'!$A$5:$A$162,0),1,1,1,$L$6)),4,1,COUNTIF('Vehicle numbers'!$A$5:$A$162,J1143),4),
    MATCH(L$8,'Vehicle numbers'!$B$4:$D$4,0))*1000</f>
        <v>183866.3408559135</v>
      </c>
      <c r="M1143" s="184">
        <f>VLOOKUP(F1143,'Annual distance covered (GB)'!$A$8:$H$33,MATCH(J1143,'Annual distance covered (GB)'!$A$7:$H$7,0))</f>
        <v>5.0999999999999996</v>
      </c>
      <c r="N1143" s="2">
        <f t="shared" ca="1" si="48"/>
        <v>62285.46024280008</v>
      </c>
      <c r="O1143" s="180">
        <f t="shared" ca="1" si="49"/>
        <v>0.33875400985768223</v>
      </c>
      <c r="P1143" s="180"/>
      <c r="Q1143" s="180"/>
      <c r="R1143" s="180"/>
      <c r="S1143" s="180"/>
      <c r="T1143" s="180"/>
    </row>
    <row r="1144" spans="1:20" x14ac:dyDescent="0.25">
      <c r="A1144" t="s">
        <v>244</v>
      </c>
      <c r="B1144" t="s">
        <v>237</v>
      </c>
      <c r="C1144" t="s">
        <v>238</v>
      </c>
      <c r="D1144" t="s">
        <v>248</v>
      </c>
      <c r="E1144" t="s">
        <v>228</v>
      </c>
      <c r="F1144">
        <v>2004</v>
      </c>
      <c r="G1144">
        <v>1.66204635839011E-3</v>
      </c>
      <c r="H1144" t="s">
        <v>240</v>
      </c>
      <c r="I1144" t="s">
        <v>241</v>
      </c>
      <c r="J1144" t="s">
        <v>242</v>
      </c>
      <c r="K1144" s="183">
        <f ca="1">VLOOKUP(F1144,
    OFFSET(INDIRECT(ADDRESS(MATCH(J1144,'Vehicle numbers'!$A$5:$A$162,0),1,1,1,$L$6)),4,1,COUNTIF('Vehicle numbers'!$A$5:$A$162,J1144),4),
    MATCH(K$8,'Vehicle numbers'!$B$4:$D$4,0))*1000</f>
        <v>177659</v>
      </c>
      <c r="L1144" s="183">
        <f ca="1">VLOOKUP(F1144,
    OFFSET(INDIRECT(ADDRESS(MATCH(J1144,'Vehicle numbers'!$A$5:$A$162,0),1,1,1,$L$6)),4,1,COUNTIF('Vehicle numbers'!$A$5:$A$162,J1144),4),
    MATCH(L$8,'Vehicle numbers'!$B$4:$D$4,0))*1000</f>
        <v>183866.3408559135</v>
      </c>
      <c r="M1144" s="184">
        <f>VLOOKUP(F1144,'Annual distance covered (GB)'!$A$8:$H$33,MATCH(J1144,'Annual distance covered (GB)'!$A$7:$H$7,0))</f>
        <v>5.0999999999999996</v>
      </c>
      <c r="N1144" s="2">
        <f t="shared" ca="1" si="48"/>
        <v>8772.600034197183</v>
      </c>
      <c r="O1144" s="180">
        <f t="shared" ca="1" si="49"/>
        <v>4.7711832374321375E-2</v>
      </c>
      <c r="P1144" s="180"/>
      <c r="Q1144" s="180"/>
      <c r="R1144" s="180"/>
      <c r="S1144" s="180"/>
      <c r="T1144" s="180"/>
    </row>
    <row r="1145" spans="1:20" x14ac:dyDescent="0.25">
      <c r="A1145" t="s">
        <v>246</v>
      </c>
      <c r="B1145" t="s">
        <v>237</v>
      </c>
      <c r="C1145" t="s">
        <v>238</v>
      </c>
      <c r="D1145" t="s">
        <v>248</v>
      </c>
      <c r="E1145" t="s">
        <v>228</v>
      </c>
      <c r="F1145">
        <v>2004</v>
      </c>
      <c r="G1145">
        <v>1.32963708671209E-3</v>
      </c>
      <c r="H1145" t="s">
        <v>240</v>
      </c>
      <c r="I1145" t="s">
        <v>241</v>
      </c>
      <c r="J1145" t="s">
        <v>242</v>
      </c>
      <c r="K1145" s="183">
        <f ca="1">VLOOKUP(F1145,
    OFFSET(INDIRECT(ADDRESS(MATCH(J1145,'Vehicle numbers'!$A$5:$A$162,0),1,1,1,$L$6)),4,1,COUNTIF('Vehicle numbers'!$A$5:$A$162,J1145),4),
    MATCH(K$8,'Vehicle numbers'!$B$4:$D$4,0))*1000</f>
        <v>177659</v>
      </c>
      <c r="L1145" s="183">
        <f ca="1">VLOOKUP(F1145,
    OFFSET(INDIRECT(ADDRESS(MATCH(J1145,'Vehicle numbers'!$A$5:$A$162,0),1,1,1,$L$6)),4,1,COUNTIF('Vehicle numbers'!$A$5:$A$162,J1145),4),
    MATCH(L$8,'Vehicle numbers'!$B$4:$D$4,0))*1000</f>
        <v>183866.3408559135</v>
      </c>
      <c r="M1145" s="184">
        <f>VLOOKUP(F1145,'Annual distance covered (GB)'!$A$8:$H$33,MATCH(J1145,'Annual distance covered (GB)'!$A$7:$H$7,0))</f>
        <v>5.0999999999999996</v>
      </c>
      <c r="N1145" s="2">
        <f t="shared" ca="1" si="48"/>
        <v>7018.0800273577552</v>
      </c>
      <c r="O1145" s="180">
        <f t="shared" ca="1" si="49"/>
        <v>3.8169465899457147E-2</v>
      </c>
      <c r="P1145" s="180"/>
      <c r="Q1145" s="180"/>
      <c r="R1145" s="180"/>
      <c r="S1145" s="180"/>
      <c r="T1145" s="180"/>
    </row>
    <row r="1146" spans="1:20" x14ac:dyDescent="0.25">
      <c r="A1146" t="s">
        <v>236</v>
      </c>
      <c r="B1146" t="s">
        <v>237</v>
      </c>
      <c r="C1146" t="s">
        <v>238</v>
      </c>
      <c r="D1146" t="s">
        <v>249</v>
      </c>
      <c r="E1146" t="s">
        <v>229</v>
      </c>
      <c r="F1146">
        <v>2004</v>
      </c>
      <c r="G1146">
        <v>5.3594999999999997E-2</v>
      </c>
      <c r="H1146" t="s">
        <v>240</v>
      </c>
      <c r="I1146" t="s">
        <v>241</v>
      </c>
      <c r="J1146" t="s">
        <v>242</v>
      </c>
      <c r="K1146" s="183">
        <f ca="1">VLOOKUP(F1146,
    OFFSET(INDIRECT(ADDRESS(MATCH(J1146,'Vehicle numbers'!$A$5:$A$162,0),1,1,1,$L$6)),4,1,COUNTIF('Vehicle numbers'!$A$5:$A$162,J1146),4),
    MATCH(K$8,'Vehicle numbers'!$B$4:$D$4,0))*1000</f>
        <v>177659</v>
      </c>
      <c r="L1146" s="183">
        <f ca="1">VLOOKUP(F1146,
    OFFSET(INDIRECT(ADDRESS(MATCH(J1146,'Vehicle numbers'!$A$5:$A$162,0),1,1,1,$L$6)),4,1,COUNTIF('Vehicle numbers'!$A$5:$A$162,J1146),4),
    MATCH(L$8,'Vehicle numbers'!$B$4:$D$4,0))*1000</f>
        <v>183866.3408559135</v>
      </c>
      <c r="M1146" s="184">
        <f>VLOOKUP(F1146,'Annual distance covered (GB)'!$A$8:$H$33,MATCH(J1146,'Annual distance covered (GB)'!$A$7:$H$7,0))</f>
        <v>5.0999999999999996</v>
      </c>
      <c r="N1146" s="2">
        <f t="shared" ca="1" si="48"/>
        <v>282884.7080343843</v>
      </c>
      <c r="O1146" s="180">
        <f t="shared" ca="1" si="49"/>
        <v>1.5385344958600462</v>
      </c>
      <c r="P1146" s="180"/>
      <c r="Q1146" s="180"/>
      <c r="R1146" s="180"/>
      <c r="S1146" s="180"/>
      <c r="T1146" s="180"/>
    </row>
    <row r="1147" spans="1:20" x14ac:dyDescent="0.25">
      <c r="A1147" t="s">
        <v>243</v>
      </c>
      <c r="B1147" t="s">
        <v>237</v>
      </c>
      <c r="C1147" t="s">
        <v>238</v>
      </c>
      <c r="D1147" t="s">
        <v>249</v>
      </c>
      <c r="E1147" t="s">
        <v>229</v>
      </c>
      <c r="F1147">
        <v>2004</v>
      </c>
      <c r="G1147">
        <v>2.1437999999999999E-2</v>
      </c>
      <c r="H1147" t="s">
        <v>240</v>
      </c>
      <c r="I1147" t="s">
        <v>241</v>
      </c>
      <c r="J1147" t="s">
        <v>242</v>
      </c>
      <c r="K1147" s="183">
        <f ca="1">VLOOKUP(F1147,
    OFFSET(INDIRECT(ADDRESS(MATCH(J1147,'Vehicle numbers'!$A$5:$A$162,0),1,1,1,$L$6)),4,1,COUNTIF('Vehicle numbers'!$A$5:$A$162,J1147),4),
    MATCH(K$8,'Vehicle numbers'!$B$4:$D$4,0))*1000</f>
        <v>177659</v>
      </c>
      <c r="L1147" s="183">
        <f ca="1">VLOOKUP(F1147,
    OFFSET(INDIRECT(ADDRESS(MATCH(J1147,'Vehicle numbers'!$A$5:$A$162,0),1,1,1,$L$6)),4,1,COUNTIF('Vehicle numbers'!$A$5:$A$162,J1147),4),
    MATCH(L$8,'Vehicle numbers'!$B$4:$D$4,0))*1000</f>
        <v>183866.3408559135</v>
      </c>
      <c r="M1147" s="184">
        <f>VLOOKUP(F1147,'Annual distance covered (GB)'!$A$8:$H$33,MATCH(J1147,'Annual distance covered (GB)'!$A$7:$H$7,0))</f>
        <v>5.0999999999999996</v>
      </c>
      <c r="N1147" s="2">
        <f t="shared" ca="1" si="48"/>
        <v>113153.8832137537</v>
      </c>
      <c r="O1147" s="180">
        <f t="shared" ca="1" si="49"/>
        <v>0.61541379834401833</v>
      </c>
      <c r="P1147" s="180"/>
      <c r="Q1147" s="180"/>
      <c r="R1147" s="180"/>
      <c r="S1147" s="180"/>
      <c r="T1147" s="180"/>
    </row>
    <row r="1148" spans="1:20" x14ac:dyDescent="0.25">
      <c r="A1148" t="s">
        <v>244</v>
      </c>
      <c r="B1148" t="s">
        <v>237</v>
      </c>
      <c r="C1148" t="s">
        <v>238</v>
      </c>
      <c r="D1148" t="s">
        <v>249</v>
      </c>
      <c r="E1148" t="s">
        <v>229</v>
      </c>
      <c r="F1148">
        <v>2004</v>
      </c>
      <c r="G1148">
        <v>5.3594999999999997E-3</v>
      </c>
      <c r="H1148" t="s">
        <v>240</v>
      </c>
      <c r="I1148" t="s">
        <v>241</v>
      </c>
      <c r="J1148" t="s">
        <v>242</v>
      </c>
      <c r="K1148" s="183">
        <f ca="1">VLOOKUP(F1148,
    OFFSET(INDIRECT(ADDRESS(MATCH(J1148,'Vehicle numbers'!$A$5:$A$162,0),1,1,1,$L$6)),4,1,COUNTIF('Vehicle numbers'!$A$5:$A$162,J1148),4),
    MATCH(K$8,'Vehicle numbers'!$B$4:$D$4,0))*1000</f>
        <v>177659</v>
      </c>
      <c r="L1148" s="183">
        <f ca="1">VLOOKUP(F1148,
    OFFSET(INDIRECT(ADDRESS(MATCH(J1148,'Vehicle numbers'!$A$5:$A$162,0),1,1,1,$L$6)),4,1,COUNTIF('Vehicle numbers'!$A$5:$A$162,J1148),4),
    MATCH(L$8,'Vehicle numbers'!$B$4:$D$4,0))*1000</f>
        <v>183866.3408559135</v>
      </c>
      <c r="M1148" s="184">
        <f>VLOOKUP(F1148,'Annual distance covered (GB)'!$A$8:$H$33,MATCH(J1148,'Annual distance covered (GB)'!$A$7:$H$7,0))</f>
        <v>5.0999999999999996</v>
      </c>
      <c r="N1148" s="2">
        <f t="shared" ca="1" si="48"/>
        <v>28288.470803438424</v>
      </c>
      <c r="O1148" s="180">
        <f t="shared" ca="1" si="49"/>
        <v>0.15385344958600458</v>
      </c>
      <c r="P1148" s="180"/>
      <c r="Q1148" s="180"/>
      <c r="R1148" s="180"/>
      <c r="S1148" s="180"/>
      <c r="T1148" s="180"/>
    </row>
    <row r="1149" spans="1:20" x14ac:dyDescent="0.25">
      <c r="A1149" t="s">
        <v>246</v>
      </c>
      <c r="B1149" t="s">
        <v>237</v>
      </c>
      <c r="C1149" t="s">
        <v>238</v>
      </c>
      <c r="D1149" t="s">
        <v>249</v>
      </c>
      <c r="E1149" t="s">
        <v>229</v>
      </c>
      <c r="F1149">
        <v>2004</v>
      </c>
      <c r="G1149">
        <v>4.2875999999999999E-3</v>
      </c>
      <c r="H1149" t="s">
        <v>240</v>
      </c>
      <c r="I1149" t="s">
        <v>241</v>
      </c>
      <c r="J1149" t="s">
        <v>242</v>
      </c>
      <c r="K1149" s="183">
        <f ca="1">VLOOKUP(F1149,
    OFFSET(INDIRECT(ADDRESS(MATCH(J1149,'Vehicle numbers'!$A$5:$A$162,0),1,1,1,$L$6)),4,1,COUNTIF('Vehicle numbers'!$A$5:$A$162,J1149),4),
    MATCH(K$8,'Vehicle numbers'!$B$4:$D$4,0))*1000</f>
        <v>177659</v>
      </c>
      <c r="L1149" s="183">
        <f ca="1">VLOOKUP(F1149,
    OFFSET(INDIRECT(ADDRESS(MATCH(J1149,'Vehicle numbers'!$A$5:$A$162,0),1,1,1,$L$6)),4,1,COUNTIF('Vehicle numbers'!$A$5:$A$162,J1149),4),
    MATCH(L$8,'Vehicle numbers'!$B$4:$D$4,0))*1000</f>
        <v>183866.3408559135</v>
      </c>
      <c r="M1149" s="184">
        <f>VLOOKUP(F1149,'Annual distance covered (GB)'!$A$8:$H$33,MATCH(J1149,'Annual distance covered (GB)'!$A$7:$H$7,0))</f>
        <v>5.0999999999999996</v>
      </c>
      <c r="N1149" s="2">
        <f t="shared" ca="1" si="48"/>
        <v>22630.776642750745</v>
      </c>
      <c r="O1149" s="180">
        <f t="shared" ca="1" si="49"/>
        <v>0.12308275966880371</v>
      </c>
      <c r="P1149" s="180"/>
      <c r="Q1149" s="180"/>
      <c r="R1149" s="180"/>
      <c r="S1149" s="180"/>
      <c r="T1149" s="180"/>
    </row>
    <row r="1150" spans="1:20" x14ac:dyDescent="0.25">
      <c r="A1150" t="s">
        <v>236</v>
      </c>
      <c r="B1150" t="s">
        <v>237</v>
      </c>
      <c r="C1150" t="s">
        <v>238</v>
      </c>
      <c r="D1150" t="s">
        <v>249</v>
      </c>
      <c r="E1150" t="s">
        <v>228</v>
      </c>
      <c r="F1150">
        <v>2004</v>
      </c>
      <c r="G1150">
        <v>2.13914971339755E-2</v>
      </c>
      <c r="H1150" t="s">
        <v>240</v>
      </c>
      <c r="I1150" t="s">
        <v>241</v>
      </c>
      <c r="J1150" t="s">
        <v>242</v>
      </c>
      <c r="K1150" s="183">
        <f ca="1">VLOOKUP(F1150,
    OFFSET(INDIRECT(ADDRESS(MATCH(J1150,'Vehicle numbers'!$A$5:$A$162,0),1,1,1,$L$6)),4,1,COUNTIF('Vehicle numbers'!$A$5:$A$162,J1150),4),
    MATCH(K$8,'Vehicle numbers'!$B$4:$D$4,0))*1000</f>
        <v>177659</v>
      </c>
      <c r="L1150" s="183">
        <f ca="1">VLOOKUP(F1150,
    OFFSET(INDIRECT(ADDRESS(MATCH(J1150,'Vehicle numbers'!$A$5:$A$162,0),1,1,1,$L$6)),4,1,COUNTIF('Vehicle numbers'!$A$5:$A$162,J1150),4),
    MATCH(L$8,'Vehicle numbers'!$B$4:$D$4,0))*1000</f>
        <v>183866.3408559135</v>
      </c>
      <c r="M1150" s="184">
        <f>VLOOKUP(F1150,'Annual distance covered (GB)'!$A$8:$H$33,MATCH(J1150,'Annual distance covered (GB)'!$A$7:$H$7,0))</f>
        <v>5.0999999999999996</v>
      </c>
      <c r="N1150" s="2">
        <f t="shared" ca="1" si="48"/>
        <v>112908.43215156317</v>
      </c>
      <c r="O1150" s="180">
        <f t="shared" ca="1" si="49"/>
        <v>0.61407885546623053</v>
      </c>
      <c r="P1150" s="180"/>
      <c r="Q1150" s="180"/>
      <c r="R1150" s="180"/>
      <c r="S1150" s="180"/>
      <c r="T1150" s="180"/>
    </row>
    <row r="1151" spans="1:20" x14ac:dyDescent="0.25">
      <c r="A1151" t="s">
        <v>243</v>
      </c>
      <c r="B1151" t="s">
        <v>237</v>
      </c>
      <c r="C1151" t="s">
        <v>238</v>
      </c>
      <c r="D1151" t="s">
        <v>249</v>
      </c>
      <c r="E1151" t="s">
        <v>228</v>
      </c>
      <c r="F1151">
        <v>2004</v>
      </c>
      <c r="G1151">
        <v>1.49740479937828E-2</v>
      </c>
      <c r="H1151" t="s">
        <v>240</v>
      </c>
      <c r="I1151" t="s">
        <v>241</v>
      </c>
      <c r="J1151" t="s">
        <v>242</v>
      </c>
      <c r="K1151" s="183">
        <f ca="1">VLOOKUP(F1151,
    OFFSET(INDIRECT(ADDRESS(MATCH(J1151,'Vehicle numbers'!$A$5:$A$162,0),1,1,1,$L$6)),4,1,COUNTIF('Vehicle numbers'!$A$5:$A$162,J1151),4),
    MATCH(K$8,'Vehicle numbers'!$B$4:$D$4,0))*1000</f>
        <v>177659</v>
      </c>
      <c r="L1151" s="183">
        <f ca="1">VLOOKUP(F1151,
    OFFSET(INDIRECT(ADDRESS(MATCH(J1151,'Vehicle numbers'!$A$5:$A$162,0),1,1,1,$L$6)),4,1,COUNTIF('Vehicle numbers'!$A$5:$A$162,J1151),4),
    MATCH(L$8,'Vehicle numbers'!$B$4:$D$4,0))*1000</f>
        <v>183866.3408559135</v>
      </c>
      <c r="M1151" s="184">
        <f>VLOOKUP(F1151,'Annual distance covered (GB)'!$A$8:$H$33,MATCH(J1151,'Annual distance covered (GB)'!$A$7:$H$7,0))</f>
        <v>5.0999999999999996</v>
      </c>
      <c r="N1151" s="2">
        <f t="shared" ca="1" si="48"/>
        <v>79035.902506093946</v>
      </c>
      <c r="O1151" s="180">
        <f t="shared" ca="1" si="49"/>
        <v>0.42985519882635986</v>
      </c>
      <c r="P1151" s="180"/>
      <c r="Q1151" s="180"/>
      <c r="R1151" s="180"/>
      <c r="S1151" s="180"/>
      <c r="T1151" s="180"/>
    </row>
    <row r="1152" spans="1:20" x14ac:dyDescent="0.25">
      <c r="A1152" t="s">
        <v>244</v>
      </c>
      <c r="B1152" t="s">
        <v>237</v>
      </c>
      <c r="C1152" t="s">
        <v>238</v>
      </c>
      <c r="D1152" t="s">
        <v>249</v>
      </c>
      <c r="E1152" t="s">
        <v>228</v>
      </c>
      <c r="F1152">
        <v>2004</v>
      </c>
      <c r="G1152">
        <v>2.1090208441947602E-3</v>
      </c>
      <c r="H1152" t="s">
        <v>240</v>
      </c>
      <c r="I1152" t="s">
        <v>241</v>
      </c>
      <c r="J1152" t="s">
        <v>242</v>
      </c>
      <c r="K1152" s="183">
        <f ca="1">VLOOKUP(F1152,
    OFFSET(INDIRECT(ADDRESS(MATCH(J1152,'Vehicle numbers'!$A$5:$A$162,0),1,1,1,$L$6)),4,1,COUNTIF('Vehicle numbers'!$A$5:$A$162,J1152),4),
    MATCH(K$8,'Vehicle numbers'!$B$4:$D$4,0))*1000</f>
        <v>177659</v>
      </c>
      <c r="L1152" s="183">
        <f ca="1">VLOOKUP(F1152,
    OFFSET(INDIRECT(ADDRESS(MATCH(J1152,'Vehicle numbers'!$A$5:$A$162,0),1,1,1,$L$6)),4,1,COUNTIF('Vehicle numbers'!$A$5:$A$162,J1152),4),
    MATCH(L$8,'Vehicle numbers'!$B$4:$D$4,0))*1000</f>
        <v>183866.3408559135</v>
      </c>
      <c r="M1152" s="184">
        <f>VLOOKUP(F1152,'Annual distance covered (GB)'!$A$8:$H$33,MATCH(J1152,'Annual distance covered (GB)'!$A$7:$H$7,0))</f>
        <v>5.0999999999999996</v>
      </c>
      <c r="N1152" s="2">
        <f t="shared" ca="1" si="48"/>
        <v>11131.817254379428</v>
      </c>
      <c r="O1152" s="180">
        <f t="shared" ca="1" si="49"/>
        <v>6.0542985750191521E-2</v>
      </c>
      <c r="P1152" s="180"/>
      <c r="Q1152" s="180"/>
      <c r="R1152" s="180"/>
      <c r="S1152" s="180"/>
      <c r="T1152" s="180"/>
    </row>
    <row r="1153" spans="1:20" x14ac:dyDescent="0.25">
      <c r="A1153" t="s">
        <v>246</v>
      </c>
      <c r="B1153" t="s">
        <v>237</v>
      </c>
      <c r="C1153" t="s">
        <v>238</v>
      </c>
      <c r="D1153" t="s">
        <v>249</v>
      </c>
      <c r="E1153" t="s">
        <v>228</v>
      </c>
      <c r="F1153">
        <v>2004</v>
      </c>
      <c r="G1153">
        <v>1.68721667535581E-3</v>
      </c>
      <c r="H1153" t="s">
        <v>240</v>
      </c>
      <c r="I1153" t="s">
        <v>241</v>
      </c>
      <c r="J1153" t="s">
        <v>242</v>
      </c>
      <c r="K1153" s="183">
        <f ca="1">VLOOKUP(F1153,
    OFFSET(INDIRECT(ADDRESS(MATCH(J1153,'Vehicle numbers'!$A$5:$A$162,0),1,1,1,$L$6)),4,1,COUNTIF('Vehicle numbers'!$A$5:$A$162,J1153),4),
    MATCH(K$8,'Vehicle numbers'!$B$4:$D$4,0))*1000</f>
        <v>177659</v>
      </c>
      <c r="L1153" s="183">
        <f ca="1">VLOOKUP(F1153,
    OFFSET(INDIRECT(ADDRESS(MATCH(J1153,'Vehicle numbers'!$A$5:$A$162,0),1,1,1,$L$6)),4,1,COUNTIF('Vehicle numbers'!$A$5:$A$162,J1153),4),
    MATCH(L$8,'Vehicle numbers'!$B$4:$D$4,0))*1000</f>
        <v>183866.3408559135</v>
      </c>
      <c r="M1153" s="184">
        <f>VLOOKUP(F1153,'Annual distance covered (GB)'!$A$8:$H$33,MATCH(J1153,'Annual distance covered (GB)'!$A$7:$H$7,0))</f>
        <v>5.0999999999999996</v>
      </c>
      <c r="N1153" s="2">
        <f t="shared" ca="1" si="48"/>
        <v>8905.4538035035512</v>
      </c>
      <c r="O1153" s="180">
        <f t="shared" ca="1" si="49"/>
        <v>4.8434388600153262E-2</v>
      </c>
      <c r="P1153" s="180"/>
      <c r="Q1153" s="180"/>
      <c r="R1153" s="180"/>
      <c r="S1153" s="180"/>
      <c r="T1153" s="180"/>
    </row>
    <row r="1154" spans="1:20" x14ac:dyDescent="0.25">
      <c r="A1154" t="s">
        <v>236</v>
      </c>
      <c r="B1154" t="s">
        <v>237</v>
      </c>
      <c r="C1154" t="s">
        <v>238</v>
      </c>
      <c r="D1154" t="s">
        <v>250</v>
      </c>
      <c r="E1154" t="s">
        <v>229</v>
      </c>
      <c r="F1154">
        <v>2004</v>
      </c>
      <c r="G1154">
        <v>1.3600000000000001E-3</v>
      </c>
      <c r="H1154" t="s">
        <v>240</v>
      </c>
      <c r="I1154" t="s">
        <v>241</v>
      </c>
      <c r="J1154" t="s">
        <v>2</v>
      </c>
      <c r="K1154" s="183">
        <f ca="1">VLOOKUP(F1154,
    OFFSET(INDIRECT(ADDRESS(MATCH(J1154,'Vehicle numbers'!$A$5:$A$162,0),1,1,1,$L$6)),4,1,COUNTIF('Vehicle numbers'!$A$5:$A$162,J1154),4),
    MATCH(K$8,'Vehicle numbers'!$B$4:$D$4,0))*1000</f>
        <v>27028099</v>
      </c>
      <c r="L1154" s="183">
        <f ca="1">VLOOKUP(F1154,
    OFFSET(INDIRECT(ADDRESS(MATCH(J1154,'Vehicle numbers'!$A$5:$A$162,0),1,1,1,$L$6)),4,1,COUNTIF('Vehicle numbers'!$A$5:$A$162,J1154),4),
    MATCH(L$8,'Vehicle numbers'!$B$4:$D$4,0))*1000</f>
        <v>27858740.013922796</v>
      </c>
      <c r="M1154" s="184">
        <f>VLOOKUP(F1154,'Annual distance covered (GB)'!$A$8:$H$33,MATCH(J1154,'Annual distance covered (GB)'!$A$7:$H$7,0))</f>
        <v>394.2</v>
      </c>
      <c r="N1154" s="2">
        <f t="shared" ca="1" si="48"/>
        <v>552588.06127446017</v>
      </c>
      <c r="O1154" s="180">
        <f t="shared" ca="1" si="49"/>
        <v>1.9835357270224587E-2</v>
      </c>
      <c r="P1154" s="180"/>
      <c r="Q1154" s="180"/>
      <c r="R1154" s="180"/>
      <c r="S1154" s="180"/>
      <c r="T1154" s="180"/>
    </row>
    <row r="1155" spans="1:20" x14ac:dyDescent="0.25">
      <c r="A1155" t="s">
        <v>243</v>
      </c>
      <c r="B1155" t="s">
        <v>237</v>
      </c>
      <c r="C1155" t="s">
        <v>238</v>
      </c>
      <c r="D1155" t="s">
        <v>250</v>
      </c>
      <c r="E1155" t="s">
        <v>229</v>
      </c>
      <c r="F1155">
        <v>2004</v>
      </c>
      <c r="G1155">
        <v>5.44E-4</v>
      </c>
      <c r="H1155" t="s">
        <v>240</v>
      </c>
      <c r="I1155" t="s">
        <v>241</v>
      </c>
      <c r="J1155" t="s">
        <v>2</v>
      </c>
      <c r="K1155" s="183">
        <f ca="1">VLOOKUP(F1155,
    OFFSET(INDIRECT(ADDRESS(MATCH(J1155,'Vehicle numbers'!$A$5:$A$162,0),1,1,1,$L$6)),4,1,COUNTIF('Vehicle numbers'!$A$5:$A$162,J1155),4),
    MATCH(K$8,'Vehicle numbers'!$B$4:$D$4,0))*1000</f>
        <v>27028099</v>
      </c>
      <c r="L1155" s="183">
        <f ca="1">VLOOKUP(F1155,
    OFFSET(INDIRECT(ADDRESS(MATCH(J1155,'Vehicle numbers'!$A$5:$A$162,0),1,1,1,$L$6)),4,1,COUNTIF('Vehicle numbers'!$A$5:$A$162,J1155),4),
    MATCH(L$8,'Vehicle numbers'!$B$4:$D$4,0))*1000</f>
        <v>27858740.013922796</v>
      </c>
      <c r="M1155" s="184">
        <f>VLOOKUP(F1155,'Annual distance covered (GB)'!$A$8:$H$33,MATCH(J1155,'Annual distance covered (GB)'!$A$7:$H$7,0))</f>
        <v>394.2</v>
      </c>
      <c r="N1155" s="2">
        <f t="shared" ca="1" si="48"/>
        <v>221035.22450978408</v>
      </c>
      <c r="O1155" s="180">
        <f t="shared" ca="1" si="49"/>
        <v>7.9341429080898359E-3</v>
      </c>
      <c r="P1155" s="180"/>
      <c r="Q1155" s="180"/>
      <c r="R1155" s="180"/>
      <c r="S1155" s="180"/>
      <c r="T1155" s="180"/>
    </row>
    <row r="1156" spans="1:20" x14ac:dyDescent="0.25">
      <c r="A1156" t="s">
        <v>244</v>
      </c>
      <c r="B1156" t="s">
        <v>237</v>
      </c>
      <c r="C1156" t="s">
        <v>238</v>
      </c>
      <c r="D1156" t="s">
        <v>250</v>
      </c>
      <c r="E1156" t="s">
        <v>229</v>
      </c>
      <c r="F1156">
        <v>2004</v>
      </c>
      <c r="G1156">
        <v>1.36E-4</v>
      </c>
      <c r="H1156" t="s">
        <v>240</v>
      </c>
      <c r="I1156" t="s">
        <v>241</v>
      </c>
      <c r="J1156" t="s">
        <v>2</v>
      </c>
      <c r="K1156" s="183">
        <f ca="1">VLOOKUP(F1156,
    OFFSET(INDIRECT(ADDRESS(MATCH(J1156,'Vehicle numbers'!$A$5:$A$162,0),1,1,1,$L$6)),4,1,COUNTIF('Vehicle numbers'!$A$5:$A$162,J1156),4),
    MATCH(K$8,'Vehicle numbers'!$B$4:$D$4,0))*1000</f>
        <v>27028099</v>
      </c>
      <c r="L1156" s="183">
        <f ca="1">VLOOKUP(F1156,
    OFFSET(INDIRECT(ADDRESS(MATCH(J1156,'Vehicle numbers'!$A$5:$A$162,0),1,1,1,$L$6)),4,1,COUNTIF('Vehicle numbers'!$A$5:$A$162,J1156),4),
    MATCH(L$8,'Vehicle numbers'!$B$4:$D$4,0))*1000</f>
        <v>27858740.013922796</v>
      </c>
      <c r="M1156" s="184">
        <f>VLOOKUP(F1156,'Annual distance covered (GB)'!$A$8:$H$33,MATCH(J1156,'Annual distance covered (GB)'!$A$7:$H$7,0))</f>
        <v>394.2</v>
      </c>
      <c r="N1156" s="2">
        <f t="shared" ca="1" si="48"/>
        <v>55258.80612744602</v>
      </c>
      <c r="O1156" s="180">
        <f t="shared" ca="1" si="49"/>
        <v>1.983535727022459E-3</v>
      </c>
      <c r="P1156" s="180"/>
      <c r="Q1156" s="180"/>
      <c r="R1156" s="180"/>
      <c r="S1156" s="180"/>
      <c r="T1156" s="180"/>
    </row>
    <row r="1157" spans="1:20" x14ac:dyDescent="0.25">
      <c r="A1157" t="s">
        <v>246</v>
      </c>
      <c r="B1157" t="s">
        <v>237</v>
      </c>
      <c r="C1157" t="s">
        <v>238</v>
      </c>
      <c r="D1157" t="s">
        <v>250</v>
      </c>
      <c r="E1157" t="s">
        <v>229</v>
      </c>
      <c r="F1157">
        <v>2004</v>
      </c>
      <c r="G1157">
        <v>1.088E-4</v>
      </c>
      <c r="H1157" t="s">
        <v>240</v>
      </c>
      <c r="I1157" t="s">
        <v>241</v>
      </c>
      <c r="J1157" t="s">
        <v>2</v>
      </c>
      <c r="K1157" s="183">
        <f ca="1">VLOOKUP(F1157,
    OFFSET(INDIRECT(ADDRESS(MATCH(J1157,'Vehicle numbers'!$A$5:$A$162,0),1,1,1,$L$6)),4,1,COUNTIF('Vehicle numbers'!$A$5:$A$162,J1157),4),
    MATCH(K$8,'Vehicle numbers'!$B$4:$D$4,0))*1000</f>
        <v>27028099</v>
      </c>
      <c r="L1157" s="183">
        <f ca="1">VLOOKUP(F1157,
    OFFSET(INDIRECT(ADDRESS(MATCH(J1157,'Vehicle numbers'!$A$5:$A$162,0),1,1,1,$L$6)),4,1,COUNTIF('Vehicle numbers'!$A$5:$A$162,J1157),4),
    MATCH(L$8,'Vehicle numbers'!$B$4:$D$4,0))*1000</f>
        <v>27858740.013922796</v>
      </c>
      <c r="M1157" s="184">
        <f>VLOOKUP(F1157,'Annual distance covered (GB)'!$A$8:$H$33,MATCH(J1157,'Annual distance covered (GB)'!$A$7:$H$7,0))</f>
        <v>394.2</v>
      </c>
      <c r="N1157" s="2">
        <f t="shared" ca="1" si="48"/>
        <v>44207.044901956819</v>
      </c>
      <c r="O1157" s="180">
        <f t="shared" ca="1" si="49"/>
        <v>1.5868285816179673E-3</v>
      </c>
      <c r="P1157" s="180"/>
      <c r="Q1157" s="180"/>
      <c r="R1157" s="180"/>
      <c r="S1157" s="180"/>
      <c r="T1157" s="180"/>
    </row>
    <row r="1158" spans="1:20" x14ac:dyDescent="0.25">
      <c r="A1158" t="s">
        <v>236</v>
      </c>
      <c r="B1158" t="s">
        <v>237</v>
      </c>
      <c r="C1158" t="s">
        <v>238</v>
      </c>
      <c r="D1158" t="s">
        <v>250</v>
      </c>
      <c r="E1158" t="s">
        <v>228</v>
      </c>
      <c r="F1158">
        <v>2004</v>
      </c>
      <c r="G1158">
        <v>5.7910000000000001E-3</v>
      </c>
      <c r="H1158" t="s">
        <v>240</v>
      </c>
      <c r="I1158" t="s">
        <v>241</v>
      </c>
      <c r="J1158" t="s">
        <v>2</v>
      </c>
      <c r="K1158" s="183">
        <f ca="1">VLOOKUP(F1158,
    OFFSET(INDIRECT(ADDRESS(MATCH(J1158,'Vehicle numbers'!$A$5:$A$162,0),1,1,1,$L$6)),4,1,COUNTIF('Vehicle numbers'!$A$5:$A$162,J1158),4),
    MATCH(K$8,'Vehicle numbers'!$B$4:$D$4,0))*1000</f>
        <v>27028099</v>
      </c>
      <c r="L1158" s="183">
        <f ca="1">VLOOKUP(F1158,
    OFFSET(INDIRECT(ADDRESS(MATCH(J1158,'Vehicle numbers'!$A$5:$A$162,0),1,1,1,$L$6)),4,1,COUNTIF('Vehicle numbers'!$A$5:$A$162,J1158),4),
    MATCH(L$8,'Vehicle numbers'!$B$4:$D$4,0))*1000</f>
        <v>27858740.013922796</v>
      </c>
      <c r="M1158" s="184">
        <f>VLOOKUP(F1158,'Annual distance covered (GB)'!$A$8:$H$33,MATCH(J1158,'Annual distance covered (GB)'!$A$7:$H$7,0))</f>
        <v>394.2</v>
      </c>
      <c r="N1158" s="2">
        <f t="shared" ca="1" si="48"/>
        <v>2352968.7226767642</v>
      </c>
      <c r="O1158" s="180">
        <f t="shared" ca="1" si="49"/>
        <v>8.4460701435198973E-2</v>
      </c>
      <c r="P1158" s="180"/>
      <c r="Q1158" s="180"/>
      <c r="R1158" s="180"/>
      <c r="S1158" s="180"/>
      <c r="T1158" s="180"/>
    </row>
    <row r="1159" spans="1:20" x14ac:dyDescent="0.25">
      <c r="A1159" t="s">
        <v>243</v>
      </c>
      <c r="B1159" t="s">
        <v>237</v>
      </c>
      <c r="C1159" t="s">
        <v>238</v>
      </c>
      <c r="D1159" t="s">
        <v>250</v>
      </c>
      <c r="E1159" t="s">
        <v>228</v>
      </c>
      <c r="F1159">
        <v>2004</v>
      </c>
      <c r="G1159">
        <v>4.0537000000000004E-3</v>
      </c>
      <c r="H1159" t="s">
        <v>240</v>
      </c>
      <c r="I1159" t="s">
        <v>241</v>
      </c>
      <c r="J1159" t="s">
        <v>2</v>
      </c>
      <c r="K1159" s="183">
        <f ca="1">VLOOKUP(F1159,
    OFFSET(INDIRECT(ADDRESS(MATCH(J1159,'Vehicle numbers'!$A$5:$A$162,0),1,1,1,$L$6)),4,1,COUNTIF('Vehicle numbers'!$A$5:$A$162,J1159),4),
    MATCH(K$8,'Vehicle numbers'!$B$4:$D$4,0))*1000</f>
        <v>27028099</v>
      </c>
      <c r="L1159" s="183">
        <f ca="1">VLOOKUP(F1159,
    OFFSET(INDIRECT(ADDRESS(MATCH(J1159,'Vehicle numbers'!$A$5:$A$162,0),1,1,1,$L$6)),4,1,COUNTIF('Vehicle numbers'!$A$5:$A$162,J1159),4),
    MATCH(L$8,'Vehicle numbers'!$B$4:$D$4,0))*1000</f>
        <v>27858740.013922796</v>
      </c>
      <c r="M1159" s="184">
        <f>VLOOKUP(F1159,'Annual distance covered (GB)'!$A$8:$H$33,MATCH(J1159,'Annual distance covered (GB)'!$A$7:$H$7,0))</f>
        <v>394.2</v>
      </c>
      <c r="N1159" s="2">
        <f t="shared" ca="1" si="48"/>
        <v>1647078.1058737349</v>
      </c>
      <c r="O1159" s="180">
        <f t="shared" ca="1" si="49"/>
        <v>5.9122491004639281E-2</v>
      </c>
      <c r="P1159" s="180"/>
      <c r="Q1159" s="180"/>
      <c r="R1159" s="180"/>
      <c r="S1159" s="180"/>
      <c r="T1159" s="180"/>
    </row>
    <row r="1160" spans="1:20" x14ac:dyDescent="0.25">
      <c r="A1160" t="s">
        <v>244</v>
      </c>
      <c r="B1160" t="s">
        <v>237</v>
      </c>
      <c r="C1160" t="s">
        <v>238</v>
      </c>
      <c r="D1160" t="s">
        <v>250</v>
      </c>
      <c r="E1160" t="s">
        <v>228</v>
      </c>
      <c r="F1160">
        <v>2004</v>
      </c>
      <c r="G1160">
        <v>5.7094366197182997E-4</v>
      </c>
      <c r="H1160" t="s">
        <v>240</v>
      </c>
      <c r="I1160" t="s">
        <v>241</v>
      </c>
      <c r="J1160" t="s">
        <v>2</v>
      </c>
      <c r="K1160" s="183">
        <f ca="1">VLOOKUP(F1160,
    OFFSET(INDIRECT(ADDRESS(MATCH(J1160,'Vehicle numbers'!$A$5:$A$162,0),1,1,1,$L$6)),4,1,COUNTIF('Vehicle numbers'!$A$5:$A$162,J1160),4),
    MATCH(K$8,'Vehicle numbers'!$B$4:$D$4,0))*1000</f>
        <v>27028099</v>
      </c>
      <c r="L1160" s="183">
        <f ca="1">VLOOKUP(F1160,
    OFFSET(INDIRECT(ADDRESS(MATCH(J1160,'Vehicle numbers'!$A$5:$A$162,0),1,1,1,$L$6)),4,1,COUNTIF('Vehicle numbers'!$A$5:$A$162,J1160),4),
    MATCH(L$8,'Vehicle numbers'!$B$4:$D$4,0))*1000</f>
        <v>27858740.013922796</v>
      </c>
      <c r="M1160" s="184">
        <f>VLOOKUP(F1160,'Annual distance covered (GB)'!$A$8:$H$33,MATCH(J1160,'Annual distance covered (GB)'!$A$7:$H$7,0))</f>
        <v>394.2</v>
      </c>
      <c r="N1160" s="2">
        <f t="shared" ca="1" si="48"/>
        <v>231982.83181320169</v>
      </c>
      <c r="O1160" s="180">
        <f t="shared" ca="1" si="49"/>
        <v>8.3271114091041099E-3</v>
      </c>
      <c r="P1160" s="180"/>
      <c r="Q1160" s="180"/>
      <c r="R1160" s="180"/>
      <c r="S1160" s="180"/>
      <c r="T1160" s="180"/>
    </row>
    <row r="1161" spans="1:20" x14ac:dyDescent="0.25">
      <c r="A1161" t="s">
        <v>246</v>
      </c>
      <c r="B1161" t="s">
        <v>237</v>
      </c>
      <c r="C1161" t="s">
        <v>238</v>
      </c>
      <c r="D1161" t="s">
        <v>250</v>
      </c>
      <c r="E1161" t="s">
        <v>228</v>
      </c>
      <c r="F1161">
        <v>2004</v>
      </c>
      <c r="G1161">
        <v>4.5675492957746402E-4</v>
      </c>
      <c r="H1161" t="s">
        <v>240</v>
      </c>
      <c r="I1161" t="s">
        <v>241</v>
      </c>
      <c r="J1161" t="s">
        <v>2</v>
      </c>
      <c r="K1161" s="183">
        <f ca="1">VLOOKUP(F1161,
    OFFSET(INDIRECT(ADDRESS(MATCH(J1161,'Vehicle numbers'!$A$5:$A$162,0),1,1,1,$L$6)),4,1,COUNTIF('Vehicle numbers'!$A$5:$A$162,J1161),4),
    MATCH(K$8,'Vehicle numbers'!$B$4:$D$4,0))*1000</f>
        <v>27028099</v>
      </c>
      <c r="L1161" s="183">
        <f ca="1">VLOOKUP(F1161,
    OFFSET(INDIRECT(ADDRESS(MATCH(J1161,'Vehicle numbers'!$A$5:$A$162,0),1,1,1,$L$6)),4,1,COUNTIF('Vehicle numbers'!$A$5:$A$162,J1161),4),
    MATCH(L$8,'Vehicle numbers'!$B$4:$D$4,0))*1000</f>
        <v>27858740.013922796</v>
      </c>
      <c r="M1161" s="184">
        <f>VLOOKUP(F1161,'Annual distance covered (GB)'!$A$8:$H$33,MATCH(J1161,'Annual distance covered (GB)'!$A$7:$H$7,0))</f>
        <v>394.2</v>
      </c>
      <c r="N1161" s="2">
        <f t="shared" ca="1" si="48"/>
        <v>185586.26545056136</v>
      </c>
      <c r="O1161" s="180">
        <f t="shared" ca="1" si="49"/>
        <v>6.6616891272832882E-3</v>
      </c>
      <c r="P1161" s="180"/>
      <c r="Q1161" s="180"/>
      <c r="R1161" s="180"/>
      <c r="S1161" s="180"/>
      <c r="T1161" s="180"/>
    </row>
    <row r="1162" spans="1:20" x14ac:dyDescent="0.25">
      <c r="A1162" t="s">
        <v>236</v>
      </c>
      <c r="B1162" t="s">
        <v>237</v>
      </c>
      <c r="C1162" t="s">
        <v>238</v>
      </c>
      <c r="D1162" t="s">
        <v>255</v>
      </c>
      <c r="E1162" t="s">
        <v>229</v>
      </c>
      <c r="F1162">
        <v>2004</v>
      </c>
      <c r="G1162">
        <v>5.5269999999999998E-3</v>
      </c>
      <c r="H1162" t="s">
        <v>240</v>
      </c>
      <c r="I1162" t="s">
        <v>241</v>
      </c>
      <c r="J1162" t="s">
        <v>2</v>
      </c>
      <c r="K1162" s="183">
        <f ca="1">VLOOKUP(F1162,
    OFFSET(INDIRECT(ADDRESS(MATCH(J1162,'Vehicle numbers'!$A$5:$A$162,0),1,1,1,$L$6)),4,1,COUNTIF('Vehicle numbers'!$A$5:$A$162,J1162),4),
    MATCH(K$8,'Vehicle numbers'!$B$4:$D$4,0))*1000</f>
        <v>27028099</v>
      </c>
      <c r="L1162" s="183">
        <f ca="1">VLOOKUP(F1162,
    OFFSET(INDIRECT(ADDRESS(MATCH(J1162,'Vehicle numbers'!$A$5:$A$162,0),1,1,1,$L$6)),4,1,COUNTIF('Vehicle numbers'!$A$5:$A$162,J1162),4),
    MATCH(L$8,'Vehicle numbers'!$B$4:$D$4,0))*1000</f>
        <v>27858740.013922796</v>
      </c>
      <c r="M1162" s="184">
        <f>VLOOKUP(F1162,'Annual distance covered (GB)'!$A$8:$H$33,MATCH(J1162,'Annual distance covered (GB)'!$A$7:$H$7,0))</f>
        <v>394.2</v>
      </c>
      <c r="N1162" s="2">
        <f t="shared" ca="1" si="48"/>
        <v>2245701.6284293681</v>
      </c>
      <c r="O1162" s="180">
        <f t="shared" ca="1" si="49"/>
        <v>8.0610308553331816E-2</v>
      </c>
      <c r="P1162" s="180"/>
      <c r="Q1162" s="180"/>
      <c r="R1162" s="180"/>
      <c r="S1162" s="180"/>
      <c r="T1162" s="180"/>
    </row>
    <row r="1163" spans="1:20" x14ac:dyDescent="0.25">
      <c r="A1163" t="s">
        <v>243</v>
      </c>
      <c r="B1163" t="s">
        <v>237</v>
      </c>
      <c r="C1163" t="s">
        <v>238</v>
      </c>
      <c r="D1163" t="s">
        <v>255</v>
      </c>
      <c r="E1163" t="s">
        <v>229</v>
      </c>
      <c r="F1163">
        <v>2004</v>
      </c>
      <c r="G1163">
        <v>2.2108000000000002E-3</v>
      </c>
      <c r="H1163" t="s">
        <v>240</v>
      </c>
      <c r="I1163" t="s">
        <v>241</v>
      </c>
      <c r="J1163" t="s">
        <v>2</v>
      </c>
      <c r="K1163" s="183">
        <f ca="1">VLOOKUP(F1163,
    OFFSET(INDIRECT(ADDRESS(MATCH(J1163,'Vehicle numbers'!$A$5:$A$162,0),1,1,1,$L$6)),4,1,COUNTIF('Vehicle numbers'!$A$5:$A$162,J1163),4),
    MATCH(K$8,'Vehicle numbers'!$B$4:$D$4,0))*1000</f>
        <v>27028099</v>
      </c>
      <c r="L1163" s="183">
        <f ca="1">VLOOKUP(F1163,
    OFFSET(INDIRECT(ADDRESS(MATCH(J1163,'Vehicle numbers'!$A$5:$A$162,0),1,1,1,$L$6)),4,1,COUNTIF('Vehicle numbers'!$A$5:$A$162,J1163),4),
    MATCH(L$8,'Vehicle numbers'!$B$4:$D$4,0))*1000</f>
        <v>27858740.013922796</v>
      </c>
      <c r="M1163" s="184">
        <f>VLOOKUP(F1163,'Annual distance covered (GB)'!$A$8:$H$33,MATCH(J1163,'Annual distance covered (GB)'!$A$7:$H$7,0))</f>
        <v>394.2</v>
      </c>
      <c r="N1163" s="2">
        <f t="shared" ref="N1163:N1226" ca="1" si="50">M1163*G1163*1000000*(L1163/K1163)</f>
        <v>898280.65137174749</v>
      </c>
      <c r="O1163" s="180">
        <f t="shared" ref="O1163:O1226" ca="1" si="51">N1163/L1163</f>
        <v>3.2244123421332739E-2</v>
      </c>
      <c r="P1163" s="180"/>
      <c r="Q1163" s="180"/>
      <c r="R1163" s="180"/>
      <c r="S1163" s="180"/>
      <c r="T1163" s="180"/>
    </row>
    <row r="1164" spans="1:20" x14ac:dyDescent="0.25">
      <c r="A1164" t="s">
        <v>244</v>
      </c>
      <c r="B1164" t="s">
        <v>237</v>
      </c>
      <c r="C1164" t="s">
        <v>238</v>
      </c>
      <c r="D1164" t="s">
        <v>255</v>
      </c>
      <c r="E1164" t="s">
        <v>229</v>
      </c>
      <c r="F1164">
        <v>2004</v>
      </c>
      <c r="G1164">
        <v>5.5270000000000004E-4</v>
      </c>
      <c r="H1164" t="s">
        <v>240</v>
      </c>
      <c r="I1164" t="s">
        <v>241</v>
      </c>
      <c r="J1164" t="s">
        <v>2</v>
      </c>
      <c r="K1164" s="183">
        <f ca="1">VLOOKUP(F1164,
    OFFSET(INDIRECT(ADDRESS(MATCH(J1164,'Vehicle numbers'!$A$5:$A$162,0),1,1,1,$L$6)),4,1,COUNTIF('Vehicle numbers'!$A$5:$A$162,J1164),4),
    MATCH(K$8,'Vehicle numbers'!$B$4:$D$4,0))*1000</f>
        <v>27028099</v>
      </c>
      <c r="L1164" s="183">
        <f ca="1">VLOOKUP(F1164,
    OFFSET(INDIRECT(ADDRESS(MATCH(J1164,'Vehicle numbers'!$A$5:$A$162,0),1,1,1,$L$6)),4,1,COUNTIF('Vehicle numbers'!$A$5:$A$162,J1164),4),
    MATCH(L$8,'Vehicle numbers'!$B$4:$D$4,0))*1000</f>
        <v>27858740.013922796</v>
      </c>
      <c r="M1164" s="184">
        <f>VLOOKUP(F1164,'Annual distance covered (GB)'!$A$8:$H$33,MATCH(J1164,'Annual distance covered (GB)'!$A$7:$H$7,0))</f>
        <v>394.2</v>
      </c>
      <c r="N1164" s="2">
        <f t="shared" ca="1" si="50"/>
        <v>224570.16284293687</v>
      </c>
      <c r="O1164" s="180">
        <f t="shared" ca="1" si="51"/>
        <v>8.0610308553331848E-3</v>
      </c>
      <c r="P1164" s="180"/>
      <c r="Q1164" s="180"/>
      <c r="R1164" s="180"/>
      <c r="S1164" s="180"/>
      <c r="T1164" s="180"/>
    </row>
    <row r="1165" spans="1:20" x14ac:dyDescent="0.25">
      <c r="A1165" t="s">
        <v>246</v>
      </c>
      <c r="B1165" t="s">
        <v>237</v>
      </c>
      <c r="C1165" t="s">
        <v>238</v>
      </c>
      <c r="D1165" t="s">
        <v>255</v>
      </c>
      <c r="E1165" t="s">
        <v>229</v>
      </c>
      <c r="F1165">
        <v>2004</v>
      </c>
      <c r="G1165">
        <v>4.4215999999999998E-4</v>
      </c>
      <c r="H1165" t="s">
        <v>240</v>
      </c>
      <c r="I1165" t="s">
        <v>241</v>
      </c>
      <c r="J1165" t="s">
        <v>2</v>
      </c>
      <c r="K1165" s="183">
        <f ca="1">VLOOKUP(F1165,
    OFFSET(INDIRECT(ADDRESS(MATCH(J1165,'Vehicle numbers'!$A$5:$A$162,0),1,1,1,$L$6)),4,1,COUNTIF('Vehicle numbers'!$A$5:$A$162,J1165),4),
    MATCH(K$8,'Vehicle numbers'!$B$4:$D$4,0))*1000</f>
        <v>27028099</v>
      </c>
      <c r="L1165" s="183">
        <f ca="1">VLOOKUP(F1165,
    OFFSET(INDIRECT(ADDRESS(MATCH(J1165,'Vehicle numbers'!$A$5:$A$162,0),1,1,1,$L$6)),4,1,COUNTIF('Vehicle numbers'!$A$5:$A$162,J1165),4),
    MATCH(L$8,'Vehicle numbers'!$B$4:$D$4,0))*1000</f>
        <v>27858740.013922796</v>
      </c>
      <c r="M1165" s="184">
        <f>VLOOKUP(F1165,'Annual distance covered (GB)'!$A$8:$H$33,MATCH(J1165,'Annual distance covered (GB)'!$A$7:$H$7,0))</f>
        <v>394.2</v>
      </c>
      <c r="N1165" s="2">
        <f t="shared" ca="1" si="50"/>
        <v>179656.13027434947</v>
      </c>
      <c r="O1165" s="180">
        <f t="shared" ca="1" si="51"/>
        <v>6.4488246842665468E-3</v>
      </c>
      <c r="P1165" s="180"/>
      <c r="Q1165" s="180"/>
      <c r="R1165" s="180"/>
      <c r="S1165" s="180"/>
      <c r="T1165" s="180"/>
    </row>
    <row r="1166" spans="1:20" x14ac:dyDescent="0.25">
      <c r="A1166" t="s">
        <v>236</v>
      </c>
      <c r="B1166" t="s">
        <v>237</v>
      </c>
      <c r="C1166" t="s">
        <v>238</v>
      </c>
      <c r="D1166" t="s">
        <v>255</v>
      </c>
      <c r="E1166" t="s">
        <v>228</v>
      </c>
      <c r="F1166">
        <v>2004</v>
      </c>
      <c r="G1166">
        <v>6.7999999999999996E-3</v>
      </c>
      <c r="H1166" t="s">
        <v>240</v>
      </c>
      <c r="I1166" t="s">
        <v>241</v>
      </c>
      <c r="J1166" t="s">
        <v>2</v>
      </c>
      <c r="K1166" s="183">
        <f ca="1">VLOOKUP(F1166,
    OFFSET(INDIRECT(ADDRESS(MATCH(J1166,'Vehicle numbers'!$A$5:$A$162,0),1,1,1,$L$6)),4,1,COUNTIF('Vehicle numbers'!$A$5:$A$162,J1166),4),
    MATCH(K$8,'Vehicle numbers'!$B$4:$D$4,0))*1000</f>
        <v>27028099</v>
      </c>
      <c r="L1166" s="183">
        <f ca="1">VLOOKUP(F1166,
    OFFSET(INDIRECT(ADDRESS(MATCH(J1166,'Vehicle numbers'!$A$5:$A$162,0),1,1,1,$L$6)),4,1,COUNTIF('Vehicle numbers'!$A$5:$A$162,J1166),4),
    MATCH(L$8,'Vehicle numbers'!$B$4:$D$4,0))*1000</f>
        <v>27858740.013922796</v>
      </c>
      <c r="M1166" s="184">
        <f>VLOOKUP(F1166,'Annual distance covered (GB)'!$A$8:$H$33,MATCH(J1166,'Annual distance covered (GB)'!$A$7:$H$7,0))</f>
        <v>394.2</v>
      </c>
      <c r="N1166" s="2">
        <f t="shared" ca="1" si="50"/>
        <v>2762940.3063723012</v>
      </c>
      <c r="O1166" s="180">
        <f t="shared" ca="1" si="51"/>
        <v>9.9176786351122953E-2</v>
      </c>
      <c r="P1166" s="180"/>
      <c r="Q1166" s="180"/>
      <c r="R1166" s="180"/>
      <c r="S1166" s="180"/>
      <c r="T1166" s="180"/>
    </row>
    <row r="1167" spans="1:20" x14ac:dyDescent="0.25">
      <c r="A1167" t="s">
        <v>243</v>
      </c>
      <c r="B1167" t="s">
        <v>237</v>
      </c>
      <c r="C1167" t="s">
        <v>238</v>
      </c>
      <c r="D1167" t="s">
        <v>255</v>
      </c>
      <c r="E1167" t="s">
        <v>228</v>
      </c>
      <c r="F1167">
        <v>2004</v>
      </c>
      <c r="G1167">
        <v>4.7600000000000003E-3</v>
      </c>
      <c r="H1167" t="s">
        <v>240</v>
      </c>
      <c r="I1167" t="s">
        <v>241</v>
      </c>
      <c r="J1167" t="s">
        <v>2</v>
      </c>
      <c r="K1167" s="183">
        <f ca="1">VLOOKUP(F1167,
    OFFSET(INDIRECT(ADDRESS(MATCH(J1167,'Vehicle numbers'!$A$5:$A$162,0),1,1,1,$L$6)),4,1,COUNTIF('Vehicle numbers'!$A$5:$A$162,J1167),4),
    MATCH(K$8,'Vehicle numbers'!$B$4:$D$4,0))*1000</f>
        <v>27028099</v>
      </c>
      <c r="L1167" s="183">
        <f ca="1">VLOOKUP(F1167,
    OFFSET(INDIRECT(ADDRESS(MATCH(J1167,'Vehicle numbers'!$A$5:$A$162,0),1,1,1,$L$6)),4,1,COUNTIF('Vehicle numbers'!$A$5:$A$162,J1167),4),
    MATCH(L$8,'Vehicle numbers'!$B$4:$D$4,0))*1000</f>
        <v>27858740.013922796</v>
      </c>
      <c r="M1167" s="184">
        <f>VLOOKUP(F1167,'Annual distance covered (GB)'!$A$8:$H$33,MATCH(J1167,'Annual distance covered (GB)'!$A$7:$H$7,0))</f>
        <v>394.2</v>
      </c>
      <c r="N1167" s="2">
        <f t="shared" ca="1" si="50"/>
        <v>1934058.2144606106</v>
      </c>
      <c r="O1167" s="180">
        <f t="shared" ca="1" si="51"/>
        <v>6.9423750445786067E-2</v>
      </c>
      <c r="P1167" s="180"/>
      <c r="Q1167" s="180"/>
      <c r="R1167" s="180"/>
      <c r="S1167" s="180"/>
      <c r="T1167" s="180"/>
    </row>
    <row r="1168" spans="1:20" x14ac:dyDescent="0.25">
      <c r="A1168" t="s">
        <v>244</v>
      </c>
      <c r="B1168" t="s">
        <v>237</v>
      </c>
      <c r="C1168" t="s">
        <v>238</v>
      </c>
      <c r="D1168" t="s">
        <v>255</v>
      </c>
      <c r="E1168" t="s">
        <v>228</v>
      </c>
      <c r="F1168">
        <v>2004</v>
      </c>
      <c r="G1168">
        <v>6.7042253521126696E-4</v>
      </c>
      <c r="H1168" t="s">
        <v>240</v>
      </c>
      <c r="I1168" t="s">
        <v>241</v>
      </c>
      <c r="J1168" t="s">
        <v>2</v>
      </c>
      <c r="K1168" s="183">
        <f ca="1">VLOOKUP(F1168,
    OFFSET(INDIRECT(ADDRESS(MATCH(J1168,'Vehicle numbers'!$A$5:$A$162,0),1,1,1,$L$6)),4,1,COUNTIF('Vehicle numbers'!$A$5:$A$162,J1168),4),
    MATCH(K$8,'Vehicle numbers'!$B$4:$D$4,0))*1000</f>
        <v>27028099</v>
      </c>
      <c r="L1168" s="183">
        <f ca="1">VLOOKUP(F1168,
    OFFSET(INDIRECT(ADDRESS(MATCH(J1168,'Vehicle numbers'!$A$5:$A$162,0),1,1,1,$L$6)),4,1,COUNTIF('Vehicle numbers'!$A$5:$A$162,J1168),4),
    MATCH(L$8,'Vehicle numbers'!$B$4:$D$4,0))*1000</f>
        <v>27858740.013922796</v>
      </c>
      <c r="M1168" s="184">
        <f>VLOOKUP(F1168,'Annual distance covered (GB)'!$A$8:$H$33,MATCH(J1168,'Annual distance covered (GB)'!$A$7:$H$7,0))</f>
        <v>394.2</v>
      </c>
      <c r="N1168" s="2">
        <f t="shared" ca="1" si="50"/>
        <v>272402.56541698717</v>
      </c>
      <c r="O1168" s="180">
        <f t="shared" ca="1" si="51"/>
        <v>9.7779930205332388E-3</v>
      </c>
      <c r="P1168" s="180"/>
      <c r="Q1168" s="180"/>
      <c r="R1168" s="180"/>
      <c r="S1168" s="180"/>
      <c r="T1168" s="180"/>
    </row>
    <row r="1169" spans="1:20" x14ac:dyDescent="0.25">
      <c r="A1169" t="s">
        <v>246</v>
      </c>
      <c r="B1169" t="s">
        <v>237</v>
      </c>
      <c r="C1169" t="s">
        <v>238</v>
      </c>
      <c r="D1169" t="s">
        <v>255</v>
      </c>
      <c r="E1169" t="s">
        <v>228</v>
      </c>
      <c r="F1169">
        <v>2004</v>
      </c>
      <c r="G1169">
        <v>5.3633802816901305E-4</v>
      </c>
      <c r="H1169" t="s">
        <v>240</v>
      </c>
      <c r="I1169" t="s">
        <v>241</v>
      </c>
      <c r="J1169" t="s">
        <v>2</v>
      </c>
      <c r="K1169" s="183">
        <f ca="1">VLOOKUP(F1169,
    OFFSET(INDIRECT(ADDRESS(MATCH(J1169,'Vehicle numbers'!$A$5:$A$162,0),1,1,1,$L$6)),4,1,COUNTIF('Vehicle numbers'!$A$5:$A$162,J1169),4),
    MATCH(K$8,'Vehicle numbers'!$B$4:$D$4,0))*1000</f>
        <v>27028099</v>
      </c>
      <c r="L1169" s="183">
        <f ca="1">VLOOKUP(F1169,
    OFFSET(INDIRECT(ADDRESS(MATCH(J1169,'Vehicle numbers'!$A$5:$A$162,0),1,1,1,$L$6)),4,1,COUNTIF('Vehicle numbers'!$A$5:$A$162,J1169),4),
    MATCH(L$8,'Vehicle numbers'!$B$4:$D$4,0))*1000</f>
        <v>27858740.013922796</v>
      </c>
      <c r="M1169" s="184">
        <f>VLOOKUP(F1169,'Annual distance covered (GB)'!$A$8:$H$33,MATCH(J1169,'Annual distance covered (GB)'!$A$7:$H$7,0))</f>
        <v>394.2</v>
      </c>
      <c r="N1169" s="2">
        <f t="shared" ca="1" si="50"/>
        <v>217922.0523335895</v>
      </c>
      <c r="O1169" s="180">
        <f t="shared" ca="1" si="51"/>
        <v>7.8223944164265823E-3</v>
      </c>
      <c r="P1169" s="180"/>
      <c r="Q1169" s="180"/>
      <c r="R1169" s="180"/>
      <c r="S1169" s="180"/>
      <c r="T1169" s="180"/>
    </row>
    <row r="1170" spans="1:20" x14ac:dyDescent="0.25">
      <c r="A1170" t="s">
        <v>236</v>
      </c>
      <c r="B1170" t="s">
        <v>237</v>
      </c>
      <c r="C1170" t="s">
        <v>238</v>
      </c>
      <c r="D1170" t="s">
        <v>256</v>
      </c>
      <c r="E1170" t="s">
        <v>229</v>
      </c>
      <c r="F1170">
        <v>2004</v>
      </c>
      <c r="G1170">
        <v>1.1723226900931799E-2</v>
      </c>
      <c r="H1170" t="s">
        <v>240</v>
      </c>
      <c r="I1170" t="s">
        <v>241</v>
      </c>
      <c r="J1170" t="s">
        <v>2</v>
      </c>
      <c r="K1170" s="183">
        <f ca="1">VLOOKUP(F1170,
    OFFSET(INDIRECT(ADDRESS(MATCH(J1170,'Vehicle numbers'!$A$5:$A$162,0),1,1,1,$L$6)),4,1,COUNTIF('Vehicle numbers'!$A$5:$A$162,J1170),4),
    MATCH(K$8,'Vehicle numbers'!$B$4:$D$4,0))*1000</f>
        <v>27028099</v>
      </c>
      <c r="L1170" s="183">
        <f ca="1">VLOOKUP(F1170,
    OFFSET(INDIRECT(ADDRESS(MATCH(J1170,'Vehicle numbers'!$A$5:$A$162,0),1,1,1,$L$6)),4,1,COUNTIF('Vehicle numbers'!$A$5:$A$162,J1170),4),
    MATCH(L$8,'Vehicle numbers'!$B$4:$D$4,0))*1000</f>
        <v>27858740.013922796</v>
      </c>
      <c r="M1170" s="184">
        <f>VLOOKUP(F1170,'Annual distance covered (GB)'!$A$8:$H$33,MATCH(J1170,'Annual distance covered (GB)'!$A$7:$H$7,0))</f>
        <v>394.2</v>
      </c>
      <c r="N1170" s="2">
        <f t="shared" ca="1" si="50"/>
        <v>4763320.0184312509</v>
      </c>
      <c r="O1170" s="180">
        <f t="shared" ca="1" si="51"/>
        <v>0.17098117201462504</v>
      </c>
      <c r="P1170" s="180"/>
      <c r="Q1170" s="180"/>
      <c r="R1170" s="180"/>
      <c r="S1170" s="180"/>
      <c r="T1170" s="180"/>
    </row>
    <row r="1171" spans="1:20" x14ac:dyDescent="0.25">
      <c r="A1171" t="s">
        <v>243</v>
      </c>
      <c r="B1171" t="s">
        <v>237</v>
      </c>
      <c r="C1171" t="s">
        <v>238</v>
      </c>
      <c r="D1171" t="s">
        <v>256</v>
      </c>
      <c r="E1171" t="s">
        <v>229</v>
      </c>
      <c r="F1171">
        <v>2004</v>
      </c>
      <c r="G1171">
        <v>4.6892907603727201E-3</v>
      </c>
      <c r="H1171" t="s">
        <v>240</v>
      </c>
      <c r="I1171" t="s">
        <v>241</v>
      </c>
      <c r="J1171" t="s">
        <v>2</v>
      </c>
      <c r="K1171" s="183">
        <f ca="1">VLOOKUP(F1171,
    OFFSET(INDIRECT(ADDRESS(MATCH(J1171,'Vehicle numbers'!$A$5:$A$162,0),1,1,1,$L$6)),4,1,COUNTIF('Vehicle numbers'!$A$5:$A$162,J1171),4),
    MATCH(K$8,'Vehicle numbers'!$B$4:$D$4,0))*1000</f>
        <v>27028099</v>
      </c>
      <c r="L1171" s="183">
        <f ca="1">VLOOKUP(F1171,
    OFFSET(INDIRECT(ADDRESS(MATCH(J1171,'Vehicle numbers'!$A$5:$A$162,0),1,1,1,$L$6)),4,1,COUNTIF('Vehicle numbers'!$A$5:$A$162,J1171),4),
    MATCH(L$8,'Vehicle numbers'!$B$4:$D$4,0))*1000</f>
        <v>27858740.013922796</v>
      </c>
      <c r="M1171" s="184">
        <f>VLOOKUP(F1171,'Annual distance covered (GB)'!$A$8:$H$33,MATCH(J1171,'Annual distance covered (GB)'!$A$7:$H$7,0))</f>
        <v>394.2</v>
      </c>
      <c r="N1171" s="2">
        <f t="shared" ca="1" si="50"/>
        <v>1905328.0073725004</v>
      </c>
      <c r="O1171" s="180">
        <f t="shared" ca="1" si="51"/>
        <v>6.839246880585001E-2</v>
      </c>
      <c r="P1171" s="180"/>
      <c r="Q1171" s="180"/>
      <c r="R1171" s="180"/>
      <c r="S1171" s="180"/>
      <c r="T1171" s="180"/>
    </row>
    <row r="1172" spans="1:20" x14ac:dyDescent="0.25">
      <c r="A1172" t="s">
        <v>244</v>
      </c>
      <c r="B1172" t="s">
        <v>237</v>
      </c>
      <c r="C1172" t="s">
        <v>238</v>
      </c>
      <c r="D1172" t="s">
        <v>256</v>
      </c>
      <c r="E1172" t="s">
        <v>229</v>
      </c>
      <c r="F1172">
        <v>2004</v>
      </c>
      <c r="G1172">
        <v>1.17232269009318E-3</v>
      </c>
      <c r="H1172" t="s">
        <v>240</v>
      </c>
      <c r="I1172" t="s">
        <v>241</v>
      </c>
      <c r="J1172" t="s">
        <v>2</v>
      </c>
      <c r="K1172" s="183">
        <f ca="1">VLOOKUP(F1172,
    OFFSET(INDIRECT(ADDRESS(MATCH(J1172,'Vehicle numbers'!$A$5:$A$162,0),1,1,1,$L$6)),4,1,COUNTIF('Vehicle numbers'!$A$5:$A$162,J1172),4),
    MATCH(K$8,'Vehicle numbers'!$B$4:$D$4,0))*1000</f>
        <v>27028099</v>
      </c>
      <c r="L1172" s="183">
        <f ca="1">VLOOKUP(F1172,
    OFFSET(INDIRECT(ADDRESS(MATCH(J1172,'Vehicle numbers'!$A$5:$A$162,0),1,1,1,$L$6)),4,1,COUNTIF('Vehicle numbers'!$A$5:$A$162,J1172),4),
    MATCH(L$8,'Vehicle numbers'!$B$4:$D$4,0))*1000</f>
        <v>27858740.013922796</v>
      </c>
      <c r="M1172" s="184">
        <f>VLOOKUP(F1172,'Annual distance covered (GB)'!$A$8:$H$33,MATCH(J1172,'Annual distance covered (GB)'!$A$7:$H$7,0))</f>
        <v>394.2</v>
      </c>
      <c r="N1172" s="2">
        <f t="shared" ca="1" si="50"/>
        <v>476332.00184312509</v>
      </c>
      <c r="O1172" s="180">
        <f t="shared" ca="1" si="51"/>
        <v>1.7098117201462502E-2</v>
      </c>
      <c r="P1172" s="180"/>
      <c r="Q1172" s="180"/>
      <c r="R1172" s="180"/>
      <c r="S1172" s="180"/>
      <c r="T1172" s="180"/>
    </row>
    <row r="1173" spans="1:20" x14ac:dyDescent="0.25">
      <c r="A1173" t="s">
        <v>246</v>
      </c>
      <c r="B1173" t="s">
        <v>237</v>
      </c>
      <c r="C1173" t="s">
        <v>238</v>
      </c>
      <c r="D1173" t="s">
        <v>256</v>
      </c>
      <c r="E1173" t="s">
        <v>229</v>
      </c>
      <c r="F1173">
        <v>2004</v>
      </c>
      <c r="G1173">
        <v>9.37858152074544E-4</v>
      </c>
      <c r="H1173" t="s">
        <v>240</v>
      </c>
      <c r="I1173" t="s">
        <v>241</v>
      </c>
      <c r="J1173" t="s">
        <v>2</v>
      </c>
      <c r="K1173" s="183">
        <f ca="1">VLOOKUP(F1173,
    OFFSET(INDIRECT(ADDRESS(MATCH(J1173,'Vehicle numbers'!$A$5:$A$162,0),1,1,1,$L$6)),4,1,COUNTIF('Vehicle numbers'!$A$5:$A$162,J1173),4),
    MATCH(K$8,'Vehicle numbers'!$B$4:$D$4,0))*1000</f>
        <v>27028099</v>
      </c>
      <c r="L1173" s="183">
        <f ca="1">VLOOKUP(F1173,
    OFFSET(INDIRECT(ADDRESS(MATCH(J1173,'Vehicle numbers'!$A$5:$A$162,0),1,1,1,$L$6)),4,1,COUNTIF('Vehicle numbers'!$A$5:$A$162,J1173),4),
    MATCH(L$8,'Vehicle numbers'!$B$4:$D$4,0))*1000</f>
        <v>27858740.013922796</v>
      </c>
      <c r="M1173" s="184">
        <f>VLOOKUP(F1173,'Annual distance covered (GB)'!$A$8:$H$33,MATCH(J1173,'Annual distance covered (GB)'!$A$7:$H$7,0))</f>
        <v>394.2</v>
      </c>
      <c r="N1173" s="2">
        <f t="shared" ca="1" si="50"/>
        <v>381065.60147450009</v>
      </c>
      <c r="O1173" s="180">
        <f t="shared" ca="1" si="51"/>
        <v>1.3678493761170004E-2</v>
      </c>
      <c r="P1173" s="180"/>
      <c r="Q1173" s="180"/>
      <c r="R1173" s="180"/>
      <c r="S1173" s="180"/>
      <c r="T1173" s="180"/>
    </row>
    <row r="1174" spans="1:20" x14ac:dyDescent="0.25">
      <c r="A1174" t="s">
        <v>236</v>
      </c>
      <c r="B1174" t="s">
        <v>237</v>
      </c>
      <c r="C1174" t="s">
        <v>238</v>
      </c>
      <c r="D1174" t="s">
        <v>256</v>
      </c>
      <c r="E1174" t="s">
        <v>228</v>
      </c>
      <c r="F1174">
        <v>2004</v>
      </c>
      <c r="G1174">
        <v>8.77323865434523E-3</v>
      </c>
      <c r="H1174" t="s">
        <v>240</v>
      </c>
      <c r="I1174" t="s">
        <v>241</v>
      </c>
      <c r="J1174" t="s">
        <v>2</v>
      </c>
      <c r="K1174" s="183">
        <f ca="1">VLOOKUP(F1174,
    OFFSET(INDIRECT(ADDRESS(MATCH(J1174,'Vehicle numbers'!$A$5:$A$162,0),1,1,1,$L$6)),4,1,COUNTIF('Vehicle numbers'!$A$5:$A$162,J1174),4),
    MATCH(K$8,'Vehicle numbers'!$B$4:$D$4,0))*1000</f>
        <v>27028099</v>
      </c>
      <c r="L1174" s="183">
        <f ca="1">VLOOKUP(F1174,
    OFFSET(INDIRECT(ADDRESS(MATCH(J1174,'Vehicle numbers'!$A$5:$A$162,0),1,1,1,$L$6)),4,1,COUNTIF('Vehicle numbers'!$A$5:$A$162,J1174),4),
    MATCH(L$8,'Vehicle numbers'!$B$4:$D$4,0))*1000</f>
        <v>27858740.013922796</v>
      </c>
      <c r="M1174" s="184">
        <f>VLOOKUP(F1174,'Annual distance covered (GB)'!$A$8:$H$33,MATCH(J1174,'Annual distance covered (GB)'!$A$7:$H$7,0))</f>
        <v>394.2</v>
      </c>
      <c r="N1174" s="2">
        <f t="shared" ca="1" si="50"/>
        <v>3564696.2787520476</v>
      </c>
      <c r="O1174" s="180">
        <f t="shared" ca="1" si="51"/>
        <v>0.12795611994550152</v>
      </c>
      <c r="P1174" s="180"/>
      <c r="Q1174" s="180"/>
      <c r="R1174" s="180"/>
      <c r="S1174" s="180"/>
      <c r="T1174" s="180"/>
    </row>
    <row r="1175" spans="1:20" x14ac:dyDescent="0.25">
      <c r="A1175" t="s">
        <v>243</v>
      </c>
      <c r="B1175" t="s">
        <v>237</v>
      </c>
      <c r="C1175" t="s">
        <v>238</v>
      </c>
      <c r="D1175" t="s">
        <v>256</v>
      </c>
      <c r="E1175" t="s">
        <v>228</v>
      </c>
      <c r="F1175">
        <v>2004</v>
      </c>
      <c r="G1175">
        <v>6.1412670580416598E-3</v>
      </c>
      <c r="H1175" t="s">
        <v>240</v>
      </c>
      <c r="I1175" t="s">
        <v>241</v>
      </c>
      <c r="J1175" t="s">
        <v>2</v>
      </c>
      <c r="K1175" s="183">
        <f ca="1">VLOOKUP(F1175,
    OFFSET(INDIRECT(ADDRESS(MATCH(J1175,'Vehicle numbers'!$A$5:$A$162,0),1,1,1,$L$6)),4,1,COUNTIF('Vehicle numbers'!$A$5:$A$162,J1175),4),
    MATCH(K$8,'Vehicle numbers'!$B$4:$D$4,0))*1000</f>
        <v>27028099</v>
      </c>
      <c r="L1175" s="183">
        <f ca="1">VLOOKUP(F1175,
    OFFSET(INDIRECT(ADDRESS(MATCH(J1175,'Vehicle numbers'!$A$5:$A$162,0),1,1,1,$L$6)),4,1,COUNTIF('Vehicle numbers'!$A$5:$A$162,J1175),4),
    MATCH(L$8,'Vehicle numbers'!$B$4:$D$4,0))*1000</f>
        <v>27858740.013922796</v>
      </c>
      <c r="M1175" s="184">
        <f>VLOOKUP(F1175,'Annual distance covered (GB)'!$A$8:$H$33,MATCH(J1175,'Annual distance covered (GB)'!$A$7:$H$7,0))</f>
        <v>394.2</v>
      </c>
      <c r="N1175" s="2">
        <f t="shared" ca="1" si="50"/>
        <v>2495287.3951264331</v>
      </c>
      <c r="O1175" s="180">
        <f t="shared" ca="1" si="51"/>
        <v>8.9569283961851043E-2</v>
      </c>
      <c r="P1175" s="180"/>
      <c r="Q1175" s="180"/>
      <c r="R1175" s="180"/>
      <c r="S1175" s="180"/>
      <c r="T1175" s="180"/>
    </row>
    <row r="1176" spans="1:20" x14ac:dyDescent="0.25">
      <c r="A1176" t="s">
        <v>244</v>
      </c>
      <c r="B1176" t="s">
        <v>237</v>
      </c>
      <c r="C1176" t="s">
        <v>238</v>
      </c>
      <c r="D1176" t="s">
        <v>256</v>
      </c>
      <c r="E1176" t="s">
        <v>228</v>
      </c>
      <c r="F1176">
        <v>2004</v>
      </c>
      <c r="G1176">
        <v>8.6496719127347201E-4</v>
      </c>
      <c r="H1176" t="s">
        <v>240</v>
      </c>
      <c r="I1176" t="s">
        <v>241</v>
      </c>
      <c r="J1176" t="s">
        <v>2</v>
      </c>
      <c r="K1176" s="183">
        <f ca="1">VLOOKUP(F1176,
    OFFSET(INDIRECT(ADDRESS(MATCH(J1176,'Vehicle numbers'!$A$5:$A$162,0),1,1,1,$L$6)),4,1,COUNTIF('Vehicle numbers'!$A$5:$A$162,J1176),4),
    MATCH(K$8,'Vehicle numbers'!$B$4:$D$4,0))*1000</f>
        <v>27028099</v>
      </c>
      <c r="L1176" s="183">
        <f ca="1">VLOOKUP(F1176,
    OFFSET(INDIRECT(ADDRESS(MATCH(J1176,'Vehicle numbers'!$A$5:$A$162,0),1,1,1,$L$6)),4,1,COUNTIF('Vehicle numbers'!$A$5:$A$162,J1176),4),
    MATCH(L$8,'Vehicle numbers'!$B$4:$D$4,0))*1000</f>
        <v>27858740.013922796</v>
      </c>
      <c r="M1176" s="184">
        <f>VLOOKUP(F1176,'Annual distance covered (GB)'!$A$8:$H$33,MATCH(J1176,'Annual distance covered (GB)'!$A$7:$H$7,0))</f>
        <v>394.2</v>
      </c>
      <c r="N1176" s="2">
        <f t="shared" ca="1" si="50"/>
        <v>351448.92889104638</v>
      </c>
      <c r="O1176" s="180">
        <f t="shared" ca="1" si="51"/>
        <v>1.2615392107302946E-2</v>
      </c>
      <c r="P1176" s="180"/>
      <c r="Q1176" s="180"/>
      <c r="R1176" s="180"/>
      <c r="S1176" s="180"/>
      <c r="T1176" s="180"/>
    </row>
    <row r="1177" spans="1:20" x14ac:dyDescent="0.25">
      <c r="A1177" t="s">
        <v>246</v>
      </c>
      <c r="B1177" t="s">
        <v>237</v>
      </c>
      <c r="C1177" t="s">
        <v>238</v>
      </c>
      <c r="D1177" t="s">
        <v>256</v>
      </c>
      <c r="E1177" t="s">
        <v>228</v>
      </c>
      <c r="F1177">
        <v>2004</v>
      </c>
      <c r="G1177">
        <v>6.91973753018778E-4</v>
      </c>
      <c r="H1177" t="s">
        <v>240</v>
      </c>
      <c r="I1177" t="s">
        <v>241</v>
      </c>
      <c r="J1177" t="s">
        <v>2</v>
      </c>
      <c r="K1177" s="183">
        <f ca="1">VLOOKUP(F1177,
    OFFSET(INDIRECT(ADDRESS(MATCH(J1177,'Vehicle numbers'!$A$5:$A$162,0),1,1,1,$L$6)),4,1,COUNTIF('Vehicle numbers'!$A$5:$A$162,J1177),4),
    MATCH(K$8,'Vehicle numbers'!$B$4:$D$4,0))*1000</f>
        <v>27028099</v>
      </c>
      <c r="L1177" s="183">
        <f ca="1">VLOOKUP(F1177,
    OFFSET(INDIRECT(ADDRESS(MATCH(J1177,'Vehicle numbers'!$A$5:$A$162,0),1,1,1,$L$6)),4,1,COUNTIF('Vehicle numbers'!$A$5:$A$162,J1177),4),
    MATCH(L$8,'Vehicle numbers'!$B$4:$D$4,0))*1000</f>
        <v>27858740.013922796</v>
      </c>
      <c r="M1177" s="184">
        <f>VLOOKUP(F1177,'Annual distance covered (GB)'!$A$8:$H$33,MATCH(J1177,'Annual distance covered (GB)'!$A$7:$H$7,0))</f>
        <v>394.2</v>
      </c>
      <c r="N1177" s="2">
        <f t="shared" ca="1" si="50"/>
        <v>281159.14311283722</v>
      </c>
      <c r="O1177" s="180">
        <f t="shared" ca="1" si="51"/>
        <v>1.0092313685842361E-2</v>
      </c>
      <c r="P1177" s="180"/>
      <c r="Q1177" s="180"/>
      <c r="R1177" s="180"/>
      <c r="S1177" s="180"/>
      <c r="T1177" s="180"/>
    </row>
    <row r="1178" spans="1:20" x14ac:dyDescent="0.25">
      <c r="A1178" t="s">
        <v>236</v>
      </c>
      <c r="B1178" t="s">
        <v>237</v>
      </c>
      <c r="C1178" t="s">
        <v>238</v>
      </c>
      <c r="D1178" t="s">
        <v>257</v>
      </c>
      <c r="E1178" t="s">
        <v>229</v>
      </c>
      <c r="F1178">
        <v>2004</v>
      </c>
      <c r="G1178">
        <v>2.1210000000000001E-3</v>
      </c>
      <c r="H1178" t="s">
        <v>240</v>
      </c>
      <c r="I1178" t="s">
        <v>241</v>
      </c>
      <c r="J1178" t="s">
        <v>188</v>
      </c>
      <c r="K1178" s="183">
        <f ca="1">VLOOKUP(F1178,
    OFFSET(INDIRECT(ADDRESS(MATCH(J1178,'Vehicle numbers'!$A$5:$A$162,0),1,1,1,$L$6)),4,1,COUNTIF('Vehicle numbers'!$A$5:$A$162,J1178),4),
    MATCH(K$8,'Vehicle numbers'!$B$4:$D$4,0))*1000</f>
        <v>2822440</v>
      </c>
      <c r="L1178" s="183">
        <f ca="1">VLOOKUP(F1178,
    OFFSET(INDIRECT(ADDRESS(MATCH(J1178,'Vehicle numbers'!$A$5:$A$162,0),1,1,1,$L$6)),4,1,COUNTIF('Vehicle numbers'!$A$5:$A$162,J1178),4),
    MATCH(L$8,'Vehicle numbers'!$B$4:$D$4,0))*1000</f>
        <v>2903431.5640420751</v>
      </c>
      <c r="M1178" s="184">
        <f>VLOOKUP(F1178,'Annual distance covered (GB)'!$A$8:$H$33,MATCH(J1178,'Annual distance covered (GB)'!$A$7:$H$7,0))</f>
        <v>60.2</v>
      </c>
      <c r="N1178" s="2">
        <f t="shared" ca="1" si="50"/>
        <v>131348.17268372796</v>
      </c>
      <c r="O1178" s="180">
        <f t="shared" ca="1" si="51"/>
        <v>4.5238942191862364E-2</v>
      </c>
      <c r="P1178" s="180"/>
      <c r="Q1178" s="180"/>
      <c r="R1178" s="180"/>
      <c r="S1178" s="180"/>
      <c r="T1178" s="180"/>
    </row>
    <row r="1179" spans="1:20" x14ac:dyDescent="0.25">
      <c r="A1179" t="s">
        <v>243</v>
      </c>
      <c r="B1179" t="s">
        <v>237</v>
      </c>
      <c r="C1179" t="s">
        <v>238</v>
      </c>
      <c r="D1179" t="s">
        <v>257</v>
      </c>
      <c r="E1179" t="s">
        <v>229</v>
      </c>
      <c r="F1179">
        <v>2004</v>
      </c>
      <c r="G1179">
        <v>8.4840000000000002E-4</v>
      </c>
      <c r="H1179" t="s">
        <v>240</v>
      </c>
      <c r="I1179" t="s">
        <v>241</v>
      </c>
      <c r="J1179" t="s">
        <v>188</v>
      </c>
      <c r="K1179" s="183">
        <f ca="1">VLOOKUP(F1179,
    OFFSET(INDIRECT(ADDRESS(MATCH(J1179,'Vehicle numbers'!$A$5:$A$162,0),1,1,1,$L$6)),4,1,COUNTIF('Vehicle numbers'!$A$5:$A$162,J1179),4),
    MATCH(K$8,'Vehicle numbers'!$B$4:$D$4,0))*1000</f>
        <v>2822440</v>
      </c>
      <c r="L1179" s="183">
        <f ca="1">VLOOKUP(F1179,
    OFFSET(INDIRECT(ADDRESS(MATCH(J1179,'Vehicle numbers'!$A$5:$A$162,0),1,1,1,$L$6)),4,1,COUNTIF('Vehicle numbers'!$A$5:$A$162,J1179),4),
    MATCH(L$8,'Vehicle numbers'!$B$4:$D$4,0))*1000</f>
        <v>2903431.5640420751</v>
      </c>
      <c r="M1179" s="184">
        <f>VLOOKUP(F1179,'Annual distance covered (GB)'!$A$8:$H$33,MATCH(J1179,'Annual distance covered (GB)'!$A$7:$H$7,0))</f>
        <v>60.2</v>
      </c>
      <c r="N1179" s="2">
        <f t="shared" ca="1" si="50"/>
        <v>52539.269073491181</v>
      </c>
      <c r="O1179" s="180">
        <f t="shared" ca="1" si="51"/>
        <v>1.8095576876744943E-2</v>
      </c>
      <c r="P1179" s="180"/>
      <c r="Q1179" s="180"/>
      <c r="R1179" s="180"/>
      <c r="S1179" s="180"/>
      <c r="T1179" s="180"/>
    </row>
    <row r="1180" spans="1:20" x14ac:dyDescent="0.25">
      <c r="A1180" t="s">
        <v>244</v>
      </c>
      <c r="B1180" t="s">
        <v>237</v>
      </c>
      <c r="C1180" t="s">
        <v>238</v>
      </c>
      <c r="D1180" t="s">
        <v>257</v>
      </c>
      <c r="E1180" t="s">
        <v>229</v>
      </c>
      <c r="F1180">
        <v>2004</v>
      </c>
      <c r="G1180">
        <v>2.1210000000000001E-4</v>
      </c>
      <c r="H1180" t="s">
        <v>240</v>
      </c>
      <c r="I1180" t="s">
        <v>241</v>
      </c>
      <c r="J1180" t="s">
        <v>188</v>
      </c>
      <c r="K1180" s="183">
        <f ca="1">VLOOKUP(F1180,
    OFFSET(INDIRECT(ADDRESS(MATCH(J1180,'Vehicle numbers'!$A$5:$A$162,0),1,1,1,$L$6)),4,1,COUNTIF('Vehicle numbers'!$A$5:$A$162,J1180),4),
    MATCH(K$8,'Vehicle numbers'!$B$4:$D$4,0))*1000</f>
        <v>2822440</v>
      </c>
      <c r="L1180" s="183">
        <f ca="1">VLOOKUP(F1180,
    OFFSET(INDIRECT(ADDRESS(MATCH(J1180,'Vehicle numbers'!$A$5:$A$162,0),1,1,1,$L$6)),4,1,COUNTIF('Vehicle numbers'!$A$5:$A$162,J1180),4),
    MATCH(L$8,'Vehicle numbers'!$B$4:$D$4,0))*1000</f>
        <v>2903431.5640420751</v>
      </c>
      <c r="M1180" s="184">
        <f>VLOOKUP(F1180,'Annual distance covered (GB)'!$A$8:$H$33,MATCH(J1180,'Annual distance covered (GB)'!$A$7:$H$7,0))</f>
        <v>60.2</v>
      </c>
      <c r="N1180" s="2">
        <f t="shared" ca="1" si="50"/>
        <v>13134.817268372795</v>
      </c>
      <c r="O1180" s="180">
        <f t="shared" ca="1" si="51"/>
        <v>4.5238942191862357E-3</v>
      </c>
      <c r="P1180" s="180"/>
      <c r="Q1180" s="180"/>
      <c r="R1180" s="180"/>
      <c r="S1180" s="180"/>
      <c r="T1180" s="180"/>
    </row>
    <row r="1181" spans="1:20" x14ac:dyDescent="0.25">
      <c r="A1181" t="s">
        <v>246</v>
      </c>
      <c r="B1181" t="s">
        <v>237</v>
      </c>
      <c r="C1181" t="s">
        <v>238</v>
      </c>
      <c r="D1181" t="s">
        <v>257</v>
      </c>
      <c r="E1181" t="s">
        <v>229</v>
      </c>
      <c r="F1181">
        <v>2004</v>
      </c>
      <c r="G1181">
        <v>1.6967999999999999E-4</v>
      </c>
      <c r="H1181" t="s">
        <v>240</v>
      </c>
      <c r="I1181" t="s">
        <v>241</v>
      </c>
      <c r="J1181" t="s">
        <v>188</v>
      </c>
      <c r="K1181" s="183">
        <f ca="1">VLOOKUP(F1181,
    OFFSET(INDIRECT(ADDRESS(MATCH(J1181,'Vehicle numbers'!$A$5:$A$162,0),1,1,1,$L$6)),4,1,COUNTIF('Vehicle numbers'!$A$5:$A$162,J1181),4),
    MATCH(K$8,'Vehicle numbers'!$B$4:$D$4,0))*1000</f>
        <v>2822440</v>
      </c>
      <c r="L1181" s="183">
        <f ca="1">VLOOKUP(F1181,
    OFFSET(INDIRECT(ADDRESS(MATCH(J1181,'Vehicle numbers'!$A$5:$A$162,0),1,1,1,$L$6)),4,1,COUNTIF('Vehicle numbers'!$A$5:$A$162,J1181),4),
    MATCH(L$8,'Vehicle numbers'!$B$4:$D$4,0))*1000</f>
        <v>2903431.5640420751</v>
      </c>
      <c r="M1181" s="184">
        <f>VLOOKUP(F1181,'Annual distance covered (GB)'!$A$8:$H$33,MATCH(J1181,'Annual distance covered (GB)'!$A$7:$H$7,0))</f>
        <v>60.2</v>
      </c>
      <c r="N1181" s="2">
        <f t="shared" ca="1" si="50"/>
        <v>10507.853814698237</v>
      </c>
      <c r="O1181" s="180">
        <f t="shared" ca="1" si="51"/>
        <v>3.6191153753489893E-3</v>
      </c>
      <c r="P1181" s="180"/>
      <c r="Q1181" s="180"/>
      <c r="R1181" s="180"/>
      <c r="S1181" s="180"/>
      <c r="T1181" s="180"/>
    </row>
    <row r="1182" spans="1:20" x14ac:dyDescent="0.25">
      <c r="A1182" t="s">
        <v>236</v>
      </c>
      <c r="B1182" t="s">
        <v>237</v>
      </c>
      <c r="C1182" t="s">
        <v>238</v>
      </c>
      <c r="D1182" t="s">
        <v>257</v>
      </c>
      <c r="E1182" t="s">
        <v>228</v>
      </c>
      <c r="F1182">
        <v>2004</v>
      </c>
      <c r="G1182">
        <v>9.14600000000001E-3</v>
      </c>
      <c r="H1182" t="s">
        <v>240</v>
      </c>
      <c r="I1182" t="s">
        <v>241</v>
      </c>
      <c r="J1182" t="s">
        <v>188</v>
      </c>
      <c r="K1182" s="183">
        <f ca="1">VLOOKUP(F1182,
    OFFSET(INDIRECT(ADDRESS(MATCH(J1182,'Vehicle numbers'!$A$5:$A$162,0),1,1,1,$L$6)),4,1,COUNTIF('Vehicle numbers'!$A$5:$A$162,J1182),4),
    MATCH(K$8,'Vehicle numbers'!$B$4:$D$4,0))*1000</f>
        <v>2822440</v>
      </c>
      <c r="L1182" s="183">
        <f ca="1">VLOOKUP(F1182,
    OFFSET(INDIRECT(ADDRESS(MATCH(J1182,'Vehicle numbers'!$A$5:$A$162,0),1,1,1,$L$6)),4,1,COUNTIF('Vehicle numbers'!$A$5:$A$162,J1182),4),
    MATCH(L$8,'Vehicle numbers'!$B$4:$D$4,0))*1000</f>
        <v>2903431.5640420751</v>
      </c>
      <c r="M1182" s="184">
        <f>VLOOKUP(F1182,'Annual distance covered (GB)'!$A$8:$H$33,MATCH(J1182,'Annual distance covered (GB)'!$A$7:$H$7,0))</f>
        <v>60.2</v>
      </c>
      <c r="N1182" s="2">
        <f t="shared" ca="1" si="50"/>
        <v>566388.67862582614</v>
      </c>
      <c r="O1182" s="180">
        <f t="shared" ca="1" si="51"/>
        <v>0.19507560833888432</v>
      </c>
      <c r="P1182" s="180"/>
      <c r="Q1182" s="180"/>
      <c r="R1182" s="180"/>
      <c r="S1182" s="180"/>
      <c r="T1182" s="180"/>
    </row>
    <row r="1183" spans="1:20" x14ac:dyDescent="0.25">
      <c r="A1183" t="s">
        <v>243</v>
      </c>
      <c r="B1183" t="s">
        <v>237</v>
      </c>
      <c r="C1183" t="s">
        <v>238</v>
      </c>
      <c r="D1183" t="s">
        <v>257</v>
      </c>
      <c r="E1183" t="s">
        <v>228</v>
      </c>
      <c r="F1183">
        <v>2004</v>
      </c>
      <c r="G1183">
        <v>6.4022000000000098E-3</v>
      </c>
      <c r="H1183" t="s">
        <v>240</v>
      </c>
      <c r="I1183" t="s">
        <v>241</v>
      </c>
      <c r="J1183" t="s">
        <v>188</v>
      </c>
      <c r="K1183" s="183">
        <f ca="1">VLOOKUP(F1183,
    OFFSET(INDIRECT(ADDRESS(MATCH(J1183,'Vehicle numbers'!$A$5:$A$162,0),1,1,1,$L$6)),4,1,COUNTIF('Vehicle numbers'!$A$5:$A$162,J1183),4),
    MATCH(K$8,'Vehicle numbers'!$B$4:$D$4,0))*1000</f>
        <v>2822440</v>
      </c>
      <c r="L1183" s="183">
        <f ca="1">VLOOKUP(F1183,
    OFFSET(INDIRECT(ADDRESS(MATCH(J1183,'Vehicle numbers'!$A$5:$A$162,0),1,1,1,$L$6)),4,1,COUNTIF('Vehicle numbers'!$A$5:$A$162,J1183),4),
    MATCH(L$8,'Vehicle numbers'!$B$4:$D$4,0))*1000</f>
        <v>2903431.5640420751</v>
      </c>
      <c r="M1183" s="184">
        <f>VLOOKUP(F1183,'Annual distance covered (GB)'!$A$8:$H$33,MATCH(J1183,'Annual distance covered (GB)'!$A$7:$H$7,0))</f>
        <v>60.2</v>
      </c>
      <c r="N1183" s="2">
        <f t="shared" ca="1" si="50"/>
        <v>396472.07503807847</v>
      </c>
      <c r="O1183" s="180">
        <f t="shared" ca="1" si="51"/>
        <v>0.13655292583721909</v>
      </c>
      <c r="P1183" s="180"/>
      <c r="Q1183" s="180"/>
      <c r="R1183" s="180"/>
      <c r="S1183" s="180"/>
      <c r="T1183" s="180"/>
    </row>
    <row r="1184" spans="1:20" x14ac:dyDescent="0.25">
      <c r="A1184" t="s">
        <v>244</v>
      </c>
      <c r="B1184" t="s">
        <v>237</v>
      </c>
      <c r="C1184" t="s">
        <v>238</v>
      </c>
      <c r="D1184" t="s">
        <v>257</v>
      </c>
      <c r="E1184" t="s">
        <v>228</v>
      </c>
      <c r="F1184">
        <v>2004</v>
      </c>
      <c r="G1184">
        <v>9.0171830985915497E-4</v>
      </c>
      <c r="H1184" t="s">
        <v>240</v>
      </c>
      <c r="I1184" t="s">
        <v>241</v>
      </c>
      <c r="J1184" t="s">
        <v>188</v>
      </c>
      <c r="K1184" s="183">
        <f ca="1">VLOOKUP(F1184,
    OFFSET(INDIRECT(ADDRESS(MATCH(J1184,'Vehicle numbers'!$A$5:$A$162,0),1,1,1,$L$6)),4,1,COUNTIF('Vehicle numbers'!$A$5:$A$162,J1184),4),
    MATCH(K$8,'Vehicle numbers'!$B$4:$D$4,0))*1000</f>
        <v>2822440</v>
      </c>
      <c r="L1184" s="183">
        <f ca="1">VLOOKUP(F1184,
    OFFSET(INDIRECT(ADDRESS(MATCH(J1184,'Vehicle numbers'!$A$5:$A$162,0),1,1,1,$L$6)),4,1,COUNTIF('Vehicle numbers'!$A$5:$A$162,J1184),4),
    MATCH(L$8,'Vehicle numbers'!$B$4:$D$4,0))*1000</f>
        <v>2903431.5640420751</v>
      </c>
      <c r="M1184" s="184">
        <f>VLOOKUP(F1184,'Annual distance covered (GB)'!$A$8:$H$33,MATCH(J1184,'Annual distance covered (GB)'!$A$7:$H$7,0))</f>
        <v>60.2</v>
      </c>
      <c r="N1184" s="2">
        <f t="shared" ca="1" si="50"/>
        <v>55841.137329306737</v>
      </c>
      <c r="O1184" s="180">
        <f t="shared" ca="1" si="51"/>
        <v>1.9232806455946317E-2</v>
      </c>
      <c r="P1184" s="180"/>
      <c r="Q1184" s="180"/>
      <c r="R1184" s="180"/>
      <c r="S1184" s="180"/>
      <c r="T1184" s="180"/>
    </row>
    <row r="1185" spans="1:20" x14ac:dyDescent="0.25">
      <c r="A1185" t="s">
        <v>246</v>
      </c>
      <c r="B1185" t="s">
        <v>237</v>
      </c>
      <c r="C1185" t="s">
        <v>238</v>
      </c>
      <c r="D1185" t="s">
        <v>257</v>
      </c>
      <c r="E1185" t="s">
        <v>228</v>
      </c>
      <c r="F1185">
        <v>2004</v>
      </c>
      <c r="G1185">
        <v>7.2137464788732397E-4</v>
      </c>
      <c r="H1185" t="s">
        <v>240</v>
      </c>
      <c r="I1185" t="s">
        <v>241</v>
      </c>
      <c r="J1185" t="s">
        <v>188</v>
      </c>
      <c r="K1185" s="183">
        <f ca="1">VLOOKUP(F1185,
    OFFSET(INDIRECT(ADDRESS(MATCH(J1185,'Vehicle numbers'!$A$5:$A$162,0),1,1,1,$L$6)),4,1,COUNTIF('Vehicle numbers'!$A$5:$A$162,J1185),4),
    MATCH(K$8,'Vehicle numbers'!$B$4:$D$4,0))*1000</f>
        <v>2822440</v>
      </c>
      <c r="L1185" s="183">
        <f ca="1">VLOOKUP(F1185,
    OFFSET(INDIRECT(ADDRESS(MATCH(J1185,'Vehicle numbers'!$A$5:$A$162,0),1,1,1,$L$6)),4,1,COUNTIF('Vehicle numbers'!$A$5:$A$162,J1185),4),
    MATCH(L$8,'Vehicle numbers'!$B$4:$D$4,0))*1000</f>
        <v>2903431.5640420751</v>
      </c>
      <c r="M1185" s="184">
        <f>VLOOKUP(F1185,'Annual distance covered (GB)'!$A$8:$H$33,MATCH(J1185,'Annual distance covered (GB)'!$A$7:$H$7,0))</f>
        <v>60.2</v>
      </c>
      <c r="N1185" s="2">
        <f t="shared" ca="1" si="50"/>
        <v>44672.909863445391</v>
      </c>
      <c r="O1185" s="180">
        <f t="shared" ca="1" si="51"/>
        <v>1.5386245164757055E-2</v>
      </c>
      <c r="P1185" s="180"/>
      <c r="Q1185" s="180"/>
      <c r="R1185" s="180"/>
      <c r="S1185" s="180"/>
      <c r="T1185" s="180"/>
    </row>
    <row r="1186" spans="1:20" x14ac:dyDescent="0.25">
      <c r="A1186" t="s">
        <v>236</v>
      </c>
      <c r="B1186" t="s">
        <v>237</v>
      </c>
      <c r="C1186" t="s">
        <v>238</v>
      </c>
      <c r="D1186" t="s">
        <v>258</v>
      </c>
      <c r="E1186" t="s">
        <v>229</v>
      </c>
      <c r="F1186">
        <v>2004</v>
      </c>
      <c r="G1186">
        <v>8.6219999999999995E-3</v>
      </c>
      <c r="H1186" t="s">
        <v>240</v>
      </c>
      <c r="I1186" t="s">
        <v>241</v>
      </c>
      <c r="J1186" t="s">
        <v>188</v>
      </c>
      <c r="K1186" s="183">
        <f ca="1">VLOOKUP(F1186,
    OFFSET(INDIRECT(ADDRESS(MATCH(J1186,'Vehicle numbers'!$A$5:$A$162,0),1,1,1,$L$6)),4,1,COUNTIF('Vehicle numbers'!$A$5:$A$162,J1186),4),
    MATCH(K$8,'Vehicle numbers'!$B$4:$D$4,0))*1000</f>
        <v>2822440</v>
      </c>
      <c r="L1186" s="183">
        <f ca="1">VLOOKUP(F1186,
    OFFSET(INDIRECT(ADDRESS(MATCH(J1186,'Vehicle numbers'!$A$5:$A$162,0),1,1,1,$L$6)),4,1,COUNTIF('Vehicle numbers'!$A$5:$A$162,J1186),4),
    MATCH(L$8,'Vehicle numbers'!$B$4:$D$4,0))*1000</f>
        <v>2903431.5640420751</v>
      </c>
      <c r="M1186" s="184">
        <f>VLOOKUP(F1186,'Annual distance covered (GB)'!$A$8:$H$33,MATCH(J1186,'Annual distance covered (GB)'!$A$7:$H$7,0))</f>
        <v>60.2</v>
      </c>
      <c r="N1186" s="2">
        <f t="shared" ca="1" si="50"/>
        <v>533938.68216836511</v>
      </c>
      <c r="O1186" s="180">
        <f t="shared" ca="1" si="51"/>
        <v>0.18389917943339806</v>
      </c>
      <c r="P1186" s="180"/>
      <c r="Q1186" s="180"/>
      <c r="R1186" s="180"/>
      <c r="S1186" s="180"/>
      <c r="T1186" s="180"/>
    </row>
    <row r="1187" spans="1:20" x14ac:dyDescent="0.25">
      <c r="A1187" t="s">
        <v>243</v>
      </c>
      <c r="B1187" t="s">
        <v>237</v>
      </c>
      <c r="C1187" t="s">
        <v>238</v>
      </c>
      <c r="D1187" t="s">
        <v>258</v>
      </c>
      <c r="E1187" t="s">
        <v>229</v>
      </c>
      <c r="F1187">
        <v>2004</v>
      </c>
      <c r="G1187">
        <v>3.4488000000000001E-3</v>
      </c>
      <c r="H1187" t="s">
        <v>240</v>
      </c>
      <c r="I1187" t="s">
        <v>241</v>
      </c>
      <c r="J1187" t="s">
        <v>188</v>
      </c>
      <c r="K1187" s="183">
        <f ca="1">VLOOKUP(F1187,
    OFFSET(INDIRECT(ADDRESS(MATCH(J1187,'Vehicle numbers'!$A$5:$A$162,0),1,1,1,$L$6)),4,1,COUNTIF('Vehicle numbers'!$A$5:$A$162,J1187),4),
    MATCH(K$8,'Vehicle numbers'!$B$4:$D$4,0))*1000</f>
        <v>2822440</v>
      </c>
      <c r="L1187" s="183">
        <f ca="1">VLOOKUP(F1187,
    OFFSET(INDIRECT(ADDRESS(MATCH(J1187,'Vehicle numbers'!$A$5:$A$162,0),1,1,1,$L$6)),4,1,COUNTIF('Vehicle numbers'!$A$5:$A$162,J1187),4),
    MATCH(L$8,'Vehicle numbers'!$B$4:$D$4,0))*1000</f>
        <v>2903431.5640420751</v>
      </c>
      <c r="M1187" s="184">
        <f>VLOOKUP(F1187,'Annual distance covered (GB)'!$A$8:$H$33,MATCH(J1187,'Annual distance covered (GB)'!$A$7:$H$7,0))</f>
        <v>60.2</v>
      </c>
      <c r="N1187" s="2">
        <f t="shared" ca="1" si="50"/>
        <v>213575.47286734605</v>
      </c>
      <c r="O1187" s="180">
        <f t="shared" ca="1" si="51"/>
        <v>7.3559671773359217E-2</v>
      </c>
      <c r="P1187" s="180"/>
      <c r="Q1187" s="180"/>
      <c r="R1187" s="180"/>
      <c r="S1187" s="180"/>
      <c r="T1187" s="180"/>
    </row>
    <row r="1188" spans="1:20" x14ac:dyDescent="0.25">
      <c r="A1188" t="s">
        <v>244</v>
      </c>
      <c r="B1188" t="s">
        <v>237</v>
      </c>
      <c r="C1188" t="s">
        <v>238</v>
      </c>
      <c r="D1188" t="s">
        <v>258</v>
      </c>
      <c r="E1188" t="s">
        <v>229</v>
      </c>
      <c r="F1188">
        <v>2004</v>
      </c>
      <c r="G1188">
        <v>8.6220000000000003E-4</v>
      </c>
      <c r="H1188" t="s">
        <v>240</v>
      </c>
      <c r="I1188" t="s">
        <v>241</v>
      </c>
      <c r="J1188" t="s">
        <v>188</v>
      </c>
      <c r="K1188" s="183">
        <f ca="1">VLOOKUP(F1188,
    OFFSET(INDIRECT(ADDRESS(MATCH(J1188,'Vehicle numbers'!$A$5:$A$162,0),1,1,1,$L$6)),4,1,COUNTIF('Vehicle numbers'!$A$5:$A$162,J1188),4),
    MATCH(K$8,'Vehicle numbers'!$B$4:$D$4,0))*1000</f>
        <v>2822440</v>
      </c>
      <c r="L1188" s="183">
        <f ca="1">VLOOKUP(F1188,
    OFFSET(INDIRECT(ADDRESS(MATCH(J1188,'Vehicle numbers'!$A$5:$A$162,0),1,1,1,$L$6)),4,1,COUNTIF('Vehicle numbers'!$A$5:$A$162,J1188),4),
    MATCH(L$8,'Vehicle numbers'!$B$4:$D$4,0))*1000</f>
        <v>2903431.5640420751</v>
      </c>
      <c r="M1188" s="184">
        <f>VLOOKUP(F1188,'Annual distance covered (GB)'!$A$8:$H$33,MATCH(J1188,'Annual distance covered (GB)'!$A$7:$H$7,0))</f>
        <v>60.2</v>
      </c>
      <c r="N1188" s="2">
        <f t="shared" ca="1" si="50"/>
        <v>53393.868216836512</v>
      </c>
      <c r="O1188" s="180">
        <f t="shared" ca="1" si="51"/>
        <v>1.8389917943339804E-2</v>
      </c>
      <c r="P1188" s="180"/>
      <c r="Q1188" s="180"/>
      <c r="R1188" s="180"/>
      <c r="S1188" s="180"/>
      <c r="T1188" s="180"/>
    </row>
    <row r="1189" spans="1:20" x14ac:dyDescent="0.25">
      <c r="A1189" t="s">
        <v>246</v>
      </c>
      <c r="B1189" t="s">
        <v>237</v>
      </c>
      <c r="C1189" t="s">
        <v>238</v>
      </c>
      <c r="D1189" t="s">
        <v>258</v>
      </c>
      <c r="E1189" t="s">
        <v>229</v>
      </c>
      <c r="F1189">
        <v>2004</v>
      </c>
      <c r="G1189">
        <v>6.8975999999999998E-4</v>
      </c>
      <c r="H1189" t="s">
        <v>240</v>
      </c>
      <c r="I1189" t="s">
        <v>241</v>
      </c>
      <c r="J1189" t="s">
        <v>188</v>
      </c>
      <c r="K1189" s="183">
        <f ca="1">VLOOKUP(F1189,
    OFFSET(INDIRECT(ADDRESS(MATCH(J1189,'Vehicle numbers'!$A$5:$A$162,0),1,1,1,$L$6)),4,1,COUNTIF('Vehicle numbers'!$A$5:$A$162,J1189),4),
    MATCH(K$8,'Vehicle numbers'!$B$4:$D$4,0))*1000</f>
        <v>2822440</v>
      </c>
      <c r="L1189" s="183">
        <f ca="1">VLOOKUP(F1189,
    OFFSET(INDIRECT(ADDRESS(MATCH(J1189,'Vehicle numbers'!$A$5:$A$162,0),1,1,1,$L$6)),4,1,COUNTIF('Vehicle numbers'!$A$5:$A$162,J1189),4),
    MATCH(L$8,'Vehicle numbers'!$B$4:$D$4,0))*1000</f>
        <v>2903431.5640420751</v>
      </c>
      <c r="M1189" s="184">
        <f>VLOOKUP(F1189,'Annual distance covered (GB)'!$A$8:$H$33,MATCH(J1189,'Annual distance covered (GB)'!$A$7:$H$7,0))</f>
        <v>60.2</v>
      </c>
      <c r="N1189" s="2">
        <f t="shared" ca="1" si="50"/>
        <v>42715.094573469207</v>
      </c>
      <c r="O1189" s="180">
        <f t="shared" ca="1" si="51"/>
        <v>1.4711934354671843E-2</v>
      </c>
      <c r="P1189" s="180"/>
      <c r="Q1189" s="180"/>
      <c r="R1189" s="180"/>
      <c r="S1189" s="180"/>
      <c r="T1189" s="180"/>
    </row>
    <row r="1190" spans="1:20" x14ac:dyDescent="0.25">
      <c r="A1190" t="s">
        <v>236</v>
      </c>
      <c r="B1190" t="s">
        <v>237</v>
      </c>
      <c r="C1190" t="s">
        <v>238</v>
      </c>
      <c r="D1190" t="s">
        <v>258</v>
      </c>
      <c r="E1190" t="s">
        <v>228</v>
      </c>
      <c r="F1190">
        <v>2004</v>
      </c>
      <c r="G1190">
        <v>1.0741000000000001E-2</v>
      </c>
      <c r="H1190" t="s">
        <v>240</v>
      </c>
      <c r="I1190" t="s">
        <v>241</v>
      </c>
      <c r="J1190" t="s">
        <v>188</v>
      </c>
      <c r="K1190" s="183">
        <f ca="1">VLOOKUP(F1190,
    OFFSET(INDIRECT(ADDRESS(MATCH(J1190,'Vehicle numbers'!$A$5:$A$162,0),1,1,1,$L$6)),4,1,COUNTIF('Vehicle numbers'!$A$5:$A$162,J1190),4),
    MATCH(K$8,'Vehicle numbers'!$B$4:$D$4,0))*1000</f>
        <v>2822440</v>
      </c>
      <c r="L1190" s="183">
        <f ca="1">VLOOKUP(F1190,
    OFFSET(INDIRECT(ADDRESS(MATCH(J1190,'Vehicle numbers'!$A$5:$A$162,0),1,1,1,$L$6)),4,1,COUNTIF('Vehicle numbers'!$A$5:$A$162,J1190),4),
    MATCH(L$8,'Vehicle numbers'!$B$4:$D$4,0))*1000</f>
        <v>2903431.5640420751</v>
      </c>
      <c r="M1190" s="184">
        <f>VLOOKUP(F1190,'Annual distance covered (GB)'!$A$8:$H$33,MATCH(J1190,'Annual distance covered (GB)'!$A$7:$H$7,0))</f>
        <v>60.2</v>
      </c>
      <c r="N1190" s="2">
        <f t="shared" ca="1" si="50"/>
        <v>665162.99990378227</v>
      </c>
      <c r="O1190" s="180">
        <f t="shared" ca="1" si="51"/>
        <v>0.229095463499667</v>
      </c>
      <c r="P1190" s="180"/>
      <c r="Q1190" s="180"/>
      <c r="R1190" s="180"/>
      <c r="S1190" s="180"/>
      <c r="T1190" s="180"/>
    </row>
    <row r="1191" spans="1:20" x14ac:dyDescent="0.25">
      <c r="A1191" t="s">
        <v>243</v>
      </c>
      <c r="B1191" t="s">
        <v>237</v>
      </c>
      <c r="C1191" t="s">
        <v>238</v>
      </c>
      <c r="D1191" t="s">
        <v>258</v>
      </c>
      <c r="E1191" t="s">
        <v>228</v>
      </c>
      <c r="F1191">
        <v>2004</v>
      </c>
      <c r="G1191">
        <v>7.5186999999999997E-3</v>
      </c>
      <c r="H1191" t="s">
        <v>240</v>
      </c>
      <c r="I1191" t="s">
        <v>241</v>
      </c>
      <c r="J1191" t="s">
        <v>188</v>
      </c>
      <c r="K1191" s="183">
        <f ca="1">VLOOKUP(F1191,
    OFFSET(INDIRECT(ADDRESS(MATCH(J1191,'Vehicle numbers'!$A$5:$A$162,0),1,1,1,$L$6)),4,1,COUNTIF('Vehicle numbers'!$A$5:$A$162,J1191),4),
    MATCH(K$8,'Vehicle numbers'!$B$4:$D$4,0))*1000</f>
        <v>2822440</v>
      </c>
      <c r="L1191" s="183">
        <f ca="1">VLOOKUP(F1191,
    OFFSET(INDIRECT(ADDRESS(MATCH(J1191,'Vehicle numbers'!$A$5:$A$162,0),1,1,1,$L$6)),4,1,COUNTIF('Vehicle numbers'!$A$5:$A$162,J1191),4),
    MATCH(L$8,'Vehicle numbers'!$B$4:$D$4,0))*1000</f>
        <v>2903431.5640420751</v>
      </c>
      <c r="M1191" s="184">
        <f>VLOOKUP(F1191,'Annual distance covered (GB)'!$A$8:$H$33,MATCH(J1191,'Annual distance covered (GB)'!$A$7:$H$7,0))</f>
        <v>60.2</v>
      </c>
      <c r="N1191" s="2">
        <f t="shared" ca="1" si="50"/>
        <v>465614.09993264748</v>
      </c>
      <c r="O1191" s="180">
        <f t="shared" ca="1" si="51"/>
        <v>0.16036682444976685</v>
      </c>
      <c r="P1191" s="180"/>
      <c r="Q1191" s="180"/>
      <c r="R1191" s="180"/>
      <c r="S1191" s="180"/>
      <c r="T1191" s="180"/>
    </row>
    <row r="1192" spans="1:20" x14ac:dyDescent="0.25">
      <c r="A1192" t="s">
        <v>244</v>
      </c>
      <c r="B1192" t="s">
        <v>237</v>
      </c>
      <c r="C1192" t="s">
        <v>238</v>
      </c>
      <c r="D1192" t="s">
        <v>258</v>
      </c>
      <c r="E1192" t="s">
        <v>228</v>
      </c>
      <c r="F1192">
        <v>2004</v>
      </c>
      <c r="G1192">
        <v>1.05897183098591E-3</v>
      </c>
      <c r="H1192" t="s">
        <v>240</v>
      </c>
      <c r="I1192" t="s">
        <v>241</v>
      </c>
      <c r="J1192" t="s">
        <v>188</v>
      </c>
      <c r="K1192" s="183">
        <f ca="1">VLOOKUP(F1192,
    OFFSET(INDIRECT(ADDRESS(MATCH(J1192,'Vehicle numbers'!$A$5:$A$162,0),1,1,1,$L$6)),4,1,COUNTIF('Vehicle numbers'!$A$5:$A$162,J1192),4),
    MATCH(K$8,'Vehicle numbers'!$B$4:$D$4,0))*1000</f>
        <v>2822440</v>
      </c>
      <c r="L1192" s="183">
        <f ca="1">VLOOKUP(F1192,
    OFFSET(INDIRECT(ADDRESS(MATCH(J1192,'Vehicle numbers'!$A$5:$A$162,0),1,1,1,$L$6)),4,1,COUNTIF('Vehicle numbers'!$A$5:$A$162,J1192),4),
    MATCH(L$8,'Vehicle numbers'!$B$4:$D$4,0))*1000</f>
        <v>2903431.5640420751</v>
      </c>
      <c r="M1192" s="184">
        <f>VLOOKUP(F1192,'Annual distance covered (GB)'!$A$8:$H$33,MATCH(J1192,'Annual distance covered (GB)'!$A$7:$H$7,0))</f>
        <v>60.2</v>
      </c>
      <c r="N1192" s="2">
        <f t="shared" ca="1" si="50"/>
        <v>65579.450694738742</v>
      </c>
      <c r="O1192" s="180">
        <f t="shared" ca="1" si="51"/>
        <v>2.2586876683065638E-2</v>
      </c>
      <c r="P1192" s="180"/>
      <c r="Q1192" s="180"/>
      <c r="R1192" s="180"/>
      <c r="S1192" s="180"/>
      <c r="T1192" s="180"/>
    </row>
    <row r="1193" spans="1:20" x14ac:dyDescent="0.25">
      <c r="A1193" t="s">
        <v>246</v>
      </c>
      <c r="B1193" t="s">
        <v>237</v>
      </c>
      <c r="C1193" t="s">
        <v>238</v>
      </c>
      <c r="D1193" t="s">
        <v>258</v>
      </c>
      <c r="E1193" t="s">
        <v>228</v>
      </c>
      <c r="F1193">
        <v>2004</v>
      </c>
      <c r="G1193">
        <v>8.47177464788731E-4</v>
      </c>
      <c r="H1193" t="s">
        <v>240</v>
      </c>
      <c r="I1193" t="s">
        <v>241</v>
      </c>
      <c r="J1193" t="s">
        <v>188</v>
      </c>
      <c r="K1193" s="183">
        <f ca="1">VLOOKUP(F1193,
    OFFSET(INDIRECT(ADDRESS(MATCH(J1193,'Vehicle numbers'!$A$5:$A$162,0),1,1,1,$L$6)),4,1,COUNTIF('Vehicle numbers'!$A$5:$A$162,J1193),4),
    MATCH(K$8,'Vehicle numbers'!$B$4:$D$4,0))*1000</f>
        <v>2822440</v>
      </c>
      <c r="L1193" s="183">
        <f ca="1">VLOOKUP(F1193,
    OFFSET(INDIRECT(ADDRESS(MATCH(J1193,'Vehicle numbers'!$A$5:$A$162,0),1,1,1,$L$6)),4,1,COUNTIF('Vehicle numbers'!$A$5:$A$162,J1193),4),
    MATCH(L$8,'Vehicle numbers'!$B$4:$D$4,0))*1000</f>
        <v>2903431.5640420751</v>
      </c>
      <c r="M1193" s="184">
        <f>VLOOKUP(F1193,'Annual distance covered (GB)'!$A$8:$H$33,MATCH(J1193,'Annual distance covered (GB)'!$A$7:$H$7,0))</f>
        <v>60.2</v>
      </c>
      <c r="N1193" s="2">
        <f t="shared" ca="1" si="50"/>
        <v>52463.560555791177</v>
      </c>
      <c r="O1193" s="180">
        <f t="shared" ca="1" si="51"/>
        <v>1.8069501346452573E-2</v>
      </c>
      <c r="P1193" s="180"/>
      <c r="Q1193" s="180"/>
      <c r="R1193" s="180"/>
      <c r="S1193" s="180"/>
      <c r="T1193" s="180"/>
    </row>
    <row r="1194" spans="1:20" x14ac:dyDescent="0.25">
      <c r="A1194" t="s">
        <v>236</v>
      </c>
      <c r="B1194" t="s">
        <v>237</v>
      </c>
      <c r="C1194" t="s">
        <v>238</v>
      </c>
      <c r="D1194" t="s">
        <v>259</v>
      </c>
      <c r="E1194" t="s">
        <v>229</v>
      </c>
      <c r="F1194">
        <v>2004</v>
      </c>
      <c r="G1194">
        <v>1.8218999999999999E-2</v>
      </c>
      <c r="H1194" t="s">
        <v>240</v>
      </c>
      <c r="I1194" t="s">
        <v>241</v>
      </c>
      <c r="J1194" t="s">
        <v>188</v>
      </c>
      <c r="K1194" s="183">
        <f ca="1">VLOOKUP(F1194,
    OFFSET(INDIRECT(ADDRESS(MATCH(J1194,'Vehicle numbers'!$A$5:$A$162,0),1,1,1,$L$6)),4,1,COUNTIF('Vehicle numbers'!$A$5:$A$162,J1194),4),
    MATCH(K$8,'Vehicle numbers'!$B$4:$D$4,0))*1000</f>
        <v>2822440</v>
      </c>
      <c r="L1194" s="183">
        <f ca="1">VLOOKUP(F1194,
    OFFSET(INDIRECT(ADDRESS(MATCH(J1194,'Vehicle numbers'!$A$5:$A$162,0),1,1,1,$L$6)),4,1,COUNTIF('Vehicle numbers'!$A$5:$A$162,J1194),4),
    MATCH(L$8,'Vehicle numbers'!$B$4:$D$4,0))*1000</f>
        <v>2903431.5640420751</v>
      </c>
      <c r="M1194" s="184">
        <f>VLOOKUP(F1194,'Annual distance covered (GB)'!$A$8:$H$33,MATCH(J1194,'Annual distance covered (GB)'!$A$7:$H$7,0))</f>
        <v>60.2</v>
      </c>
      <c r="N1194" s="2">
        <f t="shared" ca="1" si="50"/>
        <v>1128256.6516383025</v>
      </c>
      <c r="O1194" s="180">
        <f t="shared" ca="1" si="51"/>
        <v>0.38859419509360693</v>
      </c>
      <c r="P1194" s="180"/>
      <c r="Q1194" s="180"/>
      <c r="R1194" s="180"/>
      <c r="S1194" s="180"/>
      <c r="T1194" s="180"/>
    </row>
    <row r="1195" spans="1:20" x14ac:dyDescent="0.25">
      <c r="A1195" t="s">
        <v>243</v>
      </c>
      <c r="B1195" t="s">
        <v>237</v>
      </c>
      <c r="C1195" t="s">
        <v>238</v>
      </c>
      <c r="D1195" t="s">
        <v>259</v>
      </c>
      <c r="E1195" t="s">
        <v>229</v>
      </c>
      <c r="F1195">
        <v>2004</v>
      </c>
      <c r="G1195">
        <v>7.2876E-3</v>
      </c>
      <c r="H1195" t="s">
        <v>240</v>
      </c>
      <c r="I1195" t="s">
        <v>241</v>
      </c>
      <c r="J1195" t="s">
        <v>188</v>
      </c>
      <c r="K1195" s="183">
        <f ca="1">VLOOKUP(F1195,
    OFFSET(INDIRECT(ADDRESS(MATCH(J1195,'Vehicle numbers'!$A$5:$A$162,0),1,1,1,$L$6)),4,1,COUNTIF('Vehicle numbers'!$A$5:$A$162,J1195),4),
    MATCH(K$8,'Vehicle numbers'!$B$4:$D$4,0))*1000</f>
        <v>2822440</v>
      </c>
      <c r="L1195" s="183">
        <f ca="1">VLOOKUP(F1195,
    OFFSET(INDIRECT(ADDRESS(MATCH(J1195,'Vehicle numbers'!$A$5:$A$162,0),1,1,1,$L$6)),4,1,COUNTIF('Vehicle numbers'!$A$5:$A$162,J1195),4),
    MATCH(L$8,'Vehicle numbers'!$B$4:$D$4,0))*1000</f>
        <v>2903431.5640420751</v>
      </c>
      <c r="M1195" s="184">
        <f>VLOOKUP(F1195,'Annual distance covered (GB)'!$A$8:$H$33,MATCH(J1195,'Annual distance covered (GB)'!$A$7:$H$7,0))</f>
        <v>60.2</v>
      </c>
      <c r="N1195" s="2">
        <f t="shared" ca="1" si="50"/>
        <v>451302.66065532103</v>
      </c>
      <c r="O1195" s="180">
        <f t="shared" ca="1" si="51"/>
        <v>0.15543767803744279</v>
      </c>
      <c r="P1195" s="180"/>
      <c r="Q1195" s="180"/>
      <c r="R1195" s="180"/>
      <c r="S1195" s="180"/>
      <c r="T1195" s="180"/>
    </row>
    <row r="1196" spans="1:20" x14ac:dyDescent="0.25">
      <c r="A1196" t="s">
        <v>244</v>
      </c>
      <c r="B1196" t="s">
        <v>237</v>
      </c>
      <c r="C1196" t="s">
        <v>238</v>
      </c>
      <c r="D1196" t="s">
        <v>259</v>
      </c>
      <c r="E1196" t="s">
        <v>229</v>
      </c>
      <c r="F1196">
        <v>2004</v>
      </c>
      <c r="G1196">
        <v>1.8219E-3</v>
      </c>
      <c r="H1196" t="s">
        <v>240</v>
      </c>
      <c r="I1196" t="s">
        <v>241</v>
      </c>
      <c r="J1196" t="s">
        <v>188</v>
      </c>
      <c r="K1196" s="183">
        <f ca="1">VLOOKUP(F1196,
    OFFSET(INDIRECT(ADDRESS(MATCH(J1196,'Vehicle numbers'!$A$5:$A$162,0),1,1,1,$L$6)),4,1,COUNTIF('Vehicle numbers'!$A$5:$A$162,J1196),4),
    MATCH(K$8,'Vehicle numbers'!$B$4:$D$4,0))*1000</f>
        <v>2822440</v>
      </c>
      <c r="L1196" s="183">
        <f ca="1">VLOOKUP(F1196,
    OFFSET(INDIRECT(ADDRESS(MATCH(J1196,'Vehicle numbers'!$A$5:$A$162,0),1,1,1,$L$6)),4,1,COUNTIF('Vehicle numbers'!$A$5:$A$162,J1196),4),
    MATCH(L$8,'Vehicle numbers'!$B$4:$D$4,0))*1000</f>
        <v>2903431.5640420751</v>
      </c>
      <c r="M1196" s="184">
        <f>VLOOKUP(F1196,'Annual distance covered (GB)'!$A$8:$H$33,MATCH(J1196,'Annual distance covered (GB)'!$A$7:$H$7,0))</f>
        <v>60.2</v>
      </c>
      <c r="N1196" s="2">
        <f t="shared" ca="1" si="50"/>
        <v>112825.66516383026</v>
      </c>
      <c r="O1196" s="180">
        <f t="shared" ca="1" si="51"/>
        <v>3.8859419509360699E-2</v>
      </c>
      <c r="P1196" s="180"/>
      <c r="Q1196" s="180"/>
      <c r="R1196" s="180"/>
      <c r="S1196" s="180"/>
      <c r="T1196" s="180"/>
    </row>
    <row r="1197" spans="1:20" x14ac:dyDescent="0.25">
      <c r="A1197" t="s">
        <v>246</v>
      </c>
      <c r="B1197" t="s">
        <v>237</v>
      </c>
      <c r="C1197" t="s">
        <v>238</v>
      </c>
      <c r="D1197" t="s">
        <v>259</v>
      </c>
      <c r="E1197" t="s">
        <v>229</v>
      </c>
      <c r="F1197">
        <v>2004</v>
      </c>
      <c r="G1197">
        <v>1.4575199999999999E-3</v>
      </c>
      <c r="H1197" t="s">
        <v>240</v>
      </c>
      <c r="I1197" t="s">
        <v>241</v>
      </c>
      <c r="J1197" t="s">
        <v>188</v>
      </c>
      <c r="K1197" s="183">
        <f ca="1">VLOOKUP(F1197,
    OFFSET(INDIRECT(ADDRESS(MATCH(J1197,'Vehicle numbers'!$A$5:$A$162,0),1,1,1,$L$6)),4,1,COUNTIF('Vehicle numbers'!$A$5:$A$162,J1197),4),
    MATCH(K$8,'Vehicle numbers'!$B$4:$D$4,0))*1000</f>
        <v>2822440</v>
      </c>
      <c r="L1197" s="183">
        <f ca="1">VLOOKUP(F1197,
    OFFSET(INDIRECT(ADDRESS(MATCH(J1197,'Vehicle numbers'!$A$5:$A$162,0),1,1,1,$L$6)),4,1,COUNTIF('Vehicle numbers'!$A$5:$A$162,J1197),4),
    MATCH(L$8,'Vehicle numbers'!$B$4:$D$4,0))*1000</f>
        <v>2903431.5640420751</v>
      </c>
      <c r="M1197" s="184">
        <f>VLOOKUP(F1197,'Annual distance covered (GB)'!$A$8:$H$33,MATCH(J1197,'Annual distance covered (GB)'!$A$7:$H$7,0))</f>
        <v>60.2</v>
      </c>
      <c r="N1197" s="2">
        <f t="shared" ca="1" si="50"/>
        <v>90260.532131064203</v>
      </c>
      <c r="O1197" s="180">
        <f t="shared" ca="1" si="51"/>
        <v>3.1087535607488559E-2</v>
      </c>
      <c r="P1197" s="180"/>
      <c r="Q1197" s="180"/>
      <c r="R1197" s="180"/>
      <c r="S1197" s="180"/>
      <c r="T1197" s="180"/>
    </row>
    <row r="1198" spans="1:20" x14ac:dyDescent="0.25">
      <c r="A1198" t="s">
        <v>236</v>
      </c>
      <c r="B1198" t="s">
        <v>237</v>
      </c>
      <c r="C1198" t="s">
        <v>238</v>
      </c>
      <c r="D1198" t="s">
        <v>259</v>
      </c>
      <c r="E1198" t="s">
        <v>228</v>
      </c>
      <c r="F1198">
        <v>2004</v>
      </c>
      <c r="G1198">
        <v>1.3802E-2</v>
      </c>
      <c r="H1198" t="s">
        <v>240</v>
      </c>
      <c r="I1198" t="s">
        <v>241</v>
      </c>
      <c r="J1198" t="s">
        <v>188</v>
      </c>
      <c r="K1198" s="183">
        <f ca="1">VLOOKUP(F1198,
    OFFSET(INDIRECT(ADDRESS(MATCH(J1198,'Vehicle numbers'!$A$5:$A$162,0),1,1,1,$L$6)),4,1,COUNTIF('Vehicle numbers'!$A$5:$A$162,J1198),4),
    MATCH(K$8,'Vehicle numbers'!$B$4:$D$4,0))*1000</f>
        <v>2822440</v>
      </c>
      <c r="L1198" s="183">
        <f ca="1">VLOOKUP(F1198,
    OFFSET(INDIRECT(ADDRESS(MATCH(J1198,'Vehicle numbers'!$A$5:$A$162,0),1,1,1,$L$6)),4,1,COUNTIF('Vehicle numbers'!$A$5:$A$162,J1198),4),
    MATCH(L$8,'Vehicle numbers'!$B$4:$D$4,0))*1000</f>
        <v>2903431.5640420751</v>
      </c>
      <c r="M1198" s="184">
        <f>VLOOKUP(F1198,'Annual distance covered (GB)'!$A$8:$H$33,MATCH(J1198,'Annual distance covered (GB)'!$A$7:$H$7,0))</f>
        <v>60.2</v>
      </c>
      <c r="N1198" s="2">
        <f t="shared" ca="1" si="50"/>
        <v>854722.99829364137</v>
      </c>
      <c r="O1198" s="180">
        <f t="shared" ca="1" si="51"/>
        <v>0.29438372472045465</v>
      </c>
      <c r="P1198" s="180"/>
      <c r="Q1198" s="180"/>
      <c r="R1198" s="180"/>
      <c r="S1198" s="180"/>
      <c r="T1198" s="180"/>
    </row>
    <row r="1199" spans="1:20" x14ac:dyDescent="0.25">
      <c r="A1199" t="s">
        <v>243</v>
      </c>
      <c r="B1199" t="s">
        <v>237</v>
      </c>
      <c r="C1199" t="s">
        <v>238</v>
      </c>
      <c r="D1199" t="s">
        <v>259</v>
      </c>
      <c r="E1199" t="s">
        <v>228</v>
      </c>
      <c r="F1199">
        <v>2004</v>
      </c>
      <c r="G1199">
        <v>9.6614000000000005E-3</v>
      </c>
      <c r="H1199" t="s">
        <v>240</v>
      </c>
      <c r="I1199" t="s">
        <v>241</v>
      </c>
      <c r="J1199" t="s">
        <v>188</v>
      </c>
      <c r="K1199" s="183">
        <f ca="1">VLOOKUP(F1199,
    OFFSET(INDIRECT(ADDRESS(MATCH(J1199,'Vehicle numbers'!$A$5:$A$162,0),1,1,1,$L$6)),4,1,COUNTIF('Vehicle numbers'!$A$5:$A$162,J1199),4),
    MATCH(K$8,'Vehicle numbers'!$B$4:$D$4,0))*1000</f>
        <v>2822440</v>
      </c>
      <c r="L1199" s="183">
        <f ca="1">VLOOKUP(F1199,
    OFFSET(INDIRECT(ADDRESS(MATCH(J1199,'Vehicle numbers'!$A$5:$A$162,0),1,1,1,$L$6)),4,1,COUNTIF('Vehicle numbers'!$A$5:$A$162,J1199),4),
    MATCH(L$8,'Vehicle numbers'!$B$4:$D$4,0))*1000</f>
        <v>2903431.5640420751</v>
      </c>
      <c r="M1199" s="184">
        <f>VLOOKUP(F1199,'Annual distance covered (GB)'!$A$8:$H$33,MATCH(J1199,'Annual distance covered (GB)'!$A$7:$H$7,0))</f>
        <v>60.2</v>
      </c>
      <c r="N1199" s="2">
        <f t="shared" ca="1" si="50"/>
        <v>598306.09880554909</v>
      </c>
      <c r="O1199" s="180">
        <f t="shared" ca="1" si="51"/>
        <v>0.20606860730431831</v>
      </c>
      <c r="P1199" s="180"/>
      <c r="Q1199" s="180"/>
      <c r="R1199" s="180"/>
      <c r="S1199" s="180"/>
      <c r="T1199" s="180"/>
    </row>
    <row r="1200" spans="1:20" x14ac:dyDescent="0.25">
      <c r="A1200" t="s">
        <v>244</v>
      </c>
      <c r="B1200" t="s">
        <v>237</v>
      </c>
      <c r="C1200" t="s">
        <v>238</v>
      </c>
      <c r="D1200" t="s">
        <v>259</v>
      </c>
      <c r="E1200" t="s">
        <v>228</v>
      </c>
      <c r="F1200">
        <v>2004</v>
      </c>
      <c r="G1200">
        <v>1.3607605633802801E-3</v>
      </c>
      <c r="H1200" t="s">
        <v>240</v>
      </c>
      <c r="I1200" t="s">
        <v>241</v>
      </c>
      <c r="J1200" t="s">
        <v>188</v>
      </c>
      <c r="K1200" s="183">
        <f ca="1">VLOOKUP(F1200,
    OFFSET(INDIRECT(ADDRESS(MATCH(J1200,'Vehicle numbers'!$A$5:$A$162,0),1,1,1,$L$6)),4,1,COUNTIF('Vehicle numbers'!$A$5:$A$162,J1200),4),
    MATCH(K$8,'Vehicle numbers'!$B$4:$D$4,0))*1000</f>
        <v>2822440</v>
      </c>
      <c r="L1200" s="183">
        <f ca="1">VLOOKUP(F1200,
    OFFSET(INDIRECT(ADDRESS(MATCH(J1200,'Vehicle numbers'!$A$5:$A$162,0),1,1,1,$L$6)),4,1,COUNTIF('Vehicle numbers'!$A$5:$A$162,J1200),4),
    MATCH(L$8,'Vehicle numbers'!$B$4:$D$4,0))*1000</f>
        <v>2903431.5640420751</v>
      </c>
      <c r="M1200" s="184">
        <f>VLOOKUP(F1200,'Annual distance covered (GB)'!$A$8:$H$33,MATCH(J1200,'Annual distance covered (GB)'!$A$7:$H$7,0))</f>
        <v>60.2</v>
      </c>
      <c r="N1200" s="2">
        <f t="shared" ca="1" si="50"/>
        <v>84268.464620499755</v>
      </c>
      <c r="O1200" s="180">
        <f t="shared" ca="1" si="51"/>
        <v>2.9023747507650428E-2</v>
      </c>
      <c r="P1200" s="180"/>
      <c r="Q1200" s="180"/>
      <c r="R1200" s="180"/>
      <c r="S1200" s="180"/>
      <c r="T1200" s="180"/>
    </row>
    <row r="1201" spans="1:20" x14ac:dyDescent="0.25">
      <c r="A1201" t="s">
        <v>246</v>
      </c>
      <c r="B1201" t="s">
        <v>237</v>
      </c>
      <c r="C1201" t="s">
        <v>238</v>
      </c>
      <c r="D1201" t="s">
        <v>259</v>
      </c>
      <c r="E1201" t="s">
        <v>228</v>
      </c>
      <c r="F1201">
        <v>2004</v>
      </c>
      <c r="G1201">
        <v>1.0886084507042201E-3</v>
      </c>
      <c r="H1201" t="s">
        <v>240</v>
      </c>
      <c r="I1201" t="s">
        <v>241</v>
      </c>
      <c r="J1201" t="s">
        <v>188</v>
      </c>
      <c r="K1201" s="183">
        <f ca="1">VLOOKUP(F1201,
    OFFSET(INDIRECT(ADDRESS(MATCH(J1201,'Vehicle numbers'!$A$5:$A$162,0),1,1,1,$L$6)),4,1,COUNTIF('Vehicle numbers'!$A$5:$A$162,J1201),4),
    MATCH(K$8,'Vehicle numbers'!$B$4:$D$4,0))*1000</f>
        <v>2822440</v>
      </c>
      <c r="L1201" s="183">
        <f ca="1">VLOOKUP(F1201,
    OFFSET(INDIRECT(ADDRESS(MATCH(J1201,'Vehicle numbers'!$A$5:$A$162,0),1,1,1,$L$6)),4,1,COUNTIF('Vehicle numbers'!$A$5:$A$162,J1201),4),
    MATCH(L$8,'Vehicle numbers'!$B$4:$D$4,0))*1000</f>
        <v>2903431.5640420751</v>
      </c>
      <c r="M1201" s="184">
        <f>VLOOKUP(F1201,'Annual distance covered (GB)'!$A$8:$H$33,MATCH(J1201,'Annual distance covered (GB)'!$A$7:$H$7,0))</f>
        <v>60.2</v>
      </c>
      <c r="N1201" s="2">
        <f t="shared" ca="1" si="50"/>
        <v>67414.771696399548</v>
      </c>
      <c r="O1201" s="180">
        <f t="shared" ca="1" si="51"/>
        <v>2.3218998006120251E-2</v>
      </c>
      <c r="P1201" s="180"/>
      <c r="Q1201" s="180"/>
      <c r="R1201" s="180"/>
      <c r="S1201" s="180"/>
      <c r="T1201" s="180"/>
    </row>
    <row r="1202" spans="1:20" x14ac:dyDescent="0.25">
      <c r="A1202" t="s">
        <v>236</v>
      </c>
      <c r="B1202" t="s">
        <v>237</v>
      </c>
      <c r="C1202" t="s">
        <v>238</v>
      </c>
      <c r="D1202" t="s">
        <v>260</v>
      </c>
      <c r="E1202" t="s">
        <v>229</v>
      </c>
      <c r="F1202">
        <v>2004</v>
      </c>
      <c r="G1202">
        <v>5.8399999999999997E-3</v>
      </c>
      <c r="H1202" t="s">
        <v>240</v>
      </c>
      <c r="I1202" t="s">
        <v>241</v>
      </c>
      <c r="J1202" t="s">
        <v>3</v>
      </c>
      <c r="K1202" s="183">
        <f ca="1">VLOOKUP(F1202,
    OFFSET(INDIRECT(ADDRESS(MATCH(J1202,'Vehicle numbers'!$A$5:$A$162,0),1,1,1,$L$6)),4,1,COUNTIF('Vehicle numbers'!$A$5:$A$162,J1202),4),
    MATCH(K$8,'Vehicle numbers'!$B$4:$D$4,0))*1000</f>
        <v>1191168</v>
      </c>
      <c r="L1202" s="183">
        <f ca="1">VLOOKUP(F1202,
    OFFSET(INDIRECT(ADDRESS(MATCH(J1202,'Vehicle numbers'!$A$5:$A$162,0),1,1,1,$L$6)),4,1,COUNTIF('Vehicle numbers'!$A$5:$A$162,J1202),4),
    MATCH(L$8,'Vehicle numbers'!$B$4:$D$4,0))*1000</f>
        <v>1213057.1169953283</v>
      </c>
      <c r="M1202" s="184">
        <f>VLOOKUP(F1202,'Annual distance covered (GB)'!$A$8:$H$33,MATCH(J1202,'Annual distance covered (GB)'!$A$7:$H$7,0))</f>
        <v>5.0999999999999996</v>
      </c>
      <c r="N1202" s="2">
        <f t="shared" ca="1" si="50"/>
        <v>30331.316130544856</v>
      </c>
      <c r="O1202" s="180">
        <f t="shared" ca="1" si="51"/>
        <v>2.5004029658284976E-2</v>
      </c>
      <c r="P1202" s="180"/>
      <c r="Q1202" s="180"/>
      <c r="R1202" s="180"/>
      <c r="S1202" s="180"/>
      <c r="T1202" s="180"/>
    </row>
    <row r="1203" spans="1:20" x14ac:dyDescent="0.25">
      <c r="A1203" t="s">
        <v>243</v>
      </c>
      <c r="B1203" t="s">
        <v>237</v>
      </c>
      <c r="C1203" t="s">
        <v>238</v>
      </c>
      <c r="D1203" t="s">
        <v>260</v>
      </c>
      <c r="E1203" t="s">
        <v>229</v>
      </c>
      <c r="F1203">
        <v>2004</v>
      </c>
      <c r="G1203">
        <v>2.336E-3</v>
      </c>
      <c r="H1203" t="s">
        <v>240</v>
      </c>
      <c r="I1203" t="s">
        <v>241</v>
      </c>
      <c r="J1203" t="s">
        <v>3</v>
      </c>
      <c r="K1203" s="183">
        <f ca="1">VLOOKUP(F1203,
    OFFSET(INDIRECT(ADDRESS(MATCH(J1203,'Vehicle numbers'!$A$5:$A$162,0),1,1,1,$L$6)),4,1,COUNTIF('Vehicle numbers'!$A$5:$A$162,J1203),4),
    MATCH(K$8,'Vehicle numbers'!$B$4:$D$4,0))*1000</f>
        <v>1191168</v>
      </c>
      <c r="L1203" s="183">
        <f ca="1">VLOOKUP(F1203,
    OFFSET(INDIRECT(ADDRESS(MATCH(J1203,'Vehicle numbers'!$A$5:$A$162,0),1,1,1,$L$6)),4,1,COUNTIF('Vehicle numbers'!$A$5:$A$162,J1203),4),
    MATCH(L$8,'Vehicle numbers'!$B$4:$D$4,0))*1000</f>
        <v>1213057.1169953283</v>
      </c>
      <c r="M1203" s="184">
        <f>VLOOKUP(F1203,'Annual distance covered (GB)'!$A$8:$H$33,MATCH(J1203,'Annual distance covered (GB)'!$A$7:$H$7,0))</f>
        <v>5.0999999999999996</v>
      </c>
      <c r="N1203" s="2">
        <f t="shared" ca="1" si="50"/>
        <v>12132.526452217942</v>
      </c>
      <c r="O1203" s="180">
        <f t="shared" ca="1" si="51"/>
        <v>1.000161186331399E-2</v>
      </c>
      <c r="P1203" s="180"/>
      <c r="Q1203" s="180"/>
      <c r="R1203" s="180"/>
      <c r="S1203" s="180"/>
      <c r="T1203" s="180"/>
    </row>
    <row r="1204" spans="1:20" x14ac:dyDescent="0.25">
      <c r="A1204" t="s">
        <v>244</v>
      </c>
      <c r="B1204" t="s">
        <v>237</v>
      </c>
      <c r="C1204" t="s">
        <v>238</v>
      </c>
      <c r="D1204" t="s">
        <v>260</v>
      </c>
      <c r="E1204" t="s">
        <v>229</v>
      </c>
      <c r="F1204">
        <v>2004</v>
      </c>
      <c r="G1204">
        <v>5.8399999999999999E-4</v>
      </c>
      <c r="H1204" t="s">
        <v>240</v>
      </c>
      <c r="I1204" t="s">
        <v>241</v>
      </c>
      <c r="J1204" t="s">
        <v>3</v>
      </c>
      <c r="K1204" s="183">
        <f ca="1">VLOOKUP(F1204,
    OFFSET(INDIRECT(ADDRESS(MATCH(J1204,'Vehicle numbers'!$A$5:$A$162,0),1,1,1,$L$6)),4,1,COUNTIF('Vehicle numbers'!$A$5:$A$162,J1204),4),
    MATCH(K$8,'Vehicle numbers'!$B$4:$D$4,0))*1000</f>
        <v>1191168</v>
      </c>
      <c r="L1204" s="183">
        <f ca="1">VLOOKUP(F1204,
    OFFSET(INDIRECT(ADDRESS(MATCH(J1204,'Vehicle numbers'!$A$5:$A$162,0),1,1,1,$L$6)),4,1,COUNTIF('Vehicle numbers'!$A$5:$A$162,J1204),4),
    MATCH(L$8,'Vehicle numbers'!$B$4:$D$4,0))*1000</f>
        <v>1213057.1169953283</v>
      </c>
      <c r="M1204" s="184">
        <f>VLOOKUP(F1204,'Annual distance covered (GB)'!$A$8:$H$33,MATCH(J1204,'Annual distance covered (GB)'!$A$7:$H$7,0))</f>
        <v>5.0999999999999996</v>
      </c>
      <c r="N1204" s="2">
        <f t="shared" ca="1" si="50"/>
        <v>3033.1316130544856</v>
      </c>
      <c r="O1204" s="180">
        <f t="shared" ca="1" si="51"/>
        <v>2.5004029658284976E-3</v>
      </c>
      <c r="P1204" s="180"/>
      <c r="Q1204" s="180"/>
      <c r="R1204" s="180"/>
      <c r="S1204" s="180"/>
      <c r="T1204" s="180"/>
    </row>
    <row r="1205" spans="1:20" x14ac:dyDescent="0.25">
      <c r="A1205" t="s">
        <v>246</v>
      </c>
      <c r="B1205" t="s">
        <v>237</v>
      </c>
      <c r="C1205" t="s">
        <v>238</v>
      </c>
      <c r="D1205" t="s">
        <v>260</v>
      </c>
      <c r="E1205" t="s">
        <v>229</v>
      </c>
      <c r="F1205">
        <v>2004</v>
      </c>
      <c r="G1205">
        <v>4.6720000000000003E-4</v>
      </c>
      <c r="H1205" t="s">
        <v>240</v>
      </c>
      <c r="I1205" t="s">
        <v>241</v>
      </c>
      <c r="J1205" t="s">
        <v>3</v>
      </c>
      <c r="K1205" s="183">
        <f ca="1">VLOOKUP(F1205,
    OFFSET(INDIRECT(ADDRESS(MATCH(J1205,'Vehicle numbers'!$A$5:$A$162,0),1,1,1,$L$6)),4,1,COUNTIF('Vehicle numbers'!$A$5:$A$162,J1205),4),
    MATCH(K$8,'Vehicle numbers'!$B$4:$D$4,0))*1000</f>
        <v>1191168</v>
      </c>
      <c r="L1205" s="183">
        <f ca="1">VLOOKUP(F1205,
    OFFSET(INDIRECT(ADDRESS(MATCH(J1205,'Vehicle numbers'!$A$5:$A$162,0),1,1,1,$L$6)),4,1,COUNTIF('Vehicle numbers'!$A$5:$A$162,J1205),4),
    MATCH(L$8,'Vehicle numbers'!$B$4:$D$4,0))*1000</f>
        <v>1213057.1169953283</v>
      </c>
      <c r="M1205" s="184">
        <f>VLOOKUP(F1205,'Annual distance covered (GB)'!$A$8:$H$33,MATCH(J1205,'Annual distance covered (GB)'!$A$7:$H$7,0))</f>
        <v>5.0999999999999996</v>
      </c>
      <c r="N1205" s="2">
        <f t="shared" ca="1" si="50"/>
        <v>2426.5052904435888</v>
      </c>
      <c r="O1205" s="180">
        <f t="shared" ca="1" si="51"/>
        <v>2.0003223726627983E-3</v>
      </c>
      <c r="P1205" s="180"/>
      <c r="Q1205" s="180"/>
      <c r="R1205" s="180"/>
      <c r="S1205" s="180"/>
      <c r="T1205" s="180"/>
    </row>
    <row r="1206" spans="1:20" x14ac:dyDescent="0.25">
      <c r="A1206" t="s">
        <v>236</v>
      </c>
      <c r="B1206" t="s">
        <v>237</v>
      </c>
      <c r="C1206" t="s">
        <v>238</v>
      </c>
      <c r="D1206" t="s">
        <v>260</v>
      </c>
      <c r="E1206" t="s">
        <v>228</v>
      </c>
      <c r="F1206">
        <v>2004</v>
      </c>
      <c r="G1206">
        <v>3.7569999999999999E-3</v>
      </c>
      <c r="H1206" t="s">
        <v>240</v>
      </c>
      <c r="I1206" t="s">
        <v>241</v>
      </c>
      <c r="J1206" t="s">
        <v>3</v>
      </c>
      <c r="K1206" s="183">
        <f ca="1">VLOOKUP(F1206,
    OFFSET(INDIRECT(ADDRESS(MATCH(J1206,'Vehicle numbers'!$A$5:$A$162,0),1,1,1,$L$6)),4,1,COUNTIF('Vehicle numbers'!$A$5:$A$162,J1206),4),
    MATCH(K$8,'Vehicle numbers'!$B$4:$D$4,0))*1000</f>
        <v>1191168</v>
      </c>
      <c r="L1206" s="183">
        <f ca="1">VLOOKUP(F1206,
    OFFSET(INDIRECT(ADDRESS(MATCH(J1206,'Vehicle numbers'!$A$5:$A$162,0),1,1,1,$L$6)),4,1,COUNTIF('Vehicle numbers'!$A$5:$A$162,J1206),4),
    MATCH(L$8,'Vehicle numbers'!$B$4:$D$4,0))*1000</f>
        <v>1213057.1169953283</v>
      </c>
      <c r="M1206" s="184">
        <f>VLOOKUP(F1206,'Annual distance covered (GB)'!$A$8:$H$33,MATCH(J1206,'Annual distance covered (GB)'!$A$7:$H$7,0))</f>
        <v>5.0999999999999996</v>
      </c>
      <c r="N1206" s="2">
        <f t="shared" ca="1" si="50"/>
        <v>19512.800462749492</v>
      </c>
      <c r="O1206" s="180">
        <f t="shared" ca="1" si="51"/>
        <v>1.6085640312701481E-2</v>
      </c>
      <c r="P1206" s="180"/>
      <c r="Q1206" s="180"/>
      <c r="R1206" s="180"/>
      <c r="S1206" s="180"/>
      <c r="T1206" s="180"/>
    </row>
    <row r="1207" spans="1:20" x14ac:dyDescent="0.25">
      <c r="A1207" t="s">
        <v>243</v>
      </c>
      <c r="B1207" t="s">
        <v>237</v>
      </c>
      <c r="C1207" t="s">
        <v>238</v>
      </c>
      <c r="D1207" t="s">
        <v>260</v>
      </c>
      <c r="E1207" t="s">
        <v>228</v>
      </c>
      <c r="F1207">
        <v>2004</v>
      </c>
      <c r="G1207">
        <v>2.6299000000000001E-3</v>
      </c>
      <c r="H1207" t="s">
        <v>240</v>
      </c>
      <c r="I1207" t="s">
        <v>241</v>
      </c>
      <c r="J1207" t="s">
        <v>3</v>
      </c>
      <c r="K1207" s="183">
        <f ca="1">VLOOKUP(F1207,
    OFFSET(INDIRECT(ADDRESS(MATCH(J1207,'Vehicle numbers'!$A$5:$A$162,0),1,1,1,$L$6)),4,1,COUNTIF('Vehicle numbers'!$A$5:$A$162,J1207),4),
    MATCH(K$8,'Vehicle numbers'!$B$4:$D$4,0))*1000</f>
        <v>1191168</v>
      </c>
      <c r="L1207" s="183">
        <f ca="1">VLOOKUP(F1207,
    OFFSET(INDIRECT(ADDRESS(MATCH(J1207,'Vehicle numbers'!$A$5:$A$162,0),1,1,1,$L$6)),4,1,COUNTIF('Vehicle numbers'!$A$5:$A$162,J1207),4),
    MATCH(L$8,'Vehicle numbers'!$B$4:$D$4,0))*1000</f>
        <v>1213057.1169953283</v>
      </c>
      <c r="M1207" s="184">
        <f>VLOOKUP(F1207,'Annual distance covered (GB)'!$A$8:$H$33,MATCH(J1207,'Annual distance covered (GB)'!$A$7:$H$7,0))</f>
        <v>5.0999999999999996</v>
      </c>
      <c r="N1207" s="2">
        <f t="shared" ca="1" si="50"/>
        <v>13658.960323924644</v>
      </c>
      <c r="O1207" s="180">
        <f t="shared" ca="1" si="51"/>
        <v>1.1259948218891038E-2</v>
      </c>
      <c r="P1207" s="180"/>
      <c r="Q1207" s="180"/>
      <c r="R1207" s="180"/>
      <c r="S1207" s="180"/>
      <c r="T1207" s="180"/>
    </row>
    <row r="1208" spans="1:20" x14ac:dyDescent="0.25">
      <c r="A1208" t="s">
        <v>244</v>
      </c>
      <c r="B1208" t="s">
        <v>237</v>
      </c>
      <c r="C1208" t="s">
        <v>238</v>
      </c>
      <c r="D1208" t="s">
        <v>260</v>
      </c>
      <c r="E1208" t="s">
        <v>228</v>
      </c>
      <c r="F1208">
        <v>2004</v>
      </c>
      <c r="G1208">
        <v>3.7040845070422499E-4</v>
      </c>
      <c r="H1208" t="s">
        <v>240</v>
      </c>
      <c r="I1208" t="s">
        <v>241</v>
      </c>
      <c r="J1208" t="s">
        <v>3</v>
      </c>
      <c r="K1208" s="183">
        <f ca="1">VLOOKUP(F1208,
    OFFSET(INDIRECT(ADDRESS(MATCH(J1208,'Vehicle numbers'!$A$5:$A$162,0),1,1,1,$L$6)),4,1,COUNTIF('Vehicle numbers'!$A$5:$A$162,J1208),4),
    MATCH(K$8,'Vehicle numbers'!$B$4:$D$4,0))*1000</f>
        <v>1191168</v>
      </c>
      <c r="L1208" s="183">
        <f ca="1">VLOOKUP(F1208,
    OFFSET(INDIRECT(ADDRESS(MATCH(J1208,'Vehicle numbers'!$A$5:$A$162,0),1,1,1,$L$6)),4,1,COUNTIF('Vehicle numbers'!$A$5:$A$162,J1208),4),
    MATCH(L$8,'Vehicle numbers'!$B$4:$D$4,0))*1000</f>
        <v>1213057.1169953283</v>
      </c>
      <c r="M1208" s="184">
        <f>VLOOKUP(F1208,'Annual distance covered (GB)'!$A$8:$H$33,MATCH(J1208,'Annual distance covered (GB)'!$A$7:$H$7,0))</f>
        <v>5.0999999999999996</v>
      </c>
      <c r="N1208" s="2">
        <f t="shared" ca="1" si="50"/>
        <v>1923.797228721779</v>
      </c>
      <c r="O1208" s="180">
        <f t="shared" ca="1" si="51"/>
        <v>1.5859081998438065E-3</v>
      </c>
      <c r="P1208" s="180"/>
      <c r="Q1208" s="180"/>
      <c r="R1208" s="180"/>
      <c r="S1208" s="180"/>
      <c r="T1208" s="180"/>
    </row>
    <row r="1209" spans="1:20" x14ac:dyDescent="0.25">
      <c r="A1209" t="s">
        <v>246</v>
      </c>
      <c r="B1209" t="s">
        <v>237</v>
      </c>
      <c r="C1209" t="s">
        <v>238</v>
      </c>
      <c r="D1209" t="s">
        <v>260</v>
      </c>
      <c r="E1209" t="s">
        <v>228</v>
      </c>
      <c r="F1209">
        <v>2004</v>
      </c>
      <c r="G1209">
        <v>2.9632676056337998E-4</v>
      </c>
      <c r="H1209" t="s">
        <v>240</v>
      </c>
      <c r="I1209" t="s">
        <v>241</v>
      </c>
      <c r="J1209" t="s">
        <v>3</v>
      </c>
      <c r="K1209" s="183">
        <f ca="1">VLOOKUP(F1209,
    OFFSET(INDIRECT(ADDRESS(MATCH(J1209,'Vehicle numbers'!$A$5:$A$162,0),1,1,1,$L$6)),4,1,COUNTIF('Vehicle numbers'!$A$5:$A$162,J1209),4),
    MATCH(K$8,'Vehicle numbers'!$B$4:$D$4,0))*1000</f>
        <v>1191168</v>
      </c>
      <c r="L1209" s="183">
        <f ca="1">VLOOKUP(F1209,
    OFFSET(INDIRECT(ADDRESS(MATCH(J1209,'Vehicle numbers'!$A$5:$A$162,0),1,1,1,$L$6)),4,1,COUNTIF('Vehicle numbers'!$A$5:$A$162,J1209),4),
    MATCH(L$8,'Vehicle numbers'!$B$4:$D$4,0))*1000</f>
        <v>1213057.1169953283</v>
      </c>
      <c r="M1209" s="184">
        <f>VLOOKUP(F1209,'Annual distance covered (GB)'!$A$8:$H$33,MATCH(J1209,'Annual distance covered (GB)'!$A$7:$H$7,0))</f>
        <v>5.0999999999999996</v>
      </c>
      <c r="N1209" s="2">
        <f t="shared" ca="1" si="50"/>
        <v>1539.0377829774229</v>
      </c>
      <c r="O1209" s="180">
        <f t="shared" ca="1" si="51"/>
        <v>1.2687265598750449E-3</v>
      </c>
      <c r="P1209" s="180"/>
      <c r="Q1209" s="180"/>
      <c r="R1209" s="180"/>
      <c r="S1209" s="180"/>
      <c r="T1209" s="180"/>
    </row>
    <row r="1210" spans="1:20" x14ac:dyDescent="0.25">
      <c r="A1210" t="s">
        <v>236</v>
      </c>
      <c r="B1210" t="s">
        <v>237</v>
      </c>
      <c r="C1210" t="s">
        <v>238</v>
      </c>
      <c r="D1210" t="s">
        <v>261</v>
      </c>
      <c r="E1210" t="s">
        <v>229</v>
      </c>
      <c r="F1210">
        <v>2004</v>
      </c>
      <c r="G1210">
        <v>5.8399999999999997E-3</v>
      </c>
      <c r="H1210" t="s">
        <v>240</v>
      </c>
      <c r="I1210" t="s">
        <v>241</v>
      </c>
      <c r="J1210" t="s">
        <v>3</v>
      </c>
      <c r="K1210" s="183">
        <f ca="1">VLOOKUP(F1210,
    OFFSET(INDIRECT(ADDRESS(MATCH(J1210,'Vehicle numbers'!$A$5:$A$162,0),1,1,1,$L$6)),4,1,COUNTIF('Vehicle numbers'!$A$5:$A$162,J1210),4),
    MATCH(K$8,'Vehicle numbers'!$B$4:$D$4,0))*1000</f>
        <v>1191168</v>
      </c>
      <c r="L1210" s="183">
        <f ca="1">VLOOKUP(F1210,
    OFFSET(INDIRECT(ADDRESS(MATCH(J1210,'Vehicle numbers'!$A$5:$A$162,0),1,1,1,$L$6)),4,1,COUNTIF('Vehicle numbers'!$A$5:$A$162,J1210),4),
    MATCH(L$8,'Vehicle numbers'!$B$4:$D$4,0))*1000</f>
        <v>1213057.1169953283</v>
      </c>
      <c r="M1210" s="184">
        <f>VLOOKUP(F1210,'Annual distance covered (GB)'!$A$8:$H$33,MATCH(J1210,'Annual distance covered (GB)'!$A$7:$H$7,0))</f>
        <v>5.0999999999999996</v>
      </c>
      <c r="N1210" s="2">
        <f t="shared" ca="1" si="50"/>
        <v>30331.316130544856</v>
      </c>
      <c r="O1210" s="180">
        <f t="shared" ca="1" si="51"/>
        <v>2.5004029658284976E-2</v>
      </c>
      <c r="P1210" s="180"/>
      <c r="Q1210" s="180"/>
      <c r="R1210" s="180"/>
      <c r="S1210" s="180"/>
      <c r="T1210" s="180"/>
    </row>
    <row r="1211" spans="1:20" x14ac:dyDescent="0.25">
      <c r="A1211" t="s">
        <v>243</v>
      </c>
      <c r="B1211" t="s">
        <v>237</v>
      </c>
      <c r="C1211" t="s">
        <v>238</v>
      </c>
      <c r="D1211" t="s">
        <v>261</v>
      </c>
      <c r="E1211" t="s">
        <v>229</v>
      </c>
      <c r="F1211">
        <v>2004</v>
      </c>
      <c r="G1211">
        <v>2.336E-3</v>
      </c>
      <c r="H1211" t="s">
        <v>240</v>
      </c>
      <c r="I1211" t="s">
        <v>241</v>
      </c>
      <c r="J1211" t="s">
        <v>3</v>
      </c>
      <c r="K1211" s="183">
        <f ca="1">VLOOKUP(F1211,
    OFFSET(INDIRECT(ADDRESS(MATCH(J1211,'Vehicle numbers'!$A$5:$A$162,0),1,1,1,$L$6)),4,1,COUNTIF('Vehicle numbers'!$A$5:$A$162,J1211),4),
    MATCH(K$8,'Vehicle numbers'!$B$4:$D$4,0))*1000</f>
        <v>1191168</v>
      </c>
      <c r="L1211" s="183">
        <f ca="1">VLOOKUP(F1211,
    OFFSET(INDIRECT(ADDRESS(MATCH(J1211,'Vehicle numbers'!$A$5:$A$162,0),1,1,1,$L$6)),4,1,COUNTIF('Vehicle numbers'!$A$5:$A$162,J1211),4),
    MATCH(L$8,'Vehicle numbers'!$B$4:$D$4,0))*1000</f>
        <v>1213057.1169953283</v>
      </c>
      <c r="M1211" s="184">
        <f>VLOOKUP(F1211,'Annual distance covered (GB)'!$A$8:$H$33,MATCH(J1211,'Annual distance covered (GB)'!$A$7:$H$7,0))</f>
        <v>5.0999999999999996</v>
      </c>
      <c r="N1211" s="2">
        <f t="shared" ca="1" si="50"/>
        <v>12132.526452217942</v>
      </c>
      <c r="O1211" s="180">
        <f t="shared" ca="1" si="51"/>
        <v>1.000161186331399E-2</v>
      </c>
      <c r="P1211" s="180"/>
      <c r="Q1211" s="180"/>
      <c r="R1211" s="180"/>
      <c r="S1211" s="180"/>
      <c r="T1211" s="180"/>
    </row>
    <row r="1212" spans="1:20" x14ac:dyDescent="0.25">
      <c r="A1212" t="s">
        <v>244</v>
      </c>
      <c r="B1212" t="s">
        <v>237</v>
      </c>
      <c r="C1212" t="s">
        <v>238</v>
      </c>
      <c r="D1212" t="s">
        <v>261</v>
      </c>
      <c r="E1212" t="s">
        <v>229</v>
      </c>
      <c r="F1212">
        <v>2004</v>
      </c>
      <c r="G1212">
        <v>5.8399999999999999E-4</v>
      </c>
      <c r="H1212" t="s">
        <v>240</v>
      </c>
      <c r="I1212" t="s">
        <v>241</v>
      </c>
      <c r="J1212" t="s">
        <v>3</v>
      </c>
      <c r="K1212" s="183">
        <f ca="1">VLOOKUP(F1212,
    OFFSET(INDIRECT(ADDRESS(MATCH(J1212,'Vehicle numbers'!$A$5:$A$162,0),1,1,1,$L$6)),4,1,COUNTIF('Vehicle numbers'!$A$5:$A$162,J1212),4),
    MATCH(K$8,'Vehicle numbers'!$B$4:$D$4,0))*1000</f>
        <v>1191168</v>
      </c>
      <c r="L1212" s="183">
        <f ca="1">VLOOKUP(F1212,
    OFFSET(INDIRECT(ADDRESS(MATCH(J1212,'Vehicle numbers'!$A$5:$A$162,0),1,1,1,$L$6)),4,1,COUNTIF('Vehicle numbers'!$A$5:$A$162,J1212),4),
    MATCH(L$8,'Vehicle numbers'!$B$4:$D$4,0))*1000</f>
        <v>1213057.1169953283</v>
      </c>
      <c r="M1212" s="184">
        <f>VLOOKUP(F1212,'Annual distance covered (GB)'!$A$8:$H$33,MATCH(J1212,'Annual distance covered (GB)'!$A$7:$H$7,0))</f>
        <v>5.0999999999999996</v>
      </c>
      <c r="N1212" s="2">
        <f t="shared" ca="1" si="50"/>
        <v>3033.1316130544856</v>
      </c>
      <c r="O1212" s="180">
        <f t="shared" ca="1" si="51"/>
        <v>2.5004029658284976E-3</v>
      </c>
      <c r="P1212" s="180"/>
      <c r="Q1212" s="180"/>
      <c r="R1212" s="180"/>
      <c r="S1212" s="180"/>
      <c r="T1212" s="180"/>
    </row>
    <row r="1213" spans="1:20" x14ac:dyDescent="0.25">
      <c r="A1213" t="s">
        <v>246</v>
      </c>
      <c r="B1213" t="s">
        <v>237</v>
      </c>
      <c r="C1213" t="s">
        <v>238</v>
      </c>
      <c r="D1213" t="s">
        <v>261</v>
      </c>
      <c r="E1213" t="s">
        <v>229</v>
      </c>
      <c r="F1213">
        <v>2004</v>
      </c>
      <c r="G1213">
        <v>4.6720000000000003E-4</v>
      </c>
      <c r="H1213" t="s">
        <v>240</v>
      </c>
      <c r="I1213" t="s">
        <v>241</v>
      </c>
      <c r="J1213" t="s">
        <v>3</v>
      </c>
      <c r="K1213" s="183">
        <f ca="1">VLOOKUP(F1213,
    OFFSET(INDIRECT(ADDRESS(MATCH(J1213,'Vehicle numbers'!$A$5:$A$162,0),1,1,1,$L$6)),4,1,COUNTIF('Vehicle numbers'!$A$5:$A$162,J1213),4),
    MATCH(K$8,'Vehicle numbers'!$B$4:$D$4,0))*1000</f>
        <v>1191168</v>
      </c>
      <c r="L1213" s="183">
        <f ca="1">VLOOKUP(F1213,
    OFFSET(INDIRECT(ADDRESS(MATCH(J1213,'Vehicle numbers'!$A$5:$A$162,0),1,1,1,$L$6)),4,1,COUNTIF('Vehicle numbers'!$A$5:$A$162,J1213),4),
    MATCH(L$8,'Vehicle numbers'!$B$4:$D$4,0))*1000</f>
        <v>1213057.1169953283</v>
      </c>
      <c r="M1213" s="184">
        <f>VLOOKUP(F1213,'Annual distance covered (GB)'!$A$8:$H$33,MATCH(J1213,'Annual distance covered (GB)'!$A$7:$H$7,0))</f>
        <v>5.0999999999999996</v>
      </c>
      <c r="N1213" s="2">
        <f t="shared" ca="1" si="50"/>
        <v>2426.5052904435888</v>
      </c>
      <c r="O1213" s="180">
        <f t="shared" ca="1" si="51"/>
        <v>2.0003223726627983E-3</v>
      </c>
      <c r="P1213" s="180"/>
      <c r="Q1213" s="180"/>
      <c r="R1213" s="180"/>
      <c r="S1213" s="180"/>
      <c r="T1213" s="180"/>
    </row>
    <row r="1214" spans="1:20" x14ac:dyDescent="0.25">
      <c r="A1214" t="s">
        <v>236</v>
      </c>
      <c r="B1214" t="s">
        <v>237</v>
      </c>
      <c r="C1214" t="s">
        <v>238</v>
      </c>
      <c r="D1214" t="s">
        <v>261</v>
      </c>
      <c r="E1214" t="s">
        <v>228</v>
      </c>
      <c r="F1214">
        <v>2004</v>
      </c>
      <c r="G1214">
        <v>3.7569999999999999E-3</v>
      </c>
      <c r="H1214" t="s">
        <v>240</v>
      </c>
      <c r="I1214" t="s">
        <v>241</v>
      </c>
      <c r="J1214" t="s">
        <v>3</v>
      </c>
      <c r="K1214" s="183">
        <f ca="1">VLOOKUP(F1214,
    OFFSET(INDIRECT(ADDRESS(MATCH(J1214,'Vehicle numbers'!$A$5:$A$162,0),1,1,1,$L$6)),4,1,COUNTIF('Vehicle numbers'!$A$5:$A$162,J1214),4),
    MATCH(K$8,'Vehicle numbers'!$B$4:$D$4,0))*1000</f>
        <v>1191168</v>
      </c>
      <c r="L1214" s="183">
        <f ca="1">VLOOKUP(F1214,
    OFFSET(INDIRECT(ADDRESS(MATCH(J1214,'Vehicle numbers'!$A$5:$A$162,0),1,1,1,$L$6)),4,1,COUNTIF('Vehicle numbers'!$A$5:$A$162,J1214),4),
    MATCH(L$8,'Vehicle numbers'!$B$4:$D$4,0))*1000</f>
        <v>1213057.1169953283</v>
      </c>
      <c r="M1214" s="184">
        <f>VLOOKUP(F1214,'Annual distance covered (GB)'!$A$8:$H$33,MATCH(J1214,'Annual distance covered (GB)'!$A$7:$H$7,0))</f>
        <v>5.0999999999999996</v>
      </c>
      <c r="N1214" s="2">
        <f t="shared" ca="1" si="50"/>
        <v>19512.800462749492</v>
      </c>
      <c r="O1214" s="180">
        <f t="shared" ca="1" si="51"/>
        <v>1.6085640312701481E-2</v>
      </c>
      <c r="P1214" s="180"/>
      <c r="Q1214" s="180"/>
      <c r="R1214" s="180"/>
      <c r="S1214" s="180"/>
      <c r="T1214" s="180"/>
    </row>
    <row r="1215" spans="1:20" x14ac:dyDescent="0.25">
      <c r="A1215" t="s">
        <v>243</v>
      </c>
      <c r="B1215" t="s">
        <v>237</v>
      </c>
      <c r="C1215" t="s">
        <v>238</v>
      </c>
      <c r="D1215" t="s">
        <v>261</v>
      </c>
      <c r="E1215" t="s">
        <v>228</v>
      </c>
      <c r="F1215">
        <v>2004</v>
      </c>
      <c r="G1215">
        <v>2.6299000000000001E-3</v>
      </c>
      <c r="H1215" t="s">
        <v>240</v>
      </c>
      <c r="I1215" t="s">
        <v>241</v>
      </c>
      <c r="J1215" t="s">
        <v>3</v>
      </c>
      <c r="K1215" s="183">
        <f ca="1">VLOOKUP(F1215,
    OFFSET(INDIRECT(ADDRESS(MATCH(J1215,'Vehicle numbers'!$A$5:$A$162,0),1,1,1,$L$6)),4,1,COUNTIF('Vehicle numbers'!$A$5:$A$162,J1215),4),
    MATCH(K$8,'Vehicle numbers'!$B$4:$D$4,0))*1000</f>
        <v>1191168</v>
      </c>
      <c r="L1215" s="183">
        <f ca="1">VLOOKUP(F1215,
    OFFSET(INDIRECT(ADDRESS(MATCH(J1215,'Vehicle numbers'!$A$5:$A$162,0),1,1,1,$L$6)),4,1,COUNTIF('Vehicle numbers'!$A$5:$A$162,J1215),4),
    MATCH(L$8,'Vehicle numbers'!$B$4:$D$4,0))*1000</f>
        <v>1213057.1169953283</v>
      </c>
      <c r="M1215" s="184">
        <f>VLOOKUP(F1215,'Annual distance covered (GB)'!$A$8:$H$33,MATCH(J1215,'Annual distance covered (GB)'!$A$7:$H$7,0))</f>
        <v>5.0999999999999996</v>
      </c>
      <c r="N1215" s="2">
        <f t="shared" ca="1" si="50"/>
        <v>13658.960323924644</v>
      </c>
      <c r="O1215" s="180">
        <f t="shared" ca="1" si="51"/>
        <v>1.1259948218891038E-2</v>
      </c>
      <c r="P1215" s="180"/>
      <c r="Q1215" s="180"/>
      <c r="R1215" s="180"/>
      <c r="S1215" s="180"/>
      <c r="T1215" s="180"/>
    </row>
    <row r="1216" spans="1:20" x14ac:dyDescent="0.25">
      <c r="A1216" t="s">
        <v>244</v>
      </c>
      <c r="B1216" t="s">
        <v>237</v>
      </c>
      <c r="C1216" t="s">
        <v>238</v>
      </c>
      <c r="D1216" t="s">
        <v>261</v>
      </c>
      <c r="E1216" t="s">
        <v>228</v>
      </c>
      <c r="F1216">
        <v>2004</v>
      </c>
      <c r="G1216">
        <v>3.7040845070422499E-4</v>
      </c>
      <c r="H1216" t="s">
        <v>240</v>
      </c>
      <c r="I1216" t="s">
        <v>241</v>
      </c>
      <c r="J1216" t="s">
        <v>3</v>
      </c>
      <c r="K1216" s="183">
        <f ca="1">VLOOKUP(F1216,
    OFFSET(INDIRECT(ADDRESS(MATCH(J1216,'Vehicle numbers'!$A$5:$A$162,0),1,1,1,$L$6)),4,1,COUNTIF('Vehicle numbers'!$A$5:$A$162,J1216),4),
    MATCH(K$8,'Vehicle numbers'!$B$4:$D$4,0))*1000</f>
        <v>1191168</v>
      </c>
      <c r="L1216" s="183">
        <f ca="1">VLOOKUP(F1216,
    OFFSET(INDIRECT(ADDRESS(MATCH(J1216,'Vehicle numbers'!$A$5:$A$162,0),1,1,1,$L$6)),4,1,COUNTIF('Vehicle numbers'!$A$5:$A$162,J1216),4),
    MATCH(L$8,'Vehicle numbers'!$B$4:$D$4,0))*1000</f>
        <v>1213057.1169953283</v>
      </c>
      <c r="M1216" s="184">
        <f>VLOOKUP(F1216,'Annual distance covered (GB)'!$A$8:$H$33,MATCH(J1216,'Annual distance covered (GB)'!$A$7:$H$7,0))</f>
        <v>5.0999999999999996</v>
      </c>
      <c r="N1216" s="2">
        <f t="shared" ca="1" si="50"/>
        <v>1923.797228721779</v>
      </c>
      <c r="O1216" s="180">
        <f t="shared" ca="1" si="51"/>
        <v>1.5859081998438065E-3</v>
      </c>
      <c r="P1216" s="180"/>
      <c r="Q1216" s="180"/>
      <c r="R1216" s="180"/>
      <c r="S1216" s="180"/>
      <c r="T1216" s="180"/>
    </row>
    <row r="1217" spans="1:20" x14ac:dyDescent="0.25">
      <c r="A1217" t="s">
        <v>246</v>
      </c>
      <c r="B1217" t="s">
        <v>237</v>
      </c>
      <c r="C1217" t="s">
        <v>238</v>
      </c>
      <c r="D1217" t="s">
        <v>261</v>
      </c>
      <c r="E1217" t="s">
        <v>228</v>
      </c>
      <c r="F1217">
        <v>2004</v>
      </c>
      <c r="G1217">
        <v>2.9632676056337998E-4</v>
      </c>
      <c r="H1217" t="s">
        <v>240</v>
      </c>
      <c r="I1217" t="s">
        <v>241</v>
      </c>
      <c r="J1217" t="s">
        <v>3</v>
      </c>
      <c r="K1217" s="183">
        <f ca="1">VLOOKUP(F1217,
    OFFSET(INDIRECT(ADDRESS(MATCH(J1217,'Vehicle numbers'!$A$5:$A$162,0),1,1,1,$L$6)),4,1,COUNTIF('Vehicle numbers'!$A$5:$A$162,J1217),4),
    MATCH(K$8,'Vehicle numbers'!$B$4:$D$4,0))*1000</f>
        <v>1191168</v>
      </c>
      <c r="L1217" s="183">
        <f ca="1">VLOOKUP(F1217,
    OFFSET(INDIRECT(ADDRESS(MATCH(J1217,'Vehicle numbers'!$A$5:$A$162,0),1,1,1,$L$6)),4,1,COUNTIF('Vehicle numbers'!$A$5:$A$162,J1217),4),
    MATCH(L$8,'Vehicle numbers'!$B$4:$D$4,0))*1000</f>
        <v>1213057.1169953283</v>
      </c>
      <c r="M1217" s="184">
        <f>VLOOKUP(F1217,'Annual distance covered (GB)'!$A$8:$H$33,MATCH(J1217,'Annual distance covered (GB)'!$A$7:$H$7,0))</f>
        <v>5.0999999999999996</v>
      </c>
      <c r="N1217" s="2">
        <f t="shared" ca="1" si="50"/>
        <v>1539.0377829774229</v>
      </c>
      <c r="O1217" s="180">
        <f t="shared" ca="1" si="51"/>
        <v>1.2687265598750449E-3</v>
      </c>
      <c r="P1217" s="180"/>
      <c r="Q1217" s="180"/>
      <c r="R1217" s="180"/>
      <c r="S1217" s="180"/>
      <c r="T1217" s="180"/>
    </row>
    <row r="1218" spans="1:20" x14ac:dyDescent="0.25">
      <c r="A1218" t="s">
        <v>236</v>
      </c>
      <c r="B1218" t="s">
        <v>237</v>
      </c>
      <c r="C1218" t="s">
        <v>238</v>
      </c>
      <c r="D1218" t="s">
        <v>262</v>
      </c>
      <c r="E1218" t="s">
        <v>229</v>
      </c>
      <c r="F1218">
        <v>2004</v>
      </c>
      <c r="G1218">
        <v>6.8000000000000005E-4</v>
      </c>
      <c r="H1218" t="s">
        <v>240</v>
      </c>
      <c r="I1218" t="s">
        <v>241</v>
      </c>
      <c r="J1218" t="s">
        <v>3</v>
      </c>
      <c r="K1218" s="183">
        <f ca="1">VLOOKUP(F1218,
    OFFSET(INDIRECT(ADDRESS(MATCH(J1218,'Vehicle numbers'!$A$5:$A$162,0),1,1,1,$L$6)),4,1,COUNTIF('Vehicle numbers'!$A$5:$A$162,J1218),4),
    MATCH(K$8,'Vehicle numbers'!$B$4:$D$4,0))*1000</f>
        <v>1191168</v>
      </c>
      <c r="L1218" s="183">
        <f ca="1">VLOOKUP(F1218,
    OFFSET(INDIRECT(ADDRESS(MATCH(J1218,'Vehicle numbers'!$A$5:$A$162,0),1,1,1,$L$6)),4,1,COUNTIF('Vehicle numbers'!$A$5:$A$162,J1218),4),
    MATCH(L$8,'Vehicle numbers'!$B$4:$D$4,0))*1000</f>
        <v>1213057.1169953283</v>
      </c>
      <c r="M1218" s="184">
        <f>VLOOKUP(F1218,'Annual distance covered (GB)'!$A$8:$H$33,MATCH(J1218,'Annual distance covered (GB)'!$A$7:$H$7,0))</f>
        <v>5.0999999999999996</v>
      </c>
      <c r="N1218" s="2">
        <f t="shared" ca="1" si="50"/>
        <v>3531.7285905428944</v>
      </c>
      <c r="O1218" s="180">
        <f t="shared" ca="1" si="51"/>
        <v>2.9114281108961956E-3</v>
      </c>
      <c r="P1218" s="180"/>
      <c r="Q1218" s="180"/>
      <c r="R1218" s="180"/>
      <c r="S1218" s="180"/>
      <c r="T1218" s="180"/>
    </row>
    <row r="1219" spans="1:20" x14ac:dyDescent="0.25">
      <c r="A1219" t="s">
        <v>243</v>
      </c>
      <c r="B1219" t="s">
        <v>237</v>
      </c>
      <c r="C1219" t="s">
        <v>238</v>
      </c>
      <c r="D1219" t="s">
        <v>262</v>
      </c>
      <c r="E1219" t="s">
        <v>229</v>
      </c>
      <c r="F1219">
        <v>2004</v>
      </c>
      <c r="G1219">
        <v>2.72E-4</v>
      </c>
      <c r="H1219" t="s">
        <v>240</v>
      </c>
      <c r="I1219" t="s">
        <v>241</v>
      </c>
      <c r="J1219" t="s">
        <v>3</v>
      </c>
      <c r="K1219" s="183">
        <f ca="1">VLOOKUP(F1219,
    OFFSET(INDIRECT(ADDRESS(MATCH(J1219,'Vehicle numbers'!$A$5:$A$162,0),1,1,1,$L$6)),4,1,COUNTIF('Vehicle numbers'!$A$5:$A$162,J1219),4),
    MATCH(K$8,'Vehicle numbers'!$B$4:$D$4,0))*1000</f>
        <v>1191168</v>
      </c>
      <c r="L1219" s="183">
        <f ca="1">VLOOKUP(F1219,
    OFFSET(INDIRECT(ADDRESS(MATCH(J1219,'Vehicle numbers'!$A$5:$A$162,0),1,1,1,$L$6)),4,1,COUNTIF('Vehicle numbers'!$A$5:$A$162,J1219),4),
    MATCH(L$8,'Vehicle numbers'!$B$4:$D$4,0))*1000</f>
        <v>1213057.1169953283</v>
      </c>
      <c r="M1219" s="184">
        <f>VLOOKUP(F1219,'Annual distance covered (GB)'!$A$8:$H$33,MATCH(J1219,'Annual distance covered (GB)'!$A$7:$H$7,0))</f>
        <v>5.0999999999999996</v>
      </c>
      <c r="N1219" s="2">
        <f t="shared" ca="1" si="50"/>
        <v>1412.6914362171576</v>
      </c>
      <c r="O1219" s="180">
        <f t="shared" ca="1" si="51"/>
        <v>1.1645712443584782E-3</v>
      </c>
      <c r="P1219" s="180"/>
      <c r="Q1219" s="180"/>
      <c r="R1219" s="180"/>
      <c r="S1219" s="180"/>
      <c r="T1219" s="180"/>
    </row>
    <row r="1220" spans="1:20" x14ac:dyDescent="0.25">
      <c r="A1220" t="s">
        <v>244</v>
      </c>
      <c r="B1220" t="s">
        <v>237</v>
      </c>
      <c r="C1220" t="s">
        <v>238</v>
      </c>
      <c r="D1220" t="s">
        <v>262</v>
      </c>
      <c r="E1220" t="s">
        <v>229</v>
      </c>
      <c r="F1220">
        <v>2004</v>
      </c>
      <c r="G1220" s="189">
        <v>6.7999999999999999E-5</v>
      </c>
      <c r="H1220" t="s">
        <v>240</v>
      </c>
      <c r="I1220" t="s">
        <v>241</v>
      </c>
      <c r="J1220" t="s">
        <v>3</v>
      </c>
      <c r="K1220" s="183">
        <f ca="1">VLOOKUP(F1220,
    OFFSET(INDIRECT(ADDRESS(MATCH(J1220,'Vehicle numbers'!$A$5:$A$162,0),1,1,1,$L$6)),4,1,COUNTIF('Vehicle numbers'!$A$5:$A$162,J1220),4),
    MATCH(K$8,'Vehicle numbers'!$B$4:$D$4,0))*1000</f>
        <v>1191168</v>
      </c>
      <c r="L1220" s="183">
        <f ca="1">VLOOKUP(F1220,
    OFFSET(INDIRECT(ADDRESS(MATCH(J1220,'Vehicle numbers'!$A$5:$A$162,0),1,1,1,$L$6)),4,1,COUNTIF('Vehicle numbers'!$A$5:$A$162,J1220),4),
    MATCH(L$8,'Vehicle numbers'!$B$4:$D$4,0))*1000</f>
        <v>1213057.1169953283</v>
      </c>
      <c r="M1220" s="184">
        <f>VLOOKUP(F1220,'Annual distance covered (GB)'!$A$8:$H$33,MATCH(J1220,'Annual distance covered (GB)'!$A$7:$H$7,0))</f>
        <v>5.0999999999999996</v>
      </c>
      <c r="N1220" s="2">
        <f t="shared" ca="1" si="50"/>
        <v>353.1728590542894</v>
      </c>
      <c r="O1220" s="180">
        <f t="shared" ca="1" si="51"/>
        <v>2.9114281108961955E-4</v>
      </c>
      <c r="P1220" s="180"/>
      <c r="Q1220" s="180"/>
      <c r="R1220" s="180"/>
      <c r="S1220" s="180"/>
      <c r="T1220" s="180"/>
    </row>
    <row r="1221" spans="1:20" x14ac:dyDescent="0.25">
      <c r="A1221" t="s">
        <v>246</v>
      </c>
      <c r="B1221" t="s">
        <v>237</v>
      </c>
      <c r="C1221" t="s">
        <v>238</v>
      </c>
      <c r="D1221" t="s">
        <v>262</v>
      </c>
      <c r="E1221" t="s">
        <v>229</v>
      </c>
      <c r="F1221">
        <v>2004</v>
      </c>
      <c r="G1221" s="189">
        <v>5.4400000000000001E-5</v>
      </c>
      <c r="H1221" t="s">
        <v>240</v>
      </c>
      <c r="I1221" t="s">
        <v>241</v>
      </c>
      <c r="J1221" t="s">
        <v>3</v>
      </c>
      <c r="K1221" s="183">
        <f ca="1">VLOOKUP(F1221,
    OFFSET(INDIRECT(ADDRESS(MATCH(J1221,'Vehicle numbers'!$A$5:$A$162,0),1,1,1,$L$6)),4,1,COUNTIF('Vehicle numbers'!$A$5:$A$162,J1221),4),
    MATCH(K$8,'Vehicle numbers'!$B$4:$D$4,0))*1000</f>
        <v>1191168</v>
      </c>
      <c r="L1221" s="183">
        <f ca="1">VLOOKUP(F1221,
    OFFSET(INDIRECT(ADDRESS(MATCH(J1221,'Vehicle numbers'!$A$5:$A$162,0),1,1,1,$L$6)),4,1,COUNTIF('Vehicle numbers'!$A$5:$A$162,J1221),4),
    MATCH(L$8,'Vehicle numbers'!$B$4:$D$4,0))*1000</f>
        <v>1213057.1169953283</v>
      </c>
      <c r="M1221" s="184">
        <f>VLOOKUP(F1221,'Annual distance covered (GB)'!$A$8:$H$33,MATCH(J1221,'Annual distance covered (GB)'!$A$7:$H$7,0))</f>
        <v>5.0999999999999996</v>
      </c>
      <c r="N1221" s="2">
        <f t="shared" ca="1" si="50"/>
        <v>282.53828724343157</v>
      </c>
      <c r="O1221" s="180">
        <f t="shared" ca="1" si="51"/>
        <v>2.3291424887169569E-4</v>
      </c>
      <c r="P1221" s="180"/>
      <c r="Q1221" s="180"/>
      <c r="R1221" s="180"/>
      <c r="S1221" s="180"/>
      <c r="T1221" s="180"/>
    </row>
    <row r="1222" spans="1:20" x14ac:dyDescent="0.25">
      <c r="A1222" t="s">
        <v>236</v>
      </c>
      <c r="B1222" t="s">
        <v>237</v>
      </c>
      <c r="C1222" t="s">
        <v>238</v>
      </c>
      <c r="D1222" t="s">
        <v>262</v>
      </c>
      <c r="E1222" t="s">
        <v>228</v>
      </c>
      <c r="F1222">
        <v>2004</v>
      </c>
      <c r="G1222">
        <v>2.49E-3</v>
      </c>
      <c r="H1222" t="s">
        <v>240</v>
      </c>
      <c r="I1222" t="s">
        <v>241</v>
      </c>
      <c r="J1222" t="s">
        <v>3</v>
      </c>
      <c r="K1222" s="183">
        <f ca="1">VLOOKUP(F1222,
    OFFSET(INDIRECT(ADDRESS(MATCH(J1222,'Vehicle numbers'!$A$5:$A$162,0),1,1,1,$L$6)),4,1,COUNTIF('Vehicle numbers'!$A$5:$A$162,J1222),4),
    MATCH(K$8,'Vehicle numbers'!$B$4:$D$4,0))*1000</f>
        <v>1191168</v>
      </c>
      <c r="L1222" s="183">
        <f ca="1">VLOOKUP(F1222,
    OFFSET(INDIRECT(ADDRESS(MATCH(J1222,'Vehicle numbers'!$A$5:$A$162,0),1,1,1,$L$6)),4,1,COUNTIF('Vehicle numbers'!$A$5:$A$162,J1222),4),
    MATCH(L$8,'Vehicle numbers'!$B$4:$D$4,0))*1000</f>
        <v>1213057.1169953283</v>
      </c>
      <c r="M1222" s="184">
        <f>VLOOKUP(F1222,'Annual distance covered (GB)'!$A$8:$H$33,MATCH(J1222,'Annual distance covered (GB)'!$A$7:$H$7,0))</f>
        <v>5.0999999999999996</v>
      </c>
      <c r="N1222" s="2">
        <f t="shared" ca="1" si="50"/>
        <v>12932.359103605597</v>
      </c>
      <c r="O1222" s="180">
        <f t="shared" ca="1" si="51"/>
        <v>1.0660964700193421E-2</v>
      </c>
      <c r="P1222" s="180"/>
      <c r="Q1222" s="180"/>
      <c r="R1222" s="180"/>
      <c r="S1222" s="180"/>
      <c r="T1222" s="180"/>
    </row>
    <row r="1223" spans="1:20" x14ac:dyDescent="0.25">
      <c r="A1223" t="s">
        <v>243</v>
      </c>
      <c r="B1223" t="s">
        <v>237</v>
      </c>
      <c r="C1223" t="s">
        <v>238</v>
      </c>
      <c r="D1223" t="s">
        <v>262</v>
      </c>
      <c r="E1223" t="s">
        <v>228</v>
      </c>
      <c r="F1223">
        <v>2004</v>
      </c>
      <c r="G1223">
        <v>1.743E-3</v>
      </c>
      <c r="H1223" t="s">
        <v>240</v>
      </c>
      <c r="I1223" t="s">
        <v>241</v>
      </c>
      <c r="J1223" t="s">
        <v>3</v>
      </c>
      <c r="K1223" s="183">
        <f ca="1">VLOOKUP(F1223,
    OFFSET(INDIRECT(ADDRESS(MATCH(J1223,'Vehicle numbers'!$A$5:$A$162,0),1,1,1,$L$6)),4,1,COUNTIF('Vehicle numbers'!$A$5:$A$162,J1223),4),
    MATCH(K$8,'Vehicle numbers'!$B$4:$D$4,0))*1000</f>
        <v>1191168</v>
      </c>
      <c r="L1223" s="183">
        <f ca="1">VLOOKUP(F1223,
    OFFSET(INDIRECT(ADDRESS(MATCH(J1223,'Vehicle numbers'!$A$5:$A$162,0),1,1,1,$L$6)),4,1,COUNTIF('Vehicle numbers'!$A$5:$A$162,J1223),4),
    MATCH(L$8,'Vehicle numbers'!$B$4:$D$4,0))*1000</f>
        <v>1213057.1169953283</v>
      </c>
      <c r="M1223" s="184">
        <f>VLOOKUP(F1223,'Annual distance covered (GB)'!$A$8:$H$33,MATCH(J1223,'Annual distance covered (GB)'!$A$7:$H$7,0))</f>
        <v>5.0999999999999996</v>
      </c>
      <c r="N1223" s="2">
        <f t="shared" ca="1" si="50"/>
        <v>9052.6513725239183</v>
      </c>
      <c r="O1223" s="180">
        <f t="shared" ca="1" si="51"/>
        <v>7.4626752901353951E-3</v>
      </c>
      <c r="P1223" s="180"/>
      <c r="Q1223" s="180"/>
      <c r="R1223" s="180"/>
      <c r="S1223" s="180"/>
      <c r="T1223" s="180"/>
    </row>
    <row r="1224" spans="1:20" x14ac:dyDescent="0.25">
      <c r="A1224" t="s">
        <v>244</v>
      </c>
      <c r="B1224" t="s">
        <v>237</v>
      </c>
      <c r="C1224" t="s">
        <v>238</v>
      </c>
      <c r="D1224" t="s">
        <v>262</v>
      </c>
      <c r="E1224" t="s">
        <v>228</v>
      </c>
      <c r="F1224">
        <v>2004</v>
      </c>
      <c r="G1224">
        <v>2.4549295774647798E-4</v>
      </c>
      <c r="H1224" t="s">
        <v>240</v>
      </c>
      <c r="I1224" t="s">
        <v>241</v>
      </c>
      <c r="J1224" t="s">
        <v>3</v>
      </c>
      <c r="K1224" s="183">
        <f ca="1">VLOOKUP(F1224,
    OFFSET(INDIRECT(ADDRESS(MATCH(J1224,'Vehicle numbers'!$A$5:$A$162,0),1,1,1,$L$6)),4,1,COUNTIF('Vehicle numbers'!$A$5:$A$162,J1224),4),
    MATCH(K$8,'Vehicle numbers'!$B$4:$D$4,0))*1000</f>
        <v>1191168</v>
      </c>
      <c r="L1224" s="183">
        <f ca="1">VLOOKUP(F1224,
    OFFSET(INDIRECT(ADDRESS(MATCH(J1224,'Vehicle numbers'!$A$5:$A$162,0),1,1,1,$L$6)),4,1,COUNTIF('Vehicle numbers'!$A$5:$A$162,J1224),4),
    MATCH(L$8,'Vehicle numbers'!$B$4:$D$4,0))*1000</f>
        <v>1213057.1169953283</v>
      </c>
      <c r="M1224" s="184">
        <f>VLOOKUP(F1224,'Annual distance covered (GB)'!$A$8:$H$33,MATCH(J1224,'Annual distance covered (GB)'!$A$7:$H$7,0))</f>
        <v>5.0999999999999996</v>
      </c>
      <c r="N1224" s="2">
        <f t="shared" ca="1" si="50"/>
        <v>1275.0213200737867</v>
      </c>
      <c r="O1224" s="180">
        <f t="shared" ca="1" si="51"/>
        <v>1.0510810267796294E-3</v>
      </c>
      <c r="P1224" s="180"/>
      <c r="Q1224" s="180"/>
      <c r="R1224" s="180"/>
      <c r="S1224" s="180"/>
      <c r="T1224" s="180"/>
    </row>
    <row r="1225" spans="1:20" x14ac:dyDescent="0.25">
      <c r="A1225" t="s">
        <v>246</v>
      </c>
      <c r="B1225" t="s">
        <v>237</v>
      </c>
      <c r="C1225" t="s">
        <v>238</v>
      </c>
      <c r="D1225" t="s">
        <v>262</v>
      </c>
      <c r="E1225" t="s">
        <v>228</v>
      </c>
      <c r="F1225">
        <v>2004</v>
      </c>
      <c r="G1225">
        <v>1.96394366197183E-4</v>
      </c>
      <c r="H1225" t="s">
        <v>240</v>
      </c>
      <c r="I1225" t="s">
        <v>241</v>
      </c>
      <c r="J1225" t="s">
        <v>3</v>
      </c>
      <c r="K1225" s="183">
        <f ca="1">VLOOKUP(F1225,
    OFFSET(INDIRECT(ADDRESS(MATCH(J1225,'Vehicle numbers'!$A$5:$A$162,0),1,1,1,$L$6)),4,1,COUNTIF('Vehicle numbers'!$A$5:$A$162,J1225),4),
    MATCH(K$8,'Vehicle numbers'!$B$4:$D$4,0))*1000</f>
        <v>1191168</v>
      </c>
      <c r="L1225" s="183">
        <f ca="1">VLOOKUP(F1225,
    OFFSET(INDIRECT(ADDRESS(MATCH(J1225,'Vehicle numbers'!$A$5:$A$162,0),1,1,1,$L$6)),4,1,COUNTIF('Vehicle numbers'!$A$5:$A$162,J1225),4),
    MATCH(L$8,'Vehicle numbers'!$B$4:$D$4,0))*1000</f>
        <v>1213057.1169953283</v>
      </c>
      <c r="M1225" s="184">
        <f>VLOOKUP(F1225,'Annual distance covered (GB)'!$A$8:$H$33,MATCH(J1225,'Annual distance covered (GB)'!$A$7:$H$7,0))</f>
        <v>5.0999999999999996</v>
      </c>
      <c r="N1225" s="2">
        <f t="shared" ca="1" si="50"/>
        <v>1020.0170560590326</v>
      </c>
      <c r="O1225" s="180">
        <f t="shared" ca="1" si="51"/>
        <v>8.4086482142370616E-4</v>
      </c>
      <c r="P1225" s="180"/>
      <c r="Q1225" s="180"/>
      <c r="R1225" s="180"/>
      <c r="S1225" s="180"/>
      <c r="T1225" s="180"/>
    </row>
    <row r="1226" spans="1:20" x14ac:dyDescent="0.25">
      <c r="A1226" t="s">
        <v>236</v>
      </c>
      <c r="B1226" t="s">
        <v>237</v>
      </c>
      <c r="C1226" t="s">
        <v>238</v>
      </c>
      <c r="D1226" t="s">
        <v>263</v>
      </c>
      <c r="E1226" t="s">
        <v>229</v>
      </c>
      <c r="F1226">
        <v>2004</v>
      </c>
      <c r="G1226">
        <v>2.764E-3</v>
      </c>
      <c r="H1226" t="s">
        <v>240</v>
      </c>
      <c r="I1226" t="s">
        <v>241</v>
      </c>
      <c r="J1226" t="s">
        <v>3</v>
      </c>
      <c r="K1226" s="183">
        <f ca="1">VLOOKUP(F1226,
    OFFSET(INDIRECT(ADDRESS(MATCH(J1226,'Vehicle numbers'!$A$5:$A$162,0),1,1,1,$L$6)),4,1,COUNTIF('Vehicle numbers'!$A$5:$A$162,J1226),4),
    MATCH(K$8,'Vehicle numbers'!$B$4:$D$4,0))*1000</f>
        <v>1191168</v>
      </c>
      <c r="L1226" s="183">
        <f ca="1">VLOOKUP(F1226,
    OFFSET(INDIRECT(ADDRESS(MATCH(J1226,'Vehicle numbers'!$A$5:$A$162,0),1,1,1,$L$6)),4,1,COUNTIF('Vehicle numbers'!$A$5:$A$162,J1226),4),
    MATCH(L$8,'Vehicle numbers'!$B$4:$D$4,0))*1000</f>
        <v>1213057.1169953283</v>
      </c>
      <c r="M1226" s="184">
        <f>VLOOKUP(F1226,'Annual distance covered (GB)'!$A$8:$H$33,MATCH(J1226,'Annual distance covered (GB)'!$A$7:$H$7,0))</f>
        <v>5.0999999999999996</v>
      </c>
      <c r="N1226" s="2">
        <f t="shared" ca="1" si="50"/>
        <v>14355.437976853762</v>
      </c>
      <c r="O1226" s="180">
        <f t="shared" ca="1" si="51"/>
        <v>1.1834098968407475E-2</v>
      </c>
      <c r="P1226" s="180"/>
      <c r="Q1226" s="180"/>
      <c r="R1226" s="180"/>
      <c r="S1226" s="180"/>
      <c r="T1226" s="180"/>
    </row>
    <row r="1227" spans="1:20" x14ac:dyDescent="0.25">
      <c r="A1227" t="s">
        <v>243</v>
      </c>
      <c r="B1227" t="s">
        <v>237</v>
      </c>
      <c r="C1227" t="s">
        <v>238</v>
      </c>
      <c r="D1227" t="s">
        <v>263</v>
      </c>
      <c r="E1227" t="s">
        <v>229</v>
      </c>
      <c r="F1227">
        <v>2004</v>
      </c>
      <c r="G1227">
        <v>1.1056E-3</v>
      </c>
      <c r="H1227" t="s">
        <v>240</v>
      </c>
      <c r="I1227" t="s">
        <v>241</v>
      </c>
      <c r="J1227" t="s">
        <v>3</v>
      </c>
      <c r="K1227" s="183">
        <f ca="1">VLOOKUP(F1227,
    OFFSET(INDIRECT(ADDRESS(MATCH(J1227,'Vehicle numbers'!$A$5:$A$162,0),1,1,1,$L$6)),4,1,COUNTIF('Vehicle numbers'!$A$5:$A$162,J1227),4),
    MATCH(K$8,'Vehicle numbers'!$B$4:$D$4,0))*1000</f>
        <v>1191168</v>
      </c>
      <c r="L1227" s="183">
        <f ca="1">VLOOKUP(F1227,
    OFFSET(INDIRECT(ADDRESS(MATCH(J1227,'Vehicle numbers'!$A$5:$A$162,0),1,1,1,$L$6)),4,1,COUNTIF('Vehicle numbers'!$A$5:$A$162,J1227),4),
    MATCH(L$8,'Vehicle numbers'!$B$4:$D$4,0))*1000</f>
        <v>1213057.1169953283</v>
      </c>
      <c r="M1227" s="184">
        <f>VLOOKUP(F1227,'Annual distance covered (GB)'!$A$8:$H$33,MATCH(J1227,'Annual distance covered (GB)'!$A$7:$H$7,0))</f>
        <v>5.0999999999999996</v>
      </c>
      <c r="N1227" s="2">
        <f t="shared" ref="N1227:N1290" ca="1" si="52">M1227*G1227*1000000*(L1227/K1227)</f>
        <v>5742.1751907415055</v>
      </c>
      <c r="O1227" s="180">
        <f t="shared" ref="O1227:O1290" ca="1" si="53">N1227/L1227</f>
        <v>4.7336395873629911E-3</v>
      </c>
      <c r="P1227" s="180"/>
      <c r="Q1227" s="180"/>
      <c r="R1227" s="180"/>
      <c r="S1227" s="180"/>
      <c r="T1227" s="180"/>
    </row>
    <row r="1228" spans="1:20" x14ac:dyDescent="0.25">
      <c r="A1228" t="s">
        <v>244</v>
      </c>
      <c r="B1228" t="s">
        <v>237</v>
      </c>
      <c r="C1228" t="s">
        <v>238</v>
      </c>
      <c r="D1228" t="s">
        <v>263</v>
      </c>
      <c r="E1228" t="s">
        <v>229</v>
      </c>
      <c r="F1228">
        <v>2004</v>
      </c>
      <c r="G1228">
        <v>2.764E-4</v>
      </c>
      <c r="H1228" t="s">
        <v>240</v>
      </c>
      <c r="I1228" t="s">
        <v>241</v>
      </c>
      <c r="J1228" t="s">
        <v>3</v>
      </c>
      <c r="K1228" s="183">
        <f ca="1">VLOOKUP(F1228,
    OFFSET(INDIRECT(ADDRESS(MATCH(J1228,'Vehicle numbers'!$A$5:$A$162,0),1,1,1,$L$6)),4,1,COUNTIF('Vehicle numbers'!$A$5:$A$162,J1228),4),
    MATCH(K$8,'Vehicle numbers'!$B$4:$D$4,0))*1000</f>
        <v>1191168</v>
      </c>
      <c r="L1228" s="183">
        <f ca="1">VLOOKUP(F1228,
    OFFSET(INDIRECT(ADDRESS(MATCH(J1228,'Vehicle numbers'!$A$5:$A$162,0),1,1,1,$L$6)),4,1,COUNTIF('Vehicle numbers'!$A$5:$A$162,J1228),4),
    MATCH(L$8,'Vehicle numbers'!$B$4:$D$4,0))*1000</f>
        <v>1213057.1169953283</v>
      </c>
      <c r="M1228" s="184">
        <f>VLOOKUP(F1228,'Annual distance covered (GB)'!$A$8:$H$33,MATCH(J1228,'Annual distance covered (GB)'!$A$7:$H$7,0))</f>
        <v>5.0999999999999996</v>
      </c>
      <c r="N1228" s="2">
        <f t="shared" ca="1" si="52"/>
        <v>1435.5437976853764</v>
      </c>
      <c r="O1228" s="180">
        <f t="shared" ca="1" si="53"/>
        <v>1.1834098968407478E-3</v>
      </c>
      <c r="P1228" s="180"/>
      <c r="Q1228" s="180"/>
      <c r="R1228" s="180"/>
      <c r="S1228" s="180"/>
      <c r="T1228" s="180"/>
    </row>
    <row r="1229" spans="1:20" x14ac:dyDescent="0.25">
      <c r="A1229" t="s">
        <v>246</v>
      </c>
      <c r="B1229" t="s">
        <v>237</v>
      </c>
      <c r="C1229" t="s">
        <v>238</v>
      </c>
      <c r="D1229" t="s">
        <v>263</v>
      </c>
      <c r="E1229" t="s">
        <v>229</v>
      </c>
      <c r="F1229">
        <v>2004</v>
      </c>
      <c r="G1229">
        <v>2.2112E-4</v>
      </c>
      <c r="H1229" t="s">
        <v>240</v>
      </c>
      <c r="I1229" t="s">
        <v>241</v>
      </c>
      <c r="J1229" t="s">
        <v>3</v>
      </c>
      <c r="K1229" s="183">
        <f ca="1">VLOOKUP(F1229,
    OFFSET(INDIRECT(ADDRESS(MATCH(J1229,'Vehicle numbers'!$A$5:$A$162,0),1,1,1,$L$6)),4,1,COUNTIF('Vehicle numbers'!$A$5:$A$162,J1229),4),
    MATCH(K$8,'Vehicle numbers'!$B$4:$D$4,0))*1000</f>
        <v>1191168</v>
      </c>
      <c r="L1229" s="183">
        <f ca="1">VLOOKUP(F1229,
    OFFSET(INDIRECT(ADDRESS(MATCH(J1229,'Vehicle numbers'!$A$5:$A$162,0),1,1,1,$L$6)),4,1,COUNTIF('Vehicle numbers'!$A$5:$A$162,J1229),4),
    MATCH(L$8,'Vehicle numbers'!$B$4:$D$4,0))*1000</f>
        <v>1213057.1169953283</v>
      </c>
      <c r="M1229" s="184">
        <f>VLOOKUP(F1229,'Annual distance covered (GB)'!$A$8:$H$33,MATCH(J1229,'Annual distance covered (GB)'!$A$7:$H$7,0))</f>
        <v>5.0999999999999996</v>
      </c>
      <c r="N1229" s="2">
        <f t="shared" ca="1" si="52"/>
        <v>1148.4350381483011</v>
      </c>
      <c r="O1229" s="180">
        <f t="shared" ca="1" si="53"/>
        <v>9.4672791747259818E-4</v>
      </c>
      <c r="P1229" s="180"/>
      <c r="Q1229" s="180"/>
      <c r="R1229" s="180"/>
      <c r="S1229" s="180"/>
      <c r="T1229" s="180"/>
    </row>
    <row r="1230" spans="1:20" x14ac:dyDescent="0.25">
      <c r="A1230" t="s">
        <v>236</v>
      </c>
      <c r="B1230" t="s">
        <v>237</v>
      </c>
      <c r="C1230" t="s">
        <v>238</v>
      </c>
      <c r="D1230" t="s">
        <v>263</v>
      </c>
      <c r="E1230" t="s">
        <v>228</v>
      </c>
      <c r="F1230">
        <v>2004</v>
      </c>
      <c r="G1230">
        <v>2.9239999999999999E-3</v>
      </c>
      <c r="H1230" t="s">
        <v>240</v>
      </c>
      <c r="I1230" t="s">
        <v>241</v>
      </c>
      <c r="J1230" t="s">
        <v>3</v>
      </c>
      <c r="K1230" s="183">
        <f ca="1">VLOOKUP(F1230,
    OFFSET(INDIRECT(ADDRESS(MATCH(J1230,'Vehicle numbers'!$A$5:$A$162,0),1,1,1,$L$6)),4,1,COUNTIF('Vehicle numbers'!$A$5:$A$162,J1230),4),
    MATCH(K$8,'Vehicle numbers'!$B$4:$D$4,0))*1000</f>
        <v>1191168</v>
      </c>
      <c r="L1230" s="183">
        <f ca="1">VLOOKUP(F1230,
    OFFSET(INDIRECT(ADDRESS(MATCH(J1230,'Vehicle numbers'!$A$5:$A$162,0),1,1,1,$L$6)),4,1,COUNTIF('Vehicle numbers'!$A$5:$A$162,J1230),4),
    MATCH(L$8,'Vehicle numbers'!$B$4:$D$4,0))*1000</f>
        <v>1213057.1169953283</v>
      </c>
      <c r="M1230" s="184">
        <f>VLOOKUP(F1230,'Annual distance covered (GB)'!$A$8:$H$33,MATCH(J1230,'Annual distance covered (GB)'!$A$7:$H$7,0))</f>
        <v>5.0999999999999996</v>
      </c>
      <c r="N1230" s="2">
        <f t="shared" ca="1" si="52"/>
        <v>15186.432939334445</v>
      </c>
      <c r="O1230" s="180">
        <f t="shared" ca="1" si="53"/>
        <v>1.2519140876853642E-2</v>
      </c>
      <c r="P1230" s="180"/>
      <c r="Q1230" s="180"/>
      <c r="R1230" s="180"/>
      <c r="S1230" s="180"/>
      <c r="T1230" s="180"/>
    </row>
    <row r="1231" spans="1:20" x14ac:dyDescent="0.25">
      <c r="A1231" t="s">
        <v>243</v>
      </c>
      <c r="B1231" t="s">
        <v>237</v>
      </c>
      <c r="C1231" t="s">
        <v>238</v>
      </c>
      <c r="D1231" t="s">
        <v>263</v>
      </c>
      <c r="E1231" t="s">
        <v>228</v>
      </c>
      <c r="F1231">
        <v>2004</v>
      </c>
      <c r="G1231">
        <v>2.0468000000000001E-3</v>
      </c>
      <c r="H1231" t="s">
        <v>240</v>
      </c>
      <c r="I1231" t="s">
        <v>241</v>
      </c>
      <c r="J1231" t="s">
        <v>3</v>
      </c>
      <c r="K1231" s="183">
        <f ca="1">VLOOKUP(F1231,
    OFFSET(INDIRECT(ADDRESS(MATCH(J1231,'Vehicle numbers'!$A$5:$A$162,0),1,1,1,$L$6)),4,1,COUNTIF('Vehicle numbers'!$A$5:$A$162,J1231),4),
    MATCH(K$8,'Vehicle numbers'!$B$4:$D$4,0))*1000</f>
        <v>1191168</v>
      </c>
      <c r="L1231" s="183">
        <f ca="1">VLOOKUP(F1231,
    OFFSET(INDIRECT(ADDRESS(MATCH(J1231,'Vehicle numbers'!$A$5:$A$162,0),1,1,1,$L$6)),4,1,COUNTIF('Vehicle numbers'!$A$5:$A$162,J1231),4),
    MATCH(L$8,'Vehicle numbers'!$B$4:$D$4,0))*1000</f>
        <v>1213057.1169953283</v>
      </c>
      <c r="M1231" s="184">
        <f>VLOOKUP(F1231,'Annual distance covered (GB)'!$A$8:$H$33,MATCH(J1231,'Annual distance covered (GB)'!$A$7:$H$7,0))</f>
        <v>5.0999999999999996</v>
      </c>
      <c r="N1231" s="2">
        <f t="shared" ca="1" si="52"/>
        <v>10630.503057534112</v>
      </c>
      <c r="O1231" s="180">
        <f t="shared" ca="1" si="53"/>
        <v>8.7633986137975496E-3</v>
      </c>
      <c r="P1231" s="180"/>
      <c r="Q1231" s="180"/>
      <c r="R1231" s="180"/>
      <c r="S1231" s="180"/>
      <c r="T1231" s="180"/>
    </row>
    <row r="1232" spans="1:20" x14ac:dyDescent="0.25">
      <c r="A1232" t="s">
        <v>244</v>
      </c>
      <c r="B1232" t="s">
        <v>237</v>
      </c>
      <c r="C1232" t="s">
        <v>238</v>
      </c>
      <c r="D1232" t="s">
        <v>263</v>
      </c>
      <c r="E1232" t="s">
        <v>228</v>
      </c>
      <c r="F1232">
        <v>2004</v>
      </c>
      <c r="G1232">
        <v>2.8828169014084501E-4</v>
      </c>
      <c r="H1232" t="s">
        <v>240</v>
      </c>
      <c r="I1232" t="s">
        <v>241</v>
      </c>
      <c r="J1232" t="s">
        <v>3</v>
      </c>
      <c r="K1232" s="183">
        <f ca="1">VLOOKUP(F1232,
    OFFSET(INDIRECT(ADDRESS(MATCH(J1232,'Vehicle numbers'!$A$5:$A$162,0),1,1,1,$L$6)),4,1,COUNTIF('Vehicle numbers'!$A$5:$A$162,J1232),4),
    MATCH(K$8,'Vehicle numbers'!$B$4:$D$4,0))*1000</f>
        <v>1191168</v>
      </c>
      <c r="L1232" s="183">
        <f ca="1">VLOOKUP(F1232,
    OFFSET(INDIRECT(ADDRESS(MATCH(J1232,'Vehicle numbers'!$A$5:$A$162,0),1,1,1,$L$6)),4,1,COUNTIF('Vehicle numbers'!$A$5:$A$162,J1232),4),
    MATCH(L$8,'Vehicle numbers'!$B$4:$D$4,0))*1000</f>
        <v>1213057.1169953283</v>
      </c>
      <c r="M1232" s="184">
        <f>VLOOKUP(F1232,'Annual distance covered (GB)'!$A$8:$H$33,MATCH(J1232,'Annual distance covered (GB)'!$A$7:$H$7,0))</f>
        <v>5.0999999999999996</v>
      </c>
      <c r="N1232" s="2">
        <f t="shared" ca="1" si="52"/>
        <v>1497.2539517653674</v>
      </c>
      <c r="O1232" s="180">
        <f t="shared" ca="1" si="53"/>
        <v>1.2342814949010629E-3</v>
      </c>
      <c r="P1232" s="180"/>
      <c r="Q1232" s="180"/>
      <c r="R1232" s="180"/>
      <c r="S1232" s="180"/>
      <c r="T1232" s="180"/>
    </row>
    <row r="1233" spans="1:20" x14ac:dyDescent="0.25">
      <c r="A1233" t="s">
        <v>246</v>
      </c>
      <c r="B1233" t="s">
        <v>237</v>
      </c>
      <c r="C1233" t="s">
        <v>238</v>
      </c>
      <c r="D1233" t="s">
        <v>263</v>
      </c>
      <c r="E1233" t="s">
        <v>228</v>
      </c>
      <c r="F1233">
        <v>2004</v>
      </c>
      <c r="G1233">
        <v>2.3062535211267599E-4</v>
      </c>
      <c r="H1233" t="s">
        <v>240</v>
      </c>
      <c r="I1233" t="s">
        <v>241</v>
      </c>
      <c r="J1233" t="s">
        <v>3</v>
      </c>
      <c r="K1233" s="183">
        <f ca="1">VLOOKUP(F1233,
    OFFSET(INDIRECT(ADDRESS(MATCH(J1233,'Vehicle numbers'!$A$5:$A$162,0),1,1,1,$L$6)),4,1,COUNTIF('Vehicle numbers'!$A$5:$A$162,J1233),4),
    MATCH(K$8,'Vehicle numbers'!$B$4:$D$4,0))*1000</f>
        <v>1191168</v>
      </c>
      <c r="L1233" s="183">
        <f ca="1">VLOOKUP(F1233,
    OFFSET(INDIRECT(ADDRESS(MATCH(J1233,'Vehicle numbers'!$A$5:$A$162,0),1,1,1,$L$6)),4,1,COUNTIF('Vehicle numbers'!$A$5:$A$162,J1233),4),
    MATCH(L$8,'Vehicle numbers'!$B$4:$D$4,0))*1000</f>
        <v>1213057.1169953283</v>
      </c>
      <c r="M1233" s="184">
        <f>VLOOKUP(F1233,'Annual distance covered (GB)'!$A$8:$H$33,MATCH(J1233,'Annual distance covered (GB)'!$A$7:$H$7,0))</f>
        <v>5.0999999999999996</v>
      </c>
      <c r="N1233" s="2">
        <f t="shared" ca="1" si="52"/>
        <v>1197.803161412294</v>
      </c>
      <c r="O1233" s="180">
        <f t="shared" ca="1" si="53"/>
        <v>9.874251959208504E-4</v>
      </c>
      <c r="P1233" s="180"/>
      <c r="Q1233" s="180"/>
      <c r="R1233" s="180"/>
      <c r="S1233" s="180"/>
      <c r="T1233" s="180"/>
    </row>
    <row r="1234" spans="1:20" x14ac:dyDescent="0.25">
      <c r="A1234" t="s">
        <v>236</v>
      </c>
      <c r="B1234" t="s">
        <v>237</v>
      </c>
      <c r="C1234" t="s">
        <v>238</v>
      </c>
      <c r="D1234" t="s">
        <v>264</v>
      </c>
      <c r="E1234" t="s">
        <v>229</v>
      </c>
      <c r="F1234">
        <v>2004</v>
      </c>
      <c r="G1234">
        <v>5.8400000000000101E-3</v>
      </c>
      <c r="H1234" t="s">
        <v>240</v>
      </c>
      <c r="I1234" t="s">
        <v>241</v>
      </c>
      <c r="J1234" t="s">
        <v>3</v>
      </c>
      <c r="K1234" s="183">
        <f ca="1">VLOOKUP(F1234,
    OFFSET(INDIRECT(ADDRESS(MATCH(J1234,'Vehicle numbers'!$A$5:$A$162,0),1,1,1,$L$6)),4,1,COUNTIF('Vehicle numbers'!$A$5:$A$162,J1234),4),
    MATCH(K$8,'Vehicle numbers'!$B$4:$D$4,0))*1000</f>
        <v>1191168</v>
      </c>
      <c r="L1234" s="183">
        <f ca="1">VLOOKUP(F1234,
    OFFSET(INDIRECT(ADDRESS(MATCH(J1234,'Vehicle numbers'!$A$5:$A$162,0),1,1,1,$L$6)),4,1,COUNTIF('Vehicle numbers'!$A$5:$A$162,J1234),4),
    MATCH(L$8,'Vehicle numbers'!$B$4:$D$4,0))*1000</f>
        <v>1213057.1169953283</v>
      </c>
      <c r="M1234" s="184">
        <f>VLOOKUP(F1234,'Annual distance covered (GB)'!$A$8:$H$33,MATCH(J1234,'Annual distance covered (GB)'!$A$7:$H$7,0))</f>
        <v>5.0999999999999996</v>
      </c>
      <c r="N1234" s="2">
        <f t="shared" ca="1" si="52"/>
        <v>30331.31613054491</v>
      </c>
      <c r="O1234" s="180">
        <f t="shared" ca="1" si="53"/>
        <v>2.5004029658285021E-2</v>
      </c>
      <c r="P1234" s="180"/>
      <c r="Q1234" s="180"/>
      <c r="R1234" s="180"/>
      <c r="S1234" s="180"/>
      <c r="T1234" s="180"/>
    </row>
    <row r="1235" spans="1:20" x14ac:dyDescent="0.25">
      <c r="A1235" t="s">
        <v>243</v>
      </c>
      <c r="B1235" t="s">
        <v>237</v>
      </c>
      <c r="C1235" t="s">
        <v>238</v>
      </c>
      <c r="D1235" t="s">
        <v>264</v>
      </c>
      <c r="E1235" t="s">
        <v>229</v>
      </c>
      <c r="F1235">
        <v>2004</v>
      </c>
      <c r="G1235">
        <v>2.336E-3</v>
      </c>
      <c r="H1235" t="s">
        <v>240</v>
      </c>
      <c r="I1235" t="s">
        <v>241</v>
      </c>
      <c r="J1235" t="s">
        <v>3</v>
      </c>
      <c r="K1235" s="183">
        <f ca="1">VLOOKUP(F1235,
    OFFSET(INDIRECT(ADDRESS(MATCH(J1235,'Vehicle numbers'!$A$5:$A$162,0),1,1,1,$L$6)),4,1,COUNTIF('Vehicle numbers'!$A$5:$A$162,J1235),4),
    MATCH(K$8,'Vehicle numbers'!$B$4:$D$4,0))*1000</f>
        <v>1191168</v>
      </c>
      <c r="L1235" s="183">
        <f ca="1">VLOOKUP(F1235,
    OFFSET(INDIRECT(ADDRESS(MATCH(J1235,'Vehicle numbers'!$A$5:$A$162,0),1,1,1,$L$6)),4,1,COUNTIF('Vehicle numbers'!$A$5:$A$162,J1235),4),
    MATCH(L$8,'Vehicle numbers'!$B$4:$D$4,0))*1000</f>
        <v>1213057.1169953283</v>
      </c>
      <c r="M1235" s="184">
        <f>VLOOKUP(F1235,'Annual distance covered (GB)'!$A$8:$H$33,MATCH(J1235,'Annual distance covered (GB)'!$A$7:$H$7,0))</f>
        <v>5.0999999999999996</v>
      </c>
      <c r="N1235" s="2">
        <f t="shared" ca="1" si="52"/>
        <v>12132.526452217942</v>
      </c>
      <c r="O1235" s="180">
        <f t="shared" ca="1" si="53"/>
        <v>1.000161186331399E-2</v>
      </c>
      <c r="P1235" s="180"/>
      <c r="Q1235" s="180"/>
      <c r="R1235" s="180"/>
      <c r="S1235" s="180"/>
      <c r="T1235" s="180"/>
    </row>
    <row r="1236" spans="1:20" x14ac:dyDescent="0.25">
      <c r="A1236" t="s">
        <v>244</v>
      </c>
      <c r="B1236" t="s">
        <v>237</v>
      </c>
      <c r="C1236" t="s">
        <v>238</v>
      </c>
      <c r="D1236" t="s">
        <v>264</v>
      </c>
      <c r="E1236" t="s">
        <v>229</v>
      </c>
      <c r="F1236">
        <v>2004</v>
      </c>
      <c r="G1236">
        <v>5.8399999999999999E-4</v>
      </c>
      <c r="H1236" t="s">
        <v>240</v>
      </c>
      <c r="I1236" t="s">
        <v>241</v>
      </c>
      <c r="J1236" t="s">
        <v>3</v>
      </c>
      <c r="K1236" s="183">
        <f ca="1">VLOOKUP(F1236,
    OFFSET(INDIRECT(ADDRESS(MATCH(J1236,'Vehicle numbers'!$A$5:$A$162,0),1,1,1,$L$6)),4,1,COUNTIF('Vehicle numbers'!$A$5:$A$162,J1236),4),
    MATCH(K$8,'Vehicle numbers'!$B$4:$D$4,0))*1000</f>
        <v>1191168</v>
      </c>
      <c r="L1236" s="183">
        <f ca="1">VLOOKUP(F1236,
    OFFSET(INDIRECT(ADDRESS(MATCH(J1236,'Vehicle numbers'!$A$5:$A$162,0),1,1,1,$L$6)),4,1,COUNTIF('Vehicle numbers'!$A$5:$A$162,J1236),4),
    MATCH(L$8,'Vehicle numbers'!$B$4:$D$4,0))*1000</f>
        <v>1213057.1169953283</v>
      </c>
      <c r="M1236" s="184">
        <f>VLOOKUP(F1236,'Annual distance covered (GB)'!$A$8:$H$33,MATCH(J1236,'Annual distance covered (GB)'!$A$7:$H$7,0))</f>
        <v>5.0999999999999996</v>
      </c>
      <c r="N1236" s="2">
        <f t="shared" ca="1" si="52"/>
        <v>3033.1316130544856</v>
      </c>
      <c r="O1236" s="180">
        <f t="shared" ca="1" si="53"/>
        <v>2.5004029658284976E-3</v>
      </c>
      <c r="P1236" s="180"/>
      <c r="Q1236" s="180"/>
      <c r="R1236" s="180"/>
      <c r="S1236" s="180"/>
      <c r="T1236" s="180"/>
    </row>
    <row r="1237" spans="1:20" x14ac:dyDescent="0.25">
      <c r="A1237" t="s">
        <v>246</v>
      </c>
      <c r="B1237" t="s">
        <v>237</v>
      </c>
      <c r="C1237" t="s">
        <v>238</v>
      </c>
      <c r="D1237" t="s">
        <v>264</v>
      </c>
      <c r="E1237" t="s">
        <v>229</v>
      </c>
      <c r="F1237">
        <v>2004</v>
      </c>
      <c r="G1237">
        <v>4.6720000000000003E-4</v>
      </c>
      <c r="H1237" t="s">
        <v>240</v>
      </c>
      <c r="I1237" t="s">
        <v>241</v>
      </c>
      <c r="J1237" t="s">
        <v>3</v>
      </c>
      <c r="K1237" s="183">
        <f ca="1">VLOOKUP(F1237,
    OFFSET(INDIRECT(ADDRESS(MATCH(J1237,'Vehicle numbers'!$A$5:$A$162,0),1,1,1,$L$6)),4,1,COUNTIF('Vehicle numbers'!$A$5:$A$162,J1237),4),
    MATCH(K$8,'Vehicle numbers'!$B$4:$D$4,0))*1000</f>
        <v>1191168</v>
      </c>
      <c r="L1237" s="183">
        <f ca="1">VLOOKUP(F1237,
    OFFSET(INDIRECT(ADDRESS(MATCH(J1237,'Vehicle numbers'!$A$5:$A$162,0),1,1,1,$L$6)),4,1,COUNTIF('Vehicle numbers'!$A$5:$A$162,J1237),4),
    MATCH(L$8,'Vehicle numbers'!$B$4:$D$4,0))*1000</f>
        <v>1213057.1169953283</v>
      </c>
      <c r="M1237" s="184">
        <f>VLOOKUP(F1237,'Annual distance covered (GB)'!$A$8:$H$33,MATCH(J1237,'Annual distance covered (GB)'!$A$7:$H$7,0))</f>
        <v>5.0999999999999996</v>
      </c>
      <c r="N1237" s="2">
        <f t="shared" ca="1" si="52"/>
        <v>2426.5052904435888</v>
      </c>
      <c r="O1237" s="180">
        <f t="shared" ca="1" si="53"/>
        <v>2.0003223726627983E-3</v>
      </c>
      <c r="P1237" s="180"/>
      <c r="Q1237" s="180"/>
      <c r="R1237" s="180"/>
      <c r="S1237" s="180"/>
      <c r="T1237" s="180"/>
    </row>
    <row r="1238" spans="1:20" x14ac:dyDescent="0.25">
      <c r="A1238" t="s">
        <v>236</v>
      </c>
      <c r="B1238" t="s">
        <v>237</v>
      </c>
      <c r="C1238" t="s">
        <v>238</v>
      </c>
      <c r="D1238" t="s">
        <v>264</v>
      </c>
      <c r="E1238" t="s">
        <v>228</v>
      </c>
      <c r="F1238">
        <v>2004</v>
      </c>
      <c r="G1238">
        <v>3.7570000000000099E-3</v>
      </c>
      <c r="H1238" t="s">
        <v>240</v>
      </c>
      <c r="I1238" t="s">
        <v>241</v>
      </c>
      <c r="J1238" t="s">
        <v>3</v>
      </c>
      <c r="K1238" s="183">
        <f ca="1">VLOOKUP(F1238,
    OFFSET(INDIRECT(ADDRESS(MATCH(J1238,'Vehicle numbers'!$A$5:$A$162,0),1,1,1,$L$6)),4,1,COUNTIF('Vehicle numbers'!$A$5:$A$162,J1238),4),
    MATCH(K$8,'Vehicle numbers'!$B$4:$D$4,0))*1000</f>
        <v>1191168</v>
      </c>
      <c r="L1238" s="183">
        <f ca="1">VLOOKUP(F1238,
    OFFSET(INDIRECT(ADDRESS(MATCH(J1238,'Vehicle numbers'!$A$5:$A$162,0),1,1,1,$L$6)),4,1,COUNTIF('Vehicle numbers'!$A$5:$A$162,J1238),4),
    MATCH(L$8,'Vehicle numbers'!$B$4:$D$4,0))*1000</f>
        <v>1213057.1169953283</v>
      </c>
      <c r="M1238" s="184">
        <f>VLOOKUP(F1238,'Annual distance covered (GB)'!$A$8:$H$33,MATCH(J1238,'Annual distance covered (GB)'!$A$7:$H$7,0))</f>
        <v>5.0999999999999996</v>
      </c>
      <c r="N1238" s="2">
        <f t="shared" ca="1" si="52"/>
        <v>19512.800462749539</v>
      </c>
      <c r="O1238" s="180">
        <f t="shared" ca="1" si="53"/>
        <v>1.6085640312701523E-2</v>
      </c>
      <c r="P1238" s="180"/>
      <c r="Q1238" s="180"/>
      <c r="R1238" s="180"/>
      <c r="S1238" s="180"/>
      <c r="T1238" s="180"/>
    </row>
    <row r="1239" spans="1:20" x14ac:dyDescent="0.25">
      <c r="A1239" t="s">
        <v>243</v>
      </c>
      <c r="B1239" t="s">
        <v>237</v>
      </c>
      <c r="C1239" t="s">
        <v>238</v>
      </c>
      <c r="D1239" t="s">
        <v>264</v>
      </c>
      <c r="E1239" t="s">
        <v>228</v>
      </c>
      <c r="F1239">
        <v>2004</v>
      </c>
      <c r="G1239">
        <v>2.6299000000000101E-3</v>
      </c>
      <c r="H1239" t="s">
        <v>240</v>
      </c>
      <c r="I1239" t="s">
        <v>241</v>
      </c>
      <c r="J1239" t="s">
        <v>3</v>
      </c>
      <c r="K1239" s="183">
        <f ca="1">VLOOKUP(F1239,
    OFFSET(INDIRECT(ADDRESS(MATCH(J1239,'Vehicle numbers'!$A$5:$A$162,0),1,1,1,$L$6)),4,1,COUNTIF('Vehicle numbers'!$A$5:$A$162,J1239),4),
    MATCH(K$8,'Vehicle numbers'!$B$4:$D$4,0))*1000</f>
        <v>1191168</v>
      </c>
      <c r="L1239" s="183">
        <f ca="1">VLOOKUP(F1239,
    OFFSET(INDIRECT(ADDRESS(MATCH(J1239,'Vehicle numbers'!$A$5:$A$162,0),1,1,1,$L$6)),4,1,COUNTIF('Vehicle numbers'!$A$5:$A$162,J1239),4),
    MATCH(L$8,'Vehicle numbers'!$B$4:$D$4,0))*1000</f>
        <v>1213057.1169953283</v>
      </c>
      <c r="M1239" s="184">
        <f>VLOOKUP(F1239,'Annual distance covered (GB)'!$A$8:$H$33,MATCH(J1239,'Annual distance covered (GB)'!$A$7:$H$7,0))</f>
        <v>5.0999999999999996</v>
      </c>
      <c r="N1239" s="2">
        <f t="shared" ca="1" si="52"/>
        <v>13658.960323924695</v>
      </c>
      <c r="O1239" s="180">
        <f t="shared" ca="1" si="53"/>
        <v>1.1259948218891079E-2</v>
      </c>
      <c r="P1239" s="180"/>
      <c r="Q1239" s="180"/>
      <c r="R1239" s="180"/>
      <c r="S1239" s="180"/>
      <c r="T1239" s="180"/>
    </row>
    <row r="1240" spans="1:20" x14ac:dyDescent="0.25">
      <c r="A1240" t="s">
        <v>244</v>
      </c>
      <c r="B1240" t="s">
        <v>237</v>
      </c>
      <c r="C1240" t="s">
        <v>238</v>
      </c>
      <c r="D1240" t="s">
        <v>264</v>
      </c>
      <c r="E1240" t="s">
        <v>228</v>
      </c>
      <c r="F1240">
        <v>2004</v>
      </c>
      <c r="G1240">
        <v>3.7040845070422602E-4</v>
      </c>
      <c r="H1240" t="s">
        <v>240</v>
      </c>
      <c r="I1240" t="s">
        <v>241</v>
      </c>
      <c r="J1240" t="s">
        <v>3</v>
      </c>
      <c r="K1240" s="183">
        <f ca="1">VLOOKUP(F1240,
    OFFSET(INDIRECT(ADDRESS(MATCH(J1240,'Vehicle numbers'!$A$5:$A$162,0),1,1,1,$L$6)),4,1,COUNTIF('Vehicle numbers'!$A$5:$A$162,J1240),4),
    MATCH(K$8,'Vehicle numbers'!$B$4:$D$4,0))*1000</f>
        <v>1191168</v>
      </c>
      <c r="L1240" s="183">
        <f ca="1">VLOOKUP(F1240,
    OFFSET(INDIRECT(ADDRESS(MATCH(J1240,'Vehicle numbers'!$A$5:$A$162,0),1,1,1,$L$6)),4,1,COUNTIF('Vehicle numbers'!$A$5:$A$162,J1240),4),
    MATCH(L$8,'Vehicle numbers'!$B$4:$D$4,0))*1000</f>
        <v>1213057.1169953283</v>
      </c>
      <c r="M1240" s="184">
        <f>VLOOKUP(F1240,'Annual distance covered (GB)'!$A$8:$H$33,MATCH(J1240,'Annual distance covered (GB)'!$A$7:$H$7,0))</f>
        <v>5.0999999999999996</v>
      </c>
      <c r="N1240" s="2">
        <f t="shared" ca="1" si="52"/>
        <v>1923.7972287217842</v>
      </c>
      <c r="O1240" s="180">
        <f t="shared" ca="1" si="53"/>
        <v>1.5859081998438108E-3</v>
      </c>
      <c r="P1240" s="180"/>
      <c r="Q1240" s="180"/>
      <c r="R1240" s="180"/>
      <c r="S1240" s="180"/>
      <c r="T1240" s="180"/>
    </row>
    <row r="1241" spans="1:20" x14ac:dyDescent="0.25">
      <c r="A1241" t="s">
        <v>246</v>
      </c>
      <c r="B1241" t="s">
        <v>237</v>
      </c>
      <c r="C1241" t="s">
        <v>238</v>
      </c>
      <c r="D1241" t="s">
        <v>264</v>
      </c>
      <c r="E1241" t="s">
        <v>228</v>
      </c>
      <c r="F1241">
        <v>2004</v>
      </c>
      <c r="G1241">
        <v>2.9632676056338101E-4</v>
      </c>
      <c r="H1241" t="s">
        <v>240</v>
      </c>
      <c r="I1241" t="s">
        <v>241</v>
      </c>
      <c r="J1241" t="s">
        <v>3</v>
      </c>
      <c r="K1241" s="183">
        <f ca="1">VLOOKUP(F1241,
    OFFSET(INDIRECT(ADDRESS(MATCH(J1241,'Vehicle numbers'!$A$5:$A$162,0),1,1,1,$L$6)),4,1,COUNTIF('Vehicle numbers'!$A$5:$A$162,J1241),4),
    MATCH(K$8,'Vehicle numbers'!$B$4:$D$4,0))*1000</f>
        <v>1191168</v>
      </c>
      <c r="L1241" s="183">
        <f ca="1">VLOOKUP(F1241,
    OFFSET(INDIRECT(ADDRESS(MATCH(J1241,'Vehicle numbers'!$A$5:$A$162,0),1,1,1,$L$6)),4,1,COUNTIF('Vehicle numbers'!$A$5:$A$162,J1241),4),
    MATCH(L$8,'Vehicle numbers'!$B$4:$D$4,0))*1000</f>
        <v>1213057.1169953283</v>
      </c>
      <c r="M1241" s="184">
        <f>VLOOKUP(F1241,'Annual distance covered (GB)'!$A$8:$H$33,MATCH(J1241,'Annual distance covered (GB)'!$A$7:$H$7,0))</f>
        <v>5.0999999999999996</v>
      </c>
      <c r="N1241" s="2">
        <f t="shared" ca="1" si="52"/>
        <v>1539.0377829774282</v>
      </c>
      <c r="O1241" s="180">
        <f t="shared" ca="1" si="53"/>
        <v>1.2687265598750493E-3</v>
      </c>
      <c r="P1241" s="180"/>
      <c r="Q1241" s="180"/>
      <c r="R1241" s="180"/>
      <c r="S1241" s="180"/>
      <c r="T1241" s="180"/>
    </row>
    <row r="1242" spans="1:20" x14ac:dyDescent="0.25">
      <c r="A1242" t="s">
        <v>236</v>
      </c>
      <c r="B1242" t="s">
        <v>237</v>
      </c>
      <c r="C1242" t="s">
        <v>238</v>
      </c>
      <c r="D1242" t="s">
        <v>239</v>
      </c>
      <c r="E1242" t="s">
        <v>229</v>
      </c>
      <c r="F1242">
        <v>2005</v>
      </c>
      <c r="G1242">
        <v>8.4410000000000006E-3</v>
      </c>
      <c r="H1242" t="s">
        <v>240</v>
      </c>
      <c r="I1242" t="s">
        <v>241</v>
      </c>
      <c r="J1242" t="s">
        <v>242</v>
      </c>
      <c r="K1242" s="183">
        <f ca="1">VLOOKUP(F1242,
    OFFSET(INDIRECT(ADDRESS(MATCH(J1242,'Vehicle numbers'!$A$5:$A$162,0),1,1,1,$L$6)),4,1,COUNTIF('Vehicle numbers'!$A$5:$A$162,J1242),4),
    MATCH(K$8,'Vehicle numbers'!$B$4:$D$4,0))*1000</f>
        <v>178437</v>
      </c>
      <c r="L1242" s="183">
        <f ca="1">VLOOKUP(F1242,
    OFFSET(INDIRECT(ADDRESS(MATCH(J1242,'Vehicle numbers'!$A$5:$A$162,0),1,1,1,$L$6)),4,1,COUNTIF('Vehicle numbers'!$A$5:$A$162,J1242),4),
    MATCH(L$8,'Vehicle numbers'!$B$4:$D$4,0))*1000</f>
        <v>184671.52389300088</v>
      </c>
      <c r="M1242" s="184">
        <f>VLOOKUP(F1242,'Annual distance covered (GB)'!$A$8:$H$33,MATCH(J1242,'Annual distance covered (GB)'!$A$7:$H$7,0))</f>
        <v>5.0999999999999996</v>
      </c>
      <c r="N1242" s="2">
        <f t="shared" ca="1" si="52"/>
        <v>44553.219899584634</v>
      </c>
      <c r="O1242" s="180">
        <f t="shared" ca="1" si="53"/>
        <v>0.24125657795188216</v>
      </c>
      <c r="P1242" s="180"/>
      <c r="Q1242" s="180"/>
      <c r="R1242" s="180"/>
      <c r="S1242" s="180"/>
      <c r="T1242" s="180"/>
    </row>
    <row r="1243" spans="1:20" x14ac:dyDescent="0.25">
      <c r="A1243" t="s">
        <v>243</v>
      </c>
      <c r="B1243" t="s">
        <v>237</v>
      </c>
      <c r="C1243" t="s">
        <v>238</v>
      </c>
      <c r="D1243" t="s">
        <v>239</v>
      </c>
      <c r="E1243" t="s">
        <v>229</v>
      </c>
      <c r="F1243">
        <v>2005</v>
      </c>
      <c r="G1243">
        <v>3.3763999999999999E-3</v>
      </c>
      <c r="H1243" t="s">
        <v>240</v>
      </c>
      <c r="I1243" t="s">
        <v>241</v>
      </c>
      <c r="J1243" t="s">
        <v>242</v>
      </c>
      <c r="K1243" s="183">
        <f ca="1">VLOOKUP(F1243,
    OFFSET(INDIRECT(ADDRESS(MATCH(J1243,'Vehicle numbers'!$A$5:$A$162,0),1,1,1,$L$6)),4,1,COUNTIF('Vehicle numbers'!$A$5:$A$162,J1243),4),
    MATCH(K$8,'Vehicle numbers'!$B$4:$D$4,0))*1000</f>
        <v>178437</v>
      </c>
      <c r="L1243" s="183">
        <f ca="1">VLOOKUP(F1243,
    OFFSET(INDIRECT(ADDRESS(MATCH(J1243,'Vehicle numbers'!$A$5:$A$162,0),1,1,1,$L$6)),4,1,COUNTIF('Vehicle numbers'!$A$5:$A$162,J1243),4),
    MATCH(L$8,'Vehicle numbers'!$B$4:$D$4,0))*1000</f>
        <v>184671.52389300088</v>
      </c>
      <c r="M1243" s="184">
        <f>VLOOKUP(F1243,'Annual distance covered (GB)'!$A$8:$H$33,MATCH(J1243,'Annual distance covered (GB)'!$A$7:$H$7,0))</f>
        <v>5.0999999999999996</v>
      </c>
      <c r="N1243" s="2">
        <f t="shared" ca="1" si="52"/>
        <v>17821.287959833855</v>
      </c>
      <c r="O1243" s="180">
        <f t="shared" ca="1" si="53"/>
        <v>9.6502631180752863E-2</v>
      </c>
      <c r="P1243" s="180"/>
      <c r="Q1243" s="180"/>
      <c r="R1243" s="180"/>
      <c r="S1243" s="180"/>
      <c r="T1243" s="180"/>
    </row>
    <row r="1244" spans="1:20" x14ac:dyDescent="0.25">
      <c r="A1244" t="s">
        <v>244</v>
      </c>
      <c r="B1244" t="s">
        <v>237</v>
      </c>
      <c r="C1244" t="s">
        <v>238</v>
      </c>
      <c r="D1244" t="s">
        <v>239</v>
      </c>
      <c r="E1244" t="s">
        <v>229</v>
      </c>
      <c r="F1244">
        <v>2005</v>
      </c>
      <c r="G1244">
        <v>8.4409999999999997E-4</v>
      </c>
      <c r="H1244" t="s">
        <v>240</v>
      </c>
      <c r="I1244" t="s">
        <v>241</v>
      </c>
      <c r="J1244" t="s">
        <v>242</v>
      </c>
      <c r="K1244" s="183">
        <f ca="1">VLOOKUP(F1244,
    OFFSET(INDIRECT(ADDRESS(MATCH(J1244,'Vehicle numbers'!$A$5:$A$162,0),1,1,1,$L$6)),4,1,COUNTIF('Vehicle numbers'!$A$5:$A$162,J1244),4),
    MATCH(K$8,'Vehicle numbers'!$B$4:$D$4,0))*1000</f>
        <v>178437</v>
      </c>
      <c r="L1244" s="183">
        <f ca="1">VLOOKUP(F1244,
    OFFSET(INDIRECT(ADDRESS(MATCH(J1244,'Vehicle numbers'!$A$5:$A$162,0),1,1,1,$L$6)),4,1,COUNTIF('Vehicle numbers'!$A$5:$A$162,J1244),4),
    MATCH(L$8,'Vehicle numbers'!$B$4:$D$4,0))*1000</f>
        <v>184671.52389300088</v>
      </c>
      <c r="M1244" s="184">
        <f>VLOOKUP(F1244,'Annual distance covered (GB)'!$A$8:$H$33,MATCH(J1244,'Annual distance covered (GB)'!$A$7:$H$7,0))</f>
        <v>5.0999999999999996</v>
      </c>
      <c r="N1244" s="2">
        <f t="shared" ca="1" si="52"/>
        <v>4455.3219899584637</v>
      </c>
      <c r="O1244" s="180">
        <f t="shared" ca="1" si="53"/>
        <v>2.4125657795188216E-2</v>
      </c>
      <c r="P1244" s="180"/>
      <c r="Q1244" s="180"/>
      <c r="R1244" s="180"/>
      <c r="S1244" s="180"/>
      <c r="T1244" s="180"/>
    </row>
    <row r="1245" spans="1:20" x14ac:dyDescent="0.25">
      <c r="A1245" t="s">
        <v>246</v>
      </c>
      <c r="B1245" t="s">
        <v>237</v>
      </c>
      <c r="C1245" t="s">
        <v>238</v>
      </c>
      <c r="D1245" t="s">
        <v>239</v>
      </c>
      <c r="E1245" t="s">
        <v>229</v>
      </c>
      <c r="F1245">
        <v>2005</v>
      </c>
      <c r="G1245">
        <v>6.7528E-4</v>
      </c>
      <c r="H1245" t="s">
        <v>240</v>
      </c>
      <c r="I1245" t="s">
        <v>241</v>
      </c>
      <c r="J1245" t="s">
        <v>242</v>
      </c>
      <c r="K1245" s="183">
        <f ca="1">VLOOKUP(F1245,
    OFFSET(INDIRECT(ADDRESS(MATCH(J1245,'Vehicle numbers'!$A$5:$A$162,0),1,1,1,$L$6)),4,1,COUNTIF('Vehicle numbers'!$A$5:$A$162,J1245),4),
    MATCH(K$8,'Vehicle numbers'!$B$4:$D$4,0))*1000</f>
        <v>178437</v>
      </c>
      <c r="L1245" s="183">
        <f ca="1">VLOOKUP(F1245,
    OFFSET(INDIRECT(ADDRESS(MATCH(J1245,'Vehicle numbers'!$A$5:$A$162,0),1,1,1,$L$6)),4,1,COUNTIF('Vehicle numbers'!$A$5:$A$162,J1245),4),
    MATCH(L$8,'Vehicle numbers'!$B$4:$D$4,0))*1000</f>
        <v>184671.52389300088</v>
      </c>
      <c r="M1245" s="184">
        <f>VLOOKUP(F1245,'Annual distance covered (GB)'!$A$8:$H$33,MATCH(J1245,'Annual distance covered (GB)'!$A$7:$H$7,0))</f>
        <v>5.0999999999999996</v>
      </c>
      <c r="N1245" s="2">
        <f t="shared" ca="1" si="52"/>
        <v>3564.2575919667706</v>
      </c>
      <c r="O1245" s="180">
        <f t="shared" ca="1" si="53"/>
        <v>1.9300526236150573E-2</v>
      </c>
      <c r="P1245" s="180"/>
      <c r="Q1245" s="180"/>
      <c r="R1245" s="180"/>
      <c r="S1245" s="180"/>
      <c r="T1245" s="180"/>
    </row>
    <row r="1246" spans="1:20" x14ac:dyDescent="0.25">
      <c r="A1246" t="s">
        <v>236</v>
      </c>
      <c r="B1246" t="s">
        <v>237</v>
      </c>
      <c r="C1246" t="s">
        <v>238</v>
      </c>
      <c r="D1246" t="s">
        <v>239</v>
      </c>
      <c r="E1246" t="s">
        <v>228</v>
      </c>
      <c r="F1246">
        <v>2005</v>
      </c>
      <c r="G1246">
        <v>1.3984E-2</v>
      </c>
      <c r="H1246" t="s">
        <v>240</v>
      </c>
      <c r="I1246" t="s">
        <v>241</v>
      </c>
      <c r="J1246" t="s">
        <v>242</v>
      </c>
      <c r="K1246" s="183">
        <f ca="1">VLOOKUP(F1246,
    OFFSET(INDIRECT(ADDRESS(MATCH(J1246,'Vehicle numbers'!$A$5:$A$162,0),1,1,1,$L$6)),4,1,COUNTIF('Vehicle numbers'!$A$5:$A$162,J1246),4),
    MATCH(K$8,'Vehicle numbers'!$B$4:$D$4,0))*1000</f>
        <v>178437</v>
      </c>
      <c r="L1246" s="183">
        <f ca="1">VLOOKUP(F1246,
    OFFSET(INDIRECT(ADDRESS(MATCH(J1246,'Vehicle numbers'!$A$5:$A$162,0),1,1,1,$L$6)),4,1,COUNTIF('Vehicle numbers'!$A$5:$A$162,J1246),4),
    MATCH(L$8,'Vehicle numbers'!$B$4:$D$4,0))*1000</f>
        <v>184671.52389300088</v>
      </c>
      <c r="M1246" s="184">
        <f>VLOOKUP(F1246,'Annual distance covered (GB)'!$A$8:$H$33,MATCH(J1246,'Annual distance covered (GB)'!$A$7:$H$7,0))</f>
        <v>5.0999999999999996</v>
      </c>
      <c r="N1246" s="2">
        <f t="shared" ca="1" si="52"/>
        <v>73810.238961709692</v>
      </c>
      <c r="O1246" s="180">
        <f t="shared" ca="1" si="53"/>
        <v>0.39968392205652409</v>
      </c>
      <c r="P1246" s="180"/>
      <c r="Q1246" s="180"/>
      <c r="R1246" s="180"/>
      <c r="S1246" s="180"/>
      <c r="T1246" s="180"/>
    </row>
    <row r="1247" spans="1:20" x14ac:dyDescent="0.25">
      <c r="A1247" t="s">
        <v>243</v>
      </c>
      <c r="B1247" t="s">
        <v>237</v>
      </c>
      <c r="C1247" t="s">
        <v>238</v>
      </c>
      <c r="D1247" t="s">
        <v>239</v>
      </c>
      <c r="E1247" t="s">
        <v>228</v>
      </c>
      <c r="F1247">
        <v>2005</v>
      </c>
      <c r="G1247">
        <v>9.7888000000000003E-3</v>
      </c>
      <c r="H1247" t="s">
        <v>240</v>
      </c>
      <c r="I1247" t="s">
        <v>241</v>
      </c>
      <c r="J1247" t="s">
        <v>242</v>
      </c>
      <c r="K1247" s="183">
        <f ca="1">VLOOKUP(F1247,
    OFFSET(INDIRECT(ADDRESS(MATCH(J1247,'Vehicle numbers'!$A$5:$A$162,0),1,1,1,$L$6)),4,1,COUNTIF('Vehicle numbers'!$A$5:$A$162,J1247),4),
    MATCH(K$8,'Vehicle numbers'!$B$4:$D$4,0))*1000</f>
        <v>178437</v>
      </c>
      <c r="L1247" s="183">
        <f ca="1">VLOOKUP(F1247,
    OFFSET(INDIRECT(ADDRESS(MATCH(J1247,'Vehicle numbers'!$A$5:$A$162,0),1,1,1,$L$6)),4,1,COUNTIF('Vehicle numbers'!$A$5:$A$162,J1247),4),
    MATCH(L$8,'Vehicle numbers'!$B$4:$D$4,0))*1000</f>
        <v>184671.52389300088</v>
      </c>
      <c r="M1247" s="184">
        <f>VLOOKUP(F1247,'Annual distance covered (GB)'!$A$8:$H$33,MATCH(J1247,'Annual distance covered (GB)'!$A$7:$H$7,0))</f>
        <v>5.0999999999999996</v>
      </c>
      <c r="N1247" s="2">
        <f t="shared" ca="1" si="52"/>
        <v>51667.167273196785</v>
      </c>
      <c r="O1247" s="180">
        <f t="shared" ca="1" si="53"/>
        <v>0.27977874543956688</v>
      </c>
      <c r="P1247" s="180"/>
      <c r="Q1247" s="180"/>
      <c r="R1247" s="180"/>
      <c r="S1247" s="180"/>
      <c r="T1247" s="180"/>
    </row>
    <row r="1248" spans="1:20" x14ac:dyDescent="0.25">
      <c r="A1248" t="s">
        <v>244</v>
      </c>
      <c r="B1248" t="s">
        <v>237</v>
      </c>
      <c r="C1248" t="s">
        <v>238</v>
      </c>
      <c r="D1248" t="s">
        <v>239</v>
      </c>
      <c r="E1248" t="s">
        <v>228</v>
      </c>
      <c r="F1248">
        <v>2005</v>
      </c>
      <c r="G1248">
        <v>1.3787042253521099E-3</v>
      </c>
      <c r="H1248" t="s">
        <v>240</v>
      </c>
      <c r="I1248" t="s">
        <v>241</v>
      </c>
      <c r="J1248" t="s">
        <v>242</v>
      </c>
      <c r="K1248" s="183">
        <f ca="1">VLOOKUP(F1248,
    OFFSET(INDIRECT(ADDRESS(MATCH(J1248,'Vehicle numbers'!$A$5:$A$162,0),1,1,1,$L$6)),4,1,COUNTIF('Vehicle numbers'!$A$5:$A$162,J1248),4),
    MATCH(K$8,'Vehicle numbers'!$B$4:$D$4,0))*1000</f>
        <v>178437</v>
      </c>
      <c r="L1248" s="183">
        <f ca="1">VLOOKUP(F1248,
    OFFSET(INDIRECT(ADDRESS(MATCH(J1248,'Vehicle numbers'!$A$5:$A$162,0),1,1,1,$L$6)),4,1,COUNTIF('Vehicle numbers'!$A$5:$A$162,J1248),4),
    MATCH(L$8,'Vehicle numbers'!$B$4:$D$4,0))*1000</f>
        <v>184671.52389300088</v>
      </c>
      <c r="M1248" s="184">
        <f>VLOOKUP(F1248,'Annual distance covered (GB)'!$A$8:$H$33,MATCH(J1248,'Annual distance covered (GB)'!$A$7:$H$7,0))</f>
        <v>5.0999999999999996</v>
      </c>
      <c r="N1248" s="2">
        <f t="shared" ca="1" si="52"/>
        <v>7277.0658131262935</v>
      </c>
      <c r="O1248" s="180">
        <f t="shared" ca="1" si="53"/>
        <v>3.9405457104164272E-2</v>
      </c>
      <c r="P1248" s="180"/>
      <c r="Q1248" s="180"/>
      <c r="R1248" s="180"/>
      <c r="S1248" s="180"/>
      <c r="T1248" s="180"/>
    </row>
    <row r="1249" spans="1:20" x14ac:dyDescent="0.25">
      <c r="A1249" t="s">
        <v>246</v>
      </c>
      <c r="B1249" t="s">
        <v>237</v>
      </c>
      <c r="C1249" t="s">
        <v>238</v>
      </c>
      <c r="D1249" t="s">
        <v>239</v>
      </c>
      <c r="E1249" t="s">
        <v>228</v>
      </c>
      <c r="F1249">
        <v>2005</v>
      </c>
      <c r="G1249">
        <v>1.10296338028169E-3</v>
      </c>
      <c r="H1249" t="s">
        <v>240</v>
      </c>
      <c r="I1249" t="s">
        <v>241</v>
      </c>
      <c r="J1249" t="s">
        <v>242</v>
      </c>
      <c r="K1249" s="183">
        <f ca="1">VLOOKUP(F1249,
    OFFSET(INDIRECT(ADDRESS(MATCH(J1249,'Vehicle numbers'!$A$5:$A$162,0),1,1,1,$L$6)),4,1,COUNTIF('Vehicle numbers'!$A$5:$A$162,J1249),4),
    MATCH(K$8,'Vehicle numbers'!$B$4:$D$4,0))*1000</f>
        <v>178437</v>
      </c>
      <c r="L1249" s="183">
        <f ca="1">VLOOKUP(F1249,
    OFFSET(INDIRECT(ADDRESS(MATCH(J1249,'Vehicle numbers'!$A$5:$A$162,0),1,1,1,$L$6)),4,1,COUNTIF('Vehicle numbers'!$A$5:$A$162,J1249),4),
    MATCH(L$8,'Vehicle numbers'!$B$4:$D$4,0))*1000</f>
        <v>184671.52389300088</v>
      </c>
      <c r="M1249" s="184">
        <f>VLOOKUP(F1249,'Annual distance covered (GB)'!$A$8:$H$33,MATCH(J1249,'Annual distance covered (GB)'!$A$7:$H$7,0))</f>
        <v>5.0999999999999996</v>
      </c>
      <c r="N1249" s="2">
        <f t="shared" ca="1" si="52"/>
        <v>5821.6526505010461</v>
      </c>
      <c r="O1249" s="180">
        <f t="shared" ca="1" si="53"/>
        <v>3.152436568333148E-2</v>
      </c>
      <c r="P1249" s="180"/>
      <c r="Q1249" s="180"/>
      <c r="R1249" s="180"/>
      <c r="S1249" s="180"/>
      <c r="T1249" s="180"/>
    </row>
    <row r="1250" spans="1:20" x14ac:dyDescent="0.25">
      <c r="A1250" t="s">
        <v>236</v>
      </c>
      <c r="B1250" t="s">
        <v>237</v>
      </c>
      <c r="C1250" t="s">
        <v>238</v>
      </c>
      <c r="D1250" t="s">
        <v>248</v>
      </c>
      <c r="E1250" t="s">
        <v>229</v>
      </c>
      <c r="F1250">
        <v>2005</v>
      </c>
      <c r="G1250">
        <v>2.7143E-2</v>
      </c>
      <c r="H1250" t="s">
        <v>240</v>
      </c>
      <c r="I1250" t="s">
        <v>241</v>
      </c>
      <c r="J1250" t="s">
        <v>242</v>
      </c>
      <c r="K1250" s="183">
        <f ca="1">VLOOKUP(F1250,
    OFFSET(INDIRECT(ADDRESS(MATCH(J1250,'Vehicle numbers'!$A$5:$A$162,0),1,1,1,$L$6)),4,1,COUNTIF('Vehicle numbers'!$A$5:$A$162,J1250),4),
    MATCH(K$8,'Vehicle numbers'!$B$4:$D$4,0))*1000</f>
        <v>178437</v>
      </c>
      <c r="L1250" s="183">
        <f ca="1">VLOOKUP(F1250,
    OFFSET(INDIRECT(ADDRESS(MATCH(J1250,'Vehicle numbers'!$A$5:$A$162,0),1,1,1,$L$6)),4,1,COUNTIF('Vehicle numbers'!$A$5:$A$162,J1250),4),
    MATCH(L$8,'Vehicle numbers'!$B$4:$D$4,0))*1000</f>
        <v>184671.52389300088</v>
      </c>
      <c r="M1250" s="184">
        <f>VLOOKUP(F1250,'Annual distance covered (GB)'!$A$8:$H$33,MATCH(J1250,'Annual distance covered (GB)'!$A$7:$H$7,0))</f>
        <v>5.0999999999999996</v>
      </c>
      <c r="N1250" s="2">
        <f t="shared" ca="1" si="52"/>
        <v>143265.96940343868</v>
      </c>
      <c r="O1250" s="180">
        <f t="shared" ca="1" si="53"/>
        <v>0.77578809327661868</v>
      </c>
      <c r="P1250" s="180"/>
      <c r="Q1250" s="180"/>
      <c r="R1250" s="180"/>
      <c r="S1250" s="180"/>
      <c r="T1250" s="180"/>
    </row>
    <row r="1251" spans="1:20" x14ac:dyDescent="0.25">
      <c r="A1251" t="s">
        <v>243</v>
      </c>
      <c r="B1251" t="s">
        <v>237</v>
      </c>
      <c r="C1251" t="s">
        <v>238</v>
      </c>
      <c r="D1251" t="s">
        <v>248</v>
      </c>
      <c r="E1251" t="s">
        <v>229</v>
      </c>
      <c r="F1251">
        <v>2005</v>
      </c>
      <c r="G1251">
        <v>1.0857199999999999E-2</v>
      </c>
      <c r="H1251" t="s">
        <v>240</v>
      </c>
      <c r="I1251" t="s">
        <v>241</v>
      </c>
      <c r="J1251" t="s">
        <v>242</v>
      </c>
      <c r="K1251" s="183">
        <f ca="1">VLOOKUP(F1251,
    OFFSET(INDIRECT(ADDRESS(MATCH(J1251,'Vehicle numbers'!$A$5:$A$162,0),1,1,1,$L$6)),4,1,COUNTIF('Vehicle numbers'!$A$5:$A$162,J1251),4),
    MATCH(K$8,'Vehicle numbers'!$B$4:$D$4,0))*1000</f>
        <v>178437</v>
      </c>
      <c r="L1251" s="183">
        <f ca="1">VLOOKUP(F1251,
    OFFSET(INDIRECT(ADDRESS(MATCH(J1251,'Vehicle numbers'!$A$5:$A$162,0),1,1,1,$L$6)),4,1,COUNTIF('Vehicle numbers'!$A$5:$A$162,J1251),4),
    MATCH(L$8,'Vehicle numbers'!$B$4:$D$4,0))*1000</f>
        <v>184671.52389300088</v>
      </c>
      <c r="M1251" s="184">
        <f>VLOOKUP(F1251,'Annual distance covered (GB)'!$A$8:$H$33,MATCH(J1251,'Annual distance covered (GB)'!$A$7:$H$7,0))</f>
        <v>5.0999999999999996</v>
      </c>
      <c r="N1251" s="2">
        <f t="shared" ca="1" si="52"/>
        <v>57306.387761375459</v>
      </c>
      <c r="O1251" s="180">
        <f t="shared" ca="1" si="53"/>
        <v>0.31031523731064742</v>
      </c>
      <c r="P1251" s="180"/>
      <c r="Q1251" s="180"/>
      <c r="R1251" s="180"/>
      <c r="S1251" s="180"/>
      <c r="T1251" s="180"/>
    </row>
    <row r="1252" spans="1:20" x14ac:dyDescent="0.25">
      <c r="A1252" t="s">
        <v>244</v>
      </c>
      <c r="B1252" t="s">
        <v>237</v>
      </c>
      <c r="C1252" t="s">
        <v>238</v>
      </c>
      <c r="D1252" t="s">
        <v>248</v>
      </c>
      <c r="E1252" t="s">
        <v>229</v>
      </c>
      <c r="F1252">
        <v>2005</v>
      </c>
      <c r="G1252">
        <v>2.7142999999999998E-3</v>
      </c>
      <c r="H1252" t="s">
        <v>240</v>
      </c>
      <c r="I1252" t="s">
        <v>241</v>
      </c>
      <c r="J1252" t="s">
        <v>242</v>
      </c>
      <c r="K1252" s="183">
        <f ca="1">VLOOKUP(F1252,
    OFFSET(INDIRECT(ADDRESS(MATCH(J1252,'Vehicle numbers'!$A$5:$A$162,0),1,1,1,$L$6)),4,1,COUNTIF('Vehicle numbers'!$A$5:$A$162,J1252),4),
    MATCH(K$8,'Vehicle numbers'!$B$4:$D$4,0))*1000</f>
        <v>178437</v>
      </c>
      <c r="L1252" s="183">
        <f ca="1">VLOOKUP(F1252,
    OFFSET(INDIRECT(ADDRESS(MATCH(J1252,'Vehicle numbers'!$A$5:$A$162,0),1,1,1,$L$6)),4,1,COUNTIF('Vehicle numbers'!$A$5:$A$162,J1252),4),
    MATCH(L$8,'Vehicle numbers'!$B$4:$D$4,0))*1000</f>
        <v>184671.52389300088</v>
      </c>
      <c r="M1252" s="184">
        <f>VLOOKUP(F1252,'Annual distance covered (GB)'!$A$8:$H$33,MATCH(J1252,'Annual distance covered (GB)'!$A$7:$H$7,0))</f>
        <v>5.0999999999999996</v>
      </c>
      <c r="N1252" s="2">
        <f t="shared" ca="1" si="52"/>
        <v>14326.596940343865</v>
      </c>
      <c r="O1252" s="180">
        <f t="shared" ca="1" si="53"/>
        <v>7.7578809327661855E-2</v>
      </c>
      <c r="P1252" s="180"/>
      <c r="Q1252" s="180"/>
      <c r="R1252" s="180"/>
      <c r="S1252" s="180"/>
      <c r="T1252" s="180"/>
    </row>
    <row r="1253" spans="1:20" x14ac:dyDescent="0.25">
      <c r="A1253" t="s">
        <v>246</v>
      </c>
      <c r="B1253" t="s">
        <v>237</v>
      </c>
      <c r="C1253" t="s">
        <v>238</v>
      </c>
      <c r="D1253" t="s">
        <v>248</v>
      </c>
      <c r="E1253" t="s">
        <v>229</v>
      </c>
      <c r="F1253">
        <v>2005</v>
      </c>
      <c r="G1253">
        <v>2.1714400000000002E-3</v>
      </c>
      <c r="H1253" t="s">
        <v>240</v>
      </c>
      <c r="I1253" t="s">
        <v>241</v>
      </c>
      <c r="J1253" t="s">
        <v>242</v>
      </c>
      <c r="K1253" s="183">
        <f ca="1">VLOOKUP(F1253,
    OFFSET(INDIRECT(ADDRESS(MATCH(J1253,'Vehicle numbers'!$A$5:$A$162,0),1,1,1,$L$6)),4,1,COUNTIF('Vehicle numbers'!$A$5:$A$162,J1253),4),
    MATCH(K$8,'Vehicle numbers'!$B$4:$D$4,0))*1000</f>
        <v>178437</v>
      </c>
      <c r="L1253" s="183">
        <f ca="1">VLOOKUP(F1253,
    OFFSET(INDIRECT(ADDRESS(MATCH(J1253,'Vehicle numbers'!$A$5:$A$162,0),1,1,1,$L$6)),4,1,COUNTIF('Vehicle numbers'!$A$5:$A$162,J1253),4),
    MATCH(L$8,'Vehicle numbers'!$B$4:$D$4,0))*1000</f>
        <v>184671.52389300088</v>
      </c>
      <c r="M1253" s="184">
        <f>VLOOKUP(F1253,'Annual distance covered (GB)'!$A$8:$H$33,MATCH(J1253,'Annual distance covered (GB)'!$A$7:$H$7,0))</f>
        <v>5.0999999999999996</v>
      </c>
      <c r="N1253" s="2">
        <f t="shared" ca="1" si="52"/>
        <v>11461.277552275093</v>
      </c>
      <c r="O1253" s="180">
        <f t="shared" ca="1" si="53"/>
        <v>6.2063047462129484E-2</v>
      </c>
      <c r="P1253" s="180"/>
      <c r="Q1253" s="180"/>
      <c r="R1253" s="180"/>
      <c r="S1253" s="180"/>
      <c r="T1253" s="180"/>
    </row>
    <row r="1254" spans="1:20" x14ac:dyDescent="0.25">
      <c r="A1254" t="s">
        <v>236</v>
      </c>
      <c r="B1254" t="s">
        <v>237</v>
      </c>
      <c r="C1254" t="s">
        <v>238</v>
      </c>
      <c r="D1254" t="s">
        <v>248</v>
      </c>
      <c r="E1254" t="s">
        <v>228</v>
      </c>
      <c r="F1254">
        <v>2005</v>
      </c>
      <c r="G1254">
        <v>1.68578987779569E-2</v>
      </c>
      <c r="H1254" t="s">
        <v>240</v>
      </c>
      <c r="I1254" t="s">
        <v>241</v>
      </c>
      <c r="J1254" t="s">
        <v>242</v>
      </c>
      <c r="K1254" s="183">
        <f ca="1">VLOOKUP(F1254,
    OFFSET(INDIRECT(ADDRESS(MATCH(J1254,'Vehicle numbers'!$A$5:$A$162,0),1,1,1,$L$6)),4,1,COUNTIF('Vehicle numbers'!$A$5:$A$162,J1254),4),
    MATCH(K$8,'Vehicle numbers'!$B$4:$D$4,0))*1000</f>
        <v>178437</v>
      </c>
      <c r="L1254" s="183">
        <f ca="1">VLOOKUP(F1254,
    OFFSET(INDIRECT(ADDRESS(MATCH(J1254,'Vehicle numbers'!$A$5:$A$162,0),1,1,1,$L$6)),4,1,COUNTIF('Vehicle numbers'!$A$5:$A$162,J1254),4),
    MATCH(L$8,'Vehicle numbers'!$B$4:$D$4,0))*1000</f>
        <v>184671.52389300088</v>
      </c>
      <c r="M1254" s="184">
        <f>VLOOKUP(F1254,'Annual distance covered (GB)'!$A$8:$H$33,MATCH(J1254,'Annual distance covered (GB)'!$A$7:$H$7,0))</f>
        <v>5.0999999999999996</v>
      </c>
      <c r="N1254" s="2">
        <f t="shared" ca="1" si="52"/>
        <v>88979.228918286084</v>
      </c>
      <c r="O1254" s="180">
        <f t="shared" ca="1" si="53"/>
        <v>0.48182430643633428</v>
      </c>
      <c r="P1254" s="180"/>
      <c r="Q1254" s="180"/>
      <c r="R1254" s="180"/>
      <c r="S1254" s="180"/>
      <c r="T1254" s="180"/>
    </row>
    <row r="1255" spans="1:20" x14ac:dyDescent="0.25">
      <c r="A1255" t="s">
        <v>243</v>
      </c>
      <c r="B1255" t="s">
        <v>237</v>
      </c>
      <c r="C1255" t="s">
        <v>238</v>
      </c>
      <c r="D1255" t="s">
        <v>248</v>
      </c>
      <c r="E1255" t="s">
        <v>228</v>
      </c>
      <c r="F1255">
        <v>2005</v>
      </c>
      <c r="G1255">
        <v>1.1800529144569799E-2</v>
      </c>
      <c r="H1255" t="s">
        <v>240</v>
      </c>
      <c r="I1255" t="s">
        <v>241</v>
      </c>
      <c r="J1255" t="s">
        <v>242</v>
      </c>
      <c r="K1255" s="183">
        <f ca="1">VLOOKUP(F1255,
    OFFSET(INDIRECT(ADDRESS(MATCH(J1255,'Vehicle numbers'!$A$5:$A$162,0),1,1,1,$L$6)),4,1,COUNTIF('Vehicle numbers'!$A$5:$A$162,J1255),4),
    MATCH(K$8,'Vehicle numbers'!$B$4:$D$4,0))*1000</f>
        <v>178437</v>
      </c>
      <c r="L1255" s="183">
        <f ca="1">VLOOKUP(F1255,
    OFFSET(INDIRECT(ADDRESS(MATCH(J1255,'Vehicle numbers'!$A$5:$A$162,0),1,1,1,$L$6)),4,1,COUNTIF('Vehicle numbers'!$A$5:$A$162,J1255),4),
    MATCH(L$8,'Vehicle numbers'!$B$4:$D$4,0))*1000</f>
        <v>184671.52389300088</v>
      </c>
      <c r="M1255" s="184">
        <f>VLOOKUP(F1255,'Annual distance covered (GB)'!$A$8:$H$33,MATCH(J1255,'Annual distance covered (GB)'!$A$7:$H$7,0))</f>
        <v>5.0999999999999996</v>
      </c>
      <c r="N1255" s="2">
        <f t="shared" ca="1" si="52"/>
        <v>62285.460242800094</v>
      </c>
      <c r="O1255" s="180">
        <f t="shared" ca="1" si="53"/>
        <v>0.33727701450543313</v>
      </c>
      <c r="P1255" s="180"/>
      <c r="Q1255" s="180"/>
      <c r="R1255" s="180"/>
      <c r="S1255" s="180"/>
      <c r="T1255" s="180"/>
    </row>
    <row r="1256" spans="1:20" x14ac:dyDescent="0.25">
      <c r="A1256" t="s">
        <v>244</v>
      </c>
      <c r="B1256" t="s">
        <v>237</v>
      </c>
      <c r="C1256" t="s">
        <v>238</v>
      </c>
      <c r="D1256" t="s">
        <v>248</v>
      </c>
      <c r="E1256" t="s">
        <v>228</v>
      </c>
      <c r="F1256">
        <v>2005</v>
      </c>
      <c r="G1256">
        <v>1.66204635839011E-3</v>
      </c>
      <c r="H1256" t="s">
        <v>240</v>
      </c>
      <c r="I1256" t="s">
        <v>241</v>
      </c>
      <c r="J1256" t="s">
        <v>242</v>
      </c>
      <c r="K1256" s="183">
        <f ca="1">VLOOKUP(F1256,
    OFFSET(INDIRECT(ADDRESS(MATCH(J1256,'Vehicle numbers'!$A$5:$A$162,0),1,1,1,$L$6)),4,1,COUNTIF('Vehicle numbers'!$A$5:$A$162,J1256),4),
    MATCH(K$8,'Vehicle numbers'!$B$4:$D$4,0))*1000</f>
        <v>178437</v>
      </c>
      <c r="L1256" s="183">
        <f ca="1">VLOOKUP(F1256,
    OFFSET(INDIRECT(ADDRESS(MATCH(J1256,'Vehicle numbers'!$A$5:$A$162,0),1,1,1,$L$6)),4,1,COUNTIF('Vehicle numbers'!$A$5:$A$162,J1256),4),
    MATCH(L$8,'Vehicle numbers'!$B$4:$D$4,0))*1000</f>
        <v>184671.52389300088</v>
      </c>
      <c r="M1256" s="184">
        <f>VLOOKUP(F1256,'Annual distance covered (GB)'!$A$8:$H$33,MATCH(J1256,'Annual distance covered (GB)'!$A$7:$H$7,0))</f>
        <v>5.0999999999999996</v>
      </c>
      <c r="N1256" s="2">
        <f t="shared" ca="1" si="52"/>
        <v>8772.6000341971849</v>
      </c>
      <c r="O1256" s="180">
        <f t="shared" ca="1" si="53"/>
        <v>4.7503804859920097E-2</v>
      </c>
      <c r="P1256" s="180"/>
      <c r="Q1256" s="180"/>
      <c r="R1256" s="180"/>
      <c r="S1256" s="180"/>
      <c r="T1256" s="180"/>
    </row>
    <row r="1257" spans="1:20" x14ac:dyDescent="0.25">
      <c r="A1257" t="s">
        <v>246</v>
      </c>
      <c r="B1257" t="s">
        <v>237</v>
      </c>
      <c r="C1257" t="s">
        <v>238</v>
      </c>
      <c r="D1257" t="s">
        <v>248</v>
      </c>
      <c r="E1257" t="s">
        <v>228</v>
      </c>
      <c r="F1257">
        <v>2005</v>
      </c>
      <c r="G1257">
        <v>1.32963708671209E-3</v>
      </c>
      <c r="H1257" t="s">
        <v>240</v>
      </c>
      <c r="I1257" t="s">
        <v>241</v>
      </c>
      <c r="J1257" t="s">
        <v>242</v>
      </c>
      <c r="K1257" s="183">
        <f ca="1">VLOOKUP(F1257,
    OFFSET(INDIRECT(ADDRESS(MATCH(J1257,'Vehicle numbers'!$A$5:$A$162,0),1,1,1,$L$6)),4,1,COUNTIF('Vehicle numbers'!$A$5:$A$162,J1257),4),
    MATCH(K$8,'Vehicle numbers'!$B$4:$D$4,0))*1000</f>
        <v>178437</v>
      </c>
      <c r="L1257" s="183">
        <f ca="1">VLOOKUP(F1257,
    OFFSET(INDIRECT(ADDRESS(MATCH(J1257,'Vehicle numbers'!$A$5:$A$162,0),1,1,1,$L$6)),4,1,COUNTIF('Vehicle numbers'!$A$5:$A$162,J1257),4),
    MATCH(L$8,'Vehicle numbers'!$B$4:$D$4,0))*1000</f>
        <v>184671.52389300088</v>
      </c>
      <c r="M1257" s="184">
        <f>VLOOKUP(F1257,'Annual distance covered (GB)'!$A$8:$H$33,MATCH(J1257,'Annual distance covered (GB)'!$A$7:$H$7,0))</f>
        <v>5.0999999999999996</v>
      </c>
      <c r="N1257" s="2">
        <f t="shared" ca="1" si="52"/>
        <v>7018.080027357757</v>
      </c>
      <c r="O1257" s="180">
        <f t="shared" ca="1" si="53"/>
        <v>3.8003043887936128E-2</v>
      </c>
      <c r="P1257" s="180"/>
      <c r="Q1257" s="180"/>
      <c r="R1257" s="180"/>
      <c r="S1257" s="180"/>
      <c r="T1257" s="180"/>
    </row>
    <row r="1258" spans="1:20" x14ac:dyDescent="0.25">
      <c r="A1258" t="s">
        <v>236</v>
      </c>
      <c r="B1258" t="s">
        <v>237</v>
      </c>
      <c r="C1258" t="s">
        <v>238</v>
      </c>
      <c r="D1258" t="s">
        <v>249</v>
      </c>
      <c r="E1258" t="s">
        <v>229</v>
      </c>
      <c r="F1258">
        <v>2005</v>
      </c>
      <c r="G1258">
        <v>5.35949999999999E-2</v>
      </c>
      <c r="H1258" t="s">
        <v>240</v>
      </c>
      <c r="I1258" t="s">
        <v>241</v>
      </c>
      <c r="J1258" t="s">
        <v>242</v>
      </c>
      <c r="K1258" s="183">
        <f ca="1">VLOOKUP(F1258,
    OFFSET(INDIRECT(ADDRESS(MATCH(J1258,'Vehicle numbers'!$A$5:$A$162,0),1,1,1,$L$6)),4,1,COUNTIF('Vehicle numbers'!$A$5:$A$162,J1258),4),
    MATCH(K$8,'Vehicle numbers'!$B$4:$D$4,0))*1000</f>
        <v>178437</v>
      </c>
      <c r="L1258" s="183">
        <f ca="1">VLOOKUP(F1258,
    OFFSET(INDIRECT(ADDRESS(MATCH(J1258,'Vehicle numbers'!$A$5:$A$162,0),1,1,1,$L$6)),4,1,COUNTIF('Vehicle numbers'!$A$5:$A$162,J1258),4),
    MATCH(L$8,'Vehicle numbers'!$B$4:$D$4,0))*1000</f>
        <v>184671.52389300088</v>
      </c>
      <c r="M1258" s="184">
        <f>VLOOKUP(F1258,'Annual distance covered (GB)'!$A$8:$H$33,MATCH(J1258,'Annual distance covered (GB)'!$A$7:$H$7,0))</f>
        <v>5.0999999999999996</v>
      </c>
      <c r="N1258" s="2">
        <f t="shared" ca="1" si="52"/>
        <v>282884.70803438383</v>
      </c>
      <c r="O1258" s="180">
        <f t="shared" ca="1" si="53"/>
        <v>1.5318263588829641</v>
      </c>
      <c r="P1258" s="180"/>
      <c r="Q1258" s="180"/>
      <c r="R1258" s="180"/>
      <c r="S1258" s="180"/>
      <c r="T1258" s="180"/>
    </row>
    <row r="1259" spans="1:20" x14ac:dyDescent="0.25">
      <c r="A1259" t="s">
        <v>243</v>
      </c>
      <c r="B1259" t="s">
        <v>237</v>
      </c>
      <c r="C1259" t="s">
        <v>238</v>
      </c>
      <c r="D1259" t="s">
        <v>249</v>
      </c>
      <c r="E1259" t="s">
        <v>229</v>
      </c>
      <c r="F1259">
        <v>2005</v>
      </c>
      <c r="G1259">
        <v>2.1437999999999999E-2</v>
      </c>
      <c r="H1259" t="s">
        <v>240</v>
      </c>
      <c r="I1259" t="s">
        <v>241</v>
      </c>
      <c r="J1259" t="s">
        <v>242</v>
      </c>
      <c r="K1259" s="183">
        <f ca="1">VLOOKUP(F1259,
    OFFSET(INDIRECT(ADDRESS(MATCH(J1259,'Vehicle numbers'!$A$5:$A$162,0),1,1,1,$L$6)),4,1,COUNTIF('Vehicle numbers'!$A$5:$A$162,J1259),4),
    MATCH(K$8,'Vehicle numbers'!$B$4:$D$4,0))*1000</f>
        <v>178437</v>
      </c>
      <c r="L1259" s="183">
        <f ca="1">VLOOKUP(F1259,
    OFFSET(INDIRECT(ADDRESS(MATCH(J1259,'Vehicle numbers'!$A$5:$A$162,0),1,1,1,$L$6)),4,1,COUNTIF('Vehicle numbers'!$A$5:$A$162,J1259),4),
    MATCH(L$8,'Vehicle numbers'!$B$4:$D$4,0))*1000</f>
        <v>184671.52389300088</v>
      </c>
      <c r="M1259" s="184">
        <f>VLOOKUP(F1259,'Annual distance covered (GB)'!$A$8:$H$33,MATCH(J1259,'Annual distance covered (GB)'!$A$7:$H$7,0))</f>
        <v>5.0999999999999996</v>
      </c>
      <c r="N1259" s="2">
        <f t="shared" ca="1" si="52"/>
        <v>113153.88321375372</v>
      </c>
      <c r="O1259" s="180">
        <f t="shared" ca="1" si="53"/>
        <v>0.61273054355318668</v>
      </c>
      <c r="P1259" s="180"/>
      <c r="Q1259" s="180"/>
      <c r="R1259" s="180"/>
      <c r="S1259" s="180"/>
      <c r="T1259" s="180"/>
    </row>
    <row r="1260" spans="1:20" x14ac:dyDescent="0.25">
      <c r="A1260" t="s">
        <v>244</v>
      </c>
      <c r="B1260" t="s">
        <v>237</v>
      </c>
      <c r="C1260" t="s">
        <v>238</v>
      </c>
      <c r="D1260" t="s">
        <v>249</v>
      </c>
      <c r="E1260" t="s">
        <v>229</v>
      </c>
      <c r="F1260">
        <v>2005</v>
      </c>
      <c r="G1260">
        <v>5.3594999999999997E-3</v>
      </c>
      <c r="H1260" t="s">
        <v>240</v>
      </c>
      <c r="I1260" t="s">
        <v>241</v>
      </c>
      <c r="J1260" t="s">
        <v>242</v>
      </c>
      <c r="K1260" s="183">
        <f ca="1">VLOOKUP(F1260,
    OFFSET(INDIRECT(ADDRESS(MATCH(J1260,'Vehicle numbers'!$A$5:$A$162,0),1,1,1,$L$6)),4,1,COUNTIF('Vehicle numbers'!$A$5:$A$162,J1260),4),
    MATCH(K$8,'Vehicle numbers'!$B$4:$D$4,0))*1000</f>
        <v>178437</v>
      </c>
      <c r="L1260" s="183">
        <f ca="1">VLOOKUP(F1260,
    OFFSET(INDIRECT(ADDRESS(MATCH(J1260,'Vehicle numbers'!$A$5:$A$162,0),1,1,1,$L$6)),4,1,COUNTIF('Vehicle numbers'!$A$5:$A$162,J1260),4),
    MATCH(L$8,'Vehicle numbers'!$B$4:$D$4,0))*1000</f>
        <v>184671.52389300088</v>
      </c>
      <c r="M1260" s="184">
        <f>VLOOKUP(F1260,'Annual distance covered (GB)'!$A$8:$H$33,MATCH(J1260,'Annual distance covered (GB)'!$A$7:$H$7,0))</f>
        <v>5.0999999999999996</v>
      </c>
      <c r="N1260" s="2">
        <f t="shared" ca="1" si="52"/>
        <v>28288.470803438431</v>
      </c>
      <c r="O1260" s="180">
        <f t="shared" ca="1" si="53"/>
        <v>0.15318263588829667</v>
      </c>
      <c r="P1260" s="180"/>
      <c r="Q1260" s="180"/>
      <c r="R1260" s="180"/>
      <c r="S1260" s="180"/>
      <c r="T1260" s="180"/>
    </row>
    <row r="1261" spans="1:20" x14ac:dyDescent="0.25">
      <c r="A1261" t="s">
        <v>246</v>
      </c>
      <c r="B1261" t="s">
        <v>237</v>
      </c>
      <c r="C1261" t="s">
        <v>238</v>
      </c>
      <c r="D1261" t="s">
        <v>249</v>
      </c>
      <c r="E1261" t="s">
        <v>229</v>
      </c>
      <c r="F1261">
        <v>2005</v>
      </c>
      <c r="G1261">
        <v>4.2875999999999999E-3</v>
      </c>
      <c r="H1261" t="s">
        <v>240</v>
      </c>
      <c r="I1261" t="s">
        <v>241</v>
      </c>
      <c r="J1261" t="s">
        <v>242</v>
      </c>
      <c r="K1261" s="183">
        <f ca="1">VLOOKUP(F1261,
    OFFSET(INDIRECT(ADDRESS(MATCH(J1261,'Vehicle numbers'!$A$5:$A$162,0),1,1,1,$L$6)),4,1,COUNTIF('Vehicle numbers'!$A$5:$A$162,J1261),4),
    MATCH(K$8,'Vehicle numbers'!$B$4:$D$4,0))*1000</f>
        <v>178437</v>
      </c>
      <c r="L1261" s="183">
        <f ca="1">VLOOKUP(F1261,
    OFFSET(INDIRECT(ADDRESS(MATCH(J1261,'Vehicle numbers'!$A$5:$A$162,0),1,1,1,$L$6)),4,1,COUNTIF('Vehicle numbers'!$A$5:$A$162,J1261),4),
    MATCH(L$8,'Vehicle numbers'!$B$4:$D$4,0))*1000</f>
        <v>184671.52389300088</v>
      </c>
      <c r="M1261" s="184">
        <f>VLOOKUP(F1261,'Annual distance covered (GB)'!$A$8:$H$33,MATCH(J1261,'Annual distance covered (GB)'!$A$7:$H$7,0))</f>
        <v>5.0999999999999996</v>
      </c>
      <c r="N1261" s="2">
        <f t="shared" ca="1" si="52"/>
        <v>22630.776642750749</v>
      </c>
      <c r="O1261" s="180">
        <f t="shared" ca="1" si="53"/>
        <v>0.12254610871063736</v>
      </c>
      <c r="P1261" s="180"/>
      <c r="Q1261" s="180"/>
      <c r="R1261" s="180"/>
      <c r="S1261" s="180"/>
      <c r="T1261" s="180"/>
    </row>
    <row r="1262" spans="1:20" x14ac:dyDescent="0.25">
      <c r="A1262" t="s">
        <v>236</v>
      </c>
      <c r="B1262" t="s">
        <v>237</v>
      </c>
      <c r="C1262" t="s">
        <v>238</v>
      </c>
      <c r="D1262" t="s">
        <v>249</v>
      </c>
      <c r="E1262" t="s">
        <v>228</v>
      </c>
      <c r="F1262">
        <v>2005</v>
      </c>
      <c r="G1262">
        <v>2.1391848101089701E-2</v>
      </c>
      <c r="H1262" t="s">
        <v>240</v>
      </c>
      <c r="I1262" t="s">
        <v>241</v>
      </c>
      <c r="J1262" t="s">
        <v>242</v>
      </c>
      <c r="K1262" s="183">
        <f ca="1">VLOOKUP(F1262,
    OFFSET(INDIRECT(ADDRESS(MATCH(J1262,'Vehicle numbers'!$A$5:$A$162,0),1,1,1,$L$6)),4,1,COUNTIF('Vehicle numbers'!$A$5:$A$162,J1262),4),
    MATCH(K$8,'Vehicle numbers'!$B$4:$D$4,0))*1000</f>
        <v>178437</v>
      </c>
      <c r="L1262" s="183">
        <f ca="1">VLOOKUP(F1262,
    OFFSET(INDIRECT(ADDRESS(MATCH(J1262,'Vehicle numbers'!$A$5:$A$162,0),1,1,1,$L$6)),4,1,COUNTIF('Vehicle numbers'!$A$5:$A$162,J1262),4),
    MATCH(L$8,'Vehicle numbers'!$B$4:$D$4,0))*1000</f>
        <v>184671.52389300088</v>
      </c>
      <c r="M1262" s="184">
        <f>VLOOKUP(F1262,'Annual distance covered (GB)'!$A$8:$H$33,MATCH(J1262,'Annual distance covered (GB)'!$A$7:$H$7,0))</f>
        <v>5.0999999999999996</v>
      </c>
      <c r="N1262" s="2">
        <f t="shared" ca="1" si="52"/>
        <v>112910.28462342867</v>
      </c>
      <c r="O1262" s="180">
        <f t="shared" ca="1" si="53"/>
        <v>0.61141145230841953</v>
      </c>
      <c r="P1262" s="180"/>
      <c r="Q1262" s="180"/>
      <c r="R1262" s="180"/>
      <c r="S1262" s="180"/>
      <c r="T1262" s="180"/>
    </row>
    <row r="1263" spans="1:20" x14ac:dyDescent="0.25">
      <c r="A1263" t="s">
        <v>243</v>
      </c>
      <c r="B1263" t="s">
        <v>237</v>
      </c>
      <c r="C1263" t="s">
        <v>238</v>
      </c>
      <c r="D1263" t="s">
        <v>249</v>
      </c>
      <c r="E1263" t="s">
        <v>228</v>
      </c>
      <c r="F1263">
        <v>2005</v>
      </c>
      <c r="G1263">
        <v>1.4974293670762801E-2</v>
      </c>
      <c r="H1263" t="s">
        <v>240</v>
      </c>
      <c r="I1263" t="s">
        <v>241</v>
      </c>
      <c r="J1263" t="s">
        <v>242</v>
      </c>
      <c r="K1263" s="183">
        <f ca="1">VLOOKUP(F1263,
    OFFSET(INDIRECT(ADDRESS(MATCH(J1263,'Vehicle numbers'!$A$5:$A$162,0),1,1,1,$L$6)),4,1,COUNTIF('Vehicle numbers'!$A$5:$A$162,J1263),4),
    MATCH(K$8,'Vehicle numbers'!$B$4:$D$4,0))*1000</f>
        <v>178437</v>
      </c>
      <c r="L1263" s="183">
        <f ca="1">VLOOKUP(F1263,
    OFFSET(INDIRECT(ADDRESS(MATCH(J1263,'Vehicle numbers'!$A$5:$A$162,0),1,1,1,$L$6)),4,1,COUNTIF('Vehicle numbers'!$A$5:$A$162,J1263),4),
    MATCH(L$8,'Vehicle numbers'!$B$4:$D$4,0))*1000</f>
        <v>184671.52389300088</v>
      </c>
      <c r="M1263" s="184">
        <f>VLOOKUP(F1263,'Annual distance covered (GB)'!$A$8:$H$33,MATCH(J1263,'Annual distance covered (GB)'!$A$7:$H$7,0))</f>
        <v>5.0999999999999996</v>
      </c>
      <c r="N1263" s="2">
        <f t="shared" ca="1" si="52"/>
        <v>79037.19923640012</v>
      </c>
      <c r="O1263" s="180">
        <f t="shared" ca="1" si="53"/>
        <v>0.42798801661589397</v>
      </c>
      <c r="P1263" s="180"/>
      <c r="Q1263" s="180"/>
      <c r="R1263" s="180"/>
      <c r="S1263" s="180"/>
      <c r="T1263" s="180"/>
    </row>
    <row r="1264" spans="1:20" x14ac:dyDescent="0.25">
      <c r="A1264" t="s">
        <v>244</v>
      </c>
      <c r="B1264" t="s">
        <v>237</v>
      </c>
      <c r="C1264" t="s">
        <v>238</v>
      </c>
      <c r="D1264" t="s">
        <v>249</v>
      </c>
      <c r="E1264" t="s">
        <v>228</v>
      </c>
      <c r="F1264">
        <v>2005</v>
      </c>
      <c r="G1264">
        <v>2.1090554465863099E-3</v>
      </c>
      <c r="H1264" t="s">
        <v>240</v>
      </c>
      <c r="I1264" t="s">
        <v>241</v>
      </c>
      <c r="J1264" t="s">
        <v>242</v>
      </c>
      <c r="K1264" s="183">
        <f ca="1">VLOOKUP(F1264,
    OFFSET(INDIRECT(ADDRESS(MATCH(J1264,'Vehicle numbers'!$A$5:$A$162,0),1,1,1,$L$6)),4,1,COUNTIF('Vehicle numbers'!$A$5:$A$162,J1264),4),
    MATCH(K$8,'Vehicle numbers'!$B$4:$D$4,0))*1000</f>
        <v>178437</v>
      </c>
      <c r="L1264" s="183">
        <f ca="1">VLOOKUP(F1264,
    OFFSET(INDIRECT(ADDRESS(MATCH(J1264,'Vehicle numbers'!$A$5:$A$162,0),1,1,1,$L$6)),4,1,COUNTIF('Vehicle numbers'!$A$5:$A$162,J1264),4),
    MATCH(L$8,'Vehicle numbers'!$B$4:$D$4,0))*1000</f>
        <v>184671.52389300088</v>
      </c>
      <c r="M1264" s="184">
        <f>VLOOKUP(F1264,'Annual distance covered (GB)'!$A$8:$H$33,MATCH(J1264,'Annual distance covered (GB)'!$A$7:$H$7,0))</f>
        <v>5.0999999999999996</v>
      </c>
      <c r="N1264" s="2">
        <f t="shared" ca="1" si="52"/>
        <v>11131.999892450722</v>
      </c>
      <c r="O1264" s="180">
        <f t="shared" ca="1" si="53"/>
        <v>6.0280002340266758E-2</v>
      </c>
      <c r="P1264" s="180"/>
      <c r="Q1264" s="180"/>
      <c r="R1264" s="180"/>
      <c r="S1264" s="180"/>
      <c r="T1264" s="180"/>
    </row>
    <row r="1265" spans="1:20" x14ac:dyDescent="0.25">
      <c r="A1265" t="s">
        <v>246</v>
      </c>
      <c r="B1265" t="s">
        <v>237</v>
      </c>
      <c r="C1265" t="s">
        <v>238</v>
      </c>
      <c r="D1265" t="s">
        <v>249</v>
      </c>
      <c r="E1265" t="s">
        <v>228</v>
      </c>
      <c r="F1265">
        <v>2005</v>
      </c>
      <c r="G1265">
        <v>1.6872443572690499E-3</v>
      </c>
      <c r="H1265" t="s">
        <v>240</v>
      </c>
      <c r="I1265" t="s">
        <v>241</v>
      </c>
      <c r="J1265" t="s">
        <v>242</v>
      </c>
      <c r="K1265" s="183">
        <f ca="1">VLOOKUP(F1265,
    OFFSET(INDIRECT(ADDRESS(MATCH(J1265,'Vehicle numbers'!$A$5:$A$162,0),1,1,1,$L$6)),4,1,COUNTIF('Vehicle numbers'!$A$5:$A$162,J1265),4),
    MATCH(K$8,'Vehicle numbers'!$B$4:$D$4,0))*1000</f>
        <v>178437</v>
      </c>
      <c r="L1265" s="183">
        <f ca="1">VLOOKUP(F1265,
    OFFSET(INDIRECT(ADDRESS(MATCH(J1265,'Vehicle numbers'!$A$5:$A$162,0),1,1,1,$L$6)),4,1,COUNTIF('Vehicle numbers'!$A$5:$A$162,J1265),4),
    MATCH(L$8,'Vehicle numbers'!$B$4:$D$4,0))*1000</f>
        <v>184671.52389300088</v>
      </c>
      <c r="M1265" s="184">
        <f>VLOOKUP(F1265,'Annual distance covered (GB)'!$A$8:$H$33,MATCH(J1265,'Annual distance covered (GB)'!$A$7:$H$7,0))</f>
        <v>5.0999999999999996</v>
      </c>
      <c r="N1265" s="2">
        <f t="shared" ca="1" si="52"/>
        <v>8905.5999139605883</v>
      </c>
      <c r="O1265" s="180">
        <f t="shared" ca="1" si="53"/>
        <v>4.8224001872213464E-2</v>
      </c>
      <c r="P1265" s="180"/>
      <c r="Q1265" s="180"/>
      <c r="R1265" s="180"/>
      <c r="S1265" s="180"/>
      <c r="T1265" s="180"/>
    </row>
    <row r="1266" spans="1:20" x14ac:dyDescent="0.25">
      <c r="A1266" t="s">
        <v>236</v>
      </c>
      <c r="B1266" t="s">
        <v>237</v>
      </c>
      <c r="C1266" t="s">
        <v>238</v>
      </c>
      <c r="D1266" t="s">
        <v>250</v>
      </c>
      <c r="E1266" t="s">
        <v>229</v>
      </c>
      <c r="F1266">
        <v>2005</v>
      </c>
      <c r="G1266">
        <v>1.3600000000000001E-3</v>
      </c>
      <c r="H1266" t="s">
        <v>240</v>
      </c>
      <c r="I1266" t="s">
        <v>241</v>
      </c>
      <c r="J1266" t="s">
        <v>2</v>
      </c>
      <c r="K1266" s="183">
        <f ca="1">VLOOKUP(F1266,
    OFFSET(INDIRECT(ADDRESS(MATCH(J1266,'Vehicle numbers'!$A$5:$A$162,0),1,1,1,$L$6)),4,1,COUNTIF('Vehicle numbers'!$A$5:$A$162,J1266),4),
    MATCH(K$8,'Vehicle numbers'!$B$4:$D$4,0))*1000</f>
        <v>27520398</v>
      </c>
      <c r="L1266" s="183">
        <f ca="1">VLOOKUP(F1266,
    OFFSET(INDIRECT(ADDRESS(MATCH(J1266,'Vehicle numbers'!$A$5:$A$162,0),1,1,1,$L$6)),4,1,COUNTIF('Vehicle numbers'!$A$5:$A$162,J1266),4),
    MATCH(L$8,'Vehicle numbers'!$B$4:$D$4,0))*1000</f>
        <v>28366168.59223732</v>
      </c>
      <c r="M1266" s="184">
        <f>VLOOKUP(F1266,'Annual distance covered (GB)'!$A$8:$H$33,MATCH(J1266,'Annual distance covered (GB)'!$A$7:$H$7,0))</f>
        <v>392.7</v>
      </c>
      <c r="N1266" s="2">
        <f t="shared" ca="1" si="52"/>
        <v>550485.36697737325</v>
      </c>
      <c r="O1266" s="180">
        <f t="shared" ca="1" si="53"/>
        <v>1.9406405387015113E-2</v>
      </c>
      <c r="P1266" s="180"/>
      <c r="Q1266" s="180"/>
      <c r="R1266" s="180"/>
      <c r="S1266" s="180"/>
      <c r="T1266" s="180"/>
    </row>
    <row r="1267" spans="1:20" x14ac:dyDescent="0.25">
      <c r="A1267" t="s">
        <v>243</v>
      </c>
      <c r="B1267" t="s">
        <v>237</v>
      </c>
      <c r="C1267" t="s">
        <v>238</v>
      </c>
      <c r="D1267" t="s">
        <v>250</v>
      </c>
      <c r="E1267" t="s">
        <v>229</v>
      </c>
      <c r="F1267">
        <v>2005</v>
      </c>
      <c r="G1267">
        <v>5.44E-4</v>
      </c>
      <c r="H1267" t="s">
        <v>240</v>
      </c>
      <c r="I1267" t="s">
        <v>241</v>
      </c>
      <c r="J1267" t="s">
        <v>2</v>
      </c>
      <c r="K1267" s="183">
        <f ca="1">VLOOKUP(F1267,
    OFFSET(INDIRECT(ADDRESS(MATCH(J1267,'Vehicle numbers'!$A$5:$A$162,0),1,1,1,$L$6)),4,1,COUNTIF('Vehicle numbers'!$A$5:$A$162,J1267),4),
    MATCH(K$8,'Vehicle numbers'!$B$4:$D$4,0))*1000</f>
        <v>27520398</v>
      </c>
      <c r="L1267" s="183">
        <f ca="1">VLOOKUP(F1267,
    OFFSET(INDIRECT(ADDRESS(MATCH(J1267,'Vehicle numbers'!$A$5:$A$162,0),1,1,1,$L$6)),4,1,COUNTIF('Vehicle numbers'!$A$5:$A$162,J1267),4),
    MATCH(L$8,'Vehicle numbers'!$B$4:$D$4,0))*1000</f>
        <v>28366168.59223732</v>
      </c>
      <c r="M1267" s="184">
        <f>VLOOKUP(F1267,'Annual distance covered (GB)'!$A$8:$H$33,MATCH(J1267,'Annual distance covered (GB)'!$A$7:$H$7,0))</f>
        <v>392.7</v>
      </c>
      <c r="N1267" s="2">
        <f t="shared" ca="1" si="52"/>
        <v>220194.14679094928</v>
      </c>
      <c r="O1267" s="180">
        <f t="shared" ca="1" si="53"/>
        <v>7.7625621548060445E-3</v>
      </c>
      <c r="P1267" s="180"/>
      <c r="Q1267" s="180"/>
      <c r="R1267" s="180"/>
      <c r="S1267" s="180"/>
      <c r="T1267" s="180"/>
    </row>
    <row r="1268" spans="1:20" x14ac:dyDescent="0.25">
      <c r="A1268" t="s">
        <v>244</v>
      </c>
      <c r="B1268" t="s">
        <v>237</v>
      </c>
      <c r="C1268" t="s">
        <v>238</v>
      </c>
      <c r="D1268" t="s">
        <v>250</v>
      </c>
      <c r="E1268" t="s">
        <v>229</v>
      </c>
      <c r="F1268">
        <v>2005</v>
      </c>
      <c r="G1268">
        <v>1.36E-4</v>
      </c>
      <c r="H1268" t="s">
        <v>240</v>
      </c>
      <c r="I1268" t="s">
        <v>241</v>
      </c>
      <c r="J1268" t="s">
        <v>2</v>
      </c>
      <c r="K1268" s="183">
        <f ca="1">VLOOKUP(F1268,
    OFFSET(INDIRECT(ADDRESS(MATCH(J1268,'Vehicle numbers'!$A$5:$A$162,0),1,1,1,$L$6)),4,1,COUNTIF('Vehicle numbers'!$A$5:$A$162,J1268),4),
    MATCH(K$8,'Vehicle numbers'!$B$4:$D$4,0))*1000</f>
        <v>27520398</v>
      </c>
      <c r="L1268" s="183">
        <f ca="1">VLOOKUP(F1268,
    OFFSET(INDIRECT(ADDRESS(MATCH(J1268,'Vehicle numbers'!$A$5:$A$162,0),1,1,1,$L$6)),4,1,COUNTIF('Vehicle numbers'!$A$5:$A$162,J1268),4),
    MATCH(L$8,'Vehicle numbers'!$B$4:$D$4,0))*1000</f>
        <v>28366168.59223732</v>
      </c>
      <c r="M1268" s="184">
        <f>VLOOKUP(F1268,'Annual distance covered (GB)'!$A$8:$H$33,MATCH(J1268,'Annual distance covered (GB)'!$A$7:$H$7,0))</f>
        <v>392.7</v>
      </c>
      <c r="N1268" s="2">
        <f t="shared" ca="1" si="52"/>
        <v>55048.53669773732</v>
      </c>
      <c r="O1268" s="180">
        <f t="shared" ca="1" si="53"/>
        <v>1.9406405387015111E-3</v>
      </c>
      <c r="P1268" s="180"/>
      <c r="Q1268" s="180"/>
      <c r="R1268" s="180"/>
      <c r="S1268" s="180"/>
      <c r="T1268" s="180"/>
    </row>
    <row r="1269" spans="1:20" x14ac:dyDescent="0.25">
      <c r="A1269" t="s">
        <v>246</v>
      </c>
      <c r="B1269" t="s">
        <v>237</v>
      </c>
      <c r="C1269" t="s">
        <v>238</v>
      </c>
      <c r="D1269" t="s">
        <v>250</v>
      </c>
      <c r="E1269" t="s">
        <v>229</v>
      </c>
      <c r="F1269">
        <v>2005</v>
      </c>
      <c r="G1269">
        <v>1.088E-4</v>
      </c>
      <c r="H1269" t="s">
        <v>240</v>
      </c>
      <c r="I1269" t="s">
        <v>241</v>
      </c>
      <c r="J1269" t="s">
        <v>2</v>
      </c>
      <c r="K1269" s="183">
        <f ca="1">VLOOKUP(F1269,
    OFFSET(INDIRECT(ADDRESS(MATCH(J1269,'Vehicle numbers'!$A$5:$A$162,0),1,1,1,$L$6)),4,1,COUNTIF('Vehicle numbers'!$A$5:$A$162,J1269),4),
    MATCH(K$8,'Vehicle numbers'!$B$4:$D$4,0))*1000</f>
        <v>27520398</v>
      </c>
      <c r="L1269" s="183">
        <f ca="1">VLOOKUP(F1269,
    OFFSET(INDIRECT(ADDRESS(MATCH(J1269,'Vehicle numbers'!$A$5:$A$162,0),1,1,1,$L$6)),4,1,COUNTIF('Vehicle numbers'!$A$5:$A$162,J1269),4),
    MATCH(L$8,'Vehicle numbers'!$B$4:$D$4,0))*1000</f>
        <v>28366168.59223732</v>
      </c>
      <c r="M1269" s="184">
        <f>VLOOKUP(F1269,'Annual distance covered (GB)'!$A$8:$H$33,MATCH(J1269,'Annual distance covered (GB)'!$A$7:$H$7,0))</f>
        <v>392.7</v>
      </c>
      <c r="N1269" s="2">
        <f t="shared" ca="1" si="52"/>
        <v>44038.829358189862</v>
      </c>
      <c r="O1269" s="180">
        <f t="shared" ca="1" si="53"/>
        <v>1.5525124309612092E-3</v>
      </c>
      <c r="P1269" s="180"/>
      <c r="Q1269" s="180"/>
      <c r="R1269" s="180"/>
      <c r="S1269" s="180"/>
      <c r="T1269" s="180"/>
    </row>
    <row r="1270" spans="1:20" x14ac:dyDescent="0.25">
      <c r="A1270" t="s">
        <v>236</v>
      </c>
      <c r="B1270" t="s">
        <v>237</v>
      </c>
      <c r="C1270" t="s">
        <v>238</v>
      </c>
      <c r="D1270" t="s">
        <v>250</v>
      </c>
      <c r="E1270" t="s">
        <v>228</v>
      </c>
      <c r="F1270">
        <v>2005</v>
      </c>
      <c r="G1270">
        <v>5.7910000000000001E-3</v>
      </c>
      <c r="H1270" t="s">
        <v>240</v>
      </c>
      <c r="I1270" t="s">
        <v>241</v>
      </c>
      <c r="J1270" t="s">
        <v>2</v>
      </c>
      <c r="K1270" s="183">
        <f ca="1">VLOOKUP(F1270,
    OFFSET(INDIRECT(ADDRESS(MATCH(J1270,'Vehicle numbers'!$A$5:$A$162,0),1,1,1,$L$6)),4,1,COUNTIF('Vehicle numbers'!$A$5:$A$162,J1270),4),
    MATCH(K$8,'Vehicle numbers'!$B$4:$D$4,0))*1000</f>
        <v>27520398</v>
      </c>
      <c r="L1270" s="183">
        <f ca="1">VLOOKUP(F1270,
    OFFSET(INDIRECT(ADDRESS(MATCH(J1270,'Vehicle numbers'!$A$5:$A$162,0),1,1,1,$L$6)),4,1,COUNTIF('Vehicle numbers'!$A$5:$A$162,J1270),4),
    MATCH(L$8,'Vehicle numbers'!$B$4:$D$4,0))*1000</f>
        <v>28366168.59223732</v>
      </c>
      <c r="M1270" s="184">
        <f>VLOOKUP(F1270,'Annual distance covered (GB)'!$A$8:$H$33,MATCH(J1270,'Annual distance covered (GB)'!$A$7:$H$7,0))</f>
        <v>392.7</v>
      </c>
      <c r="N1270" s="2">
        <f t="shared" ca="1" si="52"/>
        <v>2344015.2648279178</v>
      </c>
      <c r="O1270" s="180">
        <f t="shared" ca="1" si="53"/>
        <v>8.2634186467797438E-2</v>
      </c>
      <c r="P1270" s="180"/>
      <c r="Q1270" s="180"/>
      <c r="R1270" s="180"/>
      <c r="S1270" s="180"/>
      <c r="T1270" s="180"/>
    </row>
    <row r="1271" spans="1:20" x14ac:dyDescent="0.25">
      <c r="A1271" t="s">
        <v>243</v>
      </c>
      <c r="B1271" t="s">
        <v>237</v>
      </c>
      <c r="C1271" t="s">
        <v>238</v>
      </c>
      <c r="D1271" t="s">
        <v>250</v>
      </c>
      <c r="E1271" t="s">
        <v>228</v>
      </c>
      <c r="F1271">
        <v>2005</v>
      </c>
      <c r="G1271">
        <v>4.0537000000000004E-3</v>
      </c>
      <c r="H1271" t="s">
        <v>240</v>
      </c>
      <c r="I1271" t="s">
        <v>241</v>
      </c>
      <c r="J1271" t="s">
        <v>2</v>
      </c>
      <c r="K1271" s="183">
        <f ca="1">VLOOKUP(F1271,
    OFFSET(INDIRECT(ADDRESS(MATCH(J1271,'Vehicle numbers'!$A$5:$A$162,0),1,1,1,$L$6)),4,1,COUNTIF('Vehicle numbers'!$A$5:$A$162,J1271),4),
    MATCH(K$8,'Vehicle numbers'!$B$4:$D$4,0))*1000</f>
        <v>27520398</v>
      </c>
      <c r="L1271" s="183">
        <f ca="1">VLOOKUP(F1271,
    OFFSET(INDIRECT(ADDRESS(MATCH(J1271,'Vehicle numbers'!$A$5:$A$162,0),1,1,1,$L$6)),4,1,COUNTIF('Vehicle numbers'!$A$5:$A$162,J1271),4),
    MATCH(L$8,'Vehicle numbers'!$B$4:$D$4,0))*1000</f>
        <v>28366168.59223732</v>
      </c>
      <c r="M1271" s="184">
        <f>VLOOKUP(F1271,'Annual distance covered (GB)'!$A$8:$H$33,MATCH(J1271,'Annual distance covered (GB)'!$A$7:$H$7,0))</f>
        <v>392.7</v>
      </c>
      <c r="N1271" s="2">
        <f t="shared" ca="1" si="52"/>
        <v>1640810.6853795426</v>
      </c>
      <c r="O1271" s="180">
        <f t="shared" ca="1" si="53"/>
        <v>5.7843930527458211E-2</v>
      </c>
      <c r="P1271" s="180"/>
      <c r="Q1271" s="180"/>
      <c r="R1271" s="180"/>
      <c r="S1271" s="180"/>
      <c r="T1271" s="180"/>
    </row>
    <row r="1272" spans="1:20" x14ac:dyDescent="0.25">
      <c r="A1272" t="s">
        <v>244</v>
      </c>
      <c r="B1272" t="s">
        <v>237</v>
      </c>
      <c r="C1272" t="s">
        <v>238</v>
      </c>
      <c r="D1272" t="s">
        <v>250</v>
      </c>
      <c r="E1272" t="s">
        <v>228</v>
      </c>
      <c r="F1272">
        <v>2005</v>
      </c>
      <c r="G1272">
        <v>5.7094366197182997E-4</v>
      </c>
      <c r="H1272" t="s">
        <v>240</v>
      </c>
      <c r="I1272" t="s">
        <v>241</v>
      </c>
      <c r="J1272" t="s">
        <v>2</v>
      </c>
      <c r="K1272" s="183">
        <f ca="1">VLOOKUP(F1272,
    OFFSET(INDIRECT(ADDRESS(MATCH(J1272,'Vehicle numbers'!$A$5:$A$162,0),1,1,1,$L$6)),4,1,COUNTIF('Vehicle numbers'!$A$5:$A$162,J1272),4),
    MATCH(K$8,'Vehicle numbers'!$B$4:$D$4,0))*1000</f>
        <v>27520398</v>
      </c>
      <c r="L1272" s="183">
        <f ca="1">VLOOKUP(F1272,
    OFFSET(INDIRECT(ADDRESS(MATCH(J1272,'Vehicle numbers'!$A$5:$A$162,0),1,1,1,$L$6)),4,1,COUNTIF('Vehicle numbers'!$A$5:$A$162,J1272),4),
    MATCH(L$8,'Vehicle numbers'!$B$4:$D$4,0))*1000</f>
        <v>28366168.59223732</v>
      </c>
      <c r="M1272" s="184">
        <f>VLOOKUP(F1272,'Annual distance covered (GB)'!$A$8:$H$33,MATCH(J1272,'Annual distance covered (GB)'!$A$7:$H$7,0))</f>
        <v>392.7</v>
      </c>
      <c r="N1272" s="2">
        <f t="shared" ca="1" si="52"/>
        <v>231100.09653232951</v>
      </c>
      <c r="O1272" s="180">
        <f t="shared" ca="1" si="53"/>
        <v>8.1470324686560708E-3</v>
      </c>
      <c r="P1272" s="180"/>
      <c r="Q1272" s="180"/>
      <c r="R1272" s="180"/>
      <c r="S1272" s="180"/>
      <c r="T1272" s="180"/>
    </row>
    <row r="1273" spans="1:20" x14ac:dyDescent="0.25">
      <c r="A1273" t="s">
        <v>246</v>
      </c>
      <c r="B1273" t="s">
        <v>237</v>
      </c>
      <c r="C1273" t="s">
        <v>238</v>
      </c>
      <c r="D1273" t="s">
        <v>250</v>
      </c>
      <c r="E1273" t="s">
        <v>228</v>
      </c>
      <c r="F1273">
        <v>2005</v>
      </c>
      <c r="G1273">
        <v>4.5675492957746402E-4</v>
      </c>
      <c r="H1273" t="s">
        <v>240</v>
      </c>
      <c r="I1273" t="s">
        <v>241</v>
      </c>
      <c r="J1273" t="s">
        <v>2</v>
      </c>
      <c r="K1273" s="183">
        <f ca="1">VLOOKUP(F1273,
    OFFSET(INDIRECT(ADDRESS(MATCH(J1273,'Vehicle numbers'!$A$5:$A$162,0),1,1,1,$L$6)),4,1,COUNTIF('Vehicle numbers'!$A$5:$A$162,J1273),4),
    MATCH(K$8,'Vehicle numbers'!$B$4:$D$4,0))*1000</f>
        <v>27520398</v>
      </c>
      <c r="L1273" s="183">
        <f ca="1">VLOOKUP(F1273,
    OFFSET(INDIRECT(ADDRESS(MATCH(J1273,'Vehicle numbers'!$A$5:$A$162,0),1,1,1,$L$6)),4,1,COUNTIF('Vehicle numbers'!$A$5:$A$162,J1273),4),
    MATCH(L$8,'Vehicle numbers'!$B$4:$D$4,0))*1000</f>
        <v>28366168.59223732</v>
      </c>
      <c r="M1273" s="184">
        <f>VLOOKUP(F1273,'Annual distance covered (GB)'!$A$8:$H$33,MATCH(J1273,'Annual distance covered (GB)'!$A$7:$H$7,0))</f>
        <v>392.7</v>
      </c>
      <c r="N1273" s="2">
        <f t="shared" ca="1" si="52"/>
        <v>184880.07722586364</v>
      </c>
      <c r="O1273" s="180">
        <f t="shared" ca="1" si="53"/>
        <v>6.5176259749248578E-3</v>
      </c>
      <c r="P1273" s="180"/>
      <c r="Q1273" s="180"/>
      <c r="R1273" s="180"/>
      <c r="S1273" s="180"/>
      <c r="T1273" s="180"/>
    </row>
    <row r="1274" spans="1:20" x14ac:dyDescent="0.25">
      <c r="A1274" t="s">
        <v>236</v>
      </c>
      <c r="B1274" t="s">
        <v>237</v>
      </c>
      <c r="C1274" t="s">
        <v>238</v>
      </c>
      <c r="D1274" t="s">
        <v>255</v>
      </c>
      <c r="E1274" t="s">
        <v>229</v>
      </c>
      <c r="F1274">
        <v>2005</v>
      </c>
      <c r="G1274">
        <v>5.5269999999999998E-3</v>
      </c>
      <c r="H1274" t="s">
        <v>240</v>
      </c>
      <c r="I1274" t="s">
        <v>241</v>
      </c>
      <c r="J1274" t="s">
        <v>2</v>
      </c>
      <c r="K1274" s="183">
        <f ca="1">VLOOKUP(F1274,
    OFFSET(INDIRECT(ADDRESS(MATCH(J1274,'Vehicle numbers'!$A$5:$A$162,0),1,1,1,$L$6)),4,1,COUNTIF('Vehicle numbers'!$A$5:$A$162,J1274),4),
    MATCH(K$8,'Vehicle numbers'!$B$4:$D$4,0))*1000</f>
        <v>27520398</v>
      </c>
      <c r="L1274" s="183">
        <f ca="1">VLOOKUP(F1274,
    OFFSET(INDIRECT(ADDRESS(MATCH(J1274,'Vehicle numbers'!$A$5:$A$162,0),1,1,1,$L$6)),4,1,COUNTIF('Vehicle numbers'!$A$5:$A$162,J1274),4),
    MATCH(L$8,'Vehicle numbers'!$B$4:$D$4,0))*1000</f>
        <v>28366168.59223732</v>
      </c>
      <c r="M1274" s="184">
        <f>VLOOKUP(F1274,'Annual distance covered (GB)'!$A$8:$H$33,MATCH(J1274,'Annual distance covered (GB)'!$A$7:$H$7,0))</f>
        <v>392.7</v>
      </c>
      <c r="N1274" s="2">
        <f t="shared" ca="1" si="52"/>
        <v>2237156.3406499573</v>
      </c>
      <c r="O1274" s="180">
        <f t="shared" ca="1" si="53"/>
        <v>7.8867060716200393E-2</v>
      </c>
      <c r="P1274" s="180"/>
      <c r="Q1274" s="180"/>
      <c r="R1274" s="180"/>
      <c r="S1274" s="180"/>
      <c r="T1274" s="180"/>
    </row>
    <row r="1275" spans="1:20" x14ac:dyDescent="0.25">
      <c r="A1275" t="s">
        <v>243</v>
      </c>
      <c r="B1275" t="s">
        <v>237</v>
      </c>
      <c r="C1275" t="s">
        <v>238</v>
      </c>
      <c r="D1275" t="s">
        <v>255</v>
      </c>
      <c r="E1275" t="s">
        <v>229</v>
      </c>
      <c r="F1275">
        <v>2005</v>
      </c>
      <c r="G1275">
        <v>2.2108000000000002E-3</v>
      </c>
      <c r="H1275" t="s">
        <v>240</v>
      </c>
      <c r="I1275" t="s">
        <v>241</v>
      </c>
      <c r="J1275" t="s">
        <v>2</v>
      </c>
      <c r="K1275" s="183">
        <f ca="1">VLOOKUP(F1275,
    OFFSET(INDIRECT(ADDRESS(MATCH(J1275,'Vehicle numbers'!$A$5:$A$162,0),1,1,1,$L$6)),4,1,COUNTIF('Vehicle numbers'!$A$5:$A$162,J1275),4),
    MATCH(K$8,'Vehicle numbers'!$B$4:$D$4,0))*1000</f>
        <v>27520398</v>
      </c>
      <c r="L1275" s="183">
        <f ca="1">VLOOKUP(F1275,
    OFFSET(INDIRECT(ADDRESS(MATCH(J1275,'Vehicle numbers'!$A$5:$A$162,0),1,1,1,$L$6)),4,1,COUNTIF('Vehicle numbers'!$A$5:$A$162,J1275),4),
    MATCH(L$8,'Vehicle numbers'!$B$4:$D$4,0))*1000</f>
        <v>28366168.59223732</v>
      </c>
      <c r="M1275" s="184">
        <f>VLOOKUP(F1275,'Annual distance covered (GB)'!$A$8:$H$33,MATCH(J1275,'Annual distance covered (GB)'!$A$7:$H$7,0))</f>
        <v>392.7</v>
      </c>
      <c r="N1275" s="2">
        <f t="shared" ca="1" si="52"/>
        <v>894862.53625998297</v>
      </c>
      <c r="O1275" s="180">
        <f t="shared" ca="1" si="53"/>
        <v>3.154682428648016E-2</v>
      </c>
      <c r="P1275" s="180"/>
      <c r="Q1275" s="180"/>
      <c r="R1275" s="180"/>
      <c r="S1275" s="180"/>
      <c r="T1275" s="180"/>
    </row>
    <row r="1276" spans="1:20" x14ac:dyDescent="0.25">
      <c r="A1276" t="s">
        <v>244</v>
      </c>
      <c r="B1276" t="s">
        <v>237</v>
      </c>
      <c r="C1276" t="s">
        <v>238</v>
      </c>
      <c r="D1276" t="s">
        <v>255</v>
      </c>
      <c r="E1276" t="s">
        <v>229</v>
      </c>
      <c r="F1276">
        <v>2005</v>
      </c>
      <c r="G1276">
        <v>5.5270000000000004E-4</v>
      </c>
      <c r="H1276" t="s">
        <v>240</v>
      </c>
      <c r="I1276" t="s">
        <v>241</v>
      </c>
      <c r="J1276" t="s">
        <v>2</v>
      </c>
      <c r="K1276" s="183">
        <f ca="1">VLOOKUP(F1276,
    OFFSET(INDIRECT(ADDRESS(MATCH(J1276,'Vehicle numbers'!$A$5:$A$162,0),1,1,1,$L$6)),4,1,COUNTIF('Vehicle numbers'!$A$5:$A$162,J1276),4),
    MATCH(K$8,'Vehicle numbers'!$B$4:$D$4,0))*1000</f>
        <v>27520398</v>
      </c>
      <c r="L1276" s="183">
        <f ca="1">VLOOKUP(F1276,
    OFFSET(INDIRECT(ADDRESS(MATCH(J1276,'Vehicle numbers'!$A$5:$A$162,0),1,1,1,$L$6)),4,1,COUNTIF('Vehicle numbers'!$A$5:$A$162,J1276),4),
    MATCH(L$8,'Vehicle numbers'!$B$4:$D$4,0))*1000</f>
        <v>28366168.59223732</v>
      </c>
      <c r="M1276" s="184">
        <f>VLOOKUP(F1276,'Annual distance covered (GB)'!$A$8:$H$33,MATCH(J1276,'Annual distance covered (GB)'!$A$7:$H$7,0))</f>
        <v>392.7</v>
      </c>
      <c r="N1276" s="2">
        <f t="shared" ca="1" si="52"/>
        <v>223715.63406499574</v>
      </c>
      <c r="O1276" s="180">
        <f t="shared" ca="1" si="53"/>
        <v>7.88670607162004E-3</v>
      </c>
      <c r="P1276" s="180"/>
      <c r="Q1276" s="180"/>
      <c r="R1276" s="180"/>
      <c r="S1276" s="180"/>
      <c r="T1276" s="180"/>
    </row>
    <row r="1277" spans="1:20" x14ac:dyDescent="0.25">
      <c r="A1277" t="s">
        <v>246</v>
      </c>
      <c r="B1277" t="s">
        <v>237</v>
      </c>
      <c r="C1277" t="s">
        <v>238</v>
      </c>
      <c r="D1277" t="s">
        <v>255</v>
      </c>
      <c r="E1277" t="s">
        <v>229</v>
      </c>
      <c r="F1277">
        <v>2005</v>
      </c>
      <c r="G1277">
        <v>4.4215999999999998E-4</v>
      </c>
      <c r="H1277" t="s">
        <v>240</v>
      </c>
      <c r="I1277" t="s">
        <v>241</v>
      </c>
      <c r="J1277" t="s">
        <v>2</v>
      </c>
      <c r="K1277" s="183">
        <f ca="1">VLOOKUP(F1277,
    OFFSET(INDIRECT(ADDRESS(MATCH(J1277,'Vehicle numbers'!$A$5:$A$162,0),1,1,1,$L$6)),4,1,COUNTIF('Vehicle numbers'!$A$5:$A$162,J1277),4),
    MATCH(K$8,'Vehicle numbers'!$B$4:$D$4,0))*1000</f>
        <v>27520398</v>
      </c>
      <c r="L1277" s="183">
        <f ca="1">VLOOKUP(F1277,
    OFFSET(INDIRECT(ADDRESS(MATCH(J1277,'Vehicle numbers'!$A$5:$A$162,0),1,1,1,$L$6)),4,1,COUNTIF('Vehicle numbers'!$A$5:$A$162,J1277),4),
    MATCH(L$8,'Vehicle numbers'!$B$4:$D$4,0))*1000</f>
        <v>28366168.59223732</v>
      </c>
      <c r="M1277" s="184">
        <f>VLOOKUP(F1277,'Annual distance covered (GB)'!$A$8:$H$33,MATCH(J1277,'Annual distance covered (GB)'!$A$7:$H$7,0))</f>
        <v>392.7</v>
      </c>
      <c r="N1277" s="2">
        <f t="shared" ca="1" si="52"/>
        <v>178972.50725199658</v>
      </c>
      <c r="O1277" s="180">
        <f t="shared" ca="1" si="53"/>
        <v>6.3093648572960315E-3</v>
      </c>
      <c r="P1277" s="180"/>
      <c r="Q1277" s="180"/>
      <c r="R1277" s="180"/>
      <c r="S1277" s="180"/>
      <c r="T1277" s="180"/>
    </row>
    <row r="1278" spans="1:20" x14ac:dyDescent="0.25">
      <c r="A1278" t="s">
        <v>236</v>
      </c>
      <c r="B1278" t="s">
        <v>237</v>
      </c>
      <c r="C1278" t="s">
        <v>238</v>
      </c>
      <c r="D1278" t="s">
        <v>255</v>
      </c>
      <c r="E1278" t="s">
        <v>228</v>
      </c>
      <c r="F1278">
        <v>2005</v>
      </c>
      <c r="G1278">
        <v>6.7999999999999996E-3</v>
      </c>
      <c r="H1278" t="s">
        <v>240</v>
      </c>
      <c r="I1278" t="s">
        <v>241</v>
      </c>
      <c r="J1278" t="s">
        <v>2</v>
      </c>
      <c r="K1278" s="183">
        <f ca="1">VLOOKUP(F1278,
    OFFSET(INDIRECT(ADDRESS(MATCH(J1278,'Vehicle numbers'!$A$5:$A$162,0),1,1,1,$L$6)),4,1,COUNTIF('Vehicle numbers'!$A$5:$A$162,J1278),4),
    MATCH(K$8,'Vehicle numbers'!$B$4:$D$4,0))*1000</f>
        <v>27520398</v>
      </c>
      <c r="L1278" s="183">
        <f ca="1">VLOOKUP(F1278,
    OFFSET(INDIRECT(ADDRESS(MATCH(J1278,'Vehicle numbers'!$A$5:$A$162,0),1,1,1,$L$6)),4,1,COUNTIF('Vehicle numbers'!$A$5:$A$162,J1278),4),
    MATCH(L$8,'Vehicle numbers'!$B$4:$D$4,0))*1000</f>
        <v>28366168.59223732</v>
      </c>
      <c r="M1278" s="184">
        <f>VLOOKUP(F1278,'Annual distance covered (GB)'!$A$8:$H$33,MATCH(J1278,'Annual distance covered (GB)'!$A$7:$H$7,0))</f>
        <v>392.7</v>
      </c>
      <c r="N1278" s="2">
        <f t="shared" ca="1" si="52"/>
        <v>2752426.8348868657</v>
      </c>
      <c r="O1278" s="180">
        <f t="shared" ca="1" si="53"/>
        <v>9.7032026935075552E-2</v>
      </c>
      <c r="P1278" s="180"/>
      <c r="Q1278" s="180"/>
      <c r="R1278" s="180"/>
      <c r="S1278" s="180"/>
      <c r="T1278" s="180"/>
    </row>
    <row r="1279" spans="1:20" x14ac:dyDescent="0.25">
      <c r="A1279" t="s">
        <v>243</v>
      </c>
      <c r="B1279" t="s">
        <v>237</v>
      </c>
      <c r="C1279" t="s">
        <v>238</v>
      </c>
      <c r="D1279" t="s">
        <v>255</v>
      </c>
      <c r="E1279" t="s">
        <v>228</v>
      </c>
      <c r="F1279">
        <v>2005</v>
      </c>
      <c r="G1279">
        <v>4.7600000000000003E-3</v>
      </c>
      <c r="H1279" t="s">
        <v>240</v>
      </c>
      <c r="I1279" t="s">
        <v>241</v>
      </c>
      <c r="J1279" t="s">
        <v>2</v>
      </c>
      <c r="K1279" s="183">
        <f ca="1">VLOOKUP(F1279,
    OFFSET(INDIRECT(ADDRESS(MATCH(J1279,'Vehicle numbers'!$A$5:$A$162,0),1,1,1,$L$6)),4,1,COUNTIF('Vehicle numbers'!$A$5:$A$162,J1279),4),
    MATCH(K$8,'Vehicle numbers'!$B$4:$D$4,0))*1000</f>
        <v>27520398</v>
      </c>
      <c r="L1279" s="183">
        <f ca="1">VLOOKUP(F1279,
    OFFSET(INDIRECT(ADDRESS(MATCH(J1279,'Vehicle numbers'!$A$5:$A$162,0),1,1,1,$L$6)),4,1,COUNTIF('Vehicle numbers'!$A$5:$A$162,J1279),4),
    MATCH(L$8,'Vehicle numbers'!$B$4:$D$4,0))*1000</f>
        <v>28366168.59223732</v>
      </c>
      <c r="M1279" s="184">
        <f>VLOOKUP(F1279,'Annual distance covered (GB)'!$A$8:$H$33,MATCH(J1279,'Annual distance covered (GB)'!$A$7:$H$7,0))</f>
        <v>392.7</v>
      </c>
      <c r="N1279" s="2">
        <f t="shared" ca="1" si="52"/>
        <v>1926698.7844208064</v>
      </c>
      <c r="O1279" s="180">
        <f t="shared" ca="1" si="53"/>
        <v>6.7922418854552899E-2</v>
      </c>
      <c r="P1279" s="180"/>
      <c r="Q1279" s="180"/>
      <c r="R1279" s="180"/>
      <c r="S1279" s="180"/>
      <c r="T1279" s="180"/>
    </row>
    <row r="1280" spans="1:20" x14ac:dyDescent="0.25">
      <c r="A1280" t="s">
        <v>244</v>
      </c>
      <c r="B1280" t="s">
        <v>237</v>
      </c>
      <c r="C1280" t="s">
        <v>238</v>
      </c>
      <c r="D1280" t="s">
        <v>255</v>
      </c>
      <c r="E1280" t="s">
        <v>228</v>
      </c>
      <c r="F1280">
        <v>2005</v>
      </c>
      <c r="G1280">
        <v>6.7042253521126696E-4</v>
      </c>
      <c r="H1280" t="s">
        <v>240</v>
      </c>
      <c r="I1280" t="s">
        <v>241</v>
      </c>
      <c r="J1280" t="s">
        <v>2</v>
      </c>
      <c r="K1280" s="183">
        <f ca="1">VLOOKUP(F1280,
    OFFSET(INDIRECT(ADDRESS(MATCH(J1280,'Vehicle numbers'!$A$5:$A$162,0),1,1,1,$L$6)),4,1,COUNTIF('Vehicle numbers'!$A$5:$A$162,J1280),4),
    MATCH(K$8,'Vehicle numbers'!$B$4:$D$4,0))*1000</f>
        <v>27520398</v>
      </c>
      <c r="L1280" s="183">
        <f ca="1">VLOOKUP(F1280,
    OFFSET(INDIRECT(ADDRESS(MATCH(J1280,'Vehicle numbers'!$A$5:$A$162,0),1,1,1,$L$6)),4,1,COUNTIF('Vehicle numbers'!$A$5:$A$162,J1280),4),
    MATCH(L$8,'Vehicle numbers'!$B$4:$D$4,0))*1000</f>
        <v>28366168.59223732</v>
      </c>
      <c r="M1280" s="184">
        <f>VLOOKUP(F1280,'Annual distance covered (GB)'!$A$8:$H$33,MATCH(J1280,'Annual distance covered (GB)'!$A$7:$H$7,0))</f>
        <v>392.7</v>
      </c>
      <c r="N1280" s="2">
        <f t="shared" ca="1" si="52"/>
        <v>271366.02597476117</v>
      </c>
      <c r="O1280" s="180">
        <f t="shared" ca="1" si="53"/>
        <v>9.5665378668384256E-3</v>
      </c>
      <c r="P1280" s="180"/>
      <c r="Q1280" s="180"/>
      <c r="R1280" s="180"/>
      <c r="S1280" s="180"/>
      <c r="T1280" s="180"/>
    </row>
    <row r="1281" spans="1:20" x14ac:dyDescent="0.25">
      <c r="A1281" t="s">
        <v>246</v>
      </c>
      <c r="B1281" t="s">
        <v>237</v>
      </c>
      <c r="C1281" t="s">
        <v>238</v>
      </c>
      <c r="D1281" t="s">
        <v>255</v>
      </c>
      <c r="E1281" t="s">
        <v>228</v>
      </c>
      <c r="F1281">
        <v>2005</v>
      </c>
      <c r="G1281">
        <v>5.3633802816901305E-4</v>
      </c>
      <c r="H1281" t="s">
        <v>240</v>
      </c>
      <c r="I1281" t="s">
        <v>241</v>
      </c>
      <c r="J1281" t="s">
        <v>2</v>
      </c>
      <c r="K1281" s="183">
        <f ca="1">VLOOKUP(F1281,
    OFFSET(INDIRECT(ADDRESS(MATCH(J1281,'Vehicle numbers'!$A$5:$A$162,0),1,1,1,$L$6)),4,1,COUNTIF('Vehicle numbers'!$A$5:$A$162,J1281),4),
    MATCH(K$8,'Vehicle numbers'!$B$4:$D$4,0))*1000</f>
        <v>27520398</v>
      </c>
      <c r="L1281" s="183">
        <f ca="1">VLOOKUP(F1281,
    OFFSET(INDIRECT(ADDRESS(MATCH(J1281,'Vehicle numbers'!$A$5:$A$162,0),1,1,1,$L$6)),4,1,COUNTIF('Vehicle numbers'!$A$5:$A$162,J1281),4),
    MATCH(L$8,'Vehicle numbers'!$B$4:$D$4,0))*1000</f>
        <v>28366168.59223732</v>
      </c>
      <c r="M1281" s="184">
        <f>VLOOKUP(F1281,'Annual distance covered (GB)'!$A$8:$H$33,MATCH(J1281,'Annual distance covered (GB)'!$A$7:$H$7,0))</f>
        <v>392.7</v>
      </c>
      <c r="N1281" s="2">
        <f t="shared" ca="1" si="52"/>
        <v>217092.82077980874</v>
      </c>
      <c r="O1281" s="180">
        <f t="shared" ca="1" si="53"/>
        <v>7.6532302934707343E-3</v>
      </c>
      <c r="P1281" s="180"/>
      <c r="Q1281" s="180"/>
      <c r="R1281" s="180"/>
      <c r="S1281" s="180"/>
      <c r="T1281" s="180"/>
    </row>
    <row r="1282" spans="1:20" x14ac:dyDescent="0.25">
      <c r="A1282" t="s">
        <v>236</v>
      </c>
      <c r="B1282" t="s">
        <v>237</v>
      </c>
      <c r="C1282" t="s">
        <v>238</v>
      </c>
      <c r="D1282" t="s">
        <v>256</v>
      </c>
      <c r="E1282" t="s">
        <v>229</v>
      </c>
      <c r="F1282">
        <v>2005</v>
      </c>
      <c r="G1282">
        <v>1.17237423272525E-2</v>
      </c>
      <c r="H1282" t="s">
        <v>240</v>
      </c>
      <c r="I1282" t="s">
        <v>241</v>
      </c>
      <c r="J1282" t="s">
        <v>2</v>
      </c>
      <c r="K1282" s="183">
        <f ca="1">VLOOKUP(F1282,
    OFFSET(INDIRECT(ADDRESS(MATCH(J1282,'Vehicle numbers'!$A$5:$A$162,0),1,1,1,$L$6)),4,1,COUNTIF('Vehicle numbers'!$A$5:$A$162,J1282),4),
    MATCH(K$8,'Vehicle numbers'!$B$4:$D$4,0))*1000</f>
        <v>27520398</v>
      </c>
      <c r="L1282" s="183">
        <f ca="1">VLOOKUP(F1282,
    OFFSET(INDIRECT(ADDRESS(MATCH(J1282,'Vehicle numbers'!$A$5:$A$162,0),1,1,1,$L$6)),4,1,COUNTIF('Vehicle numbers'!$A$5:$A$162,J1282),4),
    MATCH(L$8,'Vehicle numbers'!$B$4:$D$4,0))*1000</f>
        <v>28366168.59223732</v>
      </c>
      <c r="M1282" s="184">
        <f>VLOOKUP(F1282,'Annual distance covered (GB)'!$A$8:$H$33,MATCH(J1282,'Annual distance covered (GB)'!$A$7:$H$7,0))</f>
        <v>392.7</v>
      </c>
      <c r="N1282" s="2">
        <f t="shared" ca="1" si="52"/>
        <v>4745403.3804159975</v>
      </c>
      <c r="O1282" s="180">
        <f t="shared" ca="1" si="53"/>
        <v>0.16729095312909562</v>
      </c>
      <c r="P1282" s="180"/>
      <c r="Q1282" s="180"/>
      <c r="R1282" s="180"/>
      <c r="S1282" s="180"/>
      <c r="T1282" s="180"/>
    </row>
    <row r="1283" spans="1:20" x14ac:dyDescent="0.25">
      <c r="A1283" t="s">
        <v>243</v>
      </c>
      <c r="B1283" t="s">
        <v>237</v>
      </c>
      <c r="C1283" t="s">
        <v>238</v>
      </c>
      <c r="D1283" t="s">
        <v>256</v>
      </c>
      <c r="E1283" t="s">
        <v>229</v>
      </c>
      <c r="F1283">
        <v>2005</v>
      </c>
      <c r="G1283">
        <v>4.689496930901E-3</v>
      </c>
      <c r="H1283" t="s">
        <v>240</v>
      </c>
      <c r="I1283" t="s">
        <v>241</v>
      </c>
      <c r="J1283" t="s">
        <v>2</v>
      </c>
      <c r="K1283" s="183">
        <f ca="1">VLOOKUP(F1283,
    OFFSET(INDIRECT(ADDRESS(MATCH(J1283,'Vehicle numbers'!$A$5:$A$162,0),1,1,1,$L$6)),4,1,COUNTIF('Vehicle numbers'!$A$5:$A$162,J1283),4),
    MATCH(K$8,'Vehicle numbers'!$B$4:$D$4,0))*1000</f>
        <v>27520398</v>
      </c>
      <c r="L1283" s="183">
        <f ca="1">VLOOKUP(F1283,
    OFFSET(INDIRECT(ADDRESS(MATCH(J1283,'Vehicle numbers'!$A$5:$A$162,0),1,1,1,$L$6)),4,1,COUNTIF('Vehicle numbers'!$A$5:$A$162,J1283),4),
    MATCH(L$8,'Vehicle numbers'!$B$4:$D$4,0))*1000</f>
        <v>28366168.59223732</v>
      </c>
      <c r="M1283" s="184">
        <f>VLOOKUP(F1283,'Annual distance covered (GB)'!$A$8:$H$33,MATCH(J1283,'Annual distance covered (GB)'!$A$7:$H$7,0))</f>
        <v>392.7</v>
      </c>
      <c r="N1283" s="2">
        <f t="shared" ca="1" si="52"/>
        <v>1898161.3521663989</v>
      </c>
      <c r="O1283" s="180">
        <f t="shared" ca="1" si="53"/>
        <v>6.6916381251638235E-2</v>
      </c>
      <c r="P1283" s="180"/>
      <c r="Q1283" s="180"/>
      <c r="R1283" s="180"/>
      <c r="S1283" s="180"/>
      <c r="T1283" s="180"/>
    </row>
    <row r="1284" spans="1:20" x14ac:dyDescent="0.25">
      <c r="A1284" t="s">
        <v>244</v>
      </c>
      <c r="B1284" t="s">
        <v>237</v>
      </c>
      <c r="C1284" t="s">
        <v>238</v>
      </c>
      <c r="D1284" t="s">
        <v>256</v>
      </c>
      <c r="E1284" t="s">
        <v>229</v>
      </c>
      <c r="F1284">
        <v>2005</v>
      </c>
      <c r="G1284">
        <v>1.17237423272525E-3</v>
      </c>
      <c r="H1284" t="s">
        <v>240</v>
      </c>
      <c r="I1284" t="s">
        <v>241</v>
      </c>
      <c r="J1284" t="s">
        <v>2</v>
      </c>
      <c r="K1284" s="183">
        <f ca="1">VLOOKUP(F1284,
    OFFSET(INDIRECT(ADDRESS(MATCH(J1284,'Vehicle numbers'!$A$5:$A$162,0),1,1,1,$L$6)),4,1,COUNTIF('Vehicle numbers'!$A$5:$A$162,J1284),4),
    MATCH(K$8,'Vehicle numbers'!$B$4:$D$4,0))*1000</f>
        <v>27520398</v>
      </c>
      <c r="L1284" s="183">
        <f ca="1">VLOOKUP(F1284,
    OFFSET(INDIRECT(ADDRESS(MATCH(J1284,'Vehicle numbers'!$A$5:$A$162,0),1,1,1,$L$6)),4,1,COUNTIF('Vehicle numbers'!$A$5:$A$162,J1284),4),
    MATCH(L$8,'Vehicle numbers'!$B$4:$D$4,0))*1000</f>
        <v>28366168.59223732</v>
      </c>
      <c r="M1284" s="184">
        <f>VLOOKUP(F1284,'Annual distance covered (GB)'!$A$8:$H$33,MATCH(J1284,'Annual distance covered (GB)'!$A$7:$H$7,0))</f>
        <v>392.7</v>
      </c>
      <c r="N1284" s="2">
        <f t="shared" ca="1" si="52"/>
        <v>474540.33804159972</v>
      </c>
      <c r="O1284" s="180">
        <f t="shared" ca="1" si="53"/>
        <v>1.6729095312909559E-2</v>
      </c>
      <c r="P1284" s="180"/>
      <c r="Q1284" s="180"/>
      <c r="R1284" s="180"/>
      <c r="S1284" s="180"/>
      <c r="T1284" s="180"/>
    </row>
    <row r="1285" spans="1:20" x14ac:dyDescent="0.25">
      <c r="A1285" t="s">
        <v>246</v>
      </c>
      <c r="B1285" t="s">
        <v>237</v>
      </c>
      <c r="C1285" t="s">
        <v>238</v>
      </c>
      <c r="D1285" t="s">
        <v>256</v>
      </c>
      <c r="E1285" t="s">
        <v>229</v>
      </c>
      <c r="F1285">
        <v>2005</v>
      </c>
      <c r="G1285">
        <v>9.3789938618019997E-4</v>
      </c>
      <c r="H1285" t="s">
        <v>240</v>
      </c>
      <c r="I1285" t="s">
        <v>241</v>
      </c>
      <c r="J1285" t="s">
        <v>2</v>
      </c>
      <c r="K1285" s="183">
        <f ca="1">VLOOKUP(F1285,
    OFFSET(INDIRECT(ADDRESS(MATCH(J1285,'Vehicle numbers'!$A$5:$A$162,0),1,1,1,$L$6)),4,1,COUNTIF('Vehicle numbers'!$A$5:$A$162,J1285),4),
    MATCH(K$8,'Vehicle numbers'!$B$4:$D$4,0))*1000</f>
        <v>27520398</v>
      </c>
      <c r="L1285" s="183">
        <f ca="1">VLOOKUP(F1285,
    OFFSET(INDIRECT(ADDRESS(MATCH(J1285,'Vehicle numbers'!$A$5:$A$162,0),1,1,1,$L$6)),4,1,COUNTIF('Vehicle numbers'!$A$5:$A$162,J1285),4),
    MATCH(L$8,'Vehicle numbers'!$B$4:$D$4,0))*1000</f>
        <v>28366168.59223732</v>
      </c>
      <c r="M1285" s="184">
        <f>VLOOKUP(F1285,'Annual distance covered (GB)'!$A$8:$H$33,MATCH(J1285,'Annual distance covered (GB)'!$A$7:$H$7,0))</f>
        <v>392.7</v>
      </c>
      <c r="N1285" s="2">
        <f t="shared" ca="1" si="52"/>
        <v>379632.27043327974</v>
      </c>
      <c r="O1285" s="180">
        <f t="shared" ca="1" si="53"/>
        <v>1.3383276250327647E-2</v>
      </c>
      <c r="P1285" s="180"/>
      <c r="Q1285" s="180"/>
      <c r="R1285" s="180"/>
      <c r="S1285" s="180"/>
      <c r="T1285" s="180"/>
    </row>
    <row r="1286" spans="1:20" x14ac:dyDescent="0.25">
      <c r="A1286" t="s">
        <v>236</v>
      </c>
      <c r="B1286" t="s">
        <v>237</v>
      </c>
      <c r="C1286" t="s">
        <v>238</v>
      </c>
      <c r="D1286" t="s">
        <v>256</v>
      </c>
      <c r="E1286" t="s">
        <v>228</v>
      </c>
      <c r="F1286">
        <v>2005</v>
      </c>
      <c r="G1286">
        <v>8.7736376762812505E-3</v>
      </c>
      <c r="H1286" t="s">
        <v>240</v>
      </c>
      <c r="I1286" t="s">
        <v>241</v>
      </c>
      <c r="J1286" t="s">
        <v>2</v>
      </c>
      <c r="K1286" s="183">
        <f ca="1">VLOOKUP(F1286,
    OFFSET(INDIRECT(ADDRESS(MATCH(J1286,'Vehicle numbers'!$A$5:$A$162,0),1,1,1,$L$6)),4,1,COUNTIF('Vehicle numbers'!$A$5:$A$162,J1286),4),
    MATCH(K$8,'Vehicle numbers'!$B$4:$D$4,0))*1000</f>
        <v>27520398</v>
      </c>
      <c r="L1286" s="183">
        <f ca="1">VLOOKUP(F1286,
    OFFSET(INDIRECT(ADDRESS(MATCH(J1286,'Vehicle numbers'!$A$5:$A$162,0),1,1,1,$L$6)),4,1,COUNTIF('Vehicle numbers'!$A$5:$A$162,J1286),4),
    MATCH(L$8,'Vehicle numbers'!$B$4:$D$4,0))*1000</f>
        <v>28366168.59223732</v>
      </c>
      <c r="M1286" s="184">
        <f>VLOOKUP(F1286,'Annual distance covered (GB)'!$A$8:$H$33,MATCH(J1286,'Annual distance covered (GB)'!$A$7:$H$7,0))</f>
        <v>392.7</v>
      </c>
      <c r="N1286" s="2">
        <f t="shared" ca="1" si="52"/>
        <v>3551293.4970251415</v>
      </c>
      <c r="O1286" s="180">
        <f t="shared" ca="1" si="53"/>
        <v>0.12519468342992884</v>
      </c>
      <c r="P1286" s="180"/>
      <c r="Q1286" s="180"/>
      <c r="R1286" s="180"/>
      <c r="S1286" s="180"/>
      <c r="T1286" s="180"/>
    </row>
    <row r="1287" spans="1:20" x14ac:dyDescent="0.25">
      <c r="A1287" t="s">
        <v>243</v>
      </c>
      <c r="B1287" t="s">
        <v>237</v>
      </c>
      <c r="C1287" t="s">
        <v>238</v>
      </c>
      <c r="D1287" t="s">
        <v>256</v>
      </c>
      <c r="E1287" t="s">
        <v>228</v>
      </c>
      <c r="F1287">
        <v>2005</v>
      </c>
      <c r="G1287">
        <v>6.1415463733968797E-3</v>
      </c>
      <c r="H1287" t="s">
        <v>240</v>
      </c>
      <c r="I1287" t="s">
        <v>241</v>
      </c>
      <c r="J1287" t="s">
        <v>2</v>
      </c>
      <c r="K1287" s="183">
        <f ca="1">VLOOKUP(F1287,
    OFFSET(INDIRECT(ADDRESS(MATCH(J1287,'Vehicle numbers'!$A$5:$A$162,0),1,1,1,$L$6)),4,1,COUNTIF('Vehicle numbers'!$A$5:$A$162,J1287),4),
    MATCH(K$8,'Vehicle numbers'!$B$4:$D$4,0))*1000</f>
        <v>27520398</v>
      </c>
      <c r="L1287" s="183">
        <f ca="1">VLOOKUP(F1287,
    OFFSET(INDIRECT(ADDRESS(MATCH(J1287,'Vehicle numbers'!$A$5:$A$162,0),1,1,1,$L$6)),4,1,COUNTIF('Vehicle numbers'!$A$5:$A$162,J1287),4),
    MATCH(L$8,'Vehicle numbers'!$B$4:$D$4,0))*1000</f>
        <v>28366168.59223732</v>
      </c>
      <c r="M1287" s="184">
        <f>VLOOKUP(F1287,'Annual distance covered (GB)'!$A$8:$H$33,MATCH(J1287,'Annual distance covered (GB)'!$A$7:$H$7,0))</f>
        <v>392.7</v>
      </c>
      <c r="N1287" s="2">
        <f t="shared" ca="1" si="52"/>
        <v>2485905.4479176002</v>
      </c>
      <c r="O1287" s="180">
        <f t="shared" ca="1" si="53"/>
        <v>8.7636278400950229E-2</v>
      </c>
      <c r="P1287" s="180"/>
      <c r="Q1287" s="180"/>
      <c r="R1287" s="180"/>
      <c r="S1287" s="180"/>
      <c r="T1287" s="180"/>
    </row>
    <row r="1288" spans="1:20" x14ac:dyDescent="0.25">
      <c r="A1288" t="s">
        <v>244</v>
      </c>
      <c r="B1288" t="s">
        <v>237</v>
      </c>
      <c r="C1288" t="s">
        <v>238</v>
      </c>
      <c r="D1288" t="s">
        <v>256</v>
      </c>
      <c r="E1288" t="s">
        <v>228</v>
      </c>
      <c r="F1288">
        <v>2005</v>
      </c>
      <c r="G1288">
        <v>8.6500653146434799E-4</v>
      </c>
      <c r="H1288" t="s">
        <v>240</v>
      </c>
      <c r="I1288" t="s">
        <v>241</v>
      </c>
      <c r="J1288" t="s">
        <v>2</v>
      </c>
      <c r="K1288" s="183">
        <f ca="1">VLOOKUP(F1288,
    OFFSET(INDIRECT(ADDRESS(MATCH(J1288,'Vehicle numbers'!$A$5:$A$162,0),1,1,1,$L$6)),4,1,COUNTIF('Vehicle numbers'!$A$5:$A$162,J1288),4),
    MATCH(K$8,'Vehicle numbers'!$B$4:$D$4,0))*1000</f>
        <v>27520398</v>
      </c>
      <c r="L1288" s="183">
        <f ca="1">VLOOKUP(F1288,
    OFFSET(INDIRECT(ADDRESS(MATCH(J1288,'Vehicle numbers'!$A$5:$A$162,0),1,1,1,$L$6)),4,1,COUNTIF('Vehicle numbers'!$A$5:$A$162,J1288),4),
    MATCH(L$8,'Vehicle numbers'!$B$4:$D$4,0))*1000</f>
        <v>28366168.59223732</v>
      </c>
      <c r="M1288" s="184">
        <f>VLOOKUP(F1288,'Annual distance covered (GB)'!$A$8:$H$33,MATCH(J1288,'Annual distance covered (GB)'!$A$7:$H$7,0))</f>
        <v>392.7</v>
      </c>
      <c r="N1288" s="2">
        <f t="shared" ca="1" si="52"/>
        <v>350127.5278757179</v>
      </c>
      <c r="O1288" s="180">
        <f t="shared" ca="1" si="53"/>
        <v>1.234313780295072E-2</v>
      </c>
      <c r="P1288" s="180"/>
      <c r="Q1288" s="180"/>
      <c r="R1288" s="180"/>
      <c r="S1288" s="180"/>
      <c r="T1288" s="180"/>
    </row>
    <row r="1289" spans="1:20" x14ac:dyDescent="0.25">
      <c r="A1289" t="s">
        <v>246</v>
      </c>
      <c r="B1289" t="s">
        <v>237</v>
      </c>
      <c r="C1289" t="s">
        <v>238</v>
      </c>
      <c r="D1289" t="s">
        <v>256</v>
      </c>
      <c r="E1289" t="s">
        <v>228</v>
      </c>
      <c r="F1289">
        <v>2005</v>
      </c>
      <c r="G1289">
        <v>6.9200522517147802E-4</v>
      </c>
      <c r="H1289" t="s">
        <v>240</v>
      </c>
      <c r="I1289" t="s">
        <v>241</v>
      </c>
      <c r="J1289" t="s">
        <v>2</v>
      </c>
      <c r="K1289" s="183">
        <f ca="1">VLOOKUP(F1289,
    OFFSET(INDIRECT(ADDRESS(MATCH(J1289,'Vehicle numbers'!$A$5:$A$162,0),1,1,1,$L$6)),4,1,COUNTIF('Vehicle numbers'!$A$5:$A$162,J1289),4),
    MATCH(K$8,'Vehicle numbers'!$B$4:$D$4,0))*1000</f>
        <v>27520398</v>
      </c>
      <c r="L1289" s="183">
        <f ca="1">VLOOKUP(F1289,
    OFFSET(INDIRECT(ADDRESS(MATCH(J1289,'Vehicle numbers'!$A$5:$A$162,0),1,1,1,$L$6)),4,1,COUNTIF('Vehicle numbers'!$A$5:$A$162,J1289),4),
    MATCH(L$8,'Vehicle numbers'!$B$4:$D$4,0))*1000</f>
        <v>28366168.59223732</v>
      </c>
      <c r="M1289" s="184">
        <f>VLOOKUP(F1289,'Annual distance covered (GB)'!$A$8:$H$33,MATCH(J1289,'Annual distance covered (GB)'!$A$7:$H$7,0))</f>
        <v>392.7</v>
      </c>
      <c r="N1289" s="2">
        <f t="shared" ca="1" si="52"/>
        <v>280102.02230057417</v>
      </c>
      <c r="O1289" s="180">
        <f t="shared" ca="1" si="53"/>
        <v>9.8745102423605721E-3</v>
      </c>
      <c r="P1289" s="180"/>
      <c r="Q1289" s="180"/>
      <c r="R1289" s="180"/>
      <c r="S1289" s="180"/>
      <c r="T1289" s="180"/>
    </row>
    <row r="1290" spans="1:20" x14ac:dyDescent="0.25">
      <c r="A1290" t="s">
        <v>236</v>
      </c>
      <c r="B1290" t="s">
        <v>237</v>
      </c>
      <c r="C1290" t="s">
        <v>238</v>
      </c>
      <c r="D1290" t="s">
        <v>257</v>
      </c>
      <c r="E1290" t="s">
        <v>229</v>
      </c>
      <c r="F1290">
        <v>2005</v>
      </c>
      <c r="G1290">
        <v>2.12100000000001E-3</v>
      </c>
      <c r="H1290" t="s">
        <v>240</v>
      </c>
      <c r="I1290" t="s">
        <v>241</v>
      </c>
      <c r="J1290" t="s">
        <v>188</v>
      </c>
      <c r="K1290" s="183">
        <f ca="1">VLOOKUP(F1290,
    OFFSET(INDIRECT(ADDRESS(MATCH(J1290,'Vehicle numbers'!$A$5:$A$162,0),1,1,1,$L$6)),4,1,COUNTIF('Vehicle numbers'!$A$5:$A$162,J1290),4),
    MATCH(K$8,'Vehicle numbers'!$B$4:$D$4,0))*1000</f>
        <v>2943376</v>
      </c>
      <c r="L1290" s="183">
        <f ca="1">VLOOKUP(F1290,
    OFFSET(INDIRECT(ADDRESS(MATCH(J1290,'Vehicle numbers'!$A$5:$A$162,0),1,1,1,$L$6)),4,1,COUNTIF('Vehicle numbers'!$A$5:$A$162,J1290),4),
    MATCH(L$8,'Vehicle numbers'!$B$4:$D$4,0))*1000</f>
        <v>3027837.8931860048</v>
      </c>
      <c r="M1290" s="184">
        <f>VLOOKUP(F1290,'Annual distance covered (GB)'!$A$8:$H$33,MATCH(J1290,'Annual distance covered (GB)'!$A$7:$H$7,0))</f>
        <v>61.8</v>
      </c>
      <c r="N1290" s="2">
        <f t="shared" ca="1" si="52"/>
        <v>134839.15401751536</v>
      </c>
      <c r="O1290" s="180">
        <f t="shared" ca="1" si="53"/>
        <v>4.453314833035283E-2</v>
      </c>
      <c r="P1290" s="180"/>
      <c r="Q1290" s="180"/>
      <c r="R1290" s="180"/>
      <c r="S1290" s="180"/>
      <c r="T1290" s="180"/>
    </row>
    <row r="1291" spans="1:20" x14ac:dyDescent="0.25">
      <c r="A1291" t="s">
        <v>243</v>
      </c>
      <c r="B1291" t="s">
        <v>237</v>
      </c>
      <c r="C1291" t="s">
        <v>238</v>
      </c>
      <c r="D1291" t="s">
        <v>257</v>
      </c>
      <c r="E1291" t="s">
        <v>229</v>
      </c>
      <c r="F1291">
        <v>2005</v>
      </c>
      <c r="G1291">
        <v>8.4840000000000403E-4</v>
      </c>
      <c r="H1291" t="s">
        <v>240</v>
      </c>
      <c r="I1291" t="s">
        <v>241</v>
      </c>
      <c r="J1291" t="s">
        <v>188</v>
      </c>
      <c r="K1291" s="183">
        <f ca="1">VLOOKUP(F1291,
    OFFSET(INDIRECT(ADDRESS(MATCH(J1291,'Vehicle numbers'!$A$5:$A$162,0),1,1,1,$L$6)),4,1,COUNTIF('Vehicle numbers'!$A$5:$A$162,J1291),4),
    MATCH(K$8,'Vehicle numbers'!$B$4:$D$4,0))*1000</f>
        <v>2943376</v>
      </c>
      <c r="L1291" s="183">
        <f ca="1">VLOOKUP(F1291,
    OFFSET(INDIRECT(ADDRESS(MATCH(J1291,'Vehicle numbers'!$A$5:$A$162,0),1,1,1,$L$6)),4,1,COUNTIF('Vehicle numbers'!$A$5:$A$162,J1291),4),
    MATCH(L$8,'Vehicle numbers'!$B$4:$D$4,0))*1000</f>
        <v>3027837.8931860048</v>
      </c>
      <c r="M1291" s="184">
        <f>VLOOKUP(F1291,'Annual distance covered (GB)'!$A$8:$H$33,MATCH(J1291,'Annual distance covered (GB)'!$A$7:$H$7,0))</f>
        <v>61.8</v>
      </c>
      <c r="N1291" s="2">
        <f t="shared" ref="N1291:N1354" ca="1" si="54">M1291*G1291*1000000*(L1291/K1291)</f>
        <v>53935.66160700615</v>
      </c>
      <c r="O1291" s="180">
        <f t="shared" ref="O1291:O1354" ca="1" si="55">N1291/L1291</f>
        <v>1.7813259332141135E-2</v>
      </c>
      <c r="P1291" s="180"/>
      <c r="Q1291" s="180"/>
      <c r="R1291" s="180"/>
      <c r="S1291" s="180"/>
      <c r="T1291" s="180"/>
    </row>
    <row r="1292" spans="1:20" x14ac:dyDescent="0.25">
      <c r="A1292" t="s">
        <v>244</v>
      </c>
      <c r="B1292" t="s">
        <v>237</v>
      </c>
      <c r="C1292" t="s">
        <v>238</v>
      </c>
      <c r="D1292" t="s">
        <v>257</v>
      </c>
      <c r="E1292" t="s">
        <v>229</v>
      </c>
      <c r="F1292">
        <v>2005</v>
      </c>
      <c r="G1292">
        <v>2.1210000000000101E-4</v>
      </c>
      <c r="H1292" t="s">
        <v>240</v>
      </c>
      <c r="I1292" t="s">
        <v>241</v>
      </c>
      <c r="J1292" t="s">
        <v>188</v>
      </c>
      <c r="K1292" s="183">
        <f ca="1">VLOOKUP(F1292,
    OFFSET(INDIRECT(ADDRESS(MATCH(J1292,'Vehicle numbers'!$A$5:$A$162,0),1,1,1,$L$6)),4,1,COUNTIF('Vehicle numbers'!$A$5:$A$162,J1292),4),
    MATCH(K$8,'Vehicle numbers'!$B$4:$D$4,0))*1000</f>
        <v>2943376</v>
      </c>
      <c r="L1292" s="183">
        <f ca="1">VLOOKUP(F1292,
    OFFSET(INDIRECT(ADDRESS(MATCH(J1292,'Vehicle numbers'!$A$5:$A$162,0),1,1,1,$L$6)),4,1,COUNTIF('Vehicle numbers'!$A$5:$A$162,J1292),4),
    MATCH(L$8,'Vehicle numbers'!$B$4:$D$4,0))*1000</f>
        <v>3027837.8931860048</v>
      </c>
      <c r="M1292" s="184">
        <f>VLOOKUP(F1292,'Annual distance covered (GB)'!$A$8:$H$33,MATCH(J1292,'Annual distance covered (GB)'!$A$7:$H$7,0))</f>
        <v>61.8</v>
      </c>
      <c r="N1292" s="2">
        <f t="shared" ca="1" si="54"/>
        <v>13483.915401751538</v>
      </c>
      <c r="O1292" s="180">
        <f t="shared" ca="1" si="55"/>
        <v>4.4533148330352839E-3</v>
      </c>
      <c r="P1292" s="180"/>
      <c r="Q1292" s="180"/>
      <c r="R1292" s="180"/>
      <c r="S1292" s="180"/>
      <c r="T1292" s="180"/>
    </row>
    <row r="1293" spans="1:20" x14ac:dyDescent="0.25">
      <c r="A1293" t="s">
        <v>246</v>
      </c>
      <c r="B1293" t="s">
        <v>237</v>
      </c>
      <c r="C1293" t="s">
        <v>238</v>
      </c>
      <c r="D1293" t="s">
        <v>257</v>
      </c>
      <c r="E1293" t="s">
        <v>229</v>
      </c>
      <c r="F1293">
        <v>2005</v>
      </c>
      <c r="G1293">
        <v>1.6968000000000099E-4</v>
      </c>
      <c r="H1293" t="s">
        <v>240</v>
      </c>
      <c r="I1293" t="s">
        <v>241</v>
      </c>
      <c r="J1293" t="s">
        <v>188</v>
      </c>
      <c r="K1293" s="183">
        <f ca="1">VLOOKUP(F1293,
    OFFSET(INDIRECT(ADDRESS(MATCH(J1293,'Vehicle numbers'!$A$5:$A$162,0),1,1,1,$L$6)),4,1,COUNTIF('Vehicle numbers'!$A$5:$A$162,J1293),4),
    MATCH(K$8,'Vehicle numbers'!$B$4:$D$4,0))*1000</f>
        <v>2943376</v>
      </c>
      <c r="L1293" s="183">
        <f ca="1">VLOOKUP(F1293,
    OFFSET(INDIRECT(ADDRESS(MATCH(J1293,'Vehicle numbers'!$A$5:$A$162,0),1,1,1,$L$6)),4,1,COUNTIF('Vehicle numbers'!$A$5:$A$162,J1293),4),
    MATCH(L$8,'Vehicle numbers'!$B$4:$D$4,0))*1000</f>
        <v>3027837.8931860048</v>
      </c>
      <c r="M1293" s="184">
        <f>VLOOKUP(F1293,'Annual distance covered (GB)'!$A$8:$H$33,MATCH(J1293,'Annual distance covered (GB)'!$A$7:$H$7,0))</f>
        <v>61.8</v>
      </c>
      <c r="N1293" s="2">
        <f t="shared" ca="1" si="54"/>
        <v>10787.132321401243</v>
      </c>
      <c r="O1293" s="180">
        <f t="shared" ca="1" si="55"/>
        <v>3.5626518664282308E-3</v>
      </c>
      <c r="P1293" s="180"/>
      <c r="Q1293" s="180"/>
      <c r="R1293" s="180"/>
      <c r="S1293" s="180"/>
      <c r="T1293" s="180"/>
    </row>
    <row r="1294" spans="1:20" x14ac:dyDescent="0.25">
      <c r="A1294" t="s">
        <v>236</v>
      </c>
      <c r="B1294" t="s">
        <v>237</v>
      </c>
      <c r="C1294" t="s">
        <v>238</v>
      </c>
      <c r="D1294" t="s">
        <v>257</v>
      </c>
      <c r="E1294" t="s">
        <v>228</v>
      </c>
      <c r="F1294">
        <v>2005</v>
      </c>
      <c r="G1294">
        <v>9.1460000000000395E-3</v>
      </c>
      <c r="H1294" t="s">
        <v>240</v>
      </c>
      <c r="I1294" t="s">
        <v>241</v>
      </c>
      <c r="J1294" t="s">
        <v>188</v>
      </c>
      <c r="K1294" s="183">
        <f ca="1">VLOOKUP(F1294,
    OFFSET(INDIRECT(ADDRESS(MATCH(J1294,'Vehicle numbers'!$A$5:$A$162,0),1,1,1,$L$6)),4,1,COUNTIF('Vehicle numbers'!$A$5:$A$162,J1294),4),
    MATCH(K$8,'Vehicle numbers'!$B$4:$D$4,0))*1000</f>
        <v>2943376</v>
      </c>
      <c r="L1294" s="183">
        <f ca="1">VLOOKUP(F1294,
    OFFSET(INDIRECT(ADDRESS(MATCH(J1294,'Vehicle numbers'!$A$5:$A$162,0),1,1,1,$L$6)),4,1,COUNTIF('Vehicle numbers'!$A$5:$A$162,J1294),4),
    MATCH(L$8,'Vehicle numbers'!$B$4:$D$4,0))*1000</f>
        <v>3027837.8931860048</v>
      </c>
      <c r="M1294" s="184">
        <f>VLOOKUP(F1294,'Annual distance covered (GB)'!$A$8:$H$33,MATCH(J1294,'Annual distance covered (GB)'!$A$7:$H$7,0))</f>
        <v>61.8</v>
      </c>
      <c r="N1294" s="2">
        <f t="shared" ca="1" si="54"/>
        <v>581442.19832352444</v>
      </c>
      <c r="O1294" s="180">
        <f t="shared" ca="1" si="55"/>
        <v>0.19203214268241722</v>
      </c>
      <c r="P1294" s="180"/>
      <c r="Q1294" s="180"/>
      <c r="R1294" s="180"/>
      <c r="S1294" s="180"/>
      <c r="T1294" s="180"/>
    </row>
    <row r="1295" spans="1:20" x14ac:dyDescent="0.25">
      <c r="A1295" t="s">
        <v>243</v>
      </c>
      <c r="B1295" t="s">
        <v>237</v>
      </c>
      <c r="C1295" t="s">
        <v>238</v>
      </c>
      <c r="D1295" t="s">
        <v>257</v>
      </c>
      <c r="E1295" t="s">
        <v>228</v>
      </c>
      <c r="F1295">
        <v>2005</v>
      </c>
      <c r="G1295">
        <v>6.4022000000000297E-3</v>
      </c>
      <c r="H1295" t="s">
        <v>240</v>
      </c>
      <c r="I1295" t="s">
        <v>241</v>
      </c>
      <c r="J1295" t="s">
        <v>188</v>
      </c>
      <c r="K1295" s="183">
        <f ca="1">VLOOKUP(F1295,
    OFFSET(INDIRECT(ADDRESS(MATCH(J1295,'Vehicle numbers'!$A$5:$A$162,0),1,1,1,$L$6)),4,1,COUNTIF('Vehicle numbers'!$A$5:$A$162,J1295),4),
    MATCH(K$8,'Vehicle numbers'!$B$4:$D$4,0))*1000</f>
        <v>2943376</v>
      </c>
      <c r="L1295" s="183">
        <f ca="1">VLOOKUP(F1295,
    OFFSET(INDIRECT(ADDRESS(MATCH(J1295,'Vehicle numbers'!$A$5:$A$162,0),1,1,1,$L$6)),4,1,COUNTIF('Vehicle numbers'!$A$5:$A$162,J1295),4),
    MATCH(L$8,'Vehicle numbers'!$B$4:$D$4,0))*1000</f>
        <v>3027837.8931860048</v>
      </c>
      <c r="M1295" s="184">
        <f>VLOOKUP(F1295,'Annual distance covered (GB)'!$A$8:$H$33,MATCH(J1295,'Annual distance covered (GB)'!$A$7:$H$7,0))</f>
        <v>61.8</v>
      </c>
      <c r="N1295" s="2">
        <f t="shared" ca="1" si="54"/>
        <v>407009.53882646718</v>
      </c>
      <c r="O1295" s="180">
        <f t="shared" ca="1" si="55"/>
        <v>0.13442249987769209</v>
      </c>
      <c r="P1295" s="180"/>
      <c r="Q1295" s="180"/>
      <c r="R1295" s="180"/>
      <c r="S1295" s="180"/>
      <c r="T1295" s="180"/>
    </row>
    <row r="1296" spans="1:20" x14ac:dyDescent="0.25">
      <c r="A1296" t="s">
        <v>244</v>
      </c>
      <c r="B1296" t="s">
        <v>237</v>
      </c>
      <c r="C1296" t="s">
        <v>238</v>
      </c>
      <c r="D1296" t="s">
        <v>257</v>
      </c>
      <c r="E1296" t="s">
        <v>228</v>
      </c>
      <c r="F1296">
        <v>2005</v>
      </c>
      <c r="G1296">
        <v>9.01718309859158E-4</v>
      </c>
      <c r="H1296" t="s">
        <v>240</v>
      </c>
      <c r="I1296" t="s">
        <v>241</v>
      </c>
      <c r="J1296" t="s">
        <v>188</v>
      </c>
      <c r="K1296" s="183">
        <f ca="1">VLOOKUP(F1296,
    OFFSET(INDIRECT(ADDRESS(MATCH(J1296,'Vehicle numbers'!$A$5:$A$162,0),1,1,1,$L$6)),4,1,COUNTIF('Vehicle numbers'!$A$5:$A$162,J1296),4),
    MATCH(K$8,'Vehicle numbers'!$B$4:$D$4,0))*1000</f>
        <v>2943376</v>
      </c>
      <c r="L1296" s="183">
        <f ca="1">VLOOKUP(F1296,
    OFFSET(INDIRECT(ADDRESS(MATCH(J1296,'Vehicle numbers'!$A$5:$A$162,0),1,1,1,$L$6)),4,1,COUNTIF('Vehicle numbers'!$A$5:$A$162,J1296),4),
    MATCH(L$8,'Vehicle numbers'!$B$4:$D$4,0))*1000</f>
        <v>3027837.8931860048</v>
      </c>
      <c r="M1296" s="184">
        <f>VLOOKUP(F1296,'Annual distance covered (GB)'!$A$8:$H$33,MATCH(J1296,'Annual distance covered (GB)'!$A$7:$H$7,0))</f>
        <v>61.8</v>
      </c>
      <c r="N1296" s="2">
        <f t="shared" ca="1" si="54"/>
        <v>57325.28715865728</v>
      </c>
      <c r="O1296" s="180">
        <f t="shared" ca="1" si="55"/>
        <v>1.8932746461646749E-2</v>
      </c>
      <c r="P1296" s="180"/>
      <c r="Q1296" s="180"/>
      <c r="R1296" s="180"/>
      <c r="S1296" s="180"/>
      <c r="T1296" s="180"/>
    </row>
    <row r="1297" spans="1:20" x14ac:dyDescent="0.25">
      <c r="A1297" t="s">
        <v>246</v>
      </c>
      <c r="B1297" t="s">
        <v>237</v>
      </c>
      <c r="C1297" t="s">
        <v>238</v>
      </c>
      <c r="D1297" t="s">
        <v>257</v>
      </c>
      <c r="E1297" t="s">
        <v>228</v>
      </c>
      <c r="F1297">
        <v>2005</v>
      </c>
      <c r="G1297">
        <v>7.2137464788732603E-4</v>
      </c>
      <c r="H1297" t="s">
        <v>240</v>
      </c>
      <c r="I1297" t="s">
        <v>241</v>
      </c>
      <c r="J1297" t="s">
        <v>188</v>
      </c>
      <c r="K1297" s="183">
        <f ca="1">VLOOKUP(F1297,
    OFFSET(INDIRECT(ADDRESS(MATCH(J1297,'Vehicle numbers'!$A$5:$A$162,0),1,1,1,$L$6)),4,1,COUNTIF('Vehicle numbers'!$A$5:$A$162,J1297),4),
    MATCH(K$8,'Vehicle numbers'!$B$4:$D$4,0))*1000</f>
        <v>2943376</v>
      </c>
      <c r="L1297" s="183">
        <f ca="1">VLOOKUP(F1297,
    OFFSET(INDIRECT(ADDRESS(MATCH(J1297,'Vehicle numbers'!$A$5:$A$162,0),1,1,1,$L$6)),4,1,COUNTIF('Vehicle numbers'!$A$5:$A$162,J1297),4),
    MATCH(L$8,'Vehicle numbers'!$B$4:$D$4,0))*1000</f>
        <v>3027837.8931860048</v>
      </c>
      <c r="M1297" s="184">
        <f>VLOOKUP(F1297,'Annual distance covered (GB)'!$A$8:$H$33,MATCH(J1297,'Annual distance covered (GB)'!$A$7:$H$7,0))</f>
        <v>61.8</v>
      </c>
      <c r="N1297" s="2">
        <f t="shared" ca="1" si="54"/>
        <v>45860.229726925798</v>
      </c>
      <c r="O1297" s="180">
        <f t="shared" ca="1" si="55"/>
        <v>1.514619716931739E-2</v>
      </c>
      <c r="P1297" s="180"/>
      <c r="Q1297" s="180"/>
      <c r="R1297" s="180"/>
      <c r="S1297" s="180"/>
      <c r="T1297" s="180"/>
    </row>
    <row r="1298" spans="1:20" x14ac:dyDescent="0.25">
      <c r="A1298" t="s">
        <v>236</v>
      </c>
      <c r="B1298" t="s">
        <v>237</v>
      </c>
      <c r="C1298" t="s">
        <v>238</v>
      </c>
      <c r="D1298" t="s">
        <v>258</v>
      </c>
      <c r="E1298" t="s">
        <v>229</v>
      </c>
      <c r="F1298">
        <v>2005</v>
      </c>
      <c r="G1298">
        <v>8.6219999999999995E-3</v>
      </c>
      <c r="H1298" t="s">
        <v>240</v>
      </c>
      <c r="I1298" t="s">
        <v>241</v>
      </c>
      <c r="J1298" t="s">
        <v>188</v>
      </c>
      <c r="K1298" s="183">
        <f ca="1">VLOOKUP(F1298,
    OFFSET(INDIRECT(ADDRESS(MATCH(J1298,'Vehicle numbers'!$A$5:$A$162,0),1,1,1,$L$6)),4,1,COUNTIF('Vehicle numbers'!$A$5:$A$162,J1298),4),
    MATCH(K$8,'Vehicle numbers'!$B$4:$D$4,0))*1000</f>
        <v>2943376</v>
      </c>
      <c r="L1298" s="183">
        <f ca="1">VLOOKUP(F1298,
    OFFSET(INDIRECT(ADDRESS(MATCH(J1298,'Vehicle numbers'!$A$5:$A$162,0),1,1,1,$L$6)),4,1,COUNTIF('Vehicle numbers'!$A$5:$A$162,J1298),4),
    MATCH(L$8,'Vehicle numbers'!$B$4:$D$4,0))*1000</f>
        <v>3027837.8931860048</v>
      </c>
      <c r="M1298" s="184">
        <f>VLOOKUP(F1298,'Annual distance covered (GB)'!$A$8:$H$33,MATCH(J1298,'Annual distance covered (GB)'!$A$7:$H$7,0))</f>
        <v>61.8</v>
      </c>
      <c r="N1298" s="2">
        <f t="shared" ca="1" si="54"/>
        <v>548129.74348845449</v>
      </c>
      <c r="O1298" s="180">
        <f t="shared" ca="1" si="55"/>
        <v>0.18103008246313074</v>
      </c>
      <c r="P1298" s="180"/>
      <c r="Q1298" s="180"/>
      <c r="R1298" s="180"/>
      <c r="S1298" s="180"/>
      <c r="T1298" s="180"/>
    </row>
    <row r="1299" spans="1:20" x14ac:dyDescent="0.25">
      <c r="A1299" t="s">
        <v>243</v>
      </c>
      <c r="B1299" t="s">
        <v>237</v>
      </c>
      <c r="C1299" t="s">
        <v>238</v>
      </c>
      <c r="D1299" t="s">
        <v>258</v>
      </c>
      <c r="E1299" t="s">
        <v>229</v>
      </c>
      <c r="F1299">
        <v>2005</v>
      </c>
      <c r="G1299">
        <v>3.4488000000000001E-3</v>
      </c>
      <c r="H1299" t="s">
        <v>240</v>
      </c>
      <c r="I1299" t="s">
        <v>241</v>
      </c>
      <c r="J1299" t="s">
        <v>188</v>
      </c>
      <c r="K1299" s="183">
        <f ca="1">VLOOKUP(F1299,
    OFFSET(INDIRECT(ADDRESS(MATCH(J1299,'Vehicle numbers'!$A$5:$A$162,0),1,1,1,$L$6)),4,1,COUNTIF('Vehicle numbers'!$A$5:$A$162,J1299),4),
    MATCH(K$8,'Vehicle numbers'!$B$4:$D$4,0))*1000</f>
        <v>2943376</v>
      </c>
      <c r="L1299" s="183">
        <f ca="1">VLOOKUP(F1299,
    OFFSET(INDIRECT(ADDRESS(MATCH(J1299,'Vehicle numbers'!$A$5:$A$162,0),1,1,1,$L$6)),4,1,COUNTIF('Vehicle numbers'!$A$5:$A$162,J1299),4),
    MATCH(L$8,'Vehicle numbers'!$B$4:$D$4,0))*1000</f>
        <v>3027837.8931860048</v>
      </c>
      <c r="M1299" s="184">
        <f>VLOOKUP(F1299,'Annual distance covered (GB)'!$A$8:$H$33,MATCH(J1299,'Annual distance covered (GB)'!$A$7:$H$7,0))</f>
        <v>61.8</v>
      </c>
      <c r="N1299" s="2">
        <f t="shared" ca="1" si="54"/>
        <v>219251.89739538182</v>
      </c>
      <c r="O1299" s="180">
        <f t="shared" ca="1" si="55"/>
        <v>7.2412032985252298E-2</v>
      </c>
      <c r="P1299" s="180"/>
      <c r="Q1299" s="180"/>
      <c r="R1299" s="180"/>
      <c r="S1299" s="180"/>
      <c r="T1299" s="180"/>
    </row>
    <row r="1300" spans="1:20" x14ac:dyDescent="0.25">
      <c r="A1300" t="s">
        <v>244</v>
      </c>
      <c r="B1300" t="s">
        <v>237</v>
      </c>
      <c r="C1300" t="s">
        <v>238</v>
      </c>
      <c r="D1300" t="s">
        <v>258</v>
      </c>
      <c r="E1300" t="s">
        <v>229</v>
      </c>
      <c r="F1300">
        <v>2005</v>
      </c>
      <c r="G1300">
        <v>8.6220000000000003E-4</v>
      </c>
      <c r="H1300" t="s">
        <v>240</v>
      </c>
      <c r="I1300" t="s">
        <v>241</v>
      </c>
      <c r="J1300" t="s">
        <v>188</v>
      </c>
      <c r="K1300" s="183">
        <f ca="1">VLOOKUP(F1300,
    OFFSET(INDIRECT(ADDRESS(MATCH(J1300,'Vehicle numbers'!$A$5:$A$162,0),1,1,1,$L$6)),4,1,COUNTIF('Vehicle numbers'!$A$5:$A$162,J1300),4),
    MATCH(K$8,'Vehicle numbers'!$B$4:$D$4,0))*1000</f>
        <v>2943376</v>
      </c>
      <c r="L1300" s="183">
        <f ca="1">VLOOKUP(F1300,
    OFFSET(INDIRECT(ADDRESS(MATCH(J1300,'Vehicle numbers'!$A$5:$A$162,0),1,1,1,$L$6)),4,1,COUNTIF('Vehicle numbers'!$A$5:$A$162,J1300),4),
    MATCH(L$8,'Vehicle numbers'!$B$4:$D$4,0))*1000</f>
        <v>3027837.8931860048</v>
      </c>
      <c r="M1300" s="184">
        <f>VLOOKUP(F1300,'Annual distance covered (GB)'!$A$8:$H$33,MATCH(J1300,'Annual distance covered (GB)'!$A$7:$H$7,0))</f>
        <v>61.8</v>
      </c>
      <c r="N1300" s="2">
        <f t="shared" ca="1" si="54"/>
        <v>54812.974348845455</v>
      </c>
      <c r="O1300" s="180">
        <f t="shared" ca="1" si="55"/>
        <v>1.8103008246313074E-2</v>
      </c>
      <c r="P1300" s="180"/>
      <c r="Q1300" s="180"/>
      <c r="R1300" s="180"/>
      <c r="S1300" s="180"/>
      <c r="T1300" s="180"/>
    </row>
    <row r="1301" spans="1:20" x14ac:dyDescent="0.25">
      <c r="A1301" t="s">
        <v>246</v>
      </c>
      <c r="B1301" t="s">
        <v>237</v>
      </c>
      <c r="C1301" t="s">
        <v>238</v>
      </c>
      <c r="D1301" t="s">
        <v>258</v>
      </c>
      <c r="E1301" t="s">
        <v>229</v>
      </c>
      <c r="F1301">
        <v>2005</v>
      </c>
      <c r="G1301">
        <v>6.8975999999999998E-4</v>
      </c>
      <c r="H1301" t="s">
        <v>240</v>
      </c>
      <c r="I1301" t="s">
        <v>241</v>
      </c>
      <c r="J1301" t="s">
        <v>188</v>
      </c>
      <c r="K1301" s="183">
        <f ca="1">VLOOKUP(F1301,
    OFFSET(INDIRECT(ADDRESS(MATCH(J1301,'Vehicle numbers'!$A$5:$A$162,0),1,1,1,$L$6)),4,1,COUNTIF('Vehicle numbers'!$A$5:$A$162,J1301),4),
    MATCH(K$8,'Vehicle numbers'!$B$4:$D$4,0))*1000</f>
        <v>2943376</v>
      </c>
      <c r="L1301" s="183">
        <f ca="1">VLOOKUP(F1301,
    OFFSET(INDIRECT(ADDRESS(MATCH(J1301,'Vehicle numbers'!$A$5:$A$162,0),1,1,1,$L$6)),4,1,COUNTIF('Vehicle numbers'!$A$5:$A$162,J1301),4),
    MATCH(L$8,'Vehicle numbers'!$B$4:$D$4,0))*1000</f>
        <v>3027837.8931860048</v>
      </c>
      <c r="M1301" s="184">
        <f>VLOOKUP(F1301,'Annual distance covered (GB)'!$A$8:$H$33,MATCH(J1301,'Annual distance covered (GB)'!$A$7:$H$7,0))</f>
        <v>61.8</v>
      </c>
      <c r="N1301" s="2">
        <f t="shared" ca="1" si="54"/>
        <v>43850.379479076364</v>
      </c>
      <c r="O1301" s="180">
        <f t="shared" ca="1" si="55"/>
        <v>1.4482406597050461E-2</v>
      </c>
      <c r="P1301" s="180"/>
      <c r="Q1301" s="180"/>
      <c r="R1301" s="180"/>
      <c r="S1301" s="180"/>
      <c r="T1301" s="180"/>
    </row>
    <row r="1302" spans="1:20" x14ac:dyDescent="0.25">
      <c r="A1302" t="s">
        <v>236</v>
      </c>
      <c r="B1302" t="s">
        <v>237</v>
      </c>
      <c r="C1302" t="s">
        <v>238</v>
      </c>
      <c r="D1302" t="s">
        <v>258</v>
      </c>
      <c r="E1302" t="s">
        <v>228</v>
      </c>
      <c r="F1302">
        <v>2005</v>
      </c>
      <c r="G1302">
        <v>1.0741000000000001E-2</v>
      </c>
      <c r="H1302" t="s">
        <v>240</v>
      </c>
      <c r="I1302" t="s">
        <v>241</v>
      </c>
      <c r="J1302" t="s">
        <v>188</v>
      </c>
      <c r="K1302" s="183">
        <f ca="1">VLOOKUP(F1302,
    OFFSET(INDIRECT(ADDRESS(MATCH(J1302,'Vehicle numbers'!$A$5:$A$162,0),1,1,1,$L$6)),4,1,COUNTIF('Vehicle numbers'!$A$5:$A$162,J1302),4),
    MATCH(K$8,'Vehicle numbers'!$B$4:$D$4,0))*1000</f>
        <v>2943376</v>
      </c>
      <c r="L1302" s="183">
        <f ca="1">VLOOKUP(F1302,
    OFFSET(INDIRECT(ADDRESS(MATCH(J1302,'Vehicle numbers'!$A$5:$A$162,0),1,1,1,$L$6)),4,1,COUNTIF('Vehicle numbers'!$A$5:$A$162,J1302),4),
    MATCH(L$8,'Vehicle numbers'!$B$4:$D$4,0))*1000</f>
        <v>3027837.8931860048</v>
      </c>
      <c r="M1302" s="184">
        <f>VLOOKUP(F1302,'Annual distance covered (GB)'!$A$8:$H$33,MATCH(J1302,'Annual distance covered (GB)'!$A$7:$H$7,0))</f>
        <v>61.8</v>
      </c>
      <c r="N1302" s="2">
        <f t="shared" ca="1" si="54"/>
        <v>682841.75073178974</v>
      </c>
      <c r="O1302" s="180">
        <f t="shared" ca="1" si="55"/>
        <v>0.22552123819722661</v>
      </c>
      <c r="P1302" s="180"/>
      <c r="Q1302" s="180"/>
      <c r="R1302" s="180"/>
      <c r="S1302" s="180"/>
      <c r="T1302" s="180"/>
    </row>
    <row r="1303" spans="1:20" x14ac:dyDescent="0.25">
      <c r="A1303" t="s">
        <v>243</v>
      </c>
      <c r="B1303" t="s">
        <v>237</v>
      </c>
      <c r="C1303" t="s">
        <v>238</v>
      </c>
      <c r="D1303" t="s">
        <v>258</v>
      </c>
      <c r="E1303" t="s">
        <v>228</v>
      </c>
      <c r="F1303">
        <v>2005</v>
      </c>
      <c r="G1303">
        <v>7.5186999999999997E-3</v>
      </c>
      <c r="H1303" t="s">
        <v>240</v>
      </c>
      <c r="I1303" t="s">
        <v>241</v>
      </c>
      <c r="J1303" t="s">
        <v>188</v>
      </c>
      <c r="K1303" s="183">
        <f ca="1">VLOOKUP(F1303,
    OFFSET(INDIRECT(ADDRESS(MATCH(J1303,'Vehicle numbers'!$A$5:$A$162,0),1,1,1,$L$6)),4,1,COUNTIF('Vehicle numbers'!$A$5:$A$162,J1303),4),
    MATCH(K$8,'Vehicle numbers'!$B$4:$D$4,0))*1000</f>
        <v>2943376</v>
      </c>
      <c r="L1303" s="183">
        <f ca="1">VLOOKUP(F1303,
    OFFSET(INDIRECT(ADDRESS(MATCH(J1303,'Vehicle numbers'!$A$5:$A$162,0),1,1,1,$L$6)),4,1,COUNTIF('Vehicle numbers'!$A$5:$A$162,J1303),4),
    MATCH(L$8,'Vehicle numbers'!$B$4:$D$4,0))*1000</f>
        <v>3027837.8931860048</v>
      </c>
      <c r="M1303" s="184">
        <f>VLOOKUP(F1303,'Annual distance covered (GB)'!$A$8:$H$33,MATCH(J1303,'Annual distance covered (GB)'!$A$7:$H$7,0))</f>
        <v>61.8</v>
      </c>
      <c r="N1303" s="2">
        <f t="shared" ca="1" si="54"/>
        <v>477989.22551225271</v>
      </c>
      <c r="O1303" s="180">
        <f t="shared" ca="1" si="55"/>
        <v>0.15786486673805858</v>
      </c>
      <c r="P1303" s="180"/>
      <c r="Q1303" s="180"/>
      <c r="R1303" s="180"/>
      <c r="S1303" s="180"/>
      <c r="T1303" s="180"/>
    </row>
    <row r="1304" spans="1:20" x14ac:dyDescent="0.25">
      <c r="A1304" t="s">
        <v>244</v>
      </c>
      <c r="B1304" t="s">
        <v>237</v>
      </c>
      <c r="C1304" t="s">
        <v>238</v>
      </c>
      <c r="D1304" t="s">
        <v>258</v>
      </c>
      <c r="E1304" t="s">
        <v>228</v>
      </c>
      <c r="F1304">
        <v>2005</v>
      </c>
      <c r="G1304">
        <v>1.05897183098591E-3</v>
      </c>
      <c r="H1304" t="s">
        <v>240</v>
      </c>
      <c r="I1304" t="s">
        <v>241</v>
      </c>
      <c r="J1304" t="s">
        <v>188</v>
      </c>
      <c r="K1304" s="183">
        <f ca="1">VLOOKUP(F1304,
    OFFSET(INDIRECT(ADDRESS(MATCH(J1304,'Vehicle numbers'!$A$5:$A$162,0),1,1,1,$L$6)),4,1,COUNTIF('Vehicle numbers'!$A$5:$A$162,J1304),4),
    MATCH(K$8,'Vehicle numbers'!$B$4:$D$4,0))*1000</f>
        <v>2943376</v>
      </c>
      <c r="L1304" s="183">
        <f ca="1">VLOOKUP(F1304,
    OFFSET(INDIRECT(ADDRESS(MATCH(J1304,'Vehicle numbers'!$A$5:$A$162,0),1,1,1,$L$6)),4,1,COUNTIF('Vehicle numbers'!$A$5:$A$162,J1304),4),
    MATCH(L$8,'Vehicle numbers'!$B$4:$D$4,0))*1000</f>
        <v>3027837.8931860048</v>
      </c>
      <c r="M1304" s="184">
        <f>VLOOKUP(F1304,'Annual distance covered (GB)'!$A$8:$H$33,MATCH(J1304,'Annual distance covered (GB)'!$A$7:$H$7,0))</f>
        <v>61.8</v>
      </c>
      <c r="N1304" s="2">
        <f t="shared" ca="1" si="54"/>
        <v>67322.426128485953</v>
      </c>
      <c r="O1304" s="180">
        <f t="shared" ca="1" si="55"/>
        <v>2.2234488272965883E-2</v>
      </c>
      <c r="P1304" s="180"/>
      <c r="Q1304" s="180"/>
      <c r="R1304" s="180"/>
      <c r="S1304" s="180"/>
      <c r="T1304" s="180"/>
    </row>
    <row r="1305" spans="1:20" x14ac:dyDescent="0.25">
      <c r="A1305" t="s">
        <v>246</v>
      </c>
      <c r="B1305" t="s">
        <v>237</v>
      </c>
      <c r="C1305" t="s">
        <v>238</v>
      </c>
      <c r="D1305" t="s">
        <v>258</v>
      </c>
      <c r="E1305" t="s">
        <v>228</v>
      </c>
      <c r="F1305">
        <v>2005</v>
      </c>
      <c r="G1305">
        <v>8.47177464788731E-4</v>
      </c>
      <c r="H1305" t="s">
        <v>240</v>
      </c>
      <c r="I1305" t="s">
        <v>241</v>
      </c>
      <c r="J1305" t="s">
        <v>188</v>
      </c>
      <c r="K1305" s="183">
        <f ca="1">VLOOKUP(F1305,
    OFFSET(INDIRECT(ADDRESS(MATCH(J1305,'Vehicle numbers'!$A$5:$A$162,0),1,1,1,$L$6)),4,1,COUNTIF('Vehicle numbers'!$A$5:$A$162,J1305),4),
    MATCH(K$8,'Vehicle numbers'!$B$4:$D$4,0))*1000</f>
        <v>2943376</v>
      </c>
      <c r="L1305" s="183">
        <f ca="1">VLOOKUP(F1305,
    OFFSET(INDIRECT(ADDRESS(MATCH(J1305,'Vehicle numbers'!$A$5:$A$162,0),1,1,1,$L$6)),4,1,COUNTIF('Vehicle numbers'!$A$5:$A$162,J1305),4),
    MATCH(L$8,'Vehicle numbers'!$B$4:$D$4,0))*1000</f>
        <v>3027837.8931860048</v>
      </c>
      <c r="M1305" s="184">
        <f>VLOOKUP(F1305,'Annual distance covered (GB)'!$A$8:$H$33,MATCH(J1305,'Annual distance covered (GB)'!$A$7:$H$7,0))</f>
        <v>61.8</v>
      </c>
      <c r="N1305" s="2">
        <f t="shared" ca="1" si="54"/>
        <v>53857.940902788949</v>
      </c>
      <c r="O1305" s="180">
        <f t="shared" ca="1" si="55"/>
        <v>1.7787590618372769E-2</v>
      </c>
      <c r="P1305" s="180"/>
      <c r="Q1305" s="180"/>
      <c r="R1305" s="180"/>
      <c r="S1305" s="180"/>
      <c r="T1305" s="180"/>
    </row>
    <row r="1306" spans="1:20" x14ac:dyDescent="0.25">
      <c r="A1306" t="s">
        <v>236</v>
      </c>
      <c r="B1306" t="s">
        <v>237</v>
      </c>
      <c r="C1306" t="s">
        <v>238</v>
      </c>
      <c r="D1306" t="s">
        <v>259</v>
      </c>
      <c r="E1306" t="s">
        <v>229</v>
      </c>
      <c r="F1306">
        <v>2005</v>
      </c>
      <c r="G1306">
        <v>1.8218999999999999E-2</v>
      </c>
      <c r="H1306" t="s">
        <v>240</v>
      </c>
      <c r="I1306" t="s">
        <v>241</v>
      </c>
      <c r="J1306" t="s">
        <v>188</v>
      </c>
      <c r="K1306" s="183">
        <f ca="1">VLOOKUP(F1306,
    OFFSET(INDIRECT(ADDRESS(MATCH(J1306,'Vehicle numbers'!$A$5:$A$162,0),1,1,1,$L$6)),4,1,COUNTIF('Vehicle numbers'!$A$5:$A$162,J1306),4),
    MATCH(K$8,'Vehicle numbers'!$B$4:$D$4,0))*1000</f>
        <v>2943376</v>
      </c>
      <c r="L1306" s="183">
        <f ca="1">VLOOKUP(F1306,
    OFFSET(INDIRECT(ADDRESS(MATCH(J1306,'Vehicle numbers'!$A$5:$A$162,0),1,1,1,$L$6)),4,1,COUNTIF('Vehicle numbers'!$A$5:$A$162,J1306),4),
    MATCH(L$8,'Vehicle numbers'!$B$4:$D$4,0))*1000</f>
        <v>3027837.8931860048</v>
      </c>
      <c r="M1306" s="184">
        <f>VLOOKUP(F1306,'Annual distance covered (GB)'!$A$8:$H$33,MATCH(J1306,'Annual distance covered (GB)'!$A$7:$H$7,0))</f>
        <v>61.8</v>
      </c>
      <c r="N1306" s="2">
        <f t="shared" ca="1" si="54"/>
        <v>1158243.5393894867</v>
      </c>
      <c r="O1306" s="180">
        <f t="shared" ca="1" si="55"/>
        <v>0.38253155560145902</v>
      </c>
      <c r="P1306" s="180"/>
      <c r="Q1306" s="180"/>
      <c r="R1306" s="180"/>
      <c r="S1306" s="180"/>
      <c r="T1306" s="180"/>
    </row>
    <row r="1307" spans="1:20" x14ac:dyDescent="0.25">
      <c r="A1307" t="s">
        <v>243</v>
      </c>
      <c r="B1307" t="s">
        <v>237</v>
      </c>
      <c r="C1307" t="s">
        <v>238</v>
      </c>
      <c r="D1307" t="s">
        <v>259</v>
      </c>
      <c r="E1307" t="s">
        <v>229</v>
      </c>
      <c r="F1307">
        <v>2005</v>
      </c>
      <c r="G1307">
        <v>7.2876E-3</v>
      </c>
      <c r="H1307" t="s">
        <v>240</v>
      </c>
      <c r="I1307" t="s">
        <v>241</v>
      </c>
      <c r="J1307" t="s">
        <v>188</v>
      </c>
      <c r="K1307" s="183">
        <f ca="1">VLOOKUP(F1307,
    OFFSET(INDIRECT(ADDRESS(MATCH(J1307,'Vehicle numbers'!$A$5:$A$162,0),1,1,1,$L$6)),4,1,COUNTIF('Vehicle numbers'!$A$5:$A$162,J1307),4),
    MATCH(K$8,'Vehicle numbers'!$B$4:$D$4,0))*1000</f>
        <v>2943376</v>
      </c>
      <c r="L1307" s="183">
        <f ca="1">VLOOKUP(F1307,
    OFFSET(INDIRECT(ADDRESS(MATCH(J1307,'Vehicle numbers'!$A$5:$A$162,0),1,1,1,$L$6)),4,1,COUNTIF('Vehicle numbers'!$A$5:$A$162,J1307),4),
    MATCH(L$8,'Vehicle numbers'!$B$4:$D$4,0))*1000</f>
        <v>3027837.8931860048</v>
      </c>
      <c r="M1307" s="184">
        <f>VLOOKUP(F1307,'Annual distance covered (GB)'!$A$8:$H$33,MATCH(J1307,'Annual distance covered (GB)'!$A$7:$H$7,0))</f>
        <v>61.8</v>
      </c>
      <c r="N1307" s="2">
        <f t="shared" ca="1" si="54"/>
        <v>463297.41575579462</v>
      </c>
      <c r="O1307" s="180">
        <f t="shared" ca="1" si="55"/>
        <v>0.15301262224058357</v>
      </c>
      <c r="P1307" s="180"/>
      <c r="Q1307" s="180"/>
      <c r="R1307" s="180"/>
      <c r="S1307" s="180"/>
      <c r="T1307" s="180"/>
    </row>
    <row r="1308" spans="1:20" x14ac:dyDescent="0.25">
      <c r="A1308" t="s">
        <v>244</v>
      </c>
      <c r="B1308" t="s">
        <v>237</v>
      </c>
      <c r="C1308" t="s">
        <v>238</v>
      </c>
      <c r="D1308" t="s">
        <v>259</v>
      </c>
      <c r="E1308" t="s">
        <v>229</v>
      </c>
      <c r="F1308">
        <v>2005</v>
      </c>
      <c r="G1308">
        <v>1.8219E-3</v>
      </c>
      <c r="H1308" t="s">
        <v>240</v>
      </c>
      <c r="I1308" t="s">
        <v>241</v>
      </c>
      <c r="J1308" t="s">
        <v>188</v>
      </c>
      <c r="K1308" s="183">
        <f ca="1">VLOOKUP(F1308,
    OFFSET(INDIRECT(ADDRESS(MATCH(J1308,'Vehicle numbers'!$A$5:$A$162,0),1,1,1,$L$6)),4,1,COUNTIF('Vehicle numbers'!$A$5:$A$162,J1308),4),
    MATCH(K$8,'Vehicle numbers'!$B$4:$D$4,0))*1000</f>
        <v>2943376</v>
      </c>
      <c r="L1308" s="183">
        <f ca="1">VLOOKUP(F1308,
    OFFSET(INDIRECT(ADDRESS(MATCH(J1308,'Vehicle numbers'!$A$5:$A$162,0),1,1,1,$L$6)),4,1,COUNTIF('Vehicle numbers'!$A$5:$A$162,J1308),4),
    MATCH(L$8,'Vehicle numbers'!$B$4:$D$4,0))*1000</f>
        <v>3027837.8931860048</v>
      </c>
      <c r="M1308" s="184">
        <f>VLOOKUP(F1308,'Annual distance covered (GB)'!$A$8:$H$33,MATCH(J1308,'Annual distance covered (GB)'!$A$7:$H$7,0))</f>
        <v>61.8</v>
      </c>
      <c r="N1308" s="2">
        <f t="shared" ca="1" si="54"/>
        <v>115824.35393894865</v>
      </c>
      <c r="O1308" s="180">
        <f t="shared" ca="1" si="55"/>
        <v>3.8253155560145892E-2</v>
      </c>
      <c r="P1308" s="180"/>
      <c r="Q1308" s="180"/>
      <c r="R1308" s="180"/>
      <c r="S1308" s="180"/>
      <c r="T1308" s="180"/>
    </row>
    <row r="1309" spans="1:20" x14ac:dyDescent="0.25">
      <c r="A1309" t="s">
        <v>246</v>
      </c>
      <c r="B1309" t="s">
        <v>237</v>
      </c>
      <c r="C1309" t="s">
        <v>238</v>
      </c>
      <c r="D1309" t="s">
        <v>259</v>
      </c>
      <c r="E1309" t="s">
        <v>229</v>
      </c>
      <c r="F1309">
        <v>2005</v>
      </c>
      <c r="G1309">
        <v>1.4575199999999999E-3</v>
      </c>
      <c r="H1309" t="s">
        <v>240</v>
      </c>
      <c r="I1309" t="s">
        <v>241</v>
      </c>
      <c r="J1309" t="s">
        <v>188</v>
      </c>
      <c r="K1309" s="183">
        <f ca="1">VLOOKUP(F1309,
    OFFSET(INDIRECT(ADDRESS(MATCH(J1309,'Vehicle numbers'!$A$5:$A$162,0),1,1,1,$L$6)),4,1,COUNTIF('Vehicle numbers'!$A$5:$A$162,J1309),4),
    MATCH(K$8,'Vehicle numbers'!$B$4:$D$4,0))*1000</f>
        <v>2943376</v>
      </c>
      <c r="L1309" s="183">
        <f ca="1">VLOOKUP(F1309,
    OFFSET(INDIRECT(ADDRESS(MATCH(J1309,'Vehicle numbers'!$A$5:$A$162,0),1,1,1,$L$6)),4,1,COUNTIF('Vehicle numbers'!$A$5:$A$162,J1309),4),
    MATCH(L$8,'Vehicle numbers'!$B$4:$D$4,0))*1000</f>
        <v>3027837.8931860048</v>
      </c>
      <c r="M1309" s="184">
        <f>VLOOKUP(F1309,'Annual distance covered (GB)'!$A$8:$H$33,MATCH(J1309,'Annual distance covered (GB)'!$A$7:$H$7,0))</f>
        <v>61.8</v>
      </c>
      <c r="N1309" s="2">
        <f t="shared" ca="1" si="54"/>
        <v>92659.483151158915</v>
      </c>
      <c r="O1309" s="180">
        <f t="shared" ca="1" si="55"/>
        <v>3.0602524448116713E-2</v>
      </c>
      <c r="P1309" s="180"/>
      <c r="Q1309" s="180"/>
      <c r="R1309" s="180"/>
      <c r="S1309" s="180"/>
      <c r="T1309" s="180"/>
    </row>
    <row r="1310" spans="1:20" x14ac:dyDescent="0.25">
      <c r="A1310" t="s">
        <v>236</v>
      </c>
      <c r="B1310" t="s">
        <v>237</v>
      </c>
      <c r="C1310" t="s">
        <v>238</v>
      </c>
      <c r="D1310" t="s">
        <v>259</v>
      </c>
      <c r="E1310" t="s">
        <v>228</v>
      </c>
      <c r="F1310">
        <v>2005</v>
      </c>
      <c r="G1310">
        <v>1.3802E-2</v>
      </c>
      <c r="H1310" t="s">
        <v>240</v>
      </c>
      <c r="I1310" t="s">
        <v>241</v>
      </c>
      <c r="J1310" t="s">
        <v>188</v>
      </c>
      <c r="K1310" s="183">
        <f ca="1">VLOOKUP(F1310,
    OFFSET(INDIRECT(ADDRESS(MATCH(J1310,'Vehicle numbers'!$A$5:$A$162,0),1,1,1,$L$6)),4,1,COUNTIF('Vehicle numbers'!$A$5:$A$162,J1310),4),
    MATCH(K$8,'Vehicle numbers'!$B$4:$D$4,0))*1000</f>
        <v>2943376</v>
      </c>
      <c r="L1310" s="183">
        <f ca="1">VLOOKUP(F1310,
    OFFSET(INDIRECT(ADDRESS(MATCH(J1310,'Vehicle numbers'!$A$5:$A$162,0),1,1,1,$L$6)),4,1,COUNTIF('Vehicle numbers'!$A$5:$A$162,J1310),4),
    MATCH(L$8,'Vehicle numbers'!$B$4:$D$4,0))*1000</f>
        <v>3027837.8931860048</v>
      </c>
      <c r="M1310" s="184">
        <f>VLOOKUP(F1310,'Annual distance covered (GB)'!$A$8:$H$33,MATCH(J1310,'Annual distance covered (GB)'!$A$7:$H$7,0))</f>
        <v>61.8</v>
      </c>
      <c r="N1310" s="2">
        <f t="shared" ca="1" si="54"/>
        <v>877439.888613738</v>
      </c>
      <c r="O1310" s="180">
        <f t="shared" ca="1" si="55"/>
        <v>0.28979090676828234</v>
      </c>
      <c r="P1310" s="180"/>
      <c r="Q1310" s="180"/>
      <c r="R1310" s="180"/>
      <c r="S1310" s="180"/>
      <c r="T1310" s="180"/>
    </row>
    <row r="1311" spans="1:20" x14ac:dyDescent="0.25">
      <c r="A1311" t="s">
        <v>243</v>
      </c>
      <c r="B1311" t="s">
        <v>237</v>
      </c>
      <c r="C1311" t="s">
        <v>238</v>
      </c>
      <c r="D1311" t="s">
        <v>259</v>
      </c>
      <c r="E1311" t="s">
        <v>228</v>
      </c>
      <c r="F1311">
        <v>2005</v>
      </c>
      <c r="G1311">
        <v>9.6614000000000005E-3</v>
      </c>
      <c r="H1311" t="s">
        <v>240</v>
      </c>
      <c r="I1311" t="s">
        <v>241</v>
      </c>
      <c r="J1311" t="s">
        <v>188</v>
      </c>
      <c r="K1311" s="183">
        <f ca="1">VLOOKUP(F1311,
    OFFSET(INDIRECT(ADDRESS(MATCH(J1311,'Vehicle numbers'!$A$5:$A$162,0),1,1,1,$L$6)),4,1,COUNTIF('Vehicle numbers'!$A$5:$A$162,J1311),4),
    MATCH(K$8,'Vehicle numbers'!$B$4:$D$4,0))*1000</f>
        <v>2943376</v>
      </c>
      <c r="L1311" s="183">
        <f ca="1">VLOOKUP(F1311,
    OFFSET(INDIRECT(ADDRESS(MATCH(J1311,'Vehicle numbers'!$A$5:$A$162,0),1,1,1,$L$6)),4,1,COUNTIF('Vehicle numbers'!$A$5:$A$162,J1311),4),
    MATCH(L$8,'Vehicle numbers'!$B$4:$D$4,0))*1000</f>
        <v>3027837.8931860048</v>
      </c>
      <c r="M1311" s="184">
        <f>VLOOKUP(F1311,'Annual distance covered (GB)'!$A$8:$H$33,MATCH(J1311,'Annual distance covered (GB)'!$A$7:$H$7,0))</f>
        <v>61.8</v>
      </c>
      <c r="N1311" s="2">
        <f t="shared" ca="1" si="54"/>
        <v>614207.92202961666</v>
      </c>
      <c r="O1311" s="180">
        <f t="shared" ca="1" si="55"/>
        <v>0.20285363473779766</v>
      </c>
      <c r="P1311" s="180"/>
      <c r="Q1311" s="180"/>
      <c r="R1311" s="180"/>
      <c r="S1311" s="180"/>
      <c r="T1311" s="180"/>
    </row>
    <row r="1312" spans="1:20" x14ac:dyDescent="0.25">
      <c r="A1312" t="s">
        <v>244</v>
      </c>
      <c r="B1312" t="s">
        <v>237</v>
      </c>
      <c r="C1312" t="s">
        <v>238</v>
      </c>
      <c r="D1312" t="s">
        <v>259</v>
      </c>
      <c r="E1312" t="s">
        <v>228</v>
      </c>
      <c r="F1312">
        <v>2005</v>
      </c>
      <c r="G1312">
        <v>1.3607605633802801E-3</v>
      </c>
      <c r="H1312" t="s">
        <v>240</v>
      </c>
      <c r="I1312" t="s">
        <v>241</v>
      </c>
      <c r="J1312" t="s">
        <v>188</v>
      </c>
      <c r="K1312" s="183">
        <f ca="1">VLOOKUP(F1312,
    OFFSET(INDIRECT(ADDRESS(MATCH(J1312,'Vehicle numbers'!$A$5:$A$162,0),1,1,1,$L$6)),4,1,COUNTIF('Vehicle numbers'!$A$5:$A$162,J1312),4),
    MATCH(K$8,'Vehicle numbers'!$B$4:$D$4,0))*1000</f>
        <v>2943376</v>
      </c>
      <c r="L1312" s="183">
        <f ca="1">VLOOKUP(F1312,
    OFFSET(INDIRECT(ADDRESS(MATCH(J1312,'Vehicle numbers'!$A$5:$A$162,0),1,1,1,$L$6)),4,1,COUNTIF('Vehicle numbers'!$A$5:$A$162,J1312),4),
    MATCH(L$8,'Vehicle numbers'!$B$4:$D$4,0))*1000</f>
        <v>3027837.8931860048</v>
      </c>
      <c r="M1312" s="184">
        <f>VLOOKUP(F1312,'Annual distance covered (GB)'!$A$8:$H$33,MATCH(J1312,'Annual distance covered (GB)'!$A$7:$H$7,0))</f>
        <v>61.8</v>
      </c>
      <c r="N1312" s="2">
        <f t="shared" ca="1" si="54"/>
        <v>86508.15803234026</v>
      </c>
      <c r="O1312" s="180">
        <f t="shared" ca="1" si="55"/>
        <v>2.8570934470112309E-2</v>
      </c>
      <c r="P1312" s="180"/>
      <c r="Q1312" s="180"/>
      <c r="R1312" s="180"/>
      <c r="S1312" s="180"/>
      <c r="T1312" s="180"/>
    </row>
    <row r="1313" spans="1:20" x14ac:dyDescent="0.25">
      <c r="A1313" t="s">
        <v>246</v>
      </c>
      <c r="B1313" t="s">
        <v>237</v>
      </c>
      <c r="C1313" t="s">
        <v>238</v>
      </c>
      <c r="D1313" t="s">
        <v>259</v>
      </c>
      <c r="E1313" t="s">
        <v>228</v>
      </c>
      <c r="F1313">
        <v>2005</v>
      </c>
      <c r="G1313">
        <v>1.0886084507042201E-3</v>
      </c>
      <c r="H1313" t="s">
        <v>240</v>
      </c>
      <c r="I1313" t="s">
        <v>241</v>
      </c>
      <c r="J1313" t="s">
        <v>188</v>
      </c>
      <c r="K1313" s="183">
        <f ca="1">VLOOKUP(F1313,
    OFFSET(INDIRECT(ADDRESS(MATCH(J1313,'Vehicle numbers'!$A$5:$A$162,0),1,1,1,$L$6)),4,1,COUNTIF('Vehicle numbers'!$A$5:$A$162,J1313),4),
    MATCH(K$8,'Vehicle numbers'!$B$4:$D$4,0))*1000</f>
        <v>2943376</v>
      </c>
      <c r="L1313" s="183">
        <f ca="1">VLOOKUP(F1313,
    OFFSET(INDIRECT(ADDRESS(MATCH(J1313,'Vehicle numbers'!$A$5:$A$162,0),1,1,1,$L$6)),4,1,COUNTIF('Vehicle numbers'!$A$5:$A$162,J1313),4),
    MATCH(L$8,'Vehicle numbers'!$B$4:$D$4,0))*1000</f>
        <v>3027837.8931860048</v>
      </c>
      <c r="M1313" s="184">
        <f>VLOOKUP(F1313,'Annual distance covered (GB)'!$A$8:$H$33,MATCH(J1313,'Annual distance covered (GB)'!$A$7:$H$7,0))</f>
        <v>61.8</v>
      </c>
      <c r="N1313" s="2">
        <f t="shared" ca="1" si="54"/>
        <v>69206.526425871954</v>
      </c>
      <c r="O1313" s="180">
        <f t="shared" ca="1" si="55"/>
        <v>2.2856747576089763E-2</v>
      </c>
      <c r="P1313" s="180"/>
      <c r="Q1313" s="180"/>
      <c r="R1313" s="180"/>
      <c r="S1313" s="180"/>
      <c r="T1313" s="180"/>
    </row>
    <row r="1314" spans="1:20" x14ac:dyDescent="0.25">
      <c r="A1314" t="s">
        <v>236</v>
      </c>
      <c r="B1314" t="s">
        <v>237</v>
      </c>
      <c r="C1314" t="s">
        <v>238</v>
      </c>
      <c r="D1314" t="s">
        <v>260</v>
      </c>
      <c r="E1314" t="s">
        <v>229</v>
      </c>
      <c r="F1314">
        <v>2005</v>
      </c>
      <c r="G1314">
        <v>5.8399999999999997E-3</v>
      </c>
      <c r="H1314" t="s">
        <v>240</v>
      </c>
      <c r="I1314" t="s">
        <v>241</v>
      </c>
      <c r="J1314" t="s">
        <v>3</v>
      </c>
      <c r="K1314" s="183">
        <f ca="1">VLOOKUP(F1314,
    OFFSET(INDIRECT(ADDRESS(MATCH(J1314,'Vehicle numbers'!$A$5:$A$162,0),1,1,1,$L$6)),4,1,COUNTIF('Vehicle numbers'!$A$5:$A$162,J1314),4),
    MATCH(K$8,'Vehicle numbers'!$B$4:$D$4,0))*1000</f>
        <v>1206389</v>
      </c>
      <c r="L1314" s="183">
        <f ca="1">VLOOKUP(F1314,
    OFFSET(INDIRECT(ADDRESS(MATCH(J1314,'Vehicle numbers'!$A$5:$A$162,0),1,1,1,$L$6)),4,1,COUNTIF('Vehicle numbers'!$A$5:$A$162,J1314),4),
    MATCH(L$8,'Vehicle numbers'!$B$4:$D$4,0))*1000</f>
        <v>1228557.8208236597</v>
      </c>
      <c r="M1314" s="184">
        <f>VLOOKUP(F1314,'Annual distance covered (GB)'!$A$8:$H$33,MATCH(J1314,'Annual distance covered (GB)'!$A$7:$H$7,0))</f>
        <v>5.3</v>
      </c>
      <c r="N1314" s="2">
        <f t="shared" ca="1" si="54"/>
        <v>31520.77950821328</v>
      </c>
      <c r="O1314" s="180">
        <f t="shared" ca="1" si="55"/>
        <v>2.5656732612780783E-2</v>
      </c>
      <c r="P1314" s="180"/>
      <c r="Q1314" s="180"/>
      <c r="R1314" s="180"/>
      <c r="S1314" s="180"/>
      <c r="T1314" s="180"/>
    </row>
    <row r="1315" spans="1:20" x14ac:dyDescent="0.25">
      <c r="A1315" t="s">
        <v>243</v>
      </c>
      <c r="B1315" t="s">
        <v>237</v>
      </c>
      <c r="C1315" t="s">
        <v>238</v>
      </c>
      <c r="D1315" t="s">
        <v>260</v>
      </c>
      <c r="E1315" t="s">
        <v>229</v>
      </c>
      <c r="F1315">
        <v>2005</v>
      </c>
      <c r="G1315">
        <v>2.336E-3</v>
      </c>
      <c r="H1315" t="s">
        <v>240</v>
      </c>
      <c r="I1315" t="s">
        <v>241</v>
      </c>
      <c r="J1315" t="s">
        <v>3</v>
      </c>
      <c r="K1315" s="183">
        <f ca="1">VLOOKUP(F1315,
    OFFSET(INDIRECT(ADDRESS(MATCH(J1315,'Vehicle numbers'!$A$5:$A$162,0),1,1,1,$L$6)),4,1,COUNTIF('Vehicle numbers'!$A$5:$A$162,J1315),4),
    MATCH(K$8,'Vehicle numbers'!$B$4:$D$4,0))*1000</f>
        <v>1206389</v>
      </c>
      <c r="L1315" s="183">
        <f ca="1">VLOOKUP(F1315,
    OFFSET(INDIRECT(ADDRESS(MATCH(J1315,'Vehicle numbers'!$A$5:$A$162,0),1,1,1,$L$6)),4,1,COUNTIF('Vehicle numbers'!$A$5:$A$162,J1315),4),
    MATCH(L$8,'Vehicle numbers'!$B$4:$D$4,0))*1000</f>
        <v>1228557.8208236597</v>
      </c>
      <c r="M1315" s="184">
        <f>VLOOKUP(F1315,'Annual distance covered (GB)'!$A$8:$H$33,MATCH(J1315,'Annual distance covered (GB)'!$A$7:$H$7,0))</f>
        <v>5.3</v>
      </c>
      <c r="N1315" s="2">
        <f t="shared" ca="1" si="54"/>
        <v>12608.311803285313</v>
      </c>
      <c r="O1315" s="180">
        <f t="shared" ca="1" si="55"/>
        <v>1.0262693045112315E-2</v>
      </c>
      <c r="P1315" s="180"/>
      <c r="Q1315" s="180"/>
      <c r="R1315" s="180"/>
      <c r="S1315" s="180"/>
      <c r="T1315" s="180"/>
    </row>
    <row r="1316" spans="1:20" x14ac:dyDescent="0.25">
      <c r="A1316" t="s">
        <v>244</v>
      </c>
      <c r="B1316" t="s">
        <v>237</v>
      </c>
      <c r="C1316" t="s">
        <v>238</v>
      </c>
      <c r="D1316" t="s">
        <v>260</v>
      </c>
      <c r="E1316" t="s">
        <v>229</v>
      </c>
      <c r="F1316">
        <v>2005</v>
      </c>
      <c r="G1316">
        <v>5.8399999999999999E-4</v>
      </c>
      <c r="H1316" t="s">
        <v>240</v>
      </c>
      <c r="I1316" t="s">
        <v>241</v>
      </c>
      <c r="J1316" t="s">
        <v>3</v>
      </c>
      <c r="K1316" s="183">
        <f ca="1">VLOOKUP(F1316,
    OFFSET(INDIRECT(ADDRESS(MATCH(J1316,'Vehicle numbers'!$A$5:$A$162,0),1,1,1,$L$6)),4,1,COUNTIF('Vehicle numbers'!$A$5:$A$162,J1316),4),
    MATCH(K$8,'Vehicle numbers'!$B$4:$D$4,0))*1000</f>
        <v>1206389</v>
      </c>
      <c r="L1316" s="183">
        <f ca="1">VLOOKUP(F1316,
    OFFSET(INDIRECT(ADDRESS(MATCH(J1316,'Vehicle numbers'!$A$5:$A$162,0),1,1,1,$L$6)),4,1,COUNTIF('Vehicle numbers'!$A$5:$A$162,J1316),4),
    MATCH(L$8,'Vehicle numbers'!$B$4:$D$4,0))*1000</f>
        <v>1228557.8208236597</v>
      </c>
      <c r="M1316" s="184">
        <f>VLOOKUP(F1316,'Annual distance covered (GB)'!$A$8:$H$33,MATCH(J1316,'Annual distance covered (GB)'!$A$7:$H$7,0))</f>
        <v>5.3</v>
      </c>
      <c r="N1316" s="2">
        <f t="shared" ca="1" si="54"/>
        <v>3152.0779508213282</v>
      </c>
      <c r="O1316" s="180">
        <f t="shared" ca="1" si="55"/>
        <v>2.5656732612780787E-3</v>
      </c>
      <c r="P1316" s="180"/>
      <c r="Q1316" s="180"/>
      <c r="R1316" s="180"/>
      <c r="S1316" s="180"/>
      <c r="T1316" s="180"/>
    </row>
    <row r="1317" spans="1:20" x14ac:dyDescent="0.25">
      <c r="A1317" t="s">
        <v>246</v>
      </c>
      <c r="B1317" t="s">
        <v>237</v>
      </c>
      <c r="C1317" t="s">
        <v>238</v>
      </c>
      <c r="D1317" t="s">
        <v>260</v>
      </c>
      <c r="E1317" t="s">
        <v>229</v>
      </c>
      <c r="F1317">
        <v>2005</v>
      </c>
      <c r="G1317">
        <v>4.6720000000000003E-4</v>
      </c>
      <c r="H1317" t="s">
        <v>240</v>
      </c>
      <c r="I1317" t="s">
        <v>241</v>
      </c>
      <c r="J1317" t="s">
        <v>3</v>
      </c>
      <c r="K1317" s="183">
        <f ca="1">VLOOKUP(F1317,
    OFFSET(INDIRECT(ADDRESS(MATCH(J1317,'Vehicle numbers'!$A$5:$A$162,0),1,1,1,$L$6)),4,1,COUNTIF('Vehicle numbers'!$A$5:$A$162,J1317),4),
    MATCH(K$8,'Vehicle numbers'!$B$4:$D$4,0))*1000</f>
        <v>1206389</v>
      </c>
      <c r="L1317" s="183">
        <f ca="1">VLOOKUP(F1317,
    OFFSET(INDIRECT(ADDRESS(MATCH(J1317,'Vehicle numbers'!$A$5:$A$162,0),1,1,1,$L$6)),4,1,COUNTIF('Vehicle numbers'!$A$5:$A$162,J1317),4),
    MATCH(L$8,'Vehicle numbers'!$B$4:$D$4,0))*1000</f>
        <v>1228557.8208236597</v>
      </c>
      <c r="M1317" s="184">
        <f>VLOOKUP(F1317,'Annual distance covered (GB)'!$A$8:$H$33,MATCH(J1317,'Annual distance covered (GB)'!$A$7:$H$7,0))</f>
        <v>5.3</v>
      </c>
      <c r="N1317" s="2">
        <f t="shared" ca="1" si="54"/>
        <v>2521.6623606570629</v>
      </c>
      <c r="O1317" s="180">
        <f t="shared" ca="1" si="55"/>
        <v>2.0525386090224631E-3</v>
      </c>
      <c r="P1317" s="180"/>
      <c r="Q1317" s="180"/>
      <c r="R1317" s="180"/>
      <c r="S1317" s="180"/>
      <c r="T1317" s="180"/>
    </row>
    <row r="1318" spans="1:20" x14ac:dyDescent="0.25">
      <c r="A1318" t="s">
        <v>236</v>
      </c>
      <c r="B1318" t="s">
        <v>237</v>
      </c>
      <c r="C1318" t="s">
        <v>238</v>
      </c>
      <c r="D1318" t="s">
        <v>260</v>
      </c>
      <c r="E1318" t="s">
        <v>228</v>
      </c>
      <c r="F1318">
        <v>2005</v>
      </c>
      <c r="G1318">
        <v>3.7569999999999999E-3</v>
      </c>
      <c r="H1318" t="s">
        <v>240</v>
      </c>
      <c r="I1318" t="s">
        <v>241</v>
      </c>
      <c r="J1318" t="s">
        <v>3</v>
      </c>
      <c r="K1318" s="183">
        <f ca="1">VLOOKUP(F1318,
    OFFSET(INDIRECT(ADDRESS(MATCH(J1318,'Vehicle numbers'!$A$5:$A$162,0),1,1,1,$L$6)),4,1,COUNTIF('Vehicle numbers'!$A$5:$A$162,J1318),4),
    MATCH(K$8,'Vehicle numbers'!$B$4:$D$4,0))*1000</f>
        <v>1206389</v>
      </c>
      <c r="L1318" s="183">
        <f ca="1">VLOOKUP(F1318,
    OFFSET(INDIRECT(ADDRESS(MATCH(J1318,'Vehicle numbers'!$A$5:$A$162,0),1,1,1,$L$6)),4,1,COUNTIF('Vehicle numbers'!$A$5:$A$162,J1318),4),
    MATCH(L$8,'Vehicle numbers'!$B$4:$D$4,0))*1000</f>
        <v>1228557.8208236597</v>
      </c>
      <c r="M1318" s="184">
        <f>VLOOKUP(F1318,'Annual distance covered (GB)'!$A$8:$H$33,MATCH(J1318,'Annual distance covered (GB)'!$A$7:$H$7,0))</f>
        <v>5.3</v>
      </c>
      <c r="N1318" s="2">
        <f t="shared" ca="1" si="54"/>
        <v>20278.008324033784</v>
      </c>
      <c r="O1318" s="180">
        <f t="shared" ca="1" si="55"/>
        <v>1.6505538429146819E-2</v>
      </c>
      <c r="P1318" s="180"/>
      <c r="Q1318" s="180"/>
      <c r="R1318" s="180"/>
      <c r="S1318" s="180"/>
      <c r="T1318" s="180"/>
    </row>
    <row r="1319" spans="1:20" x14ac:dyDescent="0.25">
      <c r="A1319" t="s">
        <v>243</v>
      </c>
      <c r="B1319" t="s">
        <v>237</v>
      </c>
      <c r="C1319" t="s">
        <v>238</v>
      </c>
      <c r="D1319" t="s">
        <v>260</v>
      </c>
      <c r="E1319" t="s">
        <v>228</v>
      </c>
      <c r="F1319">
        <v>2005</v>
      </c>
      <c r="G1319">
        <v>2.6299000000000001E-3</v>
      </c>
      <c r="H1319" t="s">
        <v>240</v>
      </c>
      <c r="I1319" t="s">
        <v>241</v>
      </c>
      <c r="J1319" t="s">
        <v>3</v>
      </c>
      <c r="K1319" s="183">
        <f ca="1">VLOOKUP(F1319,
    OFFSET(INDIRECT(ADDRESS(MATCH(J1319,'Vehicle numbers'!$A$5:$A$162,0),1,1,1,$L$6)),4,1,COUNTIF('Vehicle numbers'!$A$5:$A$162,J1319),4),
    MATCH(K$8,'Vehicle numbers'!$B$4:$D$4,0))*1000</f>
        <v>1206389</v>
      </c>
      <c r="L1319" s="183">
        <f ca="1">VLOOKUP(F1319,
    OFFSET(INDIRECT(ADDRESS(MATCH(J1319,'Vehicle numbers'!$A$5:$A$162,0),1,1,1,$L$6)),4,1,COUNTIF('Vehicle numbers'!$A$5:$A$162,J1319),4),
    MATCH(L$8,'Vehicle numbers'!$B$4:$D$4,0))*1000</f>
        <v>1228557.8208236597</v>
      </c>
      <c r="M1319" s="184">
        <f>VLOOKUP(F1319,'Annual distance covered (GB)'!$A$8:$H$33,MATCH(J1319,'Annual distance covered (GB)'!$A$7:$H$7,0))</f>
        <v>5.3</v>
      </c>
      <c r="N1319" s="2">
        <f t="shared" ca="1" si="54"/>
        <v>14194.605826823648</v>
      </c>
      <c r="O1319" s="180">
        <f t="shared" ca="1" si="55"/>
        <v>1.1553876900402771E-2</v>
      </c>
      <c r="P1319" s="180"/>
      <c r="Q1319" s="180"/>
      <c r="R1319" s="180"/>
      <c r="S1319" s="180"/>
      <c r="T1319" s="180"/>
    </row>
    <row r="1320" spans="1:20" x14ac:dyDescent="0.25">
      <c r="A1320" t="s">
        <v>244</v>
      </c>
      <c r="B1320" t="s">
        <v>237</v>
      </c>
      <c r="C1320" t="s">
        <v>238</v>
      </c>
      <c r="D1320" t="s">
        <v>260</v>
      </c>
      <c r="E1320" t="s">
        <v>228</v>
      </c>
      <c r="F1320">
        <v>2005</v>
      </c>
      <c r="G1320">
        <v>3.7040845070422499E-4</v>
      </c>
      <c r="H1320" t="s">
        <v>240</v>
      </c>
      <c r="I1320" t="s">
        <v>241</v>
      </c>
      <c r="J1320" t="s">
        <v>3</v>
      </c>
      <c r="K1320" s="183">
        <f ca="1">VLOOKUP(F1320,
    OFFSET(INDIRECT(ADDRESS(MATCH(J1320,'Vehicle numbers'!$A$5:$A$162,0),1,1,1,$L$6)),4,1,COUNTIF('Vehicle numbers'!$A$5:$A$162,J1320),4),
    MATCH(K$8,'Vehicle numbers'!$B$4:$D$4,0))*1000</f>
        <v>1206389</v>
      </c>
      <c r="L1320" s="183">
        <f ca="1">VLOOKUP(F1320,
    OFFSET(INDIRECT(ADDRESS(MATCH(J1320,'Vehicle numbers'!$A$5:$A$162,0),1,1,1,$L$6)),4,1,COUNTIF('Vehicle numbers'!$A$5:$A$162,J1320),4),
    MATCH(L$8,'Vehicle numbers'!$B$4:$D$4,0))*1000</f>
        <v>1228557.8208236597</v>
      </c>
      <c r="M1320" s="184">
        <f>VLOOKUP(F1320,'Annual distance covered (GB)'!$A$8:$H$33,MATCH(J1320,'Annual distance covered (GB)'!$A$7:$H$7,0))</f>
        <v>5.3</v>
      </c>
      <c r="N1320" s="2">
        <f t="shared" ca="1" si="54"/>
        <v>1999.2402572991034</v>
      </c>
      <c r="O1320" s="180">
        <f t="shared" ca="1" si="55"/>
        <v>1.6273066056905297E-3</v>
      </c>
      <c r="P1320" s="180"/>
      <c r="Q1320" s="180"/>
      <c r="R1320" s="180"/>
      <c r="S1320" s="180"/>
      <c r="T1320" s="180"/>
    </row>
    <row r="1321" spans="1:20" x14ac:dyDescent="0.25">
      <c r="A1321" t="s">
        <v>246</v>
      </c>
      <c r="B1321" t="s">
        <v>237</v>
      </c>
      <c r="C1321" t="s">
        <v>238</v>
      </c>
      <c r="D1321" t="s">
        <v>260</v>
      </c>
      <c r="E1321" t="s">
        <v>228</v>
      </c>
      <c r="F1321">
        <v>2005</v>
      </c>
      <c r="G1321">
        <v>2.9632676056337998E-4</v>
      </c>
      <c r="H1321" t="s">
        <v>240</v>
      </c>
      <c r="I1321" t="s">
        <v>241</v>
      </c>
      <c r="J1321" t="s">
        <v>3</v>
      </c>
      <c r="K1321" s="183">
        <f ca="1">VLOOKUP(F1321,
    OFFSET(INDIRECT(ADDRESS(MATCH(J1321,'Vehicle numbers'!$A$5:$A$162,0),1,1,1,$L$6)),4,1,COUNTIF('Vehicle numbers'!$A$5:$A$162,J1321),4),
    MATCH(K$8,'Vehicle numbers'!$B$4:$D$4,0))*1000</f>
        <v>1206389</v>
      </c>
      <c r="L1321" s="183">
        <f ca="1">VLOOKUP(F1321,
    OFFSET(INDIRECT(ADDRESS(MATCH(J1321,'Vehicle numbers'!$A$5:$A$162,0),1,1,1,$L$6)),4,1,COUNTIF('Vehicle numbers'!$A$5:$A$162,J1321),4),
    MATCH(L$8,'Vehicle numbers'!$B$4:$D$4,0))*1000</f>
        <v>1228557.8208236597</v>
      </c>
      <c r="M1321" s="184">
        <f>VLOOKUP(F1321,'Annual distance covered (GB)'!$A$8:$H$33,MATCH(J1321,'Annual distance covered (GB)'!$A$7:$H$7,0))</f>
        <v>5.3</v>
      </c>
      <c r="N1321" s="2">
        <f t="shared" ca="1" si="54"/>
        <v>1599.3922058392827</v>
      </c>
      <c r="O1321" s="180">
        <f t="shared" ca="1" si="55"/>
        <v>1.3018452845524238E-3</v>
      </c>
      <c r="P1321" s="180"/>
      <c r="Q1321" s="180"/>
      <c r="R1321" s="180"/>
      <c r="S1321" s="180"/>
      <c r="T1321" s="180"/>
    </row>
    <row r="1322" spans="1:20" x14ac:dyDescent="0.25">
      <c r="A1322" t="s">
        <v>236</v>
      </c>
      <c r="B1322" t="s">
        <v>237</v>
      </c>
      <c r="C1322" t="s">
        <v>238</v>
      </c>
      <c r="D1322" t="s">
        <v>261</v>
      </c>
      <c r="E1322" t="s">
        <v>229</v>
      </c>
      <c r="F1322">
        <v>2005</v>
      </c>
      <c r="G1322">
        <v>5.8399999999999997E-3</v>
      </c>
      <c r="H1322" t="s">
        <v>240</v>
      </c>
      <c r="I1322" t="s">
        <v>241</v>
      </c>
      <c r="J1322" t="s">
        <v>3</v>
      </c>
      <c r="K1322" s="183">
        <f ca="1">VLOOKUP(F1322,
    OFFSET(INDIRECT(ADDRESS(MATCH(J1322,'Vehicle numbers'!$A$5:$A$162,0),1,1,1,$L$6)),4,1,COUNTIF('Vehicle numbers'!$A$5:$A$162,J1322),4),
    MATCH(K$8,'Vehicle numbers'!$B$4:$D$4,0))*1000</f>
        <v>1206389</v>
      </c>
      <c r="L1322" s="183">
        <f ca="1">VLOOKUP(F1322,
    OFFSET(INDIRECT(ADDRESS(MATCH(J1322,'Vehicle numbers'!$A$5:$A$162,0),1,1,1,$L$6)),4,1,COUNTIF('Vehicle numbers'!$A$5:$A$162,J1322),4),
    MATCH(L$8,'Vehicle numbers'!$B$4:$D$4,0))*1000</f>
        <v>1228557.8208236597</v>
      </c>
      <c r="M1322" s="184">
        <f>VLOOKUP(F1322,'Annual distance covered (GB)'!$A$8:$H$33,MATCH(J1322,'Annual distance covered (GB)'!$A$7:$H$7,0))</f>
        <v>5.3</v>
      </c>
      <c r="N1322" s="2">
        <f t="shared" ca="1" si="54"/>
        <v>31520.77950821328</v>
      </c>
      <c r="O1322" s="180">
        <f t="shared" ca="1" si="55"/>
        <v>2.5656732612780783E-2</v>
      </c>
      <c r="P1322" s="180"/>
      <c r="Q1322" s="180"/>
      <c r="R1322" s="180"/>
      <c r="S1322" s="180"/>
      <c r="T1322" s="180"/>
    </row>
    <row r="1323" spans="1:20" x14ac:dyDescent="0.25">
      <c r="A1323" t="s">
        <v>243</v>
      </c>
      <c r="B1323" t="s">
        <v>237</v>
      </c>
      <c r="C1323" t="s">
        <v>238</v>
      </c>
      <c r="D1323" t="s">
        <v>261</v>
      </c>
      <c r="E1323" t="s">
        <v>229</v>
      </c>
      <c r="F1323">
        <v>2005</v>
      </c>
      <c r="G1323">
        <v>2.336E-3</v>
      </c>
      <c r="H1323" t="s">
        <v>240</v>
      </c>
      <c r="I1323" t="s">
        <v>241</v>
      </c>
      <c r="J1323" t="s">
        <v>3</v>
      </c>
      <c r="K1323" s="183">
        <f ca="1">VLOOKUP(F1323,
    OFFSET(INDIRECT(ADDRESS(MATCH(J1323,'Vehicle numbers'!$A$5:$A$162,0),1,1,1,$L$6)),4,1,COUNTIF('Vehicle numbers'!$A$5:$A$162,J1323),4),
    MATCH(K$8,'Vehicle numbers'!$B$4:$D$4,0))*1000</f>
        <v>1206389</v>
      </c>
      <c r="L1323" s="183">
        <f ca="1">VLOOKUP(F1323,
    OFFSET(INDIRECT(ADDRESS(MATCH(J1323,'Vehicle numbers'!$A$5:$A$162,0),1,1,1,$L$6)),4,1,COUNTIF('Vehicle numbers'!$A$5:$A$162,J1323),4),
    MATCH(L$8,'Vehicle numbers'!$B$4:$D$4,0))*1000</f>
        <v>1228557.8208236597</v>
      </c>
      <c r="M1323" s="184">
        <f>VLOOKUP(F1323,'Annual distance covered (GB)'!$A$8:$H$33,MATCH(J1323,'Annual distance covered (GB)'!$A$7:$H$7,0))</f>
        <v>5.3</v>
      </c>
      <c r="N1323" s="2">
        <f t="shared" ca="1" si="54"/>
        <v>12608.311803285313</v>
      </c>
      <c r="O1323" s="180">
        <f t="shared" ca="1" si="55"/>
        <v>1.0262693045112315E-2</v>
      </c>
      <c r="P1323" s="180"/>
      <c r="Q1323" s="180"/>
      <c r="R1323" s="180"/>
      <c r="S1323" s="180"/>
      <c r="T1323" s="180"/>
    </row>
    <row r="1324" spans="1:20" x14ac:dyDescent="0.25">
      <c r="A1324" t="s">
        <v>244</v>
      </c>
      <c r="B1324" t="s">
        <v>237</v>
      </c>
      <c r="C1324" t="s">
        <v>238</v>
      </c>
      <c r="D1324" t="s">
        <v>261</v>
      </c>
      <c r="E1324" t="s">
        <v>229</v>
      </c>
      <c r="F1324">
        <v>2005</v>
      </c>
      <c r="G1324">
        <v>5.8399999999999999E-4</v>
      </c>
      <c r="H1324" t="s">
        <v>240</v>
      </c>
      <c r="I1324" t="s">
        <v>241</v>
      </c>
      <c r="J1324" t="s">
        <v>3</v>
      </c>
      <c r="K1324" s="183">
        <f ca="1">VLOOKUP(F1324,
    OFFSET(INDIRECT(ADDRESS(MATCH(J1324,'Vehicle numbers'!$A$5:$A$162,0),1,1,1,$L$6)),4,1,COUNTIF('Vehicle numbers'!$A$5:$A$162,J1324),4),
    MATCH(K$8,'Vehicle numbers'!$B$4:$D$4,0))*1000</f>
        <v>1206389</v>
      </c>
      <c r="L1324" s="183">
        <f ca="1">VLOOKUP(F1324,
    OFFSET(INDIRECT(ADDRESS(MATCH(J1324,'Vehicle numbers'!$A$5:$A$162,0),1,1,1,$L$6)),4,1,COUNTIF('Vehicle numbers'!$A$5:$A$162,J1324),4),
    MATCH(L$8,'Vehicle numbers'!$B$4:$D$4,0))*1000</f>
        <v>1228557.8208236597</v>
      </c>
      <c r="M1324" s="184">
        <f>VLOOKUP(F1324,'Annual distance covered (GB)'!$A$8:$H$33,MATCH(J1324,'Annual distance covered (GB)'!$A$7:$H$7,0))</f>
        <v>5.3</v>
      </c>
      <c r="N1324" s="2">
        <f t="shared" ca="1" si="54"/>
        <v>3152.0779508213282</v>
      </c>
      <c r="O1324" s="180">
        <f t="shared" ca="1" si="55"/>
        <v>2.5656732612780787E-3</v>
      </c>
      <c r="P1324" s="180"/>
      <c r="Q1324" s="180"/>
      <c r="R1324" s="180"/>
      <c r="S1324" s="180"/>
      <c r="T1324" s="180"/>
    </row>
    <row r="1325" spans="1:20" x14ac:dyDescent="0.25">
      <c r="A1325" t="s">
        <v>246</v>
      </c>
      <c r="B1325" t="s">
        <v>237</v>
      </c>
      <c r="C1325" t="s">
        <v>238</v>
      </c>
      <c r="D1325" t="s">
        <v>261</v>
      </c>
      <c r="E1325" t="s">
        <v>229</v>
      </c>
      <c r="F1325">
        <v>2005</v>
      </c>
      <c r="G1325">
        <v>4.6720000000000003E-4</v>
      </c>
      <c r="H1325" t="s">
        <v>240</v>
      </c>
      <c r="I1325" t="s">
        <v>241</v>
      </c>
      <c r="J1325" t="s">
        <v>3</v>
      </c>
      <c r="K1325" s="183">
        <f ca="1">VLOOKUP(F1325,
    OFFSET(INDIRECT(ADDRESS(MATCH(J1325,'Vehicle numbers'!$A$5:$A$162,0),1,1,1,$L$6)),4,1,COUNTIF('Vehicle numbers'!$A$5:$A$162,J1325),4),
    MATCH(K$8,'Vehicle numbers'!$B$4:$D$4,0))*1000</f>
        <v>1206389</v>
      </c>
      <c r="L1325" s="183">
        <f ca="1">VLOOKUP(F1325,
    OFFSET(INDIRECT(ADDRESS(MATCH(J1325,'Vehicle numbers'!$A$5:$A$162,0),1,1,1,$L$6)),4,1,COUNTIF('Vehicle numbers'!$A$5:$A$162,J1325),4),
    MATCH(L$8,'Vehicle numbers'!$B$4:$D$4,0))*1000</f>
        <v>1228557.8208236597</v>
      </c>
      <c r="M1325" s="184">
        <f>VLOOKUP(F1325,'Annual distance covered (GB)'!$A$8:$H$33,MATCH(J1325,'Annual distance covered (GB)'!$A$7:$H$7,0))</f>
        <v>5.3</v>
      </c>
      <c r="N1325" s="2">
        <f t="shared" ca="1" si="54"/>
        <v>2521.6623606570629</v>
      </c>
      <c r="O1325" s="180">
        <f t="shared" ca="1" si="55"/>
        <v>2.0525386090224631E-3</v>
      </c>
      <c r="P1325" s="180"/>
      <c r="Q1325" s="180"/>
      <c r="R1325" s="180"/>
      <c r="S1325" s="180"/>
      <c r="T1325" s="180"/>
    </row>
    <row r="1326" spans="1:20" x14ac:dyDescent="0.25">
      <c r="A1326" t="s">
        <v>236</v>
      </c>
      <c r="B1326" t="s">
        <v>237</v>
      </c>
      <c r="C1326" t="s">
        <v>238</v>
      </c>
      <c r="D1326" t="s">
        <v>261</v>
      </c>
      <c r="E1326" t="s">
        <v>228</v>
      </c>
      <c r="F1326">
        <v>2005</v>
      </c>
      <c r="G1326">
        <v>3.7569999999999999E-3</v>
      </c>
      <c r="H1326" t="s">
        <v>240</v>
      </c>
      <c r="I1326" t="s">
        <v>241</v>
      </c>
      <c r="J1326" t="s">
        <v>3</v>
      </c>
      <c r="K1326" s="183">
        <f ca="1">VLOOKUP(F1326,
    OFFSET(INDIRECT(ADDRESS(MATCH(J1326,'Vehicle numbers'!$A$5:$A$162,0),1,1,1,$L$6)),4,1,COUNTIF('Vehicle numbers'!$A$5:$A$162,J1326),4),
    MATCH(K$8,'Vehicle numbers'!$B$4:$D$4,0))*1000</f>
        <v>1206389</v>
      </c>
      <c r="L1326" s="183">
        <f ca="1">VLOOKUP(F1326,
    OFFSET(INDIRECT(ADDRESS(MATCH(J1326,'Vehicle numbers'!$A$5:$A$162,0),1,1,1,$L$6)),4,1,COUNTIF('Vehicle numbers'!$A$5:$A$162,J1326),4),
    MATCH(L$8,'Vehicle numbers'!$B$4:$D$4,0))*1000</f>
        <v>1228557.8208236597</v>
      </c>
      <c r="M1326" s="184">
        <f>VLOOKUP(F1326,'Annual distance covered (GB)'!$A$8:$H$33,MATCH(J1326,'Annual distance covered (GB)'!$A$7:$H$7,0))</f>
        <v>5.3</v>
      </c>
      <c r="N1326" s="2">
        <f t="shared" ca="1" si="54"/>
        <v>20278.008324033784</v>
      </c>
      <c r="O1326" s="180">
        <f t="shared" ca="1" si="55"/>
        <v>1.6505538429146819E-2</v>
      </c>
      <c r="P1326" s="180"/>
      <c r="Q1326" s="180"/>
      <c r="R1326" s="180"/>
      <c r="S1326" s="180"/>
      <c r="T1326" s="180"/>
    </row>
    <row r="1327" spans="1:20" x14ac:dyDescent="0.25">
      <c r="A1327" t="s">
        <v>243</v>
      </c>
      <c r="B1327" t="s">
        <v>237</v>
      </c>
      <c r="C1327" t="s">
        <v>238</v>
      </c>
      <c r="D1327" t="s">
        <v>261</v>
      </c>
      <c r="E1327" t="s">
        <v>228</v>
      </c>
      <c r="F1327">
        <v>2005</v>
      </c>
      <c r="G1327">
        <v>2.6299000000000001E-3</v>
      </c>
      <c r="H1327" t="s">
        <v>240</v>
      </c>
      <c r="I1327" t="s">
        <v>241</v>
      </c>
      <c r="J1327" t="s">
        <v>3</v>
      </c>
      <c r="K1327" s="183">
        <f ca="1">VLOOKUP(F1327,
    OFFSET(INDIRECT(ADDRESS(MATCH(J1327,'Vehicle numbers'!$A$5:$A$162,0),1,1,1,$L$6)),4,1,COUNTIF('Vehicle numbers'!$A$5:$A$162,J1327),4),
    MATCH(K$8,'Vehicle numbers'!$B$4:$D$4,0))*1000</f>
        <v>1206389</v>
      </c>
      <c r="L1327" s="183">
        <f ca="1">VLOOKUP(F1327,
    OFFSET(INDIRECT(ADDRESS(MATCH(J1327,'Vehicle numbers'!$A$5:$A$162,0),1,1,1,$L$6)),4,1,COUNTIF('Vehicle numbers'!$A$5:$A$162,J1327),4),
    MATCH(L$8,'Vehicle numbers'!$B$4:$D$4,0))*1000</f>
        <v>1228557.8208236597</v>
      </c>
      <c r="M1327" s="184">
        <f>VLOOKUP(F1327,'Annual distance covered (GB)'!$A$8:$H$33,MATCH(J1327,'Annual distance covered (GB)'!$A$7:$H$7,0))</f>
        <v>5.3</v>
      </c>
      <c r="N1327" s="2">
        <f t="shared" ca="1" si="54"/>
        <v>14194.605826823648</v>
      </c>
      <c r="O1327" s="180">
        <f t="shared" ca="1" si="55"/>
        <v>1.1553876900402771E-2</v>
      </c>
      <c r="P1327" s="180"/>
      <c r="Q1327" s="180"/>
      <c r="R1327" s="180"/>
      <c r="S1327" s="180"/>
      <c r="T1327" s="180"/>
    </row>
    <row r="1328" spans="1:20" x14ac:dyDescent="0.25">
      <c r="A1328" t="s">
        <v>244</v>
      </c>
      <c r="B1328" t="s">
        <v>237</v>
      </c>
      <c r="C1328" t="s">
        <v>238</v>
      </c>
      <c r="D1328" t="s">
        <v>261</v>
      </c>
      <c r="E1328" t="s">
        <v>228</v>
      </c>
      <c r="F1328">
        <v>2005</v>
      </c>
      <c r="G1328">
        <v>3.7040845070422499E-4</v>
      </c>
      <c r="H1328" t="s">
        <v>240</v>
      </c>
      <c r="I1328" t="s">
        <v>241</v>
      </c>
      <c r="J1328" t="s">
        <v>3</v>
      </c>
      <c r="K1328" s="183">
        <f ca="1">VLOOKUP(F1328,
    OFFSET(INDIRECT(ADDRESS(MATCH(J1328,'Vehicle numbers'!$A$5:$A$162,0),1,1,1,$L$6)),4,1,COUNTIF('Vehicle numbers'!$A$5:$A$162,J1328),4),
    MATCH(K$8,'Vehicle numbers'!$B$4:$D$4,0))*1000</f>
        <v>1206389</v>
      </c>
      <c r="L1328" s="183">
        <f ca="1">VLOOKUP(F1328,
    OFFSET(INDIRECT(ADDRESS(MATCH(J1328,'Vehicle numbers'!$A$5:$A$162,0),1,1,1,$L$6)),4,1,COUNTIF('Vehicle numbers'!$A$5:$A$162,J1328),4),
    MATCH(L$8,'Vehicle numbers'!$B$4:$D$4,0))*1000</f>
        <v>1228557.8208236597</v>
      </c>
      <c r="M1328" s="184">
        <f>VLOOKUP(F1328,'Annual distance covered (GB)'!$A$8:$H$33,MATCH(J1328,'Annual distance covered (GB)'!$A$7:$H$7,0))</f>
        <v>5.3</v>
      </c>
      <c r="N1328" s="2">
        <f t="shared" ca="1" si="54"/>
        <v>1999.2402572991034</v>
      </c>
      <c r="O1328" s="180">
        <f t="shared" ca="1" si="55"/>
        <v>1.6273066056905297E-3</v>
      </c>
      <c r="P1328" s="180"/>
      <c r="Q1328" s="180"/>
      <c r="R1328" s="180"/>
      <c r="S1328" s="180"/>
      <c r="T1328" s="180"/>
    </row>
    <row r="1329" spans="1:20" x14ac:dyDescent="0.25">
      <c r="A1329" t="s">
        <v>246</v>
      </c>
      <c r="B1329" t="s">
        <v>237</v>
      </c>
      <c r="C1329" t="s">
        <v>238</v>
      </c>
      <c r="D1329" t="s">
        <v>261</v>
      </c>
      <c r="E1329" t="s">
        <v>228</v>
      </c>
      <c r="F1329">
        <v>2005</v>
      </c>
      <c r="G1329">
        <v>2.9632676056337998E-4</v>
      </c>
      <c r="H1329" t="s">
        <v>240</v>
      </c>
      <c r="I1329" t="s">
        <v>241</v>
      </c>
      <c r="J1329" t="s">
        <v>3</v>
      </c>
      <c r="K1329" s="183">
        <f ca="1">VLOOKUP(F1329,
    OFFSET(INDIRECT(ADDRESS(MATCH(J1329,'Vehicle numbers'!$A$5:$A$162,0),1,1,1,$L$6)),4,1,COUNTIF('Vehicle numbers'!$A$5:$A$162,J1329),4),
    MATCH(K$8,'Vehicle numbers'!$B$4:$D$4,0))*1000</f>
        <v>1206389</v>
      </c>
      <c r="L1329" s="183">
        <f ca="1">VLOOKUP(F1329,
    OFFSET(INDIRECT(ADDRESS(MATCH(J1329,'Vehicle numbers'!$A$5:$A$162,0),1,1,1,$L$6)),4,1,COUNTIF('Vehicle numbers'!$A$5:$A$162,J1329),4),
    MATCH(L$8,'Vehicle numbers'!$B$4:$D$4,0))*1000</f>
        <v>1228557.8208236597</v>
      </c>
      <c r="M1329" s="184">
        <f>VLOOKUP(F1329,'Annual distance covered (GB)'!$A$8:$H$33,MATCH(J1329,'Annual distance covered (GB)'!$A$7:$H$7,0))</f>
        <v>5.3</v>
      </c>
      <c r="N1329" s="2">
        <f t="shared" ca="1" si="54"/>
        <v>1599.3922058392827</v>
      </c>
      <c r="O1329" s="180">
        <f t="shared" ca="1" si="55"/>
        <v>1.3018452845524238E-3</v>
      </c>
      <c r="P1329" s="180"/>
      <c r="Q1329" s="180"/>
      <c r="R1329" s="180"/>
      <c r="S1329" s="180"/>
      <c r="T1329" s="180"/>
    </row>
    <row r="1330" spans="1:20" x14ac:dyDescent="0.25">
      <c r="A1330" t="s">
        <v>236</v>
      </c>
      <c r="B1330" t="s">
        <v>237</v>
      </c>
      <c r="C1330" t="s">
        <v>238</v>
      </c>
      <c r="D1330" t="s">
        <v>262</v>
      </c>
      <c r="E1330" t="s">
        <v>229</v>
      </c>
      <c r="F1330">
        <v>2005</v>
      </c>
      <c r="G1330">
        <v>6.8000000000000102E-4</v>
      </c>
      <c r="H1330" t="s">
        <v>240</v>
      </c>
      <c r="I1330" t="s">
        <v>241</v>
      </c>
      <c r="J1330" t="s">
        <v>3</v>
      </c>
      <c r="K1330" s="183">
        <f ca="1">VLOOKUP(F1330,
    OFFSET(INDIRECT(ADDRESS(MATCH(J1330,'Vehicle numbers'!$A$5:$A$162,0),1,1,1,$L$6)),4,1,COUNTIF('Vehicle numbers'!$A$5:$A$162,J1330),4),
    MATCH(K$8,'Vehicle numbers'!$B$4:$D$4,0))*1000</f>
        <v>1206389</v>
      </c>
      <c r="L1330" s="183">
        <f ca="1">VLOOKUP(F1330,
    OFFSET(INDIRECT(ADDRESS(MATCH(J1330,'Vehicle numbers'!$A$5:$A$162,0),1,1,1,$L$6)),4,1,COUNTIF('Vehicle numbers'!$A$5:$A$162,J1330),4),
    MATCH(L$8,'Vehicle numbers'!$B$4:$D$4,0))*1000</f>
        <v>1228557.8208236597</v>
      </c>
      <c r="M1330" s="184">
        <f>VLOOKUP(F1330,'Annual distance covered (GB)'!$A$8:$H$33,MATCH(J1330,'Annual distance covered (GB)'!$A$7:$H$7,0))</f>
        <v>5.3</v>
      </c>
      <c r="N1330" s="2">
        <f t="shared" ca="1" si="54"/>
        <v>3670.2277509563464</v>
      </c>
      <c r="O1330" s="180">
        <f t="shared" ca="1" si="55"/>
        <v>2.9874277699813287E-3</v>
      </c>
      <c r="P1330" s="180"/>
      <c r="Q1330" s="180"/>
      <c r="R1330" s="180"/>
      <c r="S1330" s="180"/>
      <c r="T1330" s="180"/>
    </row>
    <row r="1331" spans="1:20" x14ac:dyDescent="0.25">
      <c r="A1331" t="s">
        <v>243</v>
      </c>
      <c r="B1331" t="s">
        <v>237</v>
      </c>
      <c r="C1331" t="s">
        <v>238</v>
      </c>
      <c r="D1331" t="s">
        <v>262</v>
      </c>
      <c r="E1331" t="s">
        <v>229</v>
      </c>
      <c r="F1331">
        <v>2005</v>
      </c>
      <c r="G1331">
        <v>2.72E-4</v>
      </c>
      <c r="H1331" t="s">
        <v>240</v>
      </c>
      <c r="I1331" t="s">
        <v>241</v>
      </c>
      <c r="J1331" t="s">
        <v>3</v>
      </c>
      <c r="K1331" s="183">
        <f ca="1">VLOOKUP(F1331,
    OFFSET(INDIRECT(ADDRESS(MATCH(J1331,'Vehicle numbers'!$A$5:$A$162,0),1,1,1,$L$6)),4,1,COUNTIF('Vehicle numbers'!$A$5:$A$162,J1331),4),
    MATCH(K$8,'Vehicle numbers'!$B$4:$D$4,0))*1000</f>
        <v>1206389</v>
      </c>
      <c r="L1331" s="183">
        <f ca="1">VLOOKUP(F1331,
    OFFSET(INDIRECT(ADDRESS(MATCH(J1331,'Vehicle numbers'!$A$5:$A$162,0),1,1,1,$L$6)),4,1,COUNTIF('Vehicle numbers'!$A$5:$A$162,J1331),4),
    MATCH(L$8,'Vehicle numbers'!$B$4:$D$4,0))*1000</f>
        <v>1228557.8208236597</v>
      </c>
      <c r="M1331" s="184">
        <f>VLOOKUP(F1331,'Annual distance covered (GB)'!$A$8:$H$33,MATCH(J1331,'Annual distance covered (GB)'!$A$7:$H$7,0))</f>
        <v>5.3</v>
      </c>
      <c r="N1331" s="2">
        <f t="shared" ca="1" si="54"/>
        <v>1468.0911003825363</v>
      </c>
      <c r="O1331" s="180">
        <f t="shared" ca="1" si="55"/>
        <v>1.1949711079925296E-3</v>
      </c>
      <c r="P1331" s="180"/>
      <c r="Q1331" s="180"/>
      <c r="R1331" s="180"/>
      <c r="S1331" s="180"/>
      <c r="T1331" s="180"/>
    </row>
    <row r="1332" spans="1:20" x14ac:dyDescent="0.25">
      <c r="A1332" t="s">
        <v>244</v>
      </c>
      <c r="B1332" t="s">
        <v>237</v>
      </c>
      <c r="C1332" t="s">
        <v>238</v>
      </c>
      <c r="D1332" t="s">
        <v>262</v>
      </c>
      <c r="E1332" t="s">
        <v>229</v>
      </c>
      <c r="F1332">
        <v>2005</v>
      </c>
      <c r="G1332" s="189">
        <v>6.7999999999999999E-5</v>
      </c>
      <c r="H1332" t="s">
        <v>240</v>
      </c>
      <c r="I1332" t="s">
        <v>241</v>
      </c>
      <c r="J1332" t="s">
        <v>3</v>
      </c>
      <c r="K1332" s="183">
        <f ca="1">VLOOKUP(F1332,
    OFFSET(INDIRECT(ADDRESS(MATCH(J1332,'Vehicle numbers'!$A$5:$A$162,0),1,1,1,$L$6)),4,1,COUNTIF('Vehicle numbers'!$A$5:$A$162,J1332),4),
    MATCH(K$8,'Vehicle numbers'!$B$4:$D$4,0))*1000</f>
        <v>1206389</v>
      </c>
      <c r="L1332" s="183">
        <f ca="1">VLOOKUP(F1332,
    OFFSET(INDIRECT(ADDRESS(MATCH(J1332,'Vehicle numbers'!$A$5:$A$162,0),1,1,1,$L$6)),4,1,COUNTIF('Vehicle numbers'!$A$5:$A$162,J1332),4),
    MATCH(L$8,'Vehicle numbers'!$B$4:$D$4,0))*1000</f>
        <v>1228557.8208236597</v>
      </c>
      <c r="M1332" s="184">
        <f>VLOOKUP(F1332,'Annual distance covered (GB)'!$A$8:$H$33,MATCH(J1332,'Annual distance covered (GB)'!$A$7:$H$7,0))</f>
        <v>5.3</v>
      </c>
      <c r="N1332" s="2">
        <f t="shared" ca="1" si="54"/>
        <v>367.02277509563407</v>
      </c>
      <c r="O1332" s="180">
        <f t="shared" ca="1" si="55"/>
        <v>2.987427769981324E-4</v>
      </c>
      <c r="P1332" s="180"/>
      <c r="Q1332" s="180"/>
      <c r="R1332" s="180"/>
      <c r="S1332" s="180"/>
      <c r="T1332" s="180"/>
    </row>
    <row r="1333" spans="1:20" x14ac:dyDescent="0.25">
      <c r="A1333" t="s">
        <v>246</v>
      </c>
      <c r="B1333" t="s">
        <v>237</v>
      </c>
      <c r="C1333" t="s">
        <v>238</v>
      </c>
      <c r="D1333" t="s">
        <v>262</v>
      </c>
      <c r="E1333" t="s">
        <v>229</v>
      </c>
      <c r="F1333">
        <v>2005</v>
      </c>
      <c r="G1333" s="189">
        <v>5.4400000000000001E-5</v>
      </c>
      <c r="H1333" t="s">
        <v>240</v>
      </c>
      <c r="I1333" t="s">
        <v>241</v>
      </c>
      <c r="J1333" t="s">
        <v>3</v>
      </c>
      <c r="K1333" s="183">
        <f ca="1">VLOOKUP(F1333,
    OFFSET(INDIRECT(ADDRESS(MATCH(J1333,'Vehicle numbers'!$A$5:$A$162,0),1,1,1,$L$6)),4,1,COUNTIF('Vehicle numbers'!$A$5:$A$162,J1333),4),
    MATCH(K$8,'Vehicle numbers'!$B$4:$D$4,0))*1000</f>
        <v>1206389</v>
      </c>
      <c r="L1333" s="183">
        <f ca="1">VLOOKUP(F1333,
    OFFSET(INDIRECT(ADDRESS(MATCH(J1333,'Vehicle numbers'!$A$5:$A$162,0),1,1,1,$L$6)),4,1,COUNTIF('Vehicle numbers'!$A$5:$A$162,J1333),4),
    MATCH(L$8,'Vehicle numbers'!$B$4:$D$4,0))*1000</f>
        <v>1228557.8208236597</v>
      </c>
      <c r="M1333" s="184">
        <f>VLOOKUP(F1333,'Annual distance covered (GB)'!$A$8:$H$33,MATCH(J1333,'Annual distance covered (GB)'!$A$7:$H$7,0))</f>
        <v>5.3</v>
      </c>
      <c r="N1333" s="2">
        <f t="shared" ca="1" si="54"/>
        <v>293.61822007650727</v>
      </c>
      <c r="O1333" s="180">
        <f t="shared" ca="1" si="55"/>
        <v>2.3899422159850595E-4</v>
      </c>
      <c r="P1333" s="180"/>
      <c r="Q1333" s="180"/>
      <c r="R1333" s="180"/>
      <c r="S1333" s="180"/>
      <c r="T1333" s="180"/>
    </row>
    <row r="1334" spans="1:20" x14ac:dyDescent="0.25">
      <c r="A1334" t="s">
        <v>236</v>
      </c>
      <c r="B1334" t="s">
        <v>237</v>
      </c>
      <c r="C1334" t="s">
        <v>238</v>
      </c>
      <c r="D1334" t="s">
        <v>262</v>
      </c>
      <c r="E1334" t="s">
        <v>228</v>
      </c>
      <c r="F1334">
        <v>2005</v>
      </c>
      <c r="G1334">
        <v>2.49E-3</v>
      </c>
      <c r="H1334" t="s">
        <v>240</v>
      </c>
      <c r="I1334" t="s">
        <v>241</v>
      </c>
      <c r="J1334" t="s">
        <v>3</v>
      </c>
      <c r="K1334" s="183">
        <f ca="1">VLOOKUP(F1334,
    OFFSET(INDIRECT(ADDRESS(MATCH(J1334,'Vehicle numbers'!$A$5:$A$162,0),1,1,1,$L$6)),4,1,COUNTIF('Vehicle numbers'!$A$5:$A$162,J1334),4),
    MATCH(K$8,'Vehicle numbers'!$B$4:$D$4,0))*1000</f>
        <v>1206389</v>
      </c>
      <c r="L1334" s="183">
        <f ca="1">VLOOKUP(F1334,
    OFFSET(INDIRECT(ADDRESS(MATCH(J1334,'Vehicle numbers'!$A$5:$A$162,0),1,1,1,$L$6)),4,1,COUNTIF('Vehicle numbers'!$A$5:$A$162,J1334),4),
    MATCH(L$8,'Vehicle numbers'!$B$4:$D$4,0))*1000</f>
        <v>1228557.8208236597</v>
      </c>
      <c r="M1334" s="184">
        <f>VLOOKUP(F1334,'Annual distance covered (GB)'!$A$8:$H$33,MATCH(J1334,'Annual distance covered (GB)'!$A$7:$H$7,0))</f>
        <v>5.3</v>
      </c>
      <c r="N1334" s="2">
        <f t="shared" ca="1" si="54"/>
        <v>13439.510441001896</v>
      </c>
      <c r="O1334" s="180">
        <f t="shared" ca="1" si="55"/>
        <v>1.0939257569490438E-2</v>
      </c>
      <c r="P1334" s="180"/>
      <c r="Q1334" s="180"/>
      <c r="R1334" s="180"/>
      <c r="S1334" s="180"/>
      <c r="T1334" s="180"/>
    </row>
    <row r="1335" spans="1:20" x14ac:dyDescent="0.25">
      <c r="A1335" t="s">
        <v>243</v>
      </c>
      <c r="B1335" t="s">
        <v>237</v>
      </c>
      <c r="C1335" t="s">
        <v>238</v>
      </c>
      <c r="D1335" t="s">
        <v>262</v>
      </c>
      <c r="E1335" t="s">
        <v>228</v>
      </c>
      <c r="F1335">
        <v>2005</v>
      </c>
      <c r="G1335">
        <v>1.743E-3</v>
      </c>
      <c r="H1335" t="s">
        <v>240</v>
      </c>
      <c r="I1335" t="s">
        <v>241</v>
      </c>
      <c r="J1335" t="s">
        <v>3</v>
      </c>
      <c r="K1335" s="183">
        <f ca="1">VLOOKUP(F1335,
    OFFSET(INDIRECT(ADDRESS(MATCH(J1335,'Vehicle numbers'!$A$5:$A$162,0),1,1,1,$L$6)),4,1,COUNTIF('Vehicle numbers'!$A$5:$A$162,J1335),4),
    MATCH(K$8,'Vehicle numbers'!$B$4:$D$4,0))*1000</f>
        <v>1206389</v>
      </c>
      <c r="L1335" s="183">
        <f ca="1">VLOOKUP(F1335,
    OFFSET(INDIRECT(ADDRESS(MATCH(J1335,'Vehicle numbers'!$A$5:$A$162,0),1,1,1,$L$6)),4,1,COUNTIF('Vehicle numbers'!$A$5:$A$162,J1335),4),
    MATCH(L$8,'Vehicle numbers'!$B$4:$D$4,0))*1000</f>
        <v>1228557.8208236597</v>
      </c>
      <c r="M1335" s="184">
        <f>VLOOKUP(F1335,'Annual distance covered (GB)'!$A$8:$H$33,MATCH(J1335,'Annual distance covered (GB)'!$A$7:$H$7,0))</f>
        <v>5.3</v>
      </c>
      <c r="N1335" s="2">
        <f t="shared" ca="1" si="54"/>
        <v>9407.6573087013276</v>
      </c>
      <c r="O1335" s="180">
        <f t="shared" ca="1" si="55"/>
        <v>7.6574802986433066E-3</v>
      </c>
      <c r="P1335" s="180"/>
      <c r="Q1335" s="180"/>
      <c r="R1335" s="180"/>
      <c r="S1335" s="180"/>
      <c r="T1335" s="180"/>
    </row>
    <row r="1336" spans="1:20" x14ac:dyDescent="0.25">
      <c r="A1336" t="s">
        <v>244</v>
      </c>
      <c r="B1336" t="s">
        <v>237</v>
      </c>
      <c r="C1336" t="s">
        <v>238</v>
      </c>
      <c r="D1336" t="s">
        <v>262</v>
      </c>
      <c r="E1336" t="s">
        <v>228</v>
      </c>
      <c r="F1336">
        <v>2005</v>
      </c>
      <c r="G1336">
        <v>2.4549295774647798E-4</v>
      </c>
      <c r="H1336" t="s">
        <v>240</v>
      </c>
      <c r="I1336" t="s">
        <v>241</v>
      </c>
      <c r="J1336" t="s">
        <v>3</v>
      </c>
      <c r="K1336" s="183">
        <f ca="1">VLOOKUP(F1336,
    OFFSET(INDIRECT(ADDRESS(MATCH(J1336,'Vehicle numbers'!$A$5:$A$162,0),1,1,1,$L$6)),4,1,COUNTIF('Vehicle numbers'!$A$5:$A$162,J1336),4),
    MATCH(K$8,'Vehicle numbers'!$B$4:$D$4,0))*1000</f>
        <v>1206389</v>
      </c>
      <c r="L1336" s="183">
        <f ca="1">VLOOKUP(F1336,
    OFFSET(INDIRECT(ADDRESS(MATCH(J1336,'Vehicle numbers'!$A$5:$A$162,0),1,1,1,$L$6)),4,1,COUNTIF('Vehicle numbers'!$A$5:$A$162,J1336),4),
    MATCH(L$8,'Vehicle numbers'!$B$4:$D$4,0))*1000</f>
        <v>1228557.8208236597</v>
      </c>
      <c r="M1336" s="184">
        <f>VLOOKUP(F1336,'Annual distance covered (GB)'!$A$8:$H$33,MATCH(J1336,'Annual distance covered (GB)'!$A$7:$H$7,0))</f>
        <v>5.3</v>
      </c>
      <c r="N1336" s="2">
        <f t="shared" ca="1" si="54"/>
        <v>1325.0221561551116</v>
      </c>
      <c r="O1336" s="180">
        <f t="shared" ca="1" si="55"/>
        <v>1.0785183519215885E-3</v>
      </c>
      <c r="P1336" s="180"/>
      <c r="Q1336" s="180"/>
      <c r="R1336" s="180"/>
      <c r="S1336" s="180"/>
      <c r="T1336" s="180"/>
    </row>
    <row r="1337" spans="1:20" x14ac:dyDescent="0.25">
      <c r="A1337" t="s">
        <v>246</v>
      </c>
      <c r="B1337" t="s">
        <v>237</v>
      </c>
      <c r="C1337" t="s">
        <v>238</v>
      </c>
      <c r="D1337" t="s">
        <v>262</v>
      </c>
      <c r="E1337" t="s">
        <v>228</v>
      </c>
      <c r="F1337">
        <v>2005</v>
      </c>
      <c r="G1337">
        <v>1.96394366197183E-4</v>
      </c>
      <c r="H1337" t="s">
        <v>240</v>
      </c>
      <c r="I1337" t="s">
        <v>241</v>
      </c>
      <c r="J1337" t="s">
        <v>3</v>
      </c>
      <c r="K1337" s="183">
        <f ca="1">VLOOKUP(F1337,
    OFFSET(INDIRECT(ADDRESS(MATCH(J1337,'Vehicle numbers'!$A$5:$A$162,0),1,1,1,$L$6)),4,1,COUNTIF('Vehicle numbers'!$A$5:$A$162,J1337),4),
    MATCH(K$8,'Vehicle numbers'!$B$4:$D$4,0))*1000</f>
        <v>1206389</v>
      </c>
      <c r="L1337" s="183">
        <f ca="1">VLOOKUP(F1337,
    OFFSET(INDIRECT(ADDRESS(MATCH(J1337,'Vehicle numbers'!$A$5:$A$162,0),1,1,1,$L$6)),4,1,COUNTIF('Vehicle numbers'!$A$5:$A$162,J1337),4),
    MATCH(L$8,'Vehicle numbers'!$B$4:$D$4,0))*1000</f>
        <v>1228557.8208236597</v>
      </c>
      <c r="M1337" s="184">
        <f>VLOOKUP(F1337,'Annual distance covered (GB)'!$A$8:$H$33,MATCH(J1337,'Annual distance covered (GB)'!$A$7:$H$7,0))</f>
        <v>5.3</v>
      </c>
      <c r="N1337" s="2">
        <f t="shared" ca="1" si="54"/>
        <v>1060.0177249240926</v>
      </c>
      <c r="O1337" s="180">
        <f t="shared" ca="1" si="55"/>
        <v>8.628146815372735E-4</v>
      </c>
      <c r="P1337" s="180"/>
      <c r="Q1337" s="180"/>
      <c r="R1337" s="180"/>
      <c r="S1337" s="180"/>
      <c r="T1337" s="180"/>
    </row>
    <row r="1338" spans="1:20" x14ac:dyDescent="0.25">
      <c r="A1338" t="s">
        <v>236</v>
      </c>
      <c r="B1338" t="s">
        <v>237</v>
      </c>
      <c r="C1338" t="s">
        <v>238</v>
      </c>
      <c r="D1338" t="s">
        <v>263</v>
      </c>
      <c r="E1338" t="s">
        <v>229</v>
      </c>
      <c r="F1338">
        <v>2005</v>
      </c>
      <c r="G1338">
        <v>2.764E-3</v>
      </c>
      <c r="H1338" t="s">
        <v>240</v>
      </c>
      <c r="I1338" t="s">
        <v>241</v>
      </c>
      <c r="J1338" t="s">
        <v>3</v>
      </c>
      <c r="K1338" s="183">
        <f ca="1">VLOOKUP(F1338,
    OFFSET(INDIRECT(ADDRESS(MATCH(J1338,'Vehicle numbers'!$A$5:$A$162,0),1,1,1,$L$6)),4,1,COUNTIF('Vehicle numbers'!$A$5:$A$162,J1338),4),
    MATCH(K$8,'Vehicle numbers'!$B$4:$D$4,0))*1000</f>
        <v>1206389</v>
      </c>
      <c r="L1338" s="183">
        <f ca="1">VLOOKUP(F1338,
    OFFSET(INDIRECT(ADDRESS(MATCH(J1338,'Vehicle numbers'!$A$5:$A$162,0),1,1,1,$L$6)),4,1,COUNTIF('Vehicle numbers'!$A$5:$A$162,J1338),4),
    MATCH(L$8,'Vehicle numbers'!$B$4:$D$4,0))*1000</f>
        <v>1228557.8208236597</v>
      </c>
      <c r="M1338" s="184">
        <f>VLOOKUP(F1338,'Annual distance covered (GB)'!$A$8:$H$33,MATCH(J1338,'Annual distance covered (GB)'!$A$7:$H$7,0))</f>
        <v>5.3</v>
      </c>
      <c r="N1338" s="2">
        <f t="shared" ca="1" si="54"/>
        <v>14918.396328887246</v>
      </c>
      <c r="O1338" s="180">
        <f t="shared" ca="1" si="55"/>
        <v>1.2143015229747619E-2</v>
      </c>
      <c r="P1338" s="180"/>
      <c r="Q1338" s="180"/>
      <c r="R1338" s="180"/>
      <c r="S1338" s="180"/>
      <c r="T1338" s="180"/>
    </row>
    <row r="1339" spans="1:20" x14ac:dyDescent="0.25">
      <c r="A1339" t="s">
        <v>243</v>
      </c>
      <c r="B1339" t="s">
        <v>237</v>
      </c>
      <c r="C1339" t="s">
        <v>238</v>
      </c>
      <c r="D1339" t="s">
        <v>263</v>
      </c>
      <c r="E1339" t="s">
        <v>229</v>
      </c>
      <c r="F1339">
        <v>2005</v>
      </c>
      <c r="G1339">
        <v>1.1056E-3</v>
      </c>
      <c r="H1339" t="s">
        <v>240</v>
      </c>
      <c r="I1339" t="s">
        <v>241</v>
      </c>
      <c r="J1339" t="s">
        <v>3</v>
      </c>
      <c r="K1339" s="183">
        <f ca="1">VLOOKUP(F1339,
    OFFSET(INDIRECT(ADDRESS(MATCH(J1339,'Vehicle numbers'!$A$5:$A$162,0),1,1,1,$L$6)),4,1,COUNTIF('Vehicle numbers'!$A$5:$A$162,J1339),4),
    MATCH(K$8,'Vehicle numbers'!$B$4:$D$4,0))*1000</f>
        <v>1206389</v>
      </c>
      <c r="L1339" s="183">
        <f ca="1">VLOOKUP(F1339,
    OFFSET(INDIRECT(ADDRESS(MATCH(J1339,'Vehicle numbers'!$A$5:$A$162,0),1,1,1,$L$6)),4,1,COUNTIF('Vehicle numbers'!$A$5:$A$162,J1339),4),
    MATCH(L$8,'Vehicle numbers'!$B$4:$D$4,0))*1000</f>
        <v>1228557.8208236597</v>
      </c>
      <c r="M1339" s="184">
        <f>VLOOKUP(F1339,'Annual distance covered (GB)'!$A$8:$H$33,MATCH(J1339,'Annual distance covered (GB)'!$A$7:$H$7,0))</f>
        <v>5.3</v>
      </c>
      <c r="N1339" s="2">
        <f t="shared" ca="1" si="54"/>
        <v>5967.3585315548989</v>
      </c>
      <c r="O1339" s="180">
        <f t="shared" ca="1" si="55"/>
        <v>4.8572060918990485E-3</v>
      </c>
      <c r="P1339" s="180"/>
      <c r="Q1339" s="180"/>
      <c r="R1339" s="180"/>
      <c r="S1339" s="180"/>
      <c r="T1339" s="180"/>
    </row>
    <row r="1340" spans="1:20" x14ac:dyDescent="0.25">
      <c r="A1340" t="s">
        <v>244</v>
      </c>
      <c r="B1340" t="s">
        <v>237</v>
      </c>
      <c r="C1340" t="s">
        <v>238</v>
      </c>
      <c r="D1340" t="s">
        <v>263</v>
      </c>
      <c r="E1340" t="s">
        <v>229</v>
      </c>
      <c r="F1340">
        <v>2005</v>
      </c>
      <c r="G1340">
        <v>2.764E-4</v>
      </c>
      <c r="H1340" t="s">
        <v>240</v>
      </c>
      <c r="I1340" t="s">
        <v>241</v>
      </c>
      <c r="J1340" t="s">
        <v>3</v>
      </c>
      <c r="K1340" s="183">
        <f ca="1">VLOOKUP(F1340,
    OFFSET(INDIRECT(ADDRESS(MATCH(J1340,'Vehicle numbers'!$A$5:$A$162,0),1,1,1,$L$6)),4,1,COUNTIF('Vehicle numbers'!$A$5:$A$162,J1340),4),
    MATCH(K$8,'Vehicle numbers'!$B$4:$D$4,0))*1000</f>
        <v>1206389</v>
      </c>
      <c r="L1340" s="183">
        <f ca="1">VLOOKUP(F1340,
    OFFSET(INDIRECT(ADDRESS(MATCH(J1340,'Vehicle numbers'!$A$5:$A$162,0),1,1,1,$L$6)),4,1,COUNTIF('Vehicle numbers'!$A$5:$A$162,J1340),4),
    MATCH(L$8,'Vehicle numbers'!$B$4:$D$4,0))*1000</f>
        <v>1228557.8208236597</v>
      </c>
      <c r="M1340" s="184">
        <f>VLOOKUP(F1340,'Annual distance covered (GB)'!$A$8:$H$33,MATCH(J1340,'Annual distance covered (GB)'!$A$7:$H$7,0))</f>
        <v>5.3</v>
      </c>
      <c r="N1340" s="2">
        <f t="shared" ca="1" si="54"/>
        <v>1491.8396328887247</v>
      </c>
      <c r="O1340" s="180">
        <f t="shared" ca="1" si="55"/>
        <v>1.2143015229747621E-3</v>
      </c>
      <c r="P1340" s="180"/>
      <c r="Q1340" s="180"/>
      <c r="R1340" s="180"/>
      <c r="S1340" s="180"/>
      <c r="T1340" s="180"/>
    </row>
    <row r="1341" spans="1:20" x14ac:dyDescent="0.25">
      <c r="A1341" t="s">
        <v>246</v>
      </c>
      <c r="B1341" t="s">
        <v>237</v>
      </c>
      <c r="C1341" t="s">
        <v>238</v>
      </c>
      <c r="D1341" t="s">
        <v>263</v>
      </c>
      <c r="E1341" t="s">
        <v>229</v>
      </c>
      <c r="F1341">
        <v>2005</v>
      </c>
      <c r="G1341">
        <v>2.2112E-4</v>
      </c>
      <c r="H1341" t="s">
        <v>240</v>
      </c>
      <c r="I1341" t="s">
        <v>241</v>
      </c>
      <c r="J1341" t="s">
        <v>3</v>
      </c>
      <c r="K1341" s="183">
        <f ca="1">VLOOKUP(F1341,
    OFFSET(INDIRECT(ADDRESS(MATCH(J1341,'Vehicle numbers'!$A$5:$A$162,0),1,1,1,$L$6)),4,1,COUNTIF('Vehicle numbers'!$A$5:$A$162,J1341),4),
    MATCH(K$8,'Vehicle numbers'!$B$4:$D$4,0))*1000</f>
        <v>1206389</v>
      </c>
      <c r="L1341" s="183">
        <f ca="1">VLOOKUP(F1341,
    OFFSET(INDIRECT(ADDRESS(MATCH(J1341,'Vehicle numbers'!$A$5:$A$162,0),1,1,1,$L$6)),4,1,COUNTIF('Vehicle numbers'!$A$5:$A$162,J1341),4),
    MATCH(L$8,'Vehicle numbers'!$B$4:$D$4,0))*1000</f>
        <v>1228557.8208236597</v>
      </c>
      <c r="M1341" s="184">
        <f>VLOOKUP(F1341,'Annual distance covered (GB)'!$A$8:$H$33,MATCH(J1341,'Annual distance covered (GB)'!$A$7:$H$7,0))</f>
        <v>5.3</v>
      </c>
      <c r="N1341" s="2">
        <f t="shared" ca="1" si="54"/>
        <v>1193.4717063109797</v>
      </c>
      <c r="O1341" s="180">
        <f t="shared" ca="1" si="55"/>
        <v>9.7144121837980954E-4</v>
      </c>
      <c r="P1341" s="180"/>
      <c r="Q1341" s="180"/>
      <c r="R1341" s="180"/>
      <c r="S1341" s="180"/>
      <c r="T1341" s="180"/>
    </row>
    <row r="1342" spans="1:20" x14ac:dyDescent="0.25">
      <c r="A1342" t="s">
        <v>236</v>
      </c>
      <c r="B1342" t="s">
        <v>237</v>
      </c>
      <c r="C1342" t="s">
        <v>238</v>
      </c>
      <c r="D1342" t="s">
        <v>263</v>
      </c>
      <c r="E1342" t="s">
        <v>228</v>
      </c>
      <c r="F1342">
        <v>2005</v>
      </c>
      <c r="G1342">
        <v>2.9240000000000099E-3</v>
      </c>
      <c r="H1342" t="s">
        <v>240</v>
      </c>
      <c r="I1342" t="s">
        <v>241</v>
      </c>
      <c r="J1342" t="s">
        <v>3</v>
      </c>
      <c r="K1342" s="183">
        <f ca="1">VLOOKUP(F1342,
    OFFSET(INDIRECT(ADDRESS(MATCH(J1342,'Vehicle numbers'!$A$5:$A$162,0),1,1,1,$L$6)),4,1,COUNTIF('Vehicle numbers'!$A$5:$A$162,J1342),4),
    MATCH(K$8,'Vehicle numbers'!$B$4:$D$4,0))*1000</f>
        <v>1206389</v>
      </c>
      <c r="L1342" s="183">
        <f ca="1">VLOOKUP(F1342,
    OFFSET(INDIRECT(ADDRESS(MATCH(J1342,'Vehicle numbers'!$A$5:$A$162,0),1,1,1,$L$6)),4,1,COUNTIF('Vehicle numbers'!$A$5:$A$162,J1342),4),
    MATCH(L$8,'Vehicle numbers'!$B$4:$D$4,0))*1000</f>
        <v>1228557.8208236597</v>
      </c>
      <c r="M1342" s="184">
        <f>VLOOKUP(F1342,'Annual distance covered (GB)'!$A$8:$H$33,MATCH(J1342,'Annual distance covered (GB)'!$A$7:$H$7,0))</f>
        <v>5.3</v>
      </c>
      <c r="N1342" s="2">
        <f t="shared" ca="1" si="54"/>
        <v>15781.979329112322</v>
      </c>
      <c r="O1342" s="180">
        <f t="shared" ca="1" si="55"/>
        <v>1.284593941091974E-2</v>
      </c>
      <c r="P1342" s="180"/>
      <c r="Q1342" s="180"/>
      <c r="R1342" s="180"/>
      <c r="S1342" s="180"/>
      <c r="T1342" s="180"/>
    </row>
    <row r="1343" spans="1:20" x14ac:dyDescent="0.25">
      <c r="A1343" t="s">
        <v>243</v>
      </c>
      <c r="B1343" t="s">
        <v>237</v>
      </c>
      <c r="C1343" t="s">
        <v>238</v>
      </c>
      <c r="D1343" t="s">
        <v>263</v>
      </c>
      <c r="E1343" t="s">
        <v>228</v>
      </c>
      <c r="F1343">
        <v>2005</v>
      </c>
      <c r="G1343">
        <v>2.0468000000000101E-3</v>
      </c>
      <c r="H1343" t="s">
        <v>240</v>
      </c>
      <c r="I1343" t="s">
        <v>241</v>
      </c>
      <c r="J1343" t="s">
        <v>3</v>
      </c>
      <c r="K1343" s="183">
        <f ca="1">VLOOKUP(F1343,
    OFFSET(INDIRECT(ADDRESS(MATCH(J1343,'Vehicle numbers'!$A$5:$A$162,0),1,1,1,$L$6)),4,1,COUNTIF('Vehicle numbers'!$A$5:$A$162,J1343),4),
    MATCH(K$8,'Vehicle numbers'!$B$4:$D$4,0))*1000</f>
        <v>1206389</v>
      </c>
      <c r="L1343" s="183">
        <f ca="1">VLOOKUP(F1343,
    OFFSET(INDIRECT(ADDRESS(MATCH(J1343,'Vehicle numbers'!$A$5:$A$162,0),1,1,1,$L$6)),4,1,COUNTIF('Vehicle numbers'!$A$5:$A$162,J1343),4),
    MATCH(L$8,'Vehicle numbers'!$B$4:$D$4,0))*1000</f>
        <v>1228557.8208236597</v>
      </c>
      <c r="M1343" s="184">
        <f>VLOOKUP(F1343,'Annual distance covered (GB)'!$A$8:$H$33,MATCH(J1343,'Annual distance covered (GB)'!$A$7:$H$7,0))</f>
        <v>5.3</v>
      </c>
      <c r="N1343" s="2">
        <f t="shared" ca="1" si="54"/>
        <v>11047.385530378642</v>
      </c>
      <c r="O1343" s="180">
        <f t="shared" ca="1" si="55"/>
        <v>8.9921575876438318E-3</v>
      </c>
      <c r="P1343" s="180"/>
      <c r="Q1343" s="180"/>
      <c r="R1343" s="180"/>
      <c r="S1343" s="180"/>
      <c r="T1343" s="180"/>
    </row>
    <row r="1344" spans="1:20" x14ac:dyDescent="0.25">
      <c r="A1344" t="s">
        <v>244</v>
      </c>
      <c r="B1344" t="s">
        <v>237</v>
      </c>
      <c r="C1344" t="s">
        <v>238</v>
      </c>
      <c r="D1344" t="s">
        <v>263</v>
      </c>
      <c r="E1344" t="s">
        <v>228</v>
      </c>
      <c r="F1344">
        <v>2005</v>
      </c>
      <c r="G1344">
        <v>2.8828169014084599E-4</v>
      </c>
      <c r="H1344" t="s">
        <v>240</v>
      </c>
      <c r="I1344" t="s">
        <v>241</v>
      </c>
      <c r="J1344" t="s">
        <v>3</v>
      </c>
      <c r="K1344" s="183">
        <f ca="1">VLOOKUP(F1344,
    OFFSET(INDIRECT(ADDRESS(MATCH(J1344,'Vehicle numbers'!$A$5:$A$162,0),1,1,1,$L$6)),4,1,COUNTIF('Vehicle numbers'!$A$5:$A$162,J1344),4),
    MATCH(K$8,'Vehicle numbers'!$B$4:$D$4,0))*1000</f>
        <v>1206389</v>
      </c>
      <c r="L1344" s="183">
        <f ca="1">VLOOKUP(F1344,
    OFFSET(INDIRECT(ADDRESS(MATCH(J1344,'Vehicle numbers'!$A$5:$A$162,0),1,1,1,$L$6)),4,1,COUNTIF('Vehicle numbers'!$A$5:$A$162,J1344),4),
    MATCH(L$8,'Vehicle numbers'!$B$4:$D$4,0))*1000</f>
        <v>1228557.8208236597</v>
      </c>
      <c r="M1344" s="184">
        <f>VLOOKUP(F1344,'Annual distance covered (GB)'!$A$8:$H$33,MATCH(J1344,'Annual distance covered (GB)'!$A$7:$H$7,0))</f>
        <v>5.3</v>
      </c>
      <c r="N1344" s="2">
        <f t="shared" ca="1" si="54"/>
        <v>1555.9697930110735</v>
      </c>
      <c r="O1344" s="180">
        <f t="shared" ca="1" si="55"/>
        <v>1.2665010686822276E-3</v>
      </c>
      <c r="P1344" s="180"/>
      <c r="Q1344" s="180"/>
      <c r="R1344" s="180"/>
      <c r="S1344" s="180"/>
      <c r="T1344" s="180"/>
    </row>
    <row r="1345" spans="1:20" x14ac:dyDescent="0.25">
      <c r="A1345" t="s">
        <v>246</v>
      </c>
      <c r="B1345" t="s">
        <v>237</v>
      </c>
      <c r="C1345" t="s">
        <v>238</v>
      </c>
      <c r="D1345" t="s">
        <v>263</v>
      </c>
      <c r="E1345" t="s">
        <v>228</v>
      </c>
      <c r="F1345">
        <v>2005</v>
      </c>
      <c r="G1345">
        <v>2.30625352112677E-4</v>
      </c>
      <c r="H1345" t="s">
        <v>240</v>
      </c>
      <c r="I1345" t="s">
        <v>241</v>
      </c>
      <c r="J1345" t="s">
        <v>3</v>
      </c>
      <c r="K1345" s="183">
        <f ca="1">VLOOKUP(F1345,
    OFFSET(INDIRECT(ADDRESS(MATCH(J1345,'Vehicle numbers'!$A$5:$A$162,0),1,1,1,$L$6)),4,1,COUNTIF('Vehicle numbers'!$A$5:$A$162,J1345),4),
    MATCH(K$8,'Vehicle numbers'!$B$4:$D$4,0))*1000</f>
        <v>1206389</v>
      </c>
      <c r="L1345" s="183">
        <f ca="1">VLOOKUP(F1345,
    OFFSET(INDIRECT(ADDRESS(MATCH(J1345,'Vehicle numbers'!$A$5:$A$162,0),1,1,1,$L$6)),4,1,COUNTIF('Vehicle numbers'!$A$5:$A$162,J1345),4),
    MATCH(L$8,'Vehicle numbers'!$B$4:$D$4,0))*1000</f>
        <v>1228557.8208236597</v>
      </c>
      <c r="M1345" s="184">
        <f>VLOOKUP(F1345,'Annual distance covered (GB)'!$A$8:$H$33,MATCH(J1345,'Annual distance covered (GB)'!$A$7:$H$7,0))</f>
        <v>5.3</v>
      </c>
      <c r="N1345" s="2">
        <f t="shared" ca="1" si="54"/>
        <v>1244.77583440886</v>
      </c>
      <c r="O1345" s="180">
        <f t="shared" ca="1" si="55"/>
        <v>1.0132008549457829E-3</v>
      </c>
      <c r="P1345" s="180"/>
      <c r="Q1345" s="180"/>
      <c r="R1345" s="180"/>
      <c r="S1345" s="180"/>
      <c r="T1345" s="180"/>
    </row>
    <row r="1346" spans="1:20" x14ac:dyDescent="0.25">
      <c r="A1346" t="s">
        <v>236</v>
      </c>
      <c r="B1346" t="s">
        <v>237</v>
      </c>
      <c r="C1346" t="s">
        <v>238</v>
      </c>
      <c r="D1346" t="s">
        <v>264</v>
      </c>
      <c r="E1346" t="s">
        <v>229</v>
      </c>
      <c r="F1346">
        <v>2005</v>
      </c>
      <c r="G1346">
        <v>5.8400000000000101E-3</v>
      </c>
      <c r="H1346" t="s">
        <v>240</v>
      </c>
      <c r="I1346" t="s">
        <v>241</v>
      </c>
      <c r="J1346" t="s">
        <v>3</v>
      </c>
      <c r="K1346" s="183">
        <f ca="1">VLOOKUP(F1346,
    OFFSET(INDIRECT(ADDRESS(MATCH(J1346,'Vehicle numbers'!$A$5:$A$162,0),1,1,1,$L$6)),4,1,COUNTIF('Vehicle numbers'!$A$5:$A$162,J1346),4),
    MATCH(K$8,'Vehicle numbers'!$B$4:$D$4,0))*1000</f>
        <v>1206389</v>
      </c>
      <c r="L1346" s="183">
        <f ca="1">VLOOKUP(F1346,
    OFFSET(INDIRECT(ADDRESS(MATCH(J1346,'Vehicle numbers'!$A$5:$A$162,0),1,1,1,$L$6)),4,1,COUNTIF('Vehicle numbers'!$A$5:$A$162,J1346),4),
    MATCH(L$8,'Vehicle numbers'!$B$4:$D$4,0))*1000</f>
        <v>1228557.8208236597</v>
      </c>
      <c r="M1346" s="184">
        <f>VLOOKUP(F1346,'Annual distance covered (GB)'!$A$8:$H$33,MATCH(J1346,'Annual distance covered (GB)'!$A$7:$H$7,0))</f>
        <v>5.3</v>
      </c>
      <c r="N1346" s="2">
        <f t="shared" ca="1" si="54"/>
        <v>31520.779508213334</v>
      </c>
      <c r="O1346" s="180">
        <f t="shared" ca="1" si="55"/>
        <v>2.5656732612780828E-2</v>
      </c>
      <c r="P1346" s="180"/>
      <c r="Q1346" s="180"/>
      <c r="R1346" s="180"/>
      <c r="S1346" s="180"/>
      <c r="T1346" s="180"/>
    </row>
    <row r="1347" spans="1:20" x14ac:dyDescent="0.25">
      <c r="A1347" t="s">
        <v>243</v>
      </c>
      <c r="B1347" t="s">
        <v>237</v>
      </c>
      <c r="C1347" t="s">
        <v>238</v>
      </c>
      <c r="D1347" t="s">
        <v>264</v>
      </c>
      <c r="E1347" t="s">
        <v>229</v>
      </c>
      <c r="F1347">
        <v>2005</v>
      </c>
      <c r="G1347">
        <v>2.336E-3</v>
      </c>
      <c r="H1347" t="s">
        <v>240</v>
      </c>
      <c r="I1347" t="s">
        <v>241</v>
      </c>
      <c r="J1347" t="s">
        <v>3</v>
      </c>
      <c r="K1347" s="183">
        <f ca="1">VLOOKUP(F1347,
    OFFSET(INDIRECT(ADDRESS(MATCH(J1347,'Vehicle numbers'!$A$5:$A$162,0),1,1,1,$L$6)),4,1,COUNTIF('Vehicle numbers'!$A$5:$A$162,J1347),4),
    MATCH(K$8,'Vehicle numbers'!$B$4:$D$4,0))*1000</f>
        <v>1206389</v>
      </c>
      <c r="L1347" s="183">
        <f ca="1">VLOOKUP(F1347,
    OFFSET(INDIRECT(ADDRESS(MATCH(J1347,'Vehicle numbers'!$A$5:$A$162,0),1,1,1,$L$6)),4,1,COUNTIF('Vehicle numbers'!$A$5:$A$162,J1347),4),
    MATCH(L$8,'Vehicle numbers'!$B$4:$D$4,0))*1000</f>
        <v>1228557.8208236597</v>
      </c>
      <c r="M1347" s="184">
        <f>VLOOKUP(F1347,'Annual distance covered (GB)'!$A$8:$H$33,MATCH(J1347,'Annual distance covered (GB)'!$A$7:$H$7,0))</f>
        <v>5.3</v>
      </c>
      <c r="N1347" s="2">
        <f t="shared" ca="1" si="54"/>
        <v>12608.311803285313</v>
      </c>
      <c r="O1347" s="180">
        <f t="shared" ca="1" si="55"/>
        <v>1.0262693045112315E-2</v>
      </c>
      <c r="P1347" s="180"/>
      <c r="Q1347" s="180"/>
      <c r="R1347" s="180"/>
      <c r="S1347" s="180"/>
      <c r="T1347" s="180"/>
    </row>
    <row r="1348" spans="1:20" x14ac:dyDescent="0.25">
      <c r="A1348" t="s">
        <v>244</v>
      </c>
      <c r="B1348" t="s">
        <v>237</v>
      </c>
      <c r="C1348" t="s">
        <v>238</v>
      </c>
      <c r="D1348" t="s">
        <v>264</v>
      </c>
      <c r="E1348" t="s">
        <v>229</v>
      </c>
      <c r="F1348">
        <v>2005</v>
      </c>
      <c r="G1348">
        <v>5.8399999999999999E-4</v>
      </c>
      <c r="H1348" t="s">
        <v>240</v>
      </c>
      <c r="I1348" t="s">
        <v>241</v>
      </c>
      <c r="J1348" t="s">
        <v>3</v>
      </c>
      <c r="K1348" s="183">
        <f ca="1">VLOOKUP(F1348,
    OFFSET(INDIRECT(ADDRESS(MATCH(J1348,'Vehicle numbers'!$A$5:$A$162,0),1,1,1,$L$6)),4,1,COUNTIF('Vehicle numbers'!$A$5:$A$162,J1348),4),
    MATCH(K$8,'Vehicle numbers'!$B$4:$D$4,0))*1000</f>
        <v>1206389</v>
      </c>
      <c r="L1348" s="183">
        <f ca="1">VLOOKUP(F1348,
    OFFSET(INDIRECT(ADDRESS(MATCH(J1348,'Vehicle numbers'!$A$5:$A$162,0),1,1,1,$L$6)),4,1,COUNTIF('Vehicle numbers'!$A$5:$A$162,J1348),4),
    MATCH(L$8,'Vehicle numbers'!$B$4:$D$4,0))*1000</f>
        <v>1228557.8208236597</v>
      </c>
      <c r="M1348" s="184">
        <f>VLOOKUP(F1348,'Annual distance covered (GB)'!$A$8:$H$33,MATCH(J1348,'Annual distance covered (GB)'!$A$7:$H$7,0))</f>
        <v>5.3</v>
      </c>
      <c r="N1348" s="2">
        <f t="shared" ca="1" si="54"/>
        <v>3152.0779508213282</v>
      </c>
      <c r="O1348" s="180">
        <f t="shared" ca="1" si="55"/>
        <v>2.5656732612780787E-3</v>
      </c>
      <c r="P1348" s="180"/>
      <c r="Q1348" s="180"/>
      <c r="R1348" s="180"/>
      <c r="S1348" s="180"/>
      <c r="T1348" s="180"/>
    </row>
    <row r="1349" spans="1:20" x14ac:dyDescent="0.25">
      <c r="A1349" t="s">
        <v>246</v>
      </c>
      <c r="B1349" t="s">
        <v>237</v>
      </c>
      <c r="C1349" t="s">
        <v>238</v>
      </c>
      <c r="D1349" t="s">
        <v>264</v>
      </c>
      <c r="E1349" t="s">
        <v>229</v>
      </c>
      <c r="F1349">
        <v>2005</v>
      </c>
      <c r="G1349">
        <v>4.6720000000000003E-4</v>
      </c>
      <c r="H1349" t="s">
        <v>240</v>
      </c>
      <c r="I1349" t="s">
        <v>241</v>
      </c>
      <c r="J1349" t="s">
        <v>3</v>
      </c>
      <c r="K1349" s="183">
        <f ca="1">VLOOKUP(F1349,
    OFFSET(INDIRECT(ADDRESS(MATCH(J1349,'Vehicle numbers'!$A$5:$A$162,0),1,1,1,$L$6)),4,1,COUNTIF('Vehicle numbers'!$A$5:$A$162,J1349),4),
    MATCH(K$8,'Vehicle numbers'!$B$4:$D$4,0))*1000</f>
        <v>1206389</v>
      </c>
      <c r="L1349" s="183">
        <f ca="1">VLOOKUP(F1349,
    OFFSET(INDIRECT(ADDRESS(MATCH(J1349,'Vehicle numbers'!$A$5:$A$162,0),1,1,1,$L$6)),4,1,COUNTIF('Vehicle numbers'!$A$5:$A$162,J1349),4),
    MATCH(L$8,'Vehicle numbers'!$B$4:$D$4,0))*1000</f>
        <v>1228557.8208236597</v>
      </c>
      <c r="M1349" s="184">
        <f>VLOOKUP(F1349,'Annual distance covered (GB)'!$A$8:$H$33,MATCH(J1349,'Annual distance covered (GB)'!$A$7:$H$7,0))</f>
        <v>5.3</v>
      </c>
      <c r="N1349" s="2">
        <f t="shared" ca="1" si="54"/>
        <v>2521.6623606570629</v>
      </c>
      <c r="O1349" s="180">
        <f t="shared" ca="1" si="55"/>
        <v>2.0525386090224631E-3</v>
      </c>
      <c r="P1349" s="180"/>
      <c r="Q1349" s="180"/>
      <c r="R1349" s="180"/>
      <c r="S1349" s="180"/>
      <c r="T1349" s="180"/>
    </row>
    <row r="1350" spans="1:20" x14ac:dyDescent="0.25">
      <c r="A1350" t="s">
        <v>236</v>
      </c>
      <c r="B1350" t="s">
        <v>237</v>
      </c>
      <c r="C1350" t="s">
        <v>238</v>
      </c>
      <c r="D1350" t="s">
        <v>264</v>
      </c>
      <c r="E1350" t="s">
        <v>228</v>
      </c>
      <c r="F1350">
        <v>2005</v>
      </c>
      <c r="G1350">
        <v>3.7570000000000099E-3</v>
      </c>
      <c r="H1350" t="s">
        <v>240</v>
      </c>
      <c r="I1350" t="s">
        <v>241</v>
      </c>
      <c r="J1350" t="s">
        <v>3</v>
      </c>
      <c r="K1350" s="183">
        <f ca="1">VLOOKUP(F1350,
    OFFSET(INDIRECT(ADDRESS(MATCH(J1350,'Vehicle numbers'!$A$5:$A$162,0),1,1,1,$L$6)),4,1,COUNTIF('Vehicle numbers'!$A$5:$A$162,J1350),4),
    MATCH(K$8,'Vehicle numbers'!$B$4:$D$4,0))*1000</f>
        <v>1206389</v>
      </c>
      <c r="L1350" s="183">
        <f ca="1">VLOOKUP(F1350,
    OFFSET(INDIRECT(ADDRESS(MATCH(J1350,'Vehicle numbers'!$A$5:$A$162,0),1,1,1,$L$6)),4,1,COUNTIF('Vehicle numbers'!$A$5:$A$162,J1350),4),
    MATCH(L$8,'Vehicle numbers'!$B$4:$D$4,0))*1000</f>
        <v>1228557.8208236597</v>
      </c>
      <c r="M1350" s="184">
        <f>VLOOKUP(F1350,'Annual distance covered (GB)'!$A$8:$H$33,MATCH(J1350,'Annual distance covered (GB)'!$A$7:$H$7,0))</f>
        <v>5.3</v>
      </c>
      <c r="N1350" s="2">
        <f t="shared" ca="1" si="54"/>
        <v>20278.008324033835</v>
      </c>
      <c r="O1350" s="180">
        <f t="shared" ca="1" si="55"/>
        <v>1.6505538429146857E-2</v>
      </c>
      <c r="P1350" s="180"/>
      <c r="Q1350" s="180"/>
      <c r="R1350" s="180"/>
      <c r="S1350" s="180"/>
      <c r="T1350" s="180"/>
    </row>
    <row r="1351" spans="1:20" x14ac:dyDescent="0.25">
      <c r="A1351" t="s">
        <v>243</v>
      </c>
      <c r="B1351" t="s">
        <v>237</v>
      </c>
      <c r="C1351" t="s">
        <v>238</v>
      </c>
      <c r="D1351" t="s">
        <v>264</v>
      </c>
      <c r="E1351" t="s">
        <v>228</v>
      </c>
      <c r="F1351">
        <v>2005</v>
      </c>
      <c r="G1351">
        <v>2.6299000000000101E-3</v>
      </c>
      <c r="H1351" t="s">
        <v>240</v>
      </c>
      <c r="I1351" t="s">
        <v>241</v>
      </c>
      <c r="J1351" t="s">
        <v>3</v>
      </c>
      <c r="K1351" s="183">
        <f ca="1">VLOOKUP(F1351,
    OFFSET(INDIRECT(ADDRESS(MATCH(J1351,'Vehicle numbers'!$A$5:$A$162,0),1,1,1,$L$6)),4,1,COUNTIF('Vehicle numbers'!$A$5:$A$162,J1351),4),
    MATCH(K$8,'Vehicle numbers'!$B$4:$D$4,0))*1000</f>
        <v>1206389</v>
      </c>
      <c r="L1351" s="183">
        <f ca="1">VLOOKUP(F1351,
    OFFSET(INDIRECT(ADDRESS(MATCH(J1351,'Vehicle numbers'!$A$5:$A$162,0),1,1,1,$L$6)),4,1,COUNTIF('Vehicle numbers'!$A$5:$A$162,J1351),4),
    MATCH(L$8,'Vehicle numbers'!$B$4:$D$4,0))*1000</f>
        <v>1228557.8208236597</v>
      </c>
      <c r="M1351" s="184">
        <f>VLOOKUP(F1351,'Annual distance covered (GB)'!$A$8:$H$33,MATCH(J1351,'Annual distance covered (GB)'!$A$7:$H$7,0))</f>
        <v>5.3</v>
      </c>
      <c r="N1351" s="2">
        <f t="shared" ca="1" si="54"/>
        <v>14194.605826823705</v>
      </c>
      <c r="O1351" s="180">
        <f t="shared" ca="1" si="55"/>
        <v>1.1553876900402818E-2</v>
      </c>
      <c r="P1351" s="180"/>
      <c r="Q1351" s="180"/>
      <c r="R1351" s="180"/>
      <c r="S1351" s="180"/>
      <c r="T1351" s="180"/>
    </row>
    <row r="1352" spans="1:20" x14ac:dyDescent="0.25">
      <c r="A1352" t="s">
        <v>244</v>
      </c>
      <c r="B1352" t="s">
        <v>237</v>
      </c>
      <c r="C1352" t="s">
        <v>238</v>
      </c>
      <c r="D1352" t="s">
        <v>264</v>
      </c>
      <c r="E1352" t="s">
        <v>228</v>
      </c>
      <c r="F1352">
        <v>2005</v>
      </c>
      <c r="G1352">
        <v>3.7040845070422602E-4</v>
      </c>
      <c r="H1352" t="s">
        <v>240</v>
      </c>
      <c r="I1352" t="s">
        <v>241</v>
      </c>
      <c r="J1352" t="s">
        <v>3</v>
      </c>
      <c r="K1352" s="183">
        <f ca="1">VLOOKUP(F1352,
    OFFSET(INDIRECT(ADDRESS(MATCH(J1352,'Vehicle numbers'!$A$5:$A$162,0),1,1,1,$L$6)),4,1,COUNTIF('Vehicle numbers'!$A$5:$A$162,J1352),4),
    MATCH(K$8,'Vehicle numbers'!$B$4:$D$4,0))*1000</f>
        <v>1206389</v>
      </c>
      <c r="L1352" s="183">
        <f ca="1">VLOOKUP(F1352,
    OFFSET(INDIRECT(ADDRESS(MATCH(J1352,'Vehicle numbers'!$A$5:$A$162,0),1,1,1,$L$6)),4,1,COUNTIF('Vehicle numbers'!$A$5:$A$162,J1352),4),
    MATCH(L$8,'Vehicle numbers'!$B$4:$D$4,0))*1000</f>
        <v>1228557.8208236597</v>
      </c>
      <c r="M1352" s="184">
        <f>VLOOKUP(F1352,'Annual distance covered (GB)'!$A$8:$H$33,MATCH(J1352,'Annual distance covered (GB)'!$A$7:$H$7,0))</f>
        <v>5.3</v>
      </c>
      <c r="N1352" s="2">
        <f t="shared" ca="1" si="54"/>
        <v>1999.2402572991093</v>
      </c>
      <c r="O1352" s="180">
        <f t="shared" ca="1" si="55"/>
        <v>1.6273066056905344E-3</v>
      </c>
      <c r="P1352" s="180"/>
      <c r="Q1352" s="180"/>
      <c r="R1352" s="180"/>
      <c r="S1352" s="180"/>
      <c r="T1352" s="180"/>
    </row>
    <row r="1353" spans="1:20" x14ac:dyDescent="0.25">
      <c r="A1353" t="s">
        <v>246</v>
      </c>
      <c r="B1353" t="s">
        <v>237</v>
      </c>
      <c r="C1353" t="s">
        <v>238</v>
      </c>
      <c r="D1353" t="s">
        <v>264</v>
      </c>
      <c r="E1353" t="s">
        <v>228</v>
      </c>
      <c r="F1353">
        <v>2005</v>
      </c>
      <c r="G1353">
        <v>2.9632676056338101E-4</v>
      </c>
      <c r="H1353" t="s">
        <v>240</v>
      </c>
      <c r="I1353" t="s">
        <v>241</v>
      </c>
      <c r="J1353" t="s">
        <v>3</v>
      </c>
      <c r="K1353" s="183">
        <f ca="1">VLOOKUP(F1353,
    OFFSET(INDIRECT(ADDRESS(MATCH(J1353,'Vehicle numbers'!$A$5:$A$162,0),1,1,1,$L$6)),4,1,COUNTIF('Vehicle numbers'!$A$5:$A$162,J1353),4),
    MATCH(K$8,'Vehicle numbers'!$B$4:$D$4,0))*1000</f>
        <v>1206389</v>
      </c>
      <c r="L1353" s="183">
        <f ca="1">VLOOKUP(F1353,
    OFFSET(INDIRECT(ADDRESS(MATCH(J1353,'Vehicle numbers'!$A$5:$A$162,0),1,1,1,$L$6)),4,1,COUNTIF('Vehicle numbers'!$A$5:$A$162,J1353),4),
    MATCH(L$8,'Vehicle numbers'!$B$4:$D$4,0))*1000</f>
        <v>1228557.8208236597</v>
      </c>
      <c r="M1353" s="184">
        <f>VLOOKUP(F1353,'Annual distance covered (GB)'!$A$8:$H$33,MATCH(J1353,'Annual distance covered (GB)'!$A$7:$H$7,0))</f>
        <v>5.3</v>
      </c>
      <c r="N1353" s="2">
        <f t="shared" ca="1" si="54"/>
        <v>1599.3922058392884</v>
      </c>
      <c r="O1353" s="180">
        <f t="shared" ca="1" si="55"/>
        <v>1.3018452845524283E-3</v>
      </c>
      <c r="P1353" s="180"/>
      <c r="Q1353" s="180"/>
      <c r="R1353" s="180"/>
      <c r="S1353" s="180"/>
      <c r="T1353" s="180"/>
    </row>
    <row r="1354" spans="1:20" x14ac:dyDescent="0.25">
      <c r="A1354" t="s">
        <v>236</v>
      </c>
      <c r="B1354" t="s">
        <v>237</v>
      </c>
      <c r="C1354" t="s">
        <v>238</v>
      </c>
      <c r="D1354" t="s">
        <v>239</v>
      </c>
      <c r="E1354" t="s">
        <v>229</v>
      </c>
      <c r="F1354">
        <v>2006</v>
      </c>
      <c r="G1354">
        <v>8.4410000000000006E-3</v>
      </c>
      <c r="H1354" t="s">
        <v>240</v>
      </c>
      <c r="I1354" t="s">
        <v>241</v>
      </c>
      <c r="J1354" t="s">
        <v>242</v>
      </c>
      <c r="K1354" s="183">
        <f ca="1">VLOOKUP(F1354,
    OFFSET(INDIRECT(ADDRESS(MATCH(J1354,'Vehicle numbers'!$A$5:$A$162,0),1,1,1,$L$6)),4,1,COUNTIF('Vehicle numbers'!$A$5:$A$162,J1354),4),
    MATCH(K$8,'Vehicle numbers'!$B$4:$D$4,0))*1000</f>
        <v>177024</v>
      </c>
      <c r="L1354" s="183">
        <f ca="1">VLOOKUP(F1354,
    OFFSET(INDIRECT(ADDRESS(MATCH(J1354,'Vehicle numbers'!$A$5:$A$162,0),1,1,1,$L$6)),4,1,COUNTIF('Vehicle numbers'!$A$5:$A$162,J1354),4),
    MATCH(L$8,'Vehicle numbers'!$B$4:$D$4,0))*1000</f>
        <v>183209.1541868255</v>
      </c>
      <c r="M1354" s="184">
        <f>VLOOKUP(F1354,'Annual distance covered (GB)'!$A$8:$H$33,MATCH(J1354,'Annual distance covered (GB)'!$A$7:$H$7,0))</f>
        <v>5.3</v>
      </c>
      <c r="N1354" s="2">
        <f t="shared" ca="1" si="54"/>
        <v>46300.404993685996</v>
      </c>
      <c r="O1354" s="180">
        <f t="shared" ca="1" si="55"/>
        <v>0.2527188403832249</v>
      </c>
      <c r="P1354" s="180"/>
      <c r="Q1354" s="180"/>
      <c r="R1354" s="180"/>
      <c r="S1354" s="180"/>
      <c r="T1354" s="180"/>
    </row>
    <row r="1355" spans="1:20" x14ac:dyDescent="0.25">
      <c r="A1355" t="s">
        <v>243</v>
      </c>
      <c r="B1355" t="s">
        <v>237</v>
      </c>
      <c r="C1355" t="s">
        <v>238</v>
      </c>
      <c r="D1355" t="s">
        <v>239</v>
      </c>
      <c r="E1355" t="s">
        <v>229</v>
      </c>
      <c r="F1355">
        <v>2006</v>
      </c>
      <c r="G1355">
        <v>3.3763999999999999E-3</v>
      </c>
      <c r="H1355" t="s">
        <v>240</v>
      </c>
      <c r="I1355" t="s">
        <v>241</v>
      </c>
      <c r="J1355" t="s">
        <v>242</v>
      </c>
      <c r="K1355" s="183">
        <f ca="1">VLOOKUP(F1355,
    OFFSET(INDIRECT(ADDRESS(MATCH(J1355,'Vehicle numbers'!$A$5:$A$162,0),1,1,1,$L$6)),4,1,COUNTIF('Vehicle numbers'!$A$5:$A$162,J1355),4),
    MATCH(K$8,'Vehicle numbers'!$B$4:$D$4,0))*1000</f>
        <v>177024</v>
      </c>
      <c r="L1355" s="183">
        <f ca="1">VLOOKUP(F1355,
    OFFSET(INDIRECT(ADDRESS(MATCH(J1355,'Vehicle numbers'!$A$5:$A$162,0),1,1,1,$L$6)),4,1,COUNTIF('Vehicle numbers'!$A$5:$A$162,J1355),4),
    MATCH(L$8,'Vehicle numbers'!$B$4:$D$4,0))*1000</f>
        <v>183209.1541868255</v>
      </c>
      <c r="M1355" s="184">
        <f>VLOOKUP(F1355,'Annual distance covered (GB)'!$A$8:$H$33,MATCH(J1355,'Annual distance covered (GB)'!$A$7:$H$7,0))</f>
        <v>5.3</v>
      </c>
      <c r="N1355" s="2">
        <f t="shared" ref="N1355:N1418" ca="1" si="56">M1355*G1355*1000000*(L1355/K1355)</f>
        <v>18520.161997474395</v>
      </c>
      <c r="O1355" s="180">
        <f t="shared" ref="O1355:O1418" ca="1" si="57">N1355/L1355</f>
        <v>0.10108753615328994</v>
      </c>
      <c r="P1355" s="180"/>
      <c r="Q1355" s="180"/>
      <c r="R1355" s="180"/>
      <c r="S1355" s="180"/>
      <c r="T1355" s="180"/>
    </row>
    <row r="1356" spans="1:20" x14ac:dyDescent="0.25">
      <c r="A1356" t="s">
        <v>244</v>
      </c>
      <c r="B1356" t="s">
        <v>237</v>
      </c>
      <c r="C1356" t="s">
        <v>238</v>
      </c>
      <c r="D1356" t="s">
        <v>239</v>
      </c>
      <c r="E1356" t="s">
        <v>229</v>
      </c>
      <c r="F1356">
        <v>2006</v>
      </c>
      <c r="G1356">
        <v>8.4409999999999997E-4</v>
      </c>
      <c r="H1356" t="s">
        <v>240</v>
      </c>
      <c r="I1356" t="s">
        <v>241</v>
      </c>
      <c r="J1356" t="s">
        <v>242</v>
      </c>
      <c r="K1356" s="183">
        <f ca="1">VLOOKUP(F1356,
    OFFSET(INDIRECT(ADDRESS(MATCH(J1356,'Vehicle numbers'!$A$5:$A$162,0),1,1,1,$L$6)),4,1,COUNTIF('Vehicle numbers'!$A$5:$A$162,J1356),4),
    MATCH(K$8,'Vehicle numbers'!$B$4:$D$4,0))*1000</f>
        <v>177024</v>
      </c>
      <c r="L1356" s="183">
        <f ca="1">VLOOKUP(F1356,
    OFFSET(INDIRECT(ADDRESS(MATCH(J1356,'Vehicle numbers'!$A$5:$A$162,0),1,1,1,$L$6)),4,1,COUNTIF('Vehicle numbers'!$A$5:$A$162,J1356),4),
    MATCH(L$8,'Vehicle numbers'!$B$4:$D$4,0))*1000</f>
        <v>183209.1541868255</v>
      </c>
      <c r="M1356" s="184">
        <f>VLOOKUP(F1356,'Annual distance covered (GB)'!$A$8:$H$33,MATCH(J1356,'Annual distance covered (GB)'!$A$7:$H$7,0))</f>
        <v>5.3</v>
      </c>
      <c r="N1356" s="2">
        <f t="shared" ca="1" si="56"/>
        <v>4630.0404993685988</v>
      </c>
      <c r="O1356" s="180">
        <f t="shared" ca="1" si="57"/>
        <v>2.5271884038322485E-2</v>
      </c>
      <c r="P1356" s="180"/>
      <c r="Q1356" s="180"/>
      <c r="R1356" s="180"/>
      <c r="S1356" s="180"/>
      <c r="T1356" s="180"/>
    </row>
    <row r="1357" spans="1:20" x14ac:dyDescent="0.25">
      <c r="A1357" t="s">
        <v>246</v>
      </c>
      <c r="B1357" t="s">
        <v>237</v>
      </c>
      <c r="C1357" t="s">
        <v>238</v>
      </c>
      <c r="D1357" t="s">
        <v>239</v>
      </c>
      <c r="E1357" t="s">
        <v>229</v>
      </c>
      <c r="F1357">
        <v>2006</v>
      </c>
      <c r="G1357">
        <v>6.7528E-4</v>
      </c>
      <c r="H1357" t="s">
        <v>240</v>
      </c>
      <c r="I1357" t="s">
        <v>241</v>
      </c>
      <c r="J1357" t="s">
        <v>242</v>
      </c>
      <c r="K1357" s="183">
        <f ca="1">VLOOKUP(F1357,
    OFFSET(INDIRECT(ADDRESS(MATCH(J1357,'Vehicle numbers'!$A$5:$A$162,0),1,1,1,$L$6)),4,1,COUNTIF('Vehicle numbers'!$A$5:$A$162,J1357),4),
    MATCH(K$8,'Vehicle numbers'!$B$4:$D$4,0))*1000</f>
        <v>177024</v>
      </c>
      <c r="L1357" s="183">
        <f ca="1">VLOOKUP(F1357,
    OFFSET(INDIRECT(ADDRESS(MATCH(J1357,'Vehicle numbers'!$A$5:$A$162,0),1,1,1,$L$6)),4,1,COUNTIF('Vehicle numbers'!$A$5:$A$162,J1357),4),
    MATCH(L$8,'Vehicle numbers'!$B$4:$D$4,0))*1000</f>
        <v>183209.1541868255</v>
      </c>
      <c r="M1357" s="184">
        <f>VLOOKUP(F1357,'Annual distance covered (GB)'!$A$8:$H$33,MATCH(J1357,'Annual distance covered (GB)'!$A$7:$H$7,0))</f>
        <v>5.3</v>
      </c>
      <c r="N1357" s="2">
        <f t="shared" ca="1" si="56"/>
        <v>3704.0323994948794</v>
      </c>
      <c r="O1357" s="180">
        <f t="shared" ca="1" si="57"/>
        <v>2.0217507230657992E-2</v>
      </c>
      <c r="P1357" s="180"/>
      <c r="Q1357" s="180"/>
      <c r="R1357" s="180"/>
      <c r="S1357" s="180"/>
      <c r="T1357" s="180"/>
    </row>
    <row r="1358" spans="1:20" x14ac:dyDescent="0.25">
      <c r="A1358" t="s">
        <v>236</v>
      </c>
      <c r="B1358" t="s">
        <v>237</v>
      </c>
      <c r="C1358" t="s">
        <v>238</v>
      </c>
      <c r="D1358" t="s">
        <v>239</v>
      </c>
      <c r="E1358" t="s">
        <v>228</v>
      </c>
      <c r="F1358">
        <v>2006</v>
      </c>
      <c r="G1358">
        <v>1.3984E-2</v>
      </c>
      <c r="H1358" t="s">
        <v>240</v>
      </c>
      <c r="I1358" t="s">
        <v>241</v>
      </c>
      <c r="J1358" t="s">
        <v>242</v>
      </c>
      <c r="K1358" s="183">
        <f ca="1">VLOOKUP(F1358,
    OFFSET(INDIRECT(ADDRESS(MATCH(J1358,'Vehicle numbers'!$A$5:$A$162,0),1,1,1,$L$6)),4,1,COUNTIF('Vehicle numbers'!$A$5:$A$162,J1358),4),
    MATCH(K$8,'Vehicle numbers'!$B$4:$D$4,0))*1000</f>
        <v>177024</v>
      </c>
      <c r="L1358" s="183">
        <f ca="1">VLOOKUP(F1358,
    OFFSET(INDIRECT(ADDRESS(MATCH(J1358,'Vehicle numbers'!$A$5:$A$162,0),1,1,1,$L$6)),4,1,COUNTIF('Vehicle numbers'!$A$5:$A$162,J1358),4),
    MATCH(L$8,'Vehicle numbers'!$B$4:$D$4,0))*1000</f>
        <v>183209.1541868255</v>
      </c>
      <c r="M1358" s="184">
        <f>VLOOKUP(F1358,'Annual distance covered (GB)'!$A$8:$H$33,MATCH(J1358,'Annual distance covered (GB)'!$A$7:$H$7,0))</f>
        <v>5.3</v>
      </c>
      <c r="N1358" s="2">
        <f t="shared" ca="1" si="56"/>
        <v>76704.758136678705</v>
      </c>
      <c r="O1358" s="180">
        <f t="shared" ca="1" si="57"/>
        <v>0.41867317425885758</v>
      </c>
      <c r="P1358" s="180"/>
      <c r="Q1358" s="180"/>
      <c r="R1358" s="180"/>
      <c r="S1358" s="180"/>
      <c r="T1358" s="180"/>
    </row>
    <row r="1359" spans="1:20" x14ac:dyDescent="0.25">
      <c r="A1359" t="s">
        <v>243</v>
      </c>
      <c r="B1359" t="s">
        <v>237</v>
      </c>
      <c r="C1359" t="s">
        <v>238</v>
      </c>
      <c r="D1359" t="s">
        <v>239</v>
      </c>
      <c r="E1359" t="s">
        <v>228</v>
      </c>
      <c r="F1359">
        <v>2006</v>
      </c>
      <c r="G1359">
        <v>9.7888000000000003E-3</v>
      </c>
      <c r="H1359" t="s">
        <v>240</v>
      </c>
      <c r="I1359" t="s">
        <v>241</v>
      </c>
      <c r="J1359" t="s">
        <v>242</v>
      </c>
      <c r="K1359" s="183">
        <f ca="1">VLOOKUP(F1359,
    OFFSET(INDIRECT(ADDRESS(MATCH(J1359,'Vehicle numbers'!$A$5:$A$162,0),1,1,1,$L$6)),4,1,COUNTIF('Vehicle numbers'!$A$5:$A$162,J1359),4),
    MATCH(K$8,'Vehicle numbers'!$B$4:$D$4,0))*1000</f>
        <v>177024</v>
      </c>
      <c r="L1359" s="183">
        <f ca="1">VLOOKUP(F1359,
    OFFSET(INDIRECT(ADDRESS(MATCH(J1359,'Vehicle numbers'!$A$5:$A$162,0),1,1,1,$L$6)),4,1,COUNTIF('Vehicle numbers'!$A$5:$A$162,J1359),4),
    MATCH(L$8,'Vehicle numbers'!$B$4:$D$4,0))*1000</f>
        <v>183209.1541868255</v>
      </c>
      <c r="M1359" s="184">
        <f>VLOOKUP(F1359,'Annual distance covered (GB)'!$A$8:$H$33,MATCH(J1359,'Annual distance covered (GB)'!$A$7:$H$7,0))</f>
        <v>5.3</v>
      </c>
      <c r="N1359" s="2">
        <f t="shared" ca="1" si="56"/>
        <v>53693.330695675089</v>
      </c>
      <c r="O1359" s="180">
        <f t="shared" ca="1" si="57"/>
        <v>0.29307122198120028</v>
      </c>
      <c r="P1359" s="180"/>
      <c r="Q1359" s="180"/>
      <c r="R1359" s="180"/>
      <c r="S1359" s="180"/>
      <c r="T1359" s="180"/>
    </row>
    <row r="1360" spans="1:20" x14ac:dyDescent="0.25">
      <c r="A1360" t="s">
        <v>244</v>
      </c>
      <c r="B1360" t="s">
        <v>237</v>
      </c>
      <c r="C1360" t="s">
        <v>238</v>
      </c>
      <c r="D1360" t="s">
        <v>239</v>
      </c>
      <c r="E1360" t="s">
        <v>228</v>
      </c>
      <c r="F1360">
        <v>2006</v>
      </c>
      <c r="G1360">
        <v>1.3787042253521099E-3</v>
      </c>
      <c r="H1360" t="s">
        <v>240</v>
      </c>
      <c r="I1360" t="s">
        <v>241</v>
      </c>
      <c r="J1360" t="s">
        <v>242</v>
      </c>
      <c r="K1360" s="183">
        <f ca="1">VLOOKUP(F1360,
    OFFSET(INDIRECT(ADDRESS(MATCH(J1360,'Vehicle numbers'!$A$5:$A$162,0),1,1,1,$L$6)),4,1,COUNTIF('Vehicle numbers'!$A$5:$A$162,J1360),4),
    MATCH(K$8,'Vehicle numbers'!$B$4:$D$4,0))*1000</f>
        <v>177024</v>
      </c>
      <c r="L1360" s="183">
        <f ca="1">VLOOKUP(F1360,
    OFFSET(INDIRECT(ADDRESS(MATCH(J1360,'Vehicle numbers'!$A$5:$A$162,0),1,1,1,$L$6)),4,1,COUNTIF('Vehicle numbers'!$A$5:$A$162,J1360),4),
    MATCH(L$8,'Vehicle numbers'!$B$4:$D$4,0))*1000</f>
        <v>183209.1541868255</v>
      </c>
      <c r="M1360" s="184">
        <f>VLOOKUP(F1360,'Annual distance covered (GB)'!$A$8:$H$33,MATCH(J1360,'Annual distance covered (GB)'!$A$7:$H$7,0))</f>
        <v>5.3</v>
      </c>
      <c r="N1360" s="2">
        <f t="shared" ca="1" si="56"/>
        <v>7562.440943052814</v>
      </c>
      <c r="O1360" s="180">
        <f t="shared" ca="1" si="57"/>
        <v>4.1277636898760524E-2</v>
      </c>
      <c r="P1360" s="180"/>
      <c r="Q1360" s="180"/>
      <c r="R1360" s="180"/>
      <c r="S1360" s="180"/>
      <c r="T1360" s="180"/>
    </row>
    <row r="1361" spans="1:20" x14ac:dyDescent="0.25">
      <c r="A1361" t="s">
        <v>246</v>
      </c>
      <c r="B1361" t="s">
        <v>237</v>
      </c>
      <c r="C1361" t="s">
        <v>238</v>
      </c>
      <c r="D1361" t="s">
        <v>239</v>
      </c>
      <c r="E1361" t="s">
        <v>228</v>
      </c>
      <c r="F1361">
        <v>2006</v>
      </c>
      <c r="G1361">
        <v>1.10296338028169E-3</v>
      </c>
      <c r="H1361" t="s">
        <v>240</v>
      </c>
      <c r="I1361" t="s">
        <v>241</v>
      </c>
      <c r="J1361" t="s">
        <v>242</v>
      </c>
      <c r="K1361" s="183">
        <f ca="1">VLOOKUP(F1361,
    OFFSET(INDIRECT(ADDRESS(MATCH(J1361,'Vehicle numbers'!$A$5:$A$162,0),1,1,1,$L$6)),4,1,COUNTIF('Vehicle numbers'!$A$5:$A$162,J1361),4),
    MATCH(K$8,'Vehicle numbers'!$B$4:$D$4,0))*1000</f>
        <v>177024</v>
      </c>
      <c r="L1361" s="183">
        <f ca="1">VLOOKUP(F1361,
    OFFSET(INDIRECT(ADDRESS(MATCH(J1361,'Vehicle numbers'!$A$5:$A$162,0),1,1,1,$L$6)),4,1,COUNTIF('Vehicle numbers'!$A$5:$A$162,J1361),4),
    MATCH(L$8,'Vehicle numbers'!$B$4:$D$4,0))*1000</f>
        <v>183209.1541868255</v>
      </c>
      <c r="M1361" s="184">
        <f>VLOOKUP(F1361,'Annual distance covered (GB)'!$A$8:$H$33,MATCH(J1361,'Annual distance covered (GB)'!$A$7:$H$7,0))</f>
        <v>5.3</v>
      </c>
      <c r="N1361" s="2">
        <f t="shared" ca="1" si="56"/>
        <v>6049.9527544422635</v>
      </c>
      <c r="O1361" s="180">
        <f t="shared" ca="1" si="57"/>
        <v>3.3022109519008483E-2</v>
      </c>
      <c r="P1361" s="180"/>
      <c r="Q1361" s="180"/>
      <c r="R1361" s="180"/>
      <c r="S1361" s="180"/>
      <c r="T1361" s="180"/>
    </row>
    <row r="1362" spans="1:20" x14ac:dyDescent="0.25">
      <c r="A1362" t="s">
        <v>236</v>
      </c>
      <c r="B1362" t="s">
        <v>237</v>
      </c>
      <c r="C1362" t="s">
        <v>238</v>
      </c>
      <c r="D1362" t="s">
        <v>248</v>
      </c>
      <c r="E1362" t="s">
        <v>229</v>
      </c>
      <c r="F1362">
        <v>2006</v>
      </c>
      <c r="G1362">
        <v>2.7143E-2</v>
      </c>
      <c r="H1362" t="s">
        <v>240</v>
      </c>
      <c r="I1362" t="s">
        <v>241</v>
      </c>
      <c r="J1362" t="s">
        <v>242</v>
      </c>
      <c r="K1362" s="183">
        <f ca="1">VLOOKUP(F1362,
    OFFSET(INDIRECT(ADDRESS(MATCH(J1362,'Vehicle numbers'!$A$5:$A$162,0),1,1,1,$L$6)),4,1,COUNTIF('Vehicle numbers'!$A$5:$A$162,J1362),4),
    MATCH(K$8,'Vehicle numbers'!$B$4:$D$4,0))*1000</f>
        <v>177024</v>
      </c>
      <c r="L1362" s="183">
        <f ca="1">VLOOKUP(F1362,
    OFFSET(INDIRECT(ADDRESS(MATCH(J1362,'Vehicle numbers'!$A$5:$A$162,0),1,1,1,$L$6)),4,1,COUNTIF('Vehicle numbers'!$A$5:$A$162,J1362),4),
    MATCH(L$8,'Vehicle numbers'!$B$4:$D$4,0))*1000</f>
        <v>183209.1541868255</v>
      </c>
      <c r="M1362" s="184">
        <f>VLOOKUP(F1362,'Annual distance covered (GB)'!$A$8:$H$33,MATCH(J1362,'Annual distance covered (GB)'!$A$7:$H$7,0))</f>
        <v>5.3</v>
      </c>
      <c r="N1362" s="2">
        <f t="shared" ca="1" si="56"/>
        <v>148884.24271337746</v>
      </c>
      <c r="O1362" s="180">
        <f t="shared" ca="1" si="57"/>
        <v>0.81264630784526415</v>
      </c>
      <c r="P1362" s="180"/>
      <c r="Q1362" s="180"/>
      <c r="R1362" s="180"/>
      <c r="S1362" s="180"/>
      <c r="T1362" s="180"/>
    </row>
    <row r="1363" spans="1:20" x14ac:dyDescent="0.25">
      <c r="A1363" t="s">
        <v>243</v>
      </c>
      <c r="B1363" t="s">
        <v>237</v>
      </c>
      <c r="C1363" t="s">
        <v>238</v>
      </c>
      <c r="D1363" t="s">
        <v>248</v>
      </c>
      <c r="E1363" t="s">
        <v>229</v>
      </c>
      <c r="F1363">
        <v>2006</v>
      </c>
      <c r="G1363">
        <v>1.0857199999999999E-2</v>
      </c>
      <c r="H1363" t="s">
        <v>240</v>
      </c>
      <c r="I1363" t="s">
        <v>241</v>
      </c>
      <c r="J1363" t="s">
        <v>242</v>
      </c>
      <c r="K1363" s="183">
        <f ca="1">VLOOKUP(F1363,
    OFFSET(INDIRECT(ADDRESS(MATCH(J1363,'Vehicle numbers'!$A$5:$A$162,0),1,1,1,$L$6)),4,1,COUNTIF('Vehicle numbers'!$A$5:$A$162,J1363),4),
    MATCH(K$8,'Vehicle numbers'!$B$4:$D$4,0))*1000</f>
        <v>177024</v>
      </c>
      <c r="L1363" s="183">
        <f ca="1">VLOOKUP(F1363,
    OFFSET(INDIRECT(ADDRESS(MATCH(J1363,'Vehicle numbers'!$A$5:$A$162,0),1,1,1,$L$6)),4,1,COUNTIF('Vehicle numbers'!$A$5:$A$162,J1363),4),
    MATCH(L$8,'Vehicle numbers'!$B$4:$D$4,0))*1000</f>
        <v>183209.1541868255</v>
      </c>
      <c r="M1363" s="184">
        <f>VLOOKUP(F1363,'Annual distance covered (GB)'!$A$8:$H$33,MATCH(J1363,'Annual distance covered (GB)'!$A$7:$H$7,0))</f>
        <v>5.3</v>
      </c>
      <c r="N1363" s="2">
        <f t="shared" ca="1" si="56"/>
        <v>59553.69708535097</v>
      </c>
      <c r="O1363" s="180">
        <f t="shared" ca="1" si="57"/>
        <v>0.32505852313810557</v>
      </c>
      <c r="P1363" s="180"/>
      <c r="Q1363" s="180"/>
      <c r="R1363" s="180"/>
      <c r="S1363" s="180"/>
      <c r="T1363" s="180"/>
    </row>
    <row r="1364" spans="1:20" x14ac:dyDescent="0.25">
      <c r="A1364" t="s">
        <v>244</v>
      </c>
      <c r="B1364" t="s">
        <v>237</v>
      </c>
      <c r="C1364" t="s">
        <v>238</v>
      </c>
      <c r="D1364" t="s">
        <v>248</v>
      </c>
      <c r="E1364" t="s">
        <v>229</v>
      </c>
      <c r="F1364">
        <v>2006</v>
      </c>
      <c r="G1364">
        <v>2.7142999999999998E-3</v>
      </c>
      <c r="H1364" t="s">
        <v>240</v>
      </c>
      <c r="I1364" t="s">
        <v>241</v>
      </c>
      <c r="J1364" t="s">
        <v>242</v>
      </c>
      <c r="K1364" s="183">
        <f ca="1">VLOOKUP(F1364,
    OFFSET(INDIRECT(ADDRESS(MATCH(J1364,'Vehicle numbers'!$A$5:$A$162,0),1,1,1,$L$6)),4,1,COUNTIF('Vehicle numbers'!$A$5:$A$162,J1364),4),
    MATCH(K$8,'Vehicle numbers'!$B$4:$D$4,0))*1000</f>
        <v>177024</v>
      </c>
      <c r="L1364" s="183">
        <f ca="1">VLOOKUP(F1364,
    OFFSET(INDIRECT(ADDRESS(MATCH(J1364,'Vehicle numbers'!$A$5:$A$162,0),1,1,1,$L$6)),4,1,COUNTIF('Vehicle numbers'!$A$5:$A$162,J1364),4),
    MATCH(L$8,'Vehicle numbers'!$B$4:$D$4,0))*1000</f>
        <v>183209.1541868255</v>
      </c>
      <c r="M1364" s="184">
        <f>VLOOKUP(F1364,'Annual distance covered (GB)'!$A$8:$H$33,MATCH(J1364,'Annual distance covered (GB)'!$A$7:$H$7,0))</f>
        <v>5.3</v>
      </c>
      <c r="N1364" s="2">
        <f t="shared" ca="1" si="56"/>
        <v>14888.424271337743</v>
      </c>
      <c r="O1364" s="180">
        <f t="shared" ca="1" si="57"/>
        <v>8.1264630784526393E-2</v>
      </c>
      <c r="P1364" s="180"/>
      <c r="Q1364" s="180"/>
      <c r="R1364" s="180"/>
      <c r="S1364" s="180"/>
      <c r="T1364" s="180"/>
    </row>
    <row r="1365" spans="1:20" x14ac:dyDescent="0.25">
      <c r="A1365" t="s">
        <v>246</v>
      </c>
      <c r="B1365" t="s">
        <v>237</v>
      </c>
      <c r="C1365" t="s">
        <v>238</v>
      </c>
      <c r="D1365" t="s">
        <v>248</v>
      </c>
      <c r="E1365" t="s">
        <v>229</v>
      </c>
      <c r="F1365">
        <v>2006</v>
      </c>
      <c r="G1365">
        <v>2.1714400000000002E-3</v>
      </c>
      <c r="H1365" t="s">
        <v>240</v>
      </c>
      <c r="I1365" t="s">
        <v>241</v>
      </c>
      <c r="J1365" t="s">
        <v>242</v>
      </c>
      <c r="K1365" s="183">
        <f ca="1">VLOOKUP(F1365,
    OFFSET(INDIRECT(ADDRESS(MATCH(J1365,'Vehicle numbers'!$A$5:$A$162,0),1,1,1,$L$6)),4,1,COUNTIF('Vehicle numbers'!$A$5:$A$162,J1365),4),
    MATCH(K$8,'Vehicle numbers'!$B$4:$D$4,0))*1000</f>
        <v>177024</v>
      </c>
      <c r="L1365" s="183">
        <f ca="1">VLOOKUP(F1365,
    OFFSET(INDIRECT(ADDRESS(MATCH(J1365,'Vehicle numbers'!$A$5:$A$162,0),1,1,1,$L$6)),4,1,COUNTIF('Vehicle numbers'!$A$5:$A$162,J1365),4),
    MATCH(L$8,'Vehicle numbers'!$B$4:$D$4,0))*1000</f>
        <v>183209.1541868255</v>
      </c>
      <c r="M1365" s="184">
        <f>VLOOKUP(F1365,'Annual distance covered (GB)'!$A$8:$H$33,MATCH(J1365,'Annual distance covered (GB)'!$A$7:$H$7,0))</f>
        <v>5.3</v>
      </c>
      <c r="N1365" s="2">
        <f t="shared" ca="1" si="56"/>
        <v>11910.739417070195</v>
      </c>
      <c r="O1365" s="180">
        <f t="shared" ca="1" si="57"/>
        <v>6.5011704627621125E-2</v>
      </c>
      <c r="P1365" s="180"/>
      <c r="Q1365" s="180"/>
      <c r="R1365" s="180"/>
      <c r="S1365" s="180"/>
      <c r="T1365" s="180"/>
    </row>
    <row r="1366" spans="1:20" x14ac:dyDescent="0.25">
      <c r="A1366" t="s">
        <v>236</v>
      </c>
      <c r="B1366" t="s">
        <v>237</v>
      </c>
      <c r="C1366" t="s">
        <v>238</v>
      </c>
      <c r="D1366" t="s">
        <v>248</v>
      </c>
      <c r="E1366" t="s">
        <v>228</v>
      </c>
      <c r="F1366">
        <v>2006</v>
      </c>
      <c r="G1366">
        <v>1.68578987779569E-2</v>
      </c>
      <c r="H1366" t="s">
        <v>240</v>
      </c>
      <c r="I1366" t="s">
        <v>241</v>
      </c>
      <c r="J1366" t="s">
        <v>242</v>
      </c>
      <c r="K1366" s="183">
        <f ca="1">VLOOKUP(F1366,
    OFFSET(INDIRECT(ADDRESS(MATCH(J1366,'Vehicle numbers'!$A$5:$A$162,0),1,1,1,$L$6)),4,1,COUNTIF('Vehicle numbers'!$A$5:$A$162,J1366),4),
    MATCH(K$8,'Vehicle numbers'!$B$4:$D$4,0))*1000</f>
        <v>177024</v>
      </c>
      <c r="L1366" s="183">
        <f ca="1">VLOOKUP(F1366,
    OFFSET(INDIRECT(ADDRESS(MATCH(J1366,'Vehicle numbers'!$A$5:$A$162,0),1,1,1,$L$6)),4,1,COUNTIF('Vehicle numbers'!$A$5:$A$162,J1366),4),
    MATCH(L$8,'Vehicle numbers'!$B$4:$D$4,0))*1000</f>
        <v>183209.1541868255</v>
      </c>
      <c r="M1366" s="184">
        <f>VLOOKUP(F1366,'Annual distance covered (GB)'!$A$8:$H$33,MATCH(J1366,'Annual distance covered (GB)'!$A$7:$H$7,0))</f>
        <v>5.3</v>
      </c>
      <c r="N1366" s="2">
        <f t="shared" ca="1" si="56"/>
        <v>92468.610444493374</v>
      </c>
      <c r="O1366" s="180">
        <f t="shared" ca="1" si="57"/>
        <v>0.50471610359709174</v>
      </c>
      <c r="P1366" s="180"/>
      <c r="Q1366" s="180"/>
      <c r="R1366" s="180"/>
      <c r="S1366" s="180"/>
      <c r="T1366" s="180"/>
    </row>
    <row r="1367" spans="1:20" x14ac:dyDescent="0.25">
      <c r="A1367" t="s">
        <v>243</v>
      </c>
      <c r="B1367" t="s">
        <v>237</v>
      </c>
      <c r="C1367" t="s">
        <v>238</v>
      </c>
      <c r="D1367" t="s">
        <v>248</v>
      </c>
      <c r="E1367" t="s">
        <v>228</v>
      </c>
      <c r="F1367">
        <v>2006</v>
      </c>
      <c r="G1367">
        <v>1.1800529144569799E-2</v>
      </c>
      <c r="H1367" t="s">
        <v>240</v>
      </c>
      <c r="I1367" t="s">
        <v>241</v>
      </c>
      <c r="J1367" t="s">
        <v>242</v>
      </c>
      <c r="K1367" s="183">
        <f ca="1">VLOOKUP(F1367,
    OFFSET(INDIRECT(ADDRESS(MATCH(J1367,'Vehicle numbers'!$A$5:$A$162,0),1,1,1,$L$6)),4,1,COUNTIF('Vehicle numbers'!$A$5:$A$162,J1367),4),
    MATCH(K$8,'Vehicle numbers'!$B$4:$D$4,0))*1000</f>
        <v>177024</v>
      </c>
      <c r="L1367" s="183">
        <f ca="1">VLOOKUP(F1367,
    OFFSET(INDIRECT(ADDRESS(MATCH(J1367,'Vehicle numbers'!$A$5:$A$162,0),1,1,1,$L$6)),4,1,COUNTIF('Vehicle numbers'!$A$5:$A$162,J1367),4),
    MATCH(L$8,'Vehicle numbers'!$B$4:$D$4,0))*1000</f>
        <v>183209.1541868255</v>
      </c>
      <c r="M1367" s="184">
        <f>VLOOKUP(F1367,'Annual distance covered (GB)'!$A$8:$H$33,MATCH(J1367,'Annual distance covered (GB)'!$A$7:$H$7,0))</f>
        <v>5.3</v>
      </c>
      <c r="N1367" s="2">
        <f t="shared" ca="1" si="56"/>
        <v>64728.027311145197</v>
      </c>
      <c r="O1367" s="180">
        <f t="shared" ca="1" si="57"/>
        <v>0.35330127251796334</v>
      </c>
      <c r="P1367" s="180"/>
      <c r="Q1367" s="180"/>
      <c r="R1367" s="180"/>
      <c r="S1367" s="180"/>
      <c r="T1367" s="180"/>
    </row>
    <row r="1368" spans="1:20" x14ac:dyDescent="0.25">
      <c r="A1368" t="s">
        <v>244</v>
      </c>
      <c r="B1368" t="s">
        <v>237</v>
      </c>
      <c r="C1368" t="s">
        <v>238</v>
      </c>
      <c r="D1368" t="s">
        <v>248</v>
      </c>
      <c r="E1368" t="s">
        <v>228</v>
      </c>
      <c r="F1368">
        <v>2006</v>
      </c>
      <c r="G1368">
        <v>1.66204635839011E-3</v>
      </c>
      <c r="H1368" t="s">
        <v>240</v>
      </c>
      <c r="I1368" t="s">
        <v>241</v>
      </c>
      <c r="J1368" t="s">
        <v>242</v>
      </c>
      <c r="K1368" s="183">
        <f ca="1">VLOOKUP(F1368,
    OFFSET(INDIRECT(ADDRESS(MATCH(J1368,'Vehicle numbers'!$A$5:$A$162,0),1,1,1,$L$6)),4,1,COUNTIF('Vehicle numbers'!$A$5:$A$162,J1368),4),
    MATCH(K$8,'Vehicle numbers'!$B$4:$D$4,0))*1000</f>
        <v>177024</v>
      </c>
      <c r="L1368" s="183">
        <f ca="1">VLOOKUP(F1368,
    OFFSET(INDIRECT(ADDRESS(MATCH(J1368,'Vehicle numbers'!$A$5:$A$162,0),1,1,1,$L$6)),4,1,COUNTIF('Vehicle numbers'!$A$5:$A$162,J1368),4),
    MATCH(L$8,'Vehicle numbers'!$B$4:$D$4,0))*1000</f>
        <v>183209.1541868255</v>
      </c>
      <c r="M1368" s="184">
        <f>VLOOKUP(F1368,'Annual distance covered (GB)'!$A$8:$H$33,MATCH(J1368,'Annual distance covered (GB)'!$A$7:$H$7,0))</f>
        <v>5.3</v>
      </c>
      <c r="N1368" s="2">
        <f t="shared" ca="1" si="56"/>
        <v>9116.623564950014</v>
      </c>
      <c r="O1368" s="180">
        <f t="shared" ca="1" si="57"/>
        <v>4.9760742608163773E-2</v>
      </c>
      <c r="P1368" s="180"/>
      <c r="Q1368" s="180"/>
      <c r="R1368" s="180"/>
      <c r="S1368" s="180"/>
      <c r="T1368" s="180"/>
    </row>
    <row r="1369" spans="1:20" x14ac:dyDescent="0.25">
      <c r="A1369" t="s">
        <v>246</v>
      </c>
      <c r="B1369" t="s">
        <v>237</v>
      </c>
      <c r="C1369" t="s">
        <v>238</v>
      </c>
      <c r="D1369" t="s">
        <v>248</v>
      </c>
      <c r="E1369" t="s">
        <v>228</v>
      </c>
      <c r="F1369">
        <v>2006</v>
      </c>
      <c r="G1369">
        <v>1.32963708671209E-3</v>
      </c>
      <c r="H1369" t="s">
        <v>240</v>
      </c>
      <c r="I1369" t="s">
        <v>241</v>
      </c>
      <c r="J1369" t="s">
        <v>242</v>
      </c>
      <c r="K1369" s="183">
        <f ca="1">VLOOKUP(F1369,
    OFFSET(INDIRECT(ADDRESS(MATCH(J1369,'Vehicle numbers'!$A$5:$A$162,0),1,1,1,$L$6)),4,1,COUNTIF('Vehicle numbers'!$A$5:$A$162,J1369),4),
    MATCH(K$8,'Vehicle numbers'!$B$4:$D$4,0))*1000</f>
        <v>177024</v>
      </c>
      <c r="L1369" s="183">
        <f ca="1">VLOOKUP(F1369,
    OFFSET(INDIRECT(ADDRESS(MATCH(J1369,'Vehicle numbers'!$A$5:$A$162,0),1,1,1,$L$6)),4,1,COUNTIF('Vehicle numbers'!$A$5:$A$162,J1369),4),
    MATCH(L$8,'Vehicle numbers'!$B$4:$D$4,0))*1000</f>
        <v>183209.1541868255</v>
      </c>
      <c r="M1369" s="184">
        <f>VLOOKUP(F1369,'Annual distance covered (GB)'!$A$8:$H$33,MATCH(J1369,'Annual distance covered (GB)'!$A$7:$H$7,0))</f>
        <v>5.3</v>
      </c>
      <c r="N1369" s="2">
        <f t="shared" ca="1" si="56"/>
        <v>7293.2988519600221</v>
      </c>
      <c r="O1369" s="180">
        <f t="shared" ca="1" si="57"/>
        <v>3.9808594086531077E-2</v>
      </c>
      <c r="P1369" s="180"/>
      <c r="Q1369" s="180"/>
      <c r="R1369" s="180"/>
      <c r="S1369" s="180"/>
      <c r="T1369" s="180"/>
    </row>
    <row r="1370" spans="1:20" x14ac:dyDescent="0.25">
      <c r="A1370" t="s">
        <v>236</v>
      </c>
      <c r="B1370" t="s">
        <v>237</v>
      </c>
      <c r="C1370" t="s">
        <v>238</v>
      </c>
      <c r="D1370" t="s">
        <v>249</v>
      </c>
      <c r="E1370" t="s">
        <v>229</v>
      </c>
      <c r="F1370">
        <v>2006</v>
      </c>
      <c r="G1370">
        <v>5.35949999999999E-2</v>
      </c>
      <c r="H1370" t="s">
        <v>240</v>
      </c>
      <c r="I1370" t="s">
        <v>241</v>
      </c>
      <c r="J1370" t="s">
        <v>242</v>
      </c>
      <c r="K1370" s="183">
        <f ca="1">VLOOKUP(F1370,
    OFFSET(INDIRECT(ADDRESS(MATCH(J1370,'Vehicle numbers'!$A$5:$A$162,0),1,1,1,$L$6)),4,1,COUNTIF('Vehicle numbers'!$A$5:$A$162,J1370),4),
    MATCH(K$8,'Vehicle numbers'!$B$4:$D$4,0))*1000</f>
        <v>177024</v>
      </c>
      <c r="L1370" s="183">
        <f ca="1">VLOOKUP(F1370,
    OFFSET(INDIRECT(ADDRESS(MATCH(J1370,'Vehicle numbers'!$A$5:$A$162,0),1,1,1,$L$6)),4,1,COUNTIF('Vehicle numbers'!$A$5:$A$162,J1370),4),
    MATCH(L$8,'Vehicle numbers'!$B$4:$D$4,0))*1000</f>
        <v>183209.1541868255</v>
      </c>
      <c r="M1370" s="184">
        <f>VLOOKUP(F1370,'Annual distance covered (GB)'!$A$8:$H$33,MATCH(J1370,'Annual distance covered (GB)'!$A$7:$H$7,0))</f>
        <v>5.3</v>
      </c>
      <c r="N1370" s="2">
        <f t="shared" ca="1" si="56"/>
        <v>293978.22599651653</v>
      </c>
      <c r="O1370" s="180">
        <f t="shared" ca="1" si="57"/>
        <v>1.6046044604121446</v>
      </c>
      <c r="P1370" s="180"/>
      <c r="Q1370" s="180"/>
      <c r="R1370" s="180"/>
      <c r="S1370" s="180"/>
      <c r="T1370" s="180"/>
    </row>
    <row r="1371" spans="1:20" x14ac:dyDescent="0.25">
      <c r="A1371" t="s">
        <v>243</v>
      </c>
      <c r="B1371" t="s">
        <v>237</v>
      </c>
      <c r="C1371" t="s">
        <v>238</v>
      </c>
      <c r="D1371" t="s">
        <v>249</v>
      </c>
      <c r="E1371" t="s">
        <v>229</v>
      </c>
      <c r="F1371">
        <v>2006</v>
      </c>
      <c r="G1371">
        <v>2.1437999999999999E-2</v>
      </c>
      <c r="H1371" t="s">
        <v>240</v>
      </c>
      <c r="I1371" t="s">
        <v>241</v>
      </c>
      <c r="J1371" t="s">
        <v>242</v>
      </c>
      <c r="K1371" s="183">
        <f ca="1">VLOOKUP(F1371,
    OFFSET(INDIRECT(ADDRESS(MATCH(J1371,'Vehicle numbers'!$A$5:$A$162,0),1,1,1,$L$6)),4,1,COUNTIF('Vehicle numbers'!$A$5:$A$162,J1371),4),
    MATCH(K$8,'Vehicle numbers'!$B$4:$D$4,0))*1000</f>
        <v>177024</v>
      </c>
      <c r="L1371" s="183">
        <f ca="1">VLOOKUP(F1371,
    OFFSET(INDIRECT(ADDRESS(MATCH(J1371,'Vehicle numbers'!$A$5:$A$162,0),1,1,1,$L$6)),4,1,COUNTIF('Vehicle numbers'!$A$5:$A$162,J1371),4),
    MATCH(L$8,'Vehicle numbers'!$B$4:$D$4,0))*1000</f>
        <v>183209.1541868255</v>
      </c>
      <c r="M1371" s="184">
        <f>VLOOKUP(F1371,'Annual distance covered (GB)'!$A$8:$H$33,MATCH(J1371,'Annual distance covered (GB)'!$A$7:$H$7,0))</f>
        <v>5.3</v>
      </c>
      <c r="N1371" s="2">
        <f t="shared" ca="1" si="56"/>
        <v>117591.29039860681</v>
      </c>
      <c r="O1371" s="180">
        <f t="shared" ca="1" si="57"/>
        <v>0.64184178416485893</v>
      </c>
      <c r="P1371" s="180"/>
      <c r="Q1371" s="180"/>
      <c r="R1371" s="180"/>
      <c r="S1371" s="180"/>
      <c r="T1371" s="180"/>
    </row>
    <row r="1372" spans="1:20" x14ac:dyDescent="0.25">
      <c r="A1372" t="s">
        <v>244</v>
      </c>
      <c r="B1372" t="s">
        <v>237</v>
      </c>
      <c r="C1372" t="s">
        <v>238</v>
      </c>
      <c r="D1372" t="s">
        <v>249</v>
      </c>
      <c r="E1372" t="s">
        <v>229</v>
      </c>
      <c r="F1372">
        <v>2006</v>
      </c>
      <c r="G1372">
        <v>5.3594999999999997E-3</v>
      </c>
      <c r="H1372" t="s">
        <v>240</v>
      </c>
      <c r="I1372" t="s">
        <v>241</v>
      </c>
      <c r="J1372" t="s">
        <v>242</v>
      </c>
      <c r="K1372" s="183">
        <f ca="1">VLOOKUP(F1372,
    OFFSET(INDIRECT(ADDRESS(MATCH(J1372,'Vehicle numbers'!$A$5:$A$162,0),1,1,1,$L$6)),4,1,COUNTIF('Vehicle numbers'!$A$5:$A$162,J1372),4),
    MATCH(K$8,'Vehicle numbers'!$B$4:$D$4,0))*1000</f>
        <v>177024</v>
      </c>
      <c r="L1372" s="183">
        <f ca="1">VLOOKUP(F1372,
    OFFSET(INDIRECT(ADDRESS(MATCH(J1372,'Vehicle numbers'!$A$5:$A$162,0),1,1,1,$L$6)),4,1,COUNTIF('Vehicle numbers'!$A$5:$A$162,J1372),4),
    MATCH(L$8,'Vehicle numbers'!$B$4:$D$4,0))*1000</f>
        <v>183209.1541868255</v>
      </c>
      <c r="M1372" s="184">
        <f>VLOOKUP(F1372,'Annual distance covered (GB)'!$A$8:$H$33,MATCH(J1372,'Annual distance covered (GB)'!$A$7:$H$7,0))</f>
        <v>5.3</v>
      </c>
      <c r="N1372" s="2">
        <f t="shared" ca="1" si="56"/>
        <v>29397.822599651703</v>
      </c>
      <c r="O1372" s="180">
        <f t="shared" ca="1" si="57"/>
        <v>0.16046044604121473</v>
      </c>
      <c r="P1372" s="180"/>
      <c r="Q1372" s="180"/>
      <c r="R1372" s="180"/>
      <c r="S1372" s="180"/>
      <c r="T1372" s="180"/>
    </row>
    <row r="1373" spans="1:20" x14ac:dyDescent="0.25">
      <c r="A1373" t="s">
        <v>246</v>
      </c>
      <c r="B1373" t="s">
        <v>237</v>
      </c>
      <c r="C1373" t="s">
        <v>238</v>
      </c>
      <c r="D1373" t="s">
        <v>249</v>
      </c>
      <c r="E1373" t="s">
        <v>229</v>
      </c>
      <c r="F1373">
        <v>2006</v>
      </c>
      <c r="G1373">
        <v>4.2875999999999999E-3</v>
      </c>
      <c r="H1373" t="s">
        <v>240</v>
      </c>
      <c r="I1373" t="s">
        <v>241</v>
      </c>
      <c r="J1373" t="s">
        <v>242</v>
      </c>
      <c r="K1373" s="183">
        <f ca="1">VLOOKUP(F1373,
    OFFSET(INDIRECT(ADDRESS(MATCH(J1373,'Vehicle numbers'!$A$5:$A$162,0),1,1,1,$L$6)),4,1,COUNTIF('Vehicle numbers'!$A$5:$A$162,J1373),4),
    MATCH(K$8,'Vehicle numbers'!$B$4:$D$4,0))*1000</f>
        <v>177024</v>
      </c>
      <c r="L1373" s="183">
        <f ca="1">VLOOKUP(F1373,
    OFFSET(INDIRECT(ADDRESS(MATCH(J1373,'Vehicle numbers'!$A$5:$A$162,0),1,1,1,$L$6)),4,1,COUNTIF('Vehicle numbers'!$A$5:$A$162,J1373),4),
    MATCH(L$8,'Vehicle numbers'!$B$4:$D$4,0))*1000</f>
        <v>183209.1541868255</v>
      </c>
      <c r="M1373" s="184">
        <f>VLOOKUP(F1373,'Annual distance covered (GB)'!$A$8:$H$33,MATCH(J1373,'Annual distance covered (GB)'!$A$7:$H$7,0))</f>
        <v>5.3</v>
      </c>
      <c r="N1373" s="2">
        <f t="shared" ca="1" si="56"/>
        <v>23518.258079721367</v>
      </c>
      <c r="O1373" s="180">
        <f t="shared" ca="1" si="57"/>
        <v>0.12836835683297182</v>
      </c>
      <c r="P1373" s="180"/>
      <c r="Q1373" s="180"/>
      <c r="R1373" s="180"/>
      <c r="S1373" s="180"/>
      <c r="T1373" s="180"/>
    </row>
    <row r="1374" spans="1:20" x14ac:dyDescent="0.25">
      <c r="A1374" t="s">
        <v>236</v>
      </c>
      <c r="B1374" t="s">
        <v>237</v>
      </c>
      <c r="C1374" t="s">
        <v>238</v>
      </c>
      <c r="D1374" t="s">
        <v>249</v>
      </c>
      <c r="E1374" t="s">
        <v>228</v>
      </c>
      <c r="F1374">
        <v>2006</v>
      </c>
      <c r="G1374">
        <v>2.1389398054916402E-2</v>
      </c>
      <c r="H1374" t="s">
        <v>240</v>
      </c>
      <c r="I1374" t="s">
        <v>241</v>
      </c>
      <c r="J1374" t="s">
        <v>242</v>
      </c>
      <c r="K1374" s="183">
        <f ca="1">VLOOKUP(F1374,
    OFFSET(INDIRECT(ADDRESS(MATCH(J1374,'Vehicle numbers'!$A$5:$A$162,0),1,1,1,$L$6)),4,1,COUNTIF('Vehicle numbers'!$A$5:$A$162,J1374),4),
    MATCH(K$8,'Vehicle numbers'!$B$4:$D$4,0))*1000</f>
        <v>177024</v>
      </c>
      <c r="L1374" s="183">
        <f ca="1">VLOOKUP(F1374,
    OFFSET(INDIRECT(ADDRESS(MATCH(J1374,'Vehicle numbers'!$A$5:$A$162,0),1,1,1,$L$6)),4,1,COUNTIF('Vehicle numbers'!$A$5:$A$162,J1374),4),
    MATCH(L$8,'Vehicle numbers'!$B$4:$D$4,0))*1000</f>
        <v>183209.1541868255</v>
      </c>
      <c r="M1374" s="184">
        <f>VLOOKUP(F1374,'Annual distance covered (GB)'!$A$8:$H$33,MATCH(J1374,'Annual distance covered (GB)'!$A$7:$H$7,0))</f>
        <v>5.3</v>
      </c>
      <c r="N1374" s="2">
        <f t="shared" ca="1" si="56"/>
        <v>117324.69997793969</v>
      </c>
      <c r="O1374" s="180">
        <f t="shared" ca="1" si="57"/>
        <v>0.64038666898870744</v>
      </c>
      <c r="P1374" s="180"/>
      <c r="Q1374" s="180"/>
      <c r="R1374" s="180"/>
      <c r="S1374" s="180"/>
      <c r="T1374" s="180"/>
    </row>
    <row r="1375" spans="1:20" x14ac:dyDescent="0.25">
      <c r="A1375" t="s">
        <v>243</v>
      </c>
      <c r="B1375" t="s">
        <v>237</v>
      </c>
      <c r="C1375" t="s">
        <v>238</v>
      </c>
      <c r="D1375" t="s">
        <v>249</v>
      </c>
      <c r="E1375" t="s">
        <v>228</v>
      </c>
      <c r="F1375">
        <v>2006</v>
      </c>
      <c r="G1375">
        <v>1.49725786384415E-2</v>
      </c>
      <c r="H1375" t="s">
        <v>240</v>
      </c>
      <c r="I1375" t="s">
        <v>241</v>
      </c>
      <c r="J1375" t="s">
        <v>242</v>
      </c>
      <c r="K1375" s="183">
        <f ca="1">VLOOKUP(F1375,
    OFFSET(INDIRECT(ADDRESS(MATCH(J1375,'Vehicle numbers'!$A$5:$A$162,0),1,1,1,$L$6)),4,1,COUNTIF('Vehicle numbers'!$A$5:$A$162,J1375),4),
    MATCH(K$8,'Vehicle numbers'!$B$4:$D$4,0))*1000</f>
        <v>177024</v>
      </c>
      <c r="L1375" s="183">
        <f ca="1">VLOOKUP(F1375,
    OFFSET(INDIRECT(ADDRESS(MATCH(J1375,'Vehicle numbers'!$A$5:$A$162,0),1,1,1,$L$6)),4,1,COUNTIF('Vehicle numbers'!$A$5:$A$162,J1375),4),
    MATCH(L$8,'Vehicle numbers'!$B$4:$D$4,0))*1000</f>
        <v>183209.1541868255</v>
      </c>
      <c r="M1375" s="184">
        <f>VLOOKUP(F1375,'Annual distance covered (GB)'!$A$8:$H$33,MATCH(J1375,'Annual distance covered (GB)'!$A$7:$H$7,0))</f>
        <v>5.3</v>
      </c>
      <c r="N1375" s="2">
        <f t="shared" ca="1" si="56"/>
        <v>82127.28998455788</v>
      </c>
      <c r="O1375" s="180">
        <f t="shared" ca="1" si="57"/>
        <v>0.44827066829209578</v>
      </c>
      <c r="P1375" s="180"/>
      <c r="Q1375" s="180"/>
      <c r="R1375" s="180"/>
      <c r="S1375" s="180"/>
      <c r="T1375" s="180"/>
    </row>
    <row r="1376" spans="1:20" x14ac:dyDescent="0.25">
      <c r="A1376" t="s">
        <v>244</v>
      </c>
      <c r="B1376" t="s">
        <v>237</v>
      </c>
      <c r="C1376" t="s">
        <v>238</v>
      </c>
      <c r="D1376" t="s">
        <v>249</v>
      </c>
      <c r="E1376" t="s">
        <v>228</v>
      </c>
      <c r="F1376">
        <v>2006</v>
      </c>
      <c r="G1376">
        <v>2.1088138927382399E-3</v>
      </c>
      <c r="H1376" t="s">
        <v>240</v>
      </c>
      <c r="I1376" t="s">
        <v>241</v>
      </c>
      <c r="J1376" t="s">
        <v>242</v>
      </c>
      <c r="K1376" s="183">
        <f ca="1">VLOOKUP(F1376,
    OFFSET(INDIRECT(ADDRESS(MATCH(J1376,'Vehicle numbers'!$A$5:$A$162,0),1,1,1,$L$6)),4,1,COUNTIF('Vehicle numbers'!$A$5:$A$162,J1376),4),
    MATCH(K$8,'Vehicle numbers'!$B$4:$D$4,0))*1000</f>
        <v>177024</v>
      </c>
      <c r="L1376" s="183">
        <f ca="1">VLOOKUP(F1376,
    OFFSET(INDIRECT(ADDRESS(MATCH(J1376,'Vehicle numbers'!$A$5:$A$162,0),1,1,1,$L$6)),4,1,COUNTIF('Vehicle numbers'!$A$5:$A$162,J1376),4),
    MATCH(L$8,'Vehicle numbers'!$B$4:$D$4,0))*1000</f>
        <v>183209.1541868255</v>
      </c>
      <c r="M1376" s="184">
        <f>VLOOKUP(F1376,'Annual distance covered (GB)'!$A$8:$H$33,MATCH(J1376,'Annual distance covered (GB)'!$A$7:$H$7,0))</f>
        <v>5.3</v>
      </c>
      <c r="N1376" s="2">
        <f t="shared" ca="1" si="56"/>
        <v>11567.223941487027</v>
      </c>
      <c r="O1376" s="180">
        <f t="shared" ca="1" si="57"/>
        <v>6.3136713843957165E-2</v>
      </c>
      <c r="P1376" s="180"/>
      <c r="Q1376" s="180"/>
      <c r="R1376" s="180"/>
      <c r="S1376" s="180"/>
      <c r="T1376" s="180"/>
    </row>
    <row r="1377" spans="1:20" x14ac:dyDescent="0.25">
      <c r="A1377" t="s">
        <v>246</v>
      </c>
      <c r="B1377" t="s">
        <v>237</v>
      </c>
      <c r="C1377" t="s">
        <v>238</v>
      </c>
      <c r="D1377" t="s">
        <v>249</v>
      </c>
      <c r="E1377" t="s">
        <v>228</v>
      </c>
      <c r="F1377">
        <v>2006</v>
      </c>
      <c r="G1377">
        <v>1.6870511141905901E-3</v>
      </c>
      <c r="H1377" t="s">
        <v>240</v>
      </c>
      <c r="I1377" t="s">
        <v>241</v>
      </c>
      <c r="J1377" t="s">
        <v>242</v>
      </c>
      <c r="K1377" s="183">
        <f ca="1">VLOOKUP(F1377,
    OFFSET(INDIRECT(ADDRESS(MATCH(J1377,'Vehicle numbers'!$A$5:$A$162,0),1,1,1,$L$6)),4,1,COUNTIF('Vehicle numbers'!$A$5:$A$162,J1377),4),
    MATCH(K$8,'Vehicle numbers'!$B$4:$D$4,0))*1000</f>
        <v>177024</v>
      </c>
      <c r="L1377" s="183">
        <f ca="1">VLOOKUP(F1377,
    OFFSET(INDIRECT(ADDRESS(MATCH(J1377,'Vehicle numbers'!$A$5:$A$162,0),1,1,1,$L$6)),4,1,COUNTIF('Vehicle numbers'!$A$5:$A$162,J1377),4),
    MATCH(L$8,'Vehicle numbers'!$B$4:$D$4,0))*1000</f>
        <v>183209.1541868255</v>
      </c>
      <c r="M1377" s="184">
        <f>VLOOKUP(F1377,'Annual distance covered (GB)'!$A$8:$H$33,MATCH(J1377,'Annual distance covered (GB)'!$A$7:$H$7,0))</f>
        <v>5.3</v>
      </c>
      <c r="N1377" s="2">
        <f t="shared" ca="1" si="56"/>
        <v>9253.7791531896128</v>
      </c>
      <c r="O1377" s="180">
        <f t="shared" ca="1" si="57"/>
        <v>5.0509371075165677E-2</v>
      </c>
      <c r="P1377" s="180"/>
      <c r="Q1377" s="180"/>
      <c r="R1377" s="180"/>
      <c r="S1377" s="180"/>
      <c r="T1377" s="180"/>
    </row>
    <row r="1378" spans="1:20" x14ac:dyDescent="0.25">
      <c r="A1378" t="s">
        <v>236</v>
      </c>
      <c r="B1378" t="s">
        <v>237</v>
      </c>
      <c r="C1378" t="s">
        <v>238</v>
      </c>
      <c r="D1378" t="s">
        <v>250</v>
      </c>
      <c r="E1378" t="s">
        <v>229</v>
      </c>
      <c r="F1378">
        <v>2006</v>
      </c>
      <c r="G1378">
        <v>1.3600000000000001E-3</v>
      </c>
      <c r="H1378" t="s">
        <v>240</v>
      </c>
      <c r="I1378" t="s">
        <v>241</v>
      </c>
      <c r="J1378" t="s">
        <v>2</v>
      </c>
      <c r="K1378" s="183">
        <f ca="1">VLOOKUP(F1378,
    OFFSET(INDIRECT(ADDRESS(MATCH(J1378,'Vehicle numbers'!$A$5:$A$162,0),1,1,1,$L$6)),4,1,COUNTIF('Vehicle numbers'!$A$5:$A$162,J1378),4),
    MATCH(K$8,'Vehicle numbers'!$B$4:$D$4,0))*1000</f>
        <v>27609171</v>
      </c>
      <c r="L1378" s="183">
        <f ca="1">VLOOKUP(F1378,
    OFFSET(INDIRECT(ADDRESS(MATCH(J1378,'Vehicle numbers'!$A$5:$A$162,0),1,1,1,$L$6)),4,1,COUNTIF('Vehicle numbers'!$A$5:$A$162,J1378),4),
    MATCH(L$8,'Vehicle numbers'!$B$4:$D$4,0))*1000</f>
        <v>28457669.80833305</v>
      </c>
      <c r="M1378" s="184">
        <f>VLOOKUP(F1378,'Annual distance covered (GB)'!$A$8:$H$33,MATCH(J1378,'Annual distance covered (GB)'!$A$7:$H$7,0))</f>
        <v>397.4</v>
      </c>
      <c r="N1378" s="2">
        <f t="shared" ca="1" si="56"/>
        <v>557073.80910824565</v>
      </c>
      <c r="O1378" s="180">
        <f t="shared" ca="1" si="57"/>
        <v>1.9575524379199939E-2</v>
      </c>
      <c r="P1378" s="180"/>
      <c r="Q1378" s="180"/>
      <c r="R1378" s="180"/>
      <c r="S1378" s="180"/>
      <c r="T1378" s="180"/>
    </row>
    <row r="1379" spans="1:20" x14ac:dyDescent="0.25">
      <c r="A1379" t="s">
        <v>243</v>
      </c>
      <c r="B1379" t="s">
        <v>237</v>
      </c>
      <c r="C1379" t="s">
        <v>238</v>
      </c>
      <c r="D1379" t="s">
        <v>250</v>
      </c>
      <c r="E1379" t="s">
        <v>229</v>
      </c>
      <c r="F1379">
        <v>2006</v>
      </c>
      <c r="G1379">
        <v>5.44E-4</v>
      </c>
      <c r="H1379" t="s">
        <v>240</v>
      </c>
      <c r="I1379" t="s">
        <v>241</v>
      </c>
      <c r="J1379" t="s">
        <v>2</v>
      </c>
      <c r="K1379" s="183">
        <f ca="1">VLOOKUP(F1379,
    OFFSET(INDIRECT(ADDRESS(MATCH(J1379,'Vehicle numbers'!$A$5:$A$162,0),1,1,1,$L$6)),4,1,COUNTIF('Vehicle numbers'!$A$5:$A$162,J1379),4),
    MATCH(K$8,'Vehicle numbers'!$B$4:$D$4,0))*1000</f>
        <v>27609171</v>
      </c>
      <c r="L1379" s="183">
        <f ca="1">VLOOKUP(F1379,
    OFFSET(INDIRECT(ADDRESS(MATCH(J1379,'Vehicle numbers'!$A$5:$A$162,0),1,1,1,$L$6)),4,1,COUNTIF('Vehicle numbers'!$A$5:$A$162,J1379),4),
    MATCH(L$8,'Vehicle numbers'!$B$4:$D$4,0))*1000</f>
        <v>28457669.80833305</v>
      </c>
      <c r="M1379" s="184">
        <f>VLOOKUP(F1379,'Annual distance covered (GB)'!$A$8:$H$33,MATCH(J1379,'Annual distance covered (GB)'!$A$7:$H$7,0))</f>
        <v>397.4</v>
      </c>
      <c r="N1379" s="2">
        <f t="shared" ca="1" si="56"/>
        <v>222829.52364329825</v>
      </c>
      <c r="O1379" s="180">
        <f t="shared" ca="1" si="57"/>
        <v>7.8302097516799746E-3</v>
      </c>
      <c r="P1379" s="180"/>
      <c r="Q1379" s="180"/>
      <c r="R1379" s="180"/>
      <c r="S1379" s="180"/>
      <c r="T1379" s="180"/>
    </row>
    <row r="1380" spans="1:20" x14ac:dyDescent="0.25">
      <c r="A1380" t="s">
        <v>244</v>
      </c>
      <c r="B1380" t="s">
        <v>237</v>
      </c>
      <c r="C1380" t="s">
        <v>238</v>
      </c>
      <c r="D1380" t="s">
        <v>250</v>
      </c>
      <c r="E1380" t="s">
        <v>229</v>
      </c>
      <c r="F1380">
        <v>2006</v>
      </c>
      <c r="G1380">
        <v>1.36E-4</v>
      </c>
      <c r="H1380" t="s">
        <v>240</v>
      </c>
      <c r="I1380" t="s">
        <v>241</v>
      </c>
      <c r="J1380" t="s">
        <v>2</v>
      </c>
      <c r="K1380" s="183">
        <f ca="1">VLOOKUP(F1380,
    OFFSET(INDIRECT(ADDRESS(MATCH(J1380,'Vehicle numbers'!$A$5:$A$162,0),1,1,1,$L$6)),4,1,COUNTIF('Vehicle numbers'!$A$5:$A$162,J1380),4),
    MATCH(K$8,'Vehicle numbers'!$B$4:$D$4,0))*1000</f>
        <v>27609171</v>
      </c>
      <c r="L1380" s="183">
        <f ca="1">VLOOKUP(F1380,
    OFFSET(INDIRECT(ADDRESS(MATCH(J1380,'Vehicle numbers'!$A$5:$A$162,0),1,1,1,$L$6)),4,1,COUNTIF('Vehicle numbers'!$A$5:$A$162,J1380),4),
    MATCH(L$8,'Vehicle numbers'!$B$4:$D$4,0))*1000</f>
        <v>28457669.80833305</v>
      </c>
      <c r="M1380" s="184">
        <f>VLOOKUP(F1380,'Annual distance covered (GB)'!$A$8:$H$33,MATCH(J1380,'Annual distance covered (GB)'!$A$7:$H$7,0))</f>
        <v>397.4</v>
      </c>
      <c r="N1380" s="2">
        <f t="shared" ca="1" si="56"/>
        <v>55707.380910824562</v>
      </c>
      <c r="O1380" s="180">
        <f t="shared" ca="1" si="57"/>
        <v>1.9575524379199937E-3</v>
      </c>
      <c r="P1380" s="180"/>
      <c r="Q1380" s="180"/>
      <c r="R1380" s="180"/>
      <c r="S1380" s="180"/>
      <c r="T1380" s="180"/>
    </row>
    <row r="1381" spans="1:20" x14ac:dyDescent="0.25">
      <c r="A1381" t="s">
        <v>246</v>
      </c>
      <c r="B1381" t="s">
        <v>237</v>
      </c>
      <c r="C1381" t="s">
        <v>238</v>
      </c>
      <c r="D1381" t="s">
        <v>250</v>
      </c>
      <c r="E1381" t="s">
        <v>229</v>
      </c>
      <c r="F1381">
        <v>2006</v>
      </c>
      <c r="G1381">
        <v>1.088E-4</v>
      </c>
      <c r="H1381" t="s">
        <v>240</v>
      </c>
      <c r="I1381" t="s">
        <v>241</v>
      </c>
      <c r="J1381" t="s">
        <v>2</v>
      </c>
      <c r="K1381" s="183">
        <f ca="1">VLOOKUP(F1381,
    OFFSET(INDIRECT(ADDRESS(MATCH(J1381,'Vehicle numbers'!$A$5:$A$162,0),1,1,1,$L$6)),4,1,COUNTIF('Vehicle numbers'!$A$5:$A$162,J1381),4),
    MATCH(K$8,'Vehicle numbers'!$B$4:$D$4,0))*1000</f>
        <v>27609171</v>
      </c>
      <c r="L1381" s="183">
        <f ca="1">VLOOKUP(F1381,
    OFFSET(INDIRECT(ADDRESS(MATCH(J1381,'Vehicle numbers'!$A$5:$A$162,0),1,1,1,$L$6)),4,1,COUNTIF('Vehicle numbers'!$A$5:$A$162,J1381),4),
    MATCH(L$8,'Vehicle numbers'!$B$4:$D$4,0))*1000</f>
        <v>28457669.80833305</v>
      </c>
      <c r="M1381" s="184">
        <f>VLOOKUP(F1381,'Annual distance covered (GB)'!$A$8:$H$33,MATCH(J1381,'Annual distance covered (GB)'!$A$7:$H$7,0))</f>
        <v>397.4</v>
      </c>
      <c r="N1381" s="2">
        <f t="shared" ca="1" si="56"/>
        <v>44565.904728659647</v>
      </c>
      <c r="O1381" s="180">
        <f t="shared" ca="1" si="57"/>
        <v>1.5660419503359948E-3</v>
      </c>
      <c r="P1381" s="180"/>
      <c r="Q1381" s="180"/>
      <c r="R1381" s="180"/>
      <c r="S1381" s="180"/>
      <c r="T1381" s="180"/>
    </row>
    <row r="1382" spans="1:20" x14ac:dyDescent="0.25">
      <c r="A1382" t="s">
        <v>236</v>
      </c>
      <c r="B1382" t="s">
        <v>237</v>
      </c>
      <c r="C1382" t="s">
        <v>238</v>
      </c>
      <c r="D1382" t="s">
        <v>250</v>
      </c>
      <c r="E1382" t="s">
        <v>228</v>
      </c>
      <c r="F1382">
        <v>2006</v>
      </c>
      <c r="G1382">
        <v>5.7910000000000001E-3</v>
      </c>
      <c r="H1382" t="s">
        <v>240</v>
      </c>
      <c r="I1382" t="s">
        <v>241</v>
      </c>
      <c r="J1382" t="s">
        <v>2</v>
      </c>
      <c r="K1382" s="183">
        <f ca="1">VLOOKUP(F1382,
    OFFSET(INDIRECT(ADDRESS(MATCH(J1382,'Vehicle numbers'!$A$5:$A$162,0),1,1,1,$L$6)),4,1,COUNTIF('Vehicle numbers'!$A$5:$A$162,J1382),4),
    MATCH(K$8,'Vehicle numbers'!$B$4:$D$4,0))*1000</f>
        <v>27609171</v>
      </c>
      <c r="L1382" s="183">
        <f ca="1">VLOOKUP(F1382,
    OFFSET(INDIRECT(ADDRESS(MATCH(J1382,'Vehicle numbers'!$A$5:$A$162,0),1,1,1,$L$6)),4,1,COUNTIF('Vehicle numbers'!$A$5:$A$162,J1382),4),
    MATCH(L$8,'Vehicle numbers'!$B$4:$D$4,0))*1000</f>
        <v>28457669.80833305</v>
      </c>
      <c r="M1382" s="184">
        <f>VLOOKUP(F1382,'Annual distance covered (GB)'!$A$8:$H$33,MATCH(J1382,'Annual distance covered (GB)'!$A$7:$H$7,0))</f>
        <v>397.4</v>
      </c>
      <c r="N1382" s="2">
        <f t="shared" ca="1" si="56"/>
        <v>2372069.4327543019</v>
      </c>
      <c r="O1382" s="180">
        <f t="shared" ca="1" si="57"/>
        <v>8.3354310058784437E-2</v>
      </c>
      <c r="P1382" s="180"/>
      <c r="Q1382" s="180"/>
      <c r="R1382" s="180"/>
      <c r="S1382" s="180"/>
      <c r="T1382" s="180"/>
    </row>
    <row r="1383" spans="1:20" x14ac:dyDescent="0.25">
      <c r="A1383" t="s">
        <v>243</v>
      </c>
      <c r="B1383" t="s">
        <v>237</v>
      </c>
      <c r="C1383" t="s">
        <v>238</v>
      </c>
      <c r="D1383" t="s">
        <v>250</v>
      </c>
      <c r="E1383" t="s">
        <v>228</v>
      </c>
      <c r="F1383">
        <v>2006</v>
      </c>
      <c r="G1383">
        <v>4.0537000000000004E-3</v>
      </c>
      <c r="H1383" t="s">
        <v>240</v>
      </c>
      <c r="I1383" t="s">
        <v>241</v>
      </c>
      <c r="J1383" t="s">
        <v>2</v>
      </c>
      <c r="K1383" s="183">
        <f ca="1">VLOOKUP(F1383,
    OFFSET(INDIRECT(ADDRESS(MATCH(J1383,'Vehicle numbers'!$A$5:$A$162,0),1,1,1,$L$6)),4,1,COUNTIF('Vehicle numbers'!$A$5:$A$162,J1383),4),
    MATCH(K$8,'Vehicle numbers'!$B$4:$D$4,0))*1000</f>
        <v>27609171</v>
      </c>
      <c r="L1383" s="183">
        <f ca="1">VLOOKUP(F1383,
    OFFSET(INDIRECT(ADDRESS(MATCH(J1383,'Vehicle numbers'!$A$5:$A$162,0),1,1,1,$L$6)),4,1,COUNTIF('Vehicle numbers'!$A$5:$A$162,J1383),4),
    MATCH(L$8,'Vehicle numbers'!$B$4:$D$4,0))*1000</f>
        <v>28457669.80833305</v>
      </c>
      <c r="M1383" s="184">
        <f>VLOOKUP(F1383,'Annual distance covered (GB)'!$A$8:$H$33,MATCH(J1383,'Annual distance covered (GB)'!$A$7:$H$7,0))</f>
        <v>397.4</v>
      </c>
      <c r="N1383" s="2">
        <f t="shared" ca="1" si="56"/>
        <v>1660448.6029280112</v>
      </c>
      <c r="O1383" s="180">
        <f t="shared" ca="1" si="57"/>
        <v>5.8348017041149107E-2</v>
      </c>
      <c r="P1383" s="180"/>
      <c r="Q1383" s="180"/>
      <c r="R1383" s="180"/>
      <c r="S1383" s="180"/>
      <c r="T1383" s="180"/>
    </row>
    <row r="1384" spans="1:20" x14ac:dyDescent="0.25">
      <c r="A1384" t="s">
        <v>244</v>
      </c>
      <c r="B1384" t="s">
        <v>237</v>
      </c>
      <c r="C1384" t="s">
        <v>238</v>
      </c>
      <c r="D1384" t="s">
        <v>250</v>
      </c>
      <c r="E1384" t="s">
        <v>228</v>
      </c>
      <c r="F1384">
        <v>2006</v>
      </c>
      <c r="G1384">
        <v>5.7094366197182997E-4</v>
      </c>
      <c r="H1384" t="s">
        <v>240</v>
      </c>
      <c r="I1384" t="s">
        <v>241</v>
      </c>
      <c r="J1384" t="s">
        <v>2</v>
      </c>
      <c r="K1384" s="183">
        <f ca="1">VLOOKUP(F1384,
    OFFSET(INDIRECT(ADDRESS(MATCH(J1384,'Vehicle numbers'!$A$5:$A$162,0),1,1,1,$L$6)),4,1,COUNTIF('Vehicle numbers'!$A$5:$A$162,J1384),4),
    MATCH(K$8,'Vehicle numbers'!$B$4:$D$4,0))*1000</f>
        <v>27609171</v>
      </c>
      <c r="L1384" s="183">
        <f ca="1">VLOOKUP(F1384,
    OFFSET(INDIRECT(ADDRESS(MATCH(J1384,'Vehicle numbers'!$A$5:$A$162,0),1,1,1,$L$6)),4,1,COUNTIF('Vehicle numbers'!$A$5:$A$162,J1384),4),
    MATCH(L$8,'Vehicle numbers'!$B$4:$D$4,0))*1000</f>
        <v>28457669.80833305</v>
      </c>
      <c r="M1384" s="184">
        <f>VLOOKUP(F1384,'Annual distance covered (GB)'!$A$8:$H$33,MATCH(J1384,'Annual distance covered (GB)'!$A$7:$H$7,0))</f>
        <v>397.4</v>
      </c>
      <c r="N1384" s="2">
        <f t="shared" ca="1" si="56"/>
        <v>233866.00041239554</v>
      </c>
      <c r="O1384" s="180">
        <f t="shared" ca="1" si="57"/>
        <v>8.2180305691759159E-3</v>
      </c>
      <c r="P1384" s="180"/>
      <c r="Q1384" s="180"/>
      <c r="R1384" s="180"/>
      <c r="S1384" s="180"/>
      <c r="T1384" s="180"/>
    </row>
    <row r="1385" spans="1:20" x14ac:dyDescent="0.25">
      <c r="A1385" t="s">
        <v>246</v>
      </c>
      <c r="B1385" t="s">
        <v>237</v>
      </c>
      <c r="C1385" t="s">
        <v>238</v>
      </c>
      <c r="D1385" t="s">
        <v>250</v>
      </c>
      <c r="E1385" t="s">
        <v>228</v>
      </c>
      <c r="F1385">
        <v>2006</v>
      </c>
      <c r="G1385">
        <v>4.5675492957746402E-4</v>
      </c>
      <c r="H1385" t="s">
        <v>240</v>
      </c>
      <c r="I1385" t="s">
        <v>241</v>
      </c>
      <c r="J1385" t="s">
        <v>2</v>
      </c>
      <c r="K1385" s="183">
        <f ca="1">VLOOKUP(F1385,
    OFFSET(INDIRECT(ADDRESS(MATCH(J1385,'Vehicle numbers'!$A$5:$A$162,0),1,1,1,$L$6)),4,1,COUNTIF('Vehicle numbers'!$A$5:$A$162,J1385),4),
    MATCH(K$8,'Vehicle numbers'!$B$4:$D$4,0))*1000</f>
        <v>27609171</v>
      </c>
      <c r="L1385" s="183">
        <f ca="1">VLOOKUP(F1385,
    OFFSET(INDIRECT(ADDRESS(MATCH(J1385,'Vehicle numbers'!$A$5:$A$162,0),1,1,1,$L$6)),4,1,COUNTIF('Vehicle numbers'!$A$5:$A$162,J1385),4),
    MATCH(L$8,'Vehicle numbers'!$B$4:$D$4,0))*1000</f>
        <v>28457669.80833305</v>
      </c>
      <c r="M1385" s="184">
        <f>VLOOKUP(F1385,'Annual distance covered (GB)'!$A$8:$H$33,MATCH(J1385,'Annual distance covered (GB)'!$A$7:$H$7,0))</f>
        <v>397.4</v>
      </c>
      <c r="N1385" s="2">
        <f t="shared" ca="1" si="56"/>
        <v>187092.80032991647</v>
      </c>
      <c r="O1385" s="180">
        <f t="shared" ca="1" si="57"/>
        <v>6.5744244553407345E-3</v>
      </c>
      <c r="P1385" s="180"/>
      <c r="Q1385" s="180"/>
      <c r="R1385" s="180"/>
      <c r="S1385" s="180"/>
      <c r="T1385" s="180"/>
    </row>
    <row r="1386" spans="1:20" x14ac:dyDescent="0.25">
      <c r="A1386" t="s">
        <v>236</v>
      </c>
      <c r="B1386" t="s">
        <v>237</v>
      </c>
      <c r="C1386" t="s">
        <v>238</v>
      </c>
      <c r="D1386" t="s">
        <v>255</v>
      </c>
      <c r="E1386" t="s">
        <v>229</v>
      </c>
      <c r="F1386">
        <v>2006</v>
      </c>
      <c r="G1386">
        <v>5.5269999999999998E-3</v>
      </c>
      <c r="H1386" t="s">
        <v>240</v>
      </c>
      <c r="I1386" t="s">
        <v>241</v>
      </c>
      <c r="J1386" t="s">
        <v>2</v>
      </c>
      <c r="K1386" s="183">
        <f ca="1">VLOOKUP(F1386,
    OFFSET(INDIRECT(ADDRESS(MATCH(J1386,'Vehicle numbers'!$A$5:$A$162,0),1,1,1,$L$6)),4,1,COUNTIF('Vehicle numbers'!$A$5:$A$162,J1386),4),
    MATCH(K$8,'Vehicle numbers'!$B$4:$D$4,0))*1000</f>
        <v>27609171</v>
      </c>
      <c r="L1386" s="183">
        <f ca="1">VLOOKUP(F1386,
    OFFSET(INDIRECT(ADDRESS(MATCH(J1386,'Vehicle numbers'!$A$5:$A$162,0),1,1,1,$L$6)),4,1,COUNTIF('Vehicle numbers'!$A$5:$A$162,J1386),4),
    MATCH(L$8,'Vehicle numbers'!$B$4:$D$4,0))*1000</f>
        <v>28457669.80833305</v>
      </c>
      <c r="M1386" s="184">
        <f>VLOOKUP(F1386,'Annual distance covered (GB)'!$A$8:$H$33,MATCH(J1386,'Annual distance covered (GB)'!$A$7:$H$7,0))</f>
        <v>397.4</v>
      </c>
      <c r="N1386" s="2">
        <f t="shared" ca="1" si="56"/>
        <v>2263931.575692113</v>
      </c>
      <c r="O1386" s="180">
        <f t="shared" ca="1" si="57"/>
        <v>7.9554355326351509E-2</v>
      </c>
      <c r="P1386" s="180"/>
      <c r="Q1386" s="180"/>
      <c r="R1386" s="180"/>
      <c r="S1386" s="180"/>
      <c r="T1386" s="180"/>
    </row>
    <row r="1387" spans="1:20" x14ac:dyDescent="0.25">
      <c r="A1387" t="s">
        <v>243</v>
      </c>
      <c r="B1387" t="s">
        <v>237</v>
      </c>
      <c r="C1387" t="s">
        <v>238</v>
      </c>
      <c r="D1387" t="s">
        <v>255</v>
      </c>
      <c r="E1387" t="s">
        <v>229</v>
      </c>
      <c r="F1387">
        <v>2006</v>
      </c>
      <c r="G1387">
        <v>2.2108000000000002E-3</v>
      </c>
      <c r="H1387" t="s">
        <v>240</v>
      </c>
      <c r="I1387" t="s">
        <v>241</v>
      </c>
      <c r="J1387" t="s">
        <v>2</v>
      </c>
      <c r="K1387" s="183">
        <f ca="1">VLOOKUP(F1387,
    OFFSET(INDIRECT(ADDRESS(MATCH(J1387,'Vehicle numbers'!$A$5:$A$162,0),1,1,1,$L$6)),4,1,COUNTIF('Vehicle numbers'!$A$5:$A$162,J1387),4),
    MATCH(K$8,'Vehicle numbers'!$B$4:$D$4,0))*1000</f>
        <v>27609171</v>
      </c>
      <c r="L1387" s="183">
        <f ca="1">VLOOKUP(F1387,
    OFFSET(INDIRECT(ADDRESS(MATCH(J1387,'Vehicle numbers'!$A$5:$A$162,0),1,1,1,$L$6)),4,1,COUNTIF('Vehicle numbers'!$A$5:$A$162,J1387),4),
    MATCH(L$8,'Vehicle numbers'!$B$4:$D$4,0))*1000</f>
        <v>28457669.80833305</v>
      </c>
      <c r="M1387" s="184">
        <f>VLOOKUP(F1387,'Annual distance covered (GB)'!$A$8:$H$33,MATCH(J1387,'Annual distance covered (GB)'!$A$7:$H$7,0))</f>
        <v>397.4</v>
      </c>
      <c r="N1387" s="2">
        <f t="shared" ca="1" si="56"/>
        <v>905572.6302768453</v>
      </c>
      <c r="O1387" s="180">
        <f t="shared" ca="1" si="57"/>
        <v>3.1821742130540606E-2</v>
      </c>
      <c r="P1387" s="180"/>
      <c r="Q1387" s="180"/>
      <c r="R1387" s="180"/>
      <c r="S1387" s="180"/>
      <c r="T1387" s="180"/>
    </row>
    <row r="1388" spans="1:20" x14ac:dyDescent="0.25">
      <c r="A1388" t="s">
        <v>244</v>
      </c>
      <c r="B1388" t="s">
        <v>237</v>
      </c>
      <c r="C1388" t="s">
        <v>238</v>
      </c>
      <c r="D1388" t="s">
        <v>255</v>
      </c>
      <c r="E1388" t="s">
        <v>229</v>
      </c>
      <c r="F1388">
        <v>2006</v>
      </c>
      <c r="G1388">
        <v>5.5270000000000004E-4</v>
      </c>
      <c r="H1388" t="s">
        <v>240</v>
      </c>
      <c r="I1388" t="s">
        <v>241</v>
      </c>
      <c r="J1388" t="s">
        <v>2</v>
      </c>
      <c r="K1388" s="183">
        <f ca="1">VLOOKUP(F1388,
    OFFSET(INDIRECT(ADDRESS(MATCH(J1388,'Vehicle numbers'!$A$5:$A$162,0),1,1,1,$L$6)),4,1,COUNTIF('Vehicle numbers'!$A$5:$A$162,J1388),4),
    MATCH(K$8,'Vehicle numbers'!$B$4:$D$4,0))*1000</f>
        <v>27609171</v>
      </c>
      <c r="L1388" s="183">
        <f ca="1">VLOOKUP(F1388,
    OFFSET(INDIRECT(ADDRESS(MATCH(J1388,'Vehicle numbers'!$A$5:$A$162,0),1,1,1,$L$6)),4,1,COUNTIF('Vehicle numbers'!$A$5:$A$162,J1388),4),
    MATCH(L$8,'Vehicle numbers'!$B$4:$D$4,0))*1000</f>
        <v>28457669.80833305</v>
      </c>
      <c r="M1388" s="184">
        <f>VLOOKUP(F1388,'Annual distance covered (GB)'!$A$8:$H$33,MATCH(J1388,'Annual distance covered (GB)'!$A$7:$H$7,0))</f>
        <v>397.4</v>
      </c>
      <c r="N1388" s="2">
        <f t="shared" ca="1" si="56"/>
        <v>226393.15756921133</v>
      </c>
      <c r="O1388" s="180">
        <f t="shared" ca="1" si="57"/>
        <v>7.9554355326351515E-3</v>
      </c>
      <c r="P1388" s="180"/>
      <c r="Q1388" s="180"/>
      <c r="R1388" s="180"/>
      <c r="S1388" s="180"/>
      <c r="T1388" s="180"/>
    </row>
    <row r="1389" spans="1:20" x14ac:dyDescent="0.25">
      <c r="A1389" t="s">
        <v>246</v>
      </c>
      <c r="B1389" t="s">
        <v>237</v>
      </c>
      <c r="C1389" t="s">
        <v>238</v>
      </c>
      <c r="D1389" t="s">
        <v>255</v>
      </c>
      <c r="E1389" t="s">
        <v>229</v>
      </c>
      <c r="F1389">
        <v>2006</v>
      </c>
      <c r="G1389">
        <v>4.4215999999999998E-4</v>
      </c>
      <c r="H1389" t="s">
        <v>240</v>
      </c>
      <c r="I1389" t="s">
        <v>241</v>
      </c>
      <c r="J1389" t="s">
        <v>2</v>
      </c>
      <c r="K1389" s="183">
        <f ca="1">VLOOKUP(F1389,
    OFFSET(INDIRECT(ADDRESS(MATCH(J1389,'Vehicle numbers'!$A$5:$A$162,0),1,1,1,$L$6)),4,1,COUNTIF('Vehicle numbers'!$A$5:$A$162,J1389),4),
    MATCH(K$8,'Vehicle numbers'!$B$4:$D$4,0))*1000</f>
        <v>27609171</v>
      </c>
      <c r="L1389" s="183">
        <f ca="1">VLOOKUP(F1389,
    OFFSET(INDIRECT(ADDRESS(MATCH(J1389,'Vehicle numbers'!$A$5:$A$162,0),1,1,1,$L$6)),4,1,COUNTIF('Vehicle numbers'!$A$5:$A$162,J1389),4),
    MATCH(L$8,'Vehicle numbers'!$B$4:$D$4,0))*1000</f>
        <v>28457669.80833305</v>
      </c>
      <c r="M1389" s="184">
        <f>VLOOKUP(F1389,'Annual distance covered (GB)'!$A$8:$H$33,MATCH(J1389,'Annual distance covered (GB)'!$A$7:$H$7,0))</f>
        <v>397.4</v>
      </c>
      <c r="N1389" s="2">
        <f t="shared" ca="1" si="56"/>
        <v>181114.526055369</v>
      </c>
      <c r="O1389" s="180">
        <f t="shared" ca="1" si="57"/>
        <v>6.3643484261081198E-3</v>
      </c>
      <c r="P1389" s="180"/>
      <c r="Q1389" s="180"/>
      <c r="R1389" s="180"/>
      <c r="S1389" s="180"/>
      <c r="T1389" s="180"/>
    </row>
    <row r="1390" spans="1:20" x14ac:dyDescent="0.25">
      <c r="A1390" t="s">
        <v>236</v>
      </c>
      <c r="B1390" t="s">
        <v>237</v>
      </c>
      <c r="C1390" t="s">
        <v>238</v>
      </c>
      <c r="D1390" t="s">
        <v>255</v>
      </c>
      <c r="E1390" t="s">
        <v>228</v>
      </c>
      <c r="F1390">
        <v>2006</v>
      </c>
      <c r="G1390">
        <v>6.7999999999999996E-3</v>
      </c>
      <c r="H1390" t="s">
        <v>240</v>
      </c>
      <c r="I1390" t="s">
        <v>241</v>
      </c>
      <c r="J1390" t="s">
        <v>2</v>
      </c>
      <c r="K1390" s="183">
        <f ca="1">VLOOKUP(F1390,
    OFFSET(INDIRECT(ADDRESS(MATCH(J1390,'Vehicle numbers'!$A$5:$A$162,0),1,1,1,$L$6)),4,1,COUNTIF('Vehicle numbers'!$A$5:$A$162,J1390),4),
    MATCH(K$8,'Vehicle numbers'!$B$4:$D$4,0))*1000</f>
        <v>27609171</v>
      </c>
      <c r="L1390" s="183">
        <f ca="1">VLOOKUP(F1390,
    OFFSET(INDIRECT(ADDRESS(MATCH(J1390,'Vehicle numbers'!$A$5:$A$162,0),1,1,1,$L$6)),4,1,COUNTIF('Vehicle numbers'!$A$5:$A$162,J1390),4),
    MATCH(L$8,'Vehicle numbers'!$B$4:$D$4,0))*1000</f>
        <v>28457669.80833305</v>
      </c>
      <c r="M1390" s="184">
        <f>VLOOKUP(F1390,'Annual distance covered (GB)'!$A$8:$H$33,MATCH(J1390,'Annual distance covered (GB)'!$A$7:$H$7,0))</f>
        <v>397.4</v>
      </c>
      <c r="N1390" s="2">
        <f t="shared" ca="1" si="56"/>
        <v>2785369.0455412283</v>
      </c>
      <c r="O1390" s="180">
        <f t="shared" ca="1" si="57"/>
        <v>9.7877621895999689E-2</v>
      </c>
      <c r="P1390" s="180"/>
      <c r="Q1390" s="180"/>
      <c r="R1390" s="180"/>
      <c r="S1390" s="180"/>
      <c r="T1390" s="180"/>
    </row>
    <row r="1391" spans="1:20" x14ac:dyDescent="0.25">
      <c r="A1391" t="s">
        <v>243</v>
      </c>
      <c r="B1391" t="s">
        <v>237</v>
      </c>
      <c r="C1391" t="s">
        <v>238</v>
      </c>
      <c r="D1391" t="s">
        <v>255</v>
      </c>
      <c r="E1391" t="s">
        <v>228</v>
      </c>
      <c r="F1391">
        <v>2006</v>
      </c>
      <c r="G1391">
        <v>4.7600000000000003E-3</v>
      </c>
      <c r="H1391" t="s">
        <v>240</v>
      </c>
      <c r="I1391" t="s">
        <v>241</v>
      </c>
      <c r="J1391" t="s">
        <v>2</v>
      </c>
      <c r="K1391" s="183">
        <f ca="1">VLOOKUP(F1391,
    OFFSET(INDIRECT(ADDRESS(MATCH(J1391,'Vehicle numbers'!$A$5:$A$162,0),1,1,1,$L$6)),4,1,COUNTIF('Vehicle numbers'!$A$5:$A$162,J1391),4),
    MATCH(K$8,'Vehicle numbers'!$B$4:$D$4,0))*1000</f>
        <v>27609171</v>
      </c>
      <c r="L1391" s="183">
        <f ca="1">VLOOKUP(F1391,
    OFFSET(INDIRECT(ADDRESS(MATCH(J1391,'Vehicle numbers'!$A$5:$A$162,0),1,1,1,$L$6)),4,1,COUNTIF('Vehicle numbers'!$A$5:$A$162,J1391),4),
    MATCH(L$8,'Vehicle numbers'!$B$4:$D$4,0))*1000</f>
        <v>28457669.80833305</v>
      </c>
      <c r="M1391" s="184">
        <f>VLOOKUP(F1391,'Annual distance covered (GB)'!$A$8:$H$33,MATCH(J1391,'Annual distance covered (GB)'!$A$7:$H$7,0))</f>
        <v>397.4</v>
      </c>
      <c r="N1391" s="2">
        <f t="shared" ca="1" si="56"/>
        <v>1949758.3318788598</v>
      </c>
      <c r="O1391" s="180">
        <f t="shared" ca="1" si="57"/>
        <v>6.8514335327199777E-2</v>
      </c>
      <c r="P1391" s="180"/>
      <c r="Q1391" s="180"/>
      <c r="R1391" s="180"/>
      <c r="S1391" s="180"/>
      <c r="T1391" s="180"/>
    </row>
    <row r="1392" spans="1:20" x14ac:dyDescent="0.25">
      <c r="A1392" t="s">
        <v>244</v>
      </c>
      <c r="B1392" t="s">
        <v>237</v>
      </c>
      <c r="C1392" t="s">
        <v>238</v>
      </c>
      <c r="D1392" t="s">
        <v>255</v>
      </c>
      <c r="E1392" t="s">
        <v>228</v>
      </c>
      <c r="F1392">
        <v>2006</v>
      </c>
      <c r="G1392">
        <v>6.7042253521126696E-4</v>
      </c>
      <c r="H1392" t="s">
        <v>240</v>
      </c>
      <c r="I1392" t="s">
        <v>241</v>
      </c>
      <c r="J1392" t="s">
        <v>2</v>
      </c>
      <c r="K1392" s="183">
        <f ca="1">VLOOKUP(F1392,
    OFFSET(INDIRECT(ADDRESS(MATCH(J1392,'Vehicle numbers'!$A$5:$A$162,0),1,1,1,$L$6)),4,1,COUNTIF('Vehicle numbers'!$A$5:$A$162,J1392),4),
    MATCH(K$8,'Vehicle numbers'!$B$4:$D$4,0))*1000</f>
        <v>27609171</v>
      </c>
      <c r="L1392" s="183">
        <f ca="1">VLOOKUP(F1392,
    OFFSET(INDIRECT(ADDRESS(MATCH(J1392,'Vehicle numbers'!$A$5:$A$162,0),1,1,1,$L$6)),4,1,COUNTIF('Vehicle numbers'!$A$5:$A$162,J1392),4),
    MATCH(L$8,'Vehicle numbers'!$B$4:$D$4,0))*1000</f>
        <v>28457669.80833305</v>
      </c>
      <c r="M1392" s="184">
        <f>VLOOKUP(F1392,'Annual distance covered (GB)'!$A$8:$H$33,MATCH(J1392,'Annual distance covered (GB)'!$A$7:$H$7,0))</f>
        <v>397.4</v>
      </c>
      <c r="N1392" s="2">
        <f t="shared" ca="1" si="56"/>
        <v>274613.84956040251</v>
      </c>
      <c r="O1392" s="180">
        <f t="shared" ca="1" si="57"/>
        <v>9.6499063841126356E-3</v>
      </c>
      <c r="P1392" s="180"/>
      <c r="Q1392" s="180"/>
      <c r="R1392" s="180"/>
      <c r="S1392" s="180"/>
      <c r="T1392" s="180"/>
    </row>
    <row r="1393" spans="1:20" x14ac:dyDescent="0.25">
      <c r="A1393" t="s">
        <v>246</v>
      </c>
      <c r="B1393" t="s">
        <v>237</v>
      </c>
      <c r="C1393" t="s">
        <v>238</v>
      </c>
      <c r="D1393" t="s">
        <v>255</v>
      </c>
      <c r="E1393" t="s">
        <v>228</v>
      </c>
      <c r="F1393">
        <v>2006</v>
      </c>
      <c r="G1393">
        <v>5.3633802816901305E-4</v>
      </c>
      <c r="H1393" t="s">
        <v>240</v>
      </c>
      <c r="I1393" t="s">
        <v>241</v>
      </c>
      <c r="J1393" t="s">
        <v>2</v>
      </c>
      <c r="K1393" s="183">
        <f ca="1">VLOOKUP(F1393,
    OFFSET(INDIRECT(ADDRESS(MATCH(J1393,'Vehicle numbers'!$A$5:$A$162,0),1,1,1,$L$6)),4,1,COUNTIF('Vehicle numbers'!$A$5:$A$162,J1393),4),
    MATCH(K$8,'Vehicle numbers'!$B$4:$D$4,0))*1000</f>
        <v>27609171</v>
      </c>
      <c r="L1393" s="183">
        <f ca="1">VLOOKUP(F1393,
    OFFSET(INDIRECT(ADDRESS(MATCH(J1393,'Vehicle numbers'!$A$5:$A$162,0),1,1,1,$L$6)),4,1,COUNTIF('Vehicle numbers'!$A$5:$A$162,J1393),4),
    MATCH(L$8,'Vehicle numbers'!$B$4:$D$4,0))*1000</f>
        <v>28457669.80833305</v>
      </c>
      <c r="M1393" s="184">
        <f>VLOOKUP(F1393,'Annual distance covered (GB)'!$A$8:$H$33,MATCH(J1393,'Annual distance covered (GB)'!$A$7:$H$7,0))</f>
        <v>397.4</v>
      </c>
      <c r="N1393" s="2">
        <f t="shared" ca="1" si="56"/>
        <v>219691.07964832179</v>
      </c>
      <c r="O1393" s="180">
        <f t="shared" ca="1" si="57"/>
        <v>7.7199251072901012E-3</v>
      </c>
      <c r="P1393" s="180"/>
      <c r="Q1393" s="180"/>
      <c r="R1393" s="180"/>
      <c r="S1393" s="180"/>
      <c r="T1393" s="180"/>
    </row>
    <row r="1394" spans="1:20" x14ac:dyDescent="0.25">
      <c r="A1394" t="s">
        <v>236</v>
      </c>
      <c r="B1394" t="s">
        <v>237</v>
      </c>
      <c r="C1394" t="s">
        <v>238</v>
      </c>
      <c r="D1394" t="s">
        <v>256</v>
      </c>
      <c r="E1394" t="s">
        <v>229</v>
      </c>
      <c r="F1394">
        <v>2006</v>
      </c>
      <c r="G1394">
        <v>1.1723774559022199E-2</v>
      </c>
      <c r="H1394" t="s">
        <v>240</v>
      </c>
      <c r="I1394" t="s">
        <v>241</v>
      </c>
      <c r="J1394" t="s">
        <v>2</v>
      </c>
      <c r="K1394" s="183">
        <f ca="1">VLOOKUP(F1394,
    OFFSET(INDIRECT(ADDRESS(MATCH(J1394,'Vehicle numbers'!$A$5:$A$162,0),1,1,1,$L$6)),4,1,COUNTIF('Vehicle numbers'!$A$5:$A$162,J1394),4),
    MATCH(K$8,'Vehicle numbers'!$B$4:$D$4,0))*1000</f>
        <v>27609171</v>
      </c>
      <c r="L1394" s="183">
        <f ca="1">VLOOKUP(F1394,
    OFFSET(INDIRECT(ADDRESS(MATCH(J1394,'Vehicle numbers'!$A$5:$A$162,0),1,1,1,$L$6)),4,1,COUNTIF('Vehicle numbers'!$A$5:$A$162,J1394),4),
    MATCH(L$8,'Vehicle numbers'!$B$4:$D$4,0))*1000</f>
        <v>28457669.80833305</v>
      </c>
      <c r="M1394" s="184">
        <f>VLOOKUP(F1394,'Annual distance covered (GB)'!$A$8:$H$33,MATCH(J1394,'Annual distance covered (GB)'!$A$7:$H$7,0))</f>
        <v>397.4</v>
      </c>
      <c r="N1394" s="2">
        <f t="shared" ca="1" si="56"/>
        <v>4802211.5814123815</v>
      </c>
      <c r="O1394" s="180">
        <f t="shared" ca="1" si="57"/>
        <v>0.1687492902179287</v>
      </c>
      <c r="P1394" s="180"/>
      <c r="Q1394" s="180"/>
      <c r="R1394" s="180"/>
      <c r="S1394" s="180"/>
      <c r="T1394" s="180"/>
    </row>
    <row r="1395" spans="1:20" x14ac:dyDescent="0.25">
      <c r="A1395" t="s">
        <v>243</v>
      </c>
      <c r="B1395" t="s">
        <v>237</v>
      </c>
      <c r="C1395" t="s">
        <v>238</v>
      </c>
      <c r="D1395" t="s">
        <v>256</v>
      </c>
      <c r="E1395" t="s">
        <v>229</v>
      </c>
      <c r="F1395">
        <v>2006</v>
      </c>
      <c r="G1395">
        <v>4.6895098236088796E-3</v>
      </c>
      <c r="H1395" t="s">
        <v>240</v>
      </c>
      <c r="I1395" t="s">
        <v>241</v>
      </c>
      <c r="J1395" t="s">
        <v>2</v>
      </c>
      <c r="K1395" s="183">
        <f ca="1">VLOOKUP(F1395,
    OFFSET(INDIRECT(ADDRESS(MATCH(J1395,'Vehicle numbers'!$A$5:$A$162,0),1,1,1,$L$6)),4,1,COUNTIF('Vehicle numbers'!$A$5:$A$162,J1395),4),
    MATCH(K$8,'Vehicle numbers'!$B$4:$D$4,0))*1000</f>
        <v>27609171</v>
      </c>
      <c r="L1395" s="183">
        <f ca="1">VLOOKUP(F1395,
    OFFSET(INDIRECT(ADDRESS(MATCH(J1395,'Vehicle numbers'!$A$5:$A$162,0),1,1,1,$L$6)),4,1,COUNTIF('Vehicle numbers'!$A$5:$A$162,J1395),4),
    MATCH(L$8,'Vehicle numbers'!$B$4:$D$4,0))*1000</f>
        <v>28457669.80833305</v>
      </c>
      <c r="M1395" s="184">
        <f>VLOOKUP(F1395,'Annual distance covered (GB)'!$A$8:$H$33,MATCH(J1395,'Annual distance covered (GB)'!$A$7:$H$7,0))</f>
        <v>397.4</v>
      </c>
      <c r="N1395" s="2">
        <f t="shared" ca="1" si="56"/>
        <v>1920884.6325649528</v>
      </c>
      <c r="O1395" s="180">
        <f t="shared" ca="1" si="57"/>
        <v>6.7499716087171494E-2</v>
      </c>
      <c r="P1395" s="180"/>
      <c r="Q1395" s="180"/>
      <c r="R1395" s="180"/>
      <c r="S1395" s="180"/>
      <c r="T1395" s="180"/>
    </row>
    <row r="1396" spans="1:20" x14ac:dyDescent="0.25">
      <c r="A1396" t="s">
        <v>244</v>
      </c>
      <c r="B1396" t="s">
        <v>237</v>
      </c>
      <c r="C1396" t="s">
        <v>238</v>
      </c>
      <c r="D1396" t="s">
        <v>256</v>
      </c>
      <c r="E1396" t="s">
        <v>229</v>
      </c>
      <c r="F1396">
        <v>2006</v>
      </c>
      <c r="G1396">
        <v>1.1723774559022199E-3</v>
      </c>
      <c r="H1396" t="s">
        <v>240</v>
      </c>
      <c r="I1396" t="s">
        <v>241</v>
      </c>
      <c r="J1396" t="s">
        <v>2</v>
      </c>
      <c r="K1396" s="183">
        <f ca="1">VLOOKUP(F1396,
    OFFSET(INDIRECT(ADDRESS(MATCH(J1396,'Vehicle numbers'!$A$5:$A$162,0),1,1,1,$L$6)),4,1,COUNTIF('Vehicle numbers'!$A$5:$A$162,J1396),4),
    MATCH(K$8,'Vehicle numbers'!$B$4:$D$4,0))*1000</f>
        <v>27609171</v>
      </c>
      <c r="L1396" s="183">
        <f ca="1">VLOOKUP(F1396,
    OFFSET(INDIRECT(ADDRESS(MATCH(J1396,'Vehicle numbers'!$A$5:$A$162,0),1,1,1,$L$6)),4,1,COUNTIF('Vehicle numbers'!$A$5:$A$162,J1396),4),
    MATCH(L$8,'Vehicle numbers'!$B$4:$D$4,0))*1000</f>
        <v>28457669.80833305</v>
      </c>
      <c r="M1396" s="184">
        <f>VLOOKUP(F1396,'Annual distance covered (GB)'!$A$8:$H$33,MATCH(J1396,'Annual distance covered (GB)'!$A$7:$H$7,0))</f>
        <v>397.4</v>
      </c>
      <c r="N1396" s="2">
        <f t="shared" ca="1" si="56"/>
        <v>480221.15814123821</v>
      </c>
      <c r="O1396" s="180">
        <f t="shared" ca="1" si="57"/>
        <v>1.6874929021792873E-2</v>
      </c>
      <c r="P1396" s="180"/>
      <c r="Q1396" s="180"/>
      <c r="R1396" s="180"/>
      <c r="S1396" s="180"/>
      <c r="T1396" s="180"/>
    </row>
    <row r="1397" spans="1:20" x14ac:dyDescent="0.25">
      <c r="A1397" t="s">
        <v>246</v>
      </c>
      <c r="B1397" t="s">
        <v>237</v>
      </c>
      <c r="C1397" t="s">
        <v>238</v>
      </c>
      <c r="D1397" t="s">
        <v>256</v>
      </c>
      <c r="E1397" t="s">
        <v>229</v>
      </c>
      <c r="F1397">
        <v>2006</v>
      </c>
      <c r="G1397">
        <v>9.3790196472177598E-4</v>
      </c>
      <c r="H1397" t="s">
        <v>240</v>
      </c>
      <c r="I1397" t="s">
        <v>241</v>
      </c>
      <c r="J1397" t="s">
        <v>2</v>
      </c>
      <c r="K1397" s="183">
        <f ca="1">VLOOKUP(F1397,
    OFFSET(INDIRECT(ADDRESS(MATCH(J1397,'Vehicle numbers'!$A$5:$A$162,0),1,1,1,$L$6)),4,1,COUNTIF('Vehicle numbers'!$A$5:$A$162,J1397),4),
    MATCH(K$8,'Vehicle numbers'!$B$4:$D$4,0))*1000</f>
        <v>27609171</v>
      </c>
      <c r="L1397" s="183">
        <f ca="1">VLOOKUP(F1397,
    OFFSET(INDIRECT(ADDRESS(MATCH(J1397,'Vehicle numbers'!$A$5:$A$162,0),1,1,1,$L$6)),4,1,COUNTIF('Vehicle numbers'!$A$5:$A$162,J1397),4),
    MATCH(L$8,'Vehicle numbers'!$B$4:$D$4,0))*1000</f>
        <v>28457669.80833305</v>
      </c>
      <c r="M1397" s="184">
        <f>VLOOKUP(F1397,'Annual distance covered (GB)'!$A$8:$H$33,MATCH(J1397,'Annual distance covered (GB)'!$A$7:$H$7,0))</f>
        <v>397.4</v>
      </c>
      <c r="N1397" s="2">
        <f t="shared" ca="1" si="56"/>
        <v>384176.92651299055</v>
      </c>
      <c r="O1397" s="180">
        <f t="shared" ca="1" si="57"/>
        <v>1.3499943217434298E-2</v>
      </c>
      <c r="P1397" s="180"/>
      <c r="Q1397" s="180"/>
      <c r="R1397" s="180"/>
      <c r="S1397" s="180"/>
      <c r="T1397" s="180"/>
    </row>
    <row r="1398" spans="1:20" x14ac:dyDescent="0.25">
      <c r="A1398" t="s">
        <v>236</v>
      </c>
      <c r="B1398" t="s">
        <v>237</v>
      </c>
      <c r="C1398" t="s">
        <v>238</v>
      </c>
      <c r="D1398" t="s">
        <v>256</v>
      </c>
      <c r="E1398" t="s">
        <v>228</v>
      </c>
      <c r="F1398">
        <v>2006</v>
      </c>
      <c r="G1398">
        <v>8.7736626287965407E-3</v>
      </c>
      <c r="H1398" t="s">
        <v>240</v>
      </c>
      <c r="I1398" t="s">
        <v>241</v>
      </c>
      <c r="J1398" t="s">
        <v>2</v>
      </c>
      <c r="K1398" s="183">
        <f ca="1">VLOOKUP(F1398,
    OFFSET(INDIRECT(ADDRESS(MATCH(J1398,'Vehicle numbers'!$A$5:$A$162,0),1,1,1,$L$6)),4,1,COUNTIF('Vehicle numbers'!$A$5:$A$162,J1398),4),
    MATCH(K$8,'Vehicle numbers'!$B$4:$D$4,0))*1000</f>
        <v>27609171</v>
      </c>
      <c r="L1398" s="183">
        <f ca="1">VLOOKUP(F1398,
    OFFSET(INDIRECT(ADDRESS(MATCH(J1398,'Vehicle numbers'!$A$5:$A$162,0),1,1,1,$L$6)),4,1,COUNTIF('Vehicle numbers'!$A$5:$A$162,J1398),4),
    MATCH(L$8,'Vehicle numbers'!$B$4:$D$4,0))*1000</f>
        <v>28457669.80833305</v>
      </c>
      <c r="M1398" s="184">
        <f>VLOOKUP(F1398,'Annual distance covered (GB)'!$A$8:$H$33,MATCH(J1398,'Annual distance covered (GB)'!$A$7:$H$7,0))</f>
        <v>397.4</v>
      </c>
      <c r="N1398" s="2">
        <f t="shared" ca="1" si="56"/>
        <v>3593807.1032752595</v>
      </c>
      <c r="O1398" s="180">
        <f t="shared" ca="1" si="57"/>
        <v>0.1262860637388839</v>
      </c>
      <c r="P1398" s="180"/>
      <c r="Q1398" s="180"/>
      <c r="R1398" s="180"/>
      <c r="S1398" s="180"/>
      <c r="T1398" s="180"/>
    </row>
    <row r="1399" spans="1:20" x14ac:dyDescent="0.25">
      <c r="A1399" t="s">
        <v>243</v>
      </c>
      <c r="B1399" t="s">
        <v>237</v>
      </c>
      <c r="C1399" t="s">
        <v>238</v>
      </c>
      <c r="D1399" t="s">
        <v>256</v>
      </c>
      <c r="E1399" t="s">
        <v>228</v>
      </c>
      <c r="F1399">
        <v>2006</v>
      </c>
      <c r="G1399">
        <v>6.1415638401575798E-3</v>
      </c>
      <c r="H1399" t="s">
        <v>240</v>
      </c>
      <c r="I1399" t="s">
        <v>241</v>
      </c>
      <c r="J1399" t="s">
        <v>2</v>
      </c>
      <c r="K1399" s="183">
        <f ca="1">VLOOKUP(F1399,
    OFFSET(INDIRECT(ADDRESS(MATCH(J1399,'Vehicle numbers'!$A$5:$A$162,0),1,1,1,$L$6)),4,1,COUNTIF('Vehicle numbers'!$A$5:$A$162,J1399),4),
    MATCH(K$8,'Vehicle numbers'!$B$4:$D$4,0))*1000</f>
        <v>27609171</v>
      </c>
      <c r="L1399" s="183">
        <f ca="1">VLOOKUP(F1399,
    OFFSET(INDIRECT(ADDRESS(MATCH(J1399,'Vehicle numbers'!$A$5:$A$162,0),1,1,1,$L$6)),4,1,COUNTIF('Vehicle numbers'!$A$5:$A$162,J1399),4),
    MATCH(L$8,'Vehicle numbers'!$B$4:$D$4,0))*1000</f>
        <v>28457669.80833305</v>
      </c>
      <c r="M1399" s="184">
        <f>VLOOKUP(F1399,'Annual distance covered (GB)'!$A$8:$H$33,MATCH(J1399,'Annual distance covered (GB)'!$A$7:$H$7,0))</f>
        <v>397.4</v>
      </c>
      <c r="N1399" s="2">
        <f t="shared" ca="1" si="56"/>
        <v>2515664.9722926822</v>
      </c>
      <c r="O1399" s="180">
        <f t="shared" ca="1" si="57"/>
        <v>8.8400244617218751E-2</v>
      </c>
      <c r="P1399" s="180"/>
      <c r="Q1399" s="180"/>
      <c r="R1399" s="180"/>
      <c r="S1399" s="180"/>
      <c r="T1399" s="180"/>
    </row>
    <row r="1400" spans="1:20" x14ac:dyDescent="0.25">
      <c r="A1400" t="s">
        <v>244</v>
      </c>
      <c r="B1400" t="s">
        <v>237</v>
      </c>
      <c r="C1400" t="s">
        <v>238</v>
      </c>
      <c r="D1400" t="s">
        <v>256</v>
      </c>
      <c r="E1400" t="s">
        <v>228</v>
      </c>
      <c r="F1400">
        <v>2006</v>
      </c>
      <c r="G1400">
        <v>8.6500899157148899E-4</v>
      </c>
      <c r="H1400" t="s">
        <v>240</v>
      </c>
      <c r="I1400" t="s">
        <v>241</v>
      </c>
      <c r="J1400" t="s">
        <v>2</v>
      </c>
      <c r="K1400" s="183">
        <f ca="1">VLOOKUP(F1400,
    OFFSET(INDIRECT(ADDRESS(MATCH(J1400,'Vehicle numbers'!$A$5:$A$162,0),1,1,1,$L$6)),4,1,COUNTIF('Vehicle numbers'!$A$5:$A$162,J1400),4),
    MATCH(K$8,'Vehicle numbers'!$B$4:$D$4,0))*1000</f>
        <v>27609171</v>
      </c>
      <c r="L1400" s="183">
        <f ca="1">VLOOKUP(F1400,
    OFFSET(INDIRECT(ADDRESS(MATCH(J1400,'Vehicle numbers'!$A$5:$A$162,0),1,1,1,$L$6)),4,1,COUNTIF('Vehicle numbers'!$A$5:$A$162,J1400),4),
    MATCH(L$8,'Vehicle numbers'!$B$4:$D$4,0))*1000</f>
        <v>28457669.80833305</v>
      </c>
      <c r="M1400" s="184">
        <f>VLOOKUP(F1400,'Annual distance covered (GB)'!$A$8:$H$33,MATCH(J1400,'Annual distance covered (GB)'!$A$7:$H$7,0))</f>
        <v>397.4</v>
      </c>
      <c r="N1400" s="2">
        <f t="shared" ca="1" si="56"/>
        <v>354319.01018206746</v>
      </c>
      <c r="O1400" s="180">
        <f t="shared" ca="1" si="57"/>
        <v>1.2450738678481498E-2</v>
      </c>
      <c r="P1400" s="180"/>
      <c r="Q1400" s="180"/>
      <c r="R1400" s="180"/>
      <c r="S1400" s="180"/>
      <c r="T1400" s="180"/>
    </row>
    <row r="1401" spans="1:20" x14ac:dyDescent="0.25">
      <c r="A1401" t="s">
        <v>246</v>
      </c>
      <c r="B1401" t="s">
        <v>237</v>
      </c>
      <c r="C1401" t="s">
        <v>238</v>
      </c>
      <c r="D1401" t="s">
        <v>256</v>
      </c>
      <c r="E1401" t="s">
        <v>228</v>
      </c>
      <c r="F1401">
        <v>2006</v>
      </c>
      <c r="G1401">
        <v>6.9200719325719097E-4</v>
      </c>
      <c r="H1401" t="s">
        <v>240</v>
      </c>
      <c r="I1401" t="s">
        <v>241</v>
      </c>
      <c r="J1401" t="s">
        <v>2</v>
      </c>
      <c r="K1401" s="183">
        <f ca="1">VLOOKUP(F1401,
    OFFSET(INDIRECT(ADDRESS(MATCH(J1401,'Vehicle numbers'!$A$5:$A$162,0),1,1,1,$L$6)),4,1,COUNTIF('Vehicle numbers'!$A$5:$A$162,J1401),4),
    MATCH(K$8,'Vehicle numbers'!$B$4:$D$4,0))*1000</f>
        <v>27609171</v>
      </c>
      <c r="L1401" s="183">
        <f ca="1">VLOOKUP(F1401,
    OFFSET(INDIRECT(ADDRESS(MATCH(J1401,'Vehicle numbers'!$A$5:$A$162,0),1,1,1,$L$6)),4,1,COUNTIF('Vehicle numbers'!$A$5:$A$162,J1401),4),
    MATCH(L$8,'Vehicle numbers'!$B$4:$D$4,0))*1000</f>
        <v>28457669.80833305</v>
      </c>
      <c r="M1401" s="184">
        <f>VLOOKUP(F1401,'Annual distance covered (GB)'!$A$8:$H$33,MATCH(J1401,'Annual distance covered (GB)'!$A$7:$H$7,0))</f>
        <v>397.4</v>
      </c>
      <c r="N1401" s="2">
        <f t="shared" ca="1" si="56"/>
        <v>283455.20814565383</v>
      </c>
      <c r="O1401" s="180">
        <f t="shared" ca="1" si="57"/>
        <v>9.9605909427851937E-3</v>
      </c>
      <c r="P1401" s="180"/>
      <c r="Q1401" s="180"/>
      <c r="R1401" s="180"/>
      <c r="S1401" s="180"/>
      <c r="T1401" s="180"/>
    </row>
    <row r="1402" spans="1:20" x14ac:dyDescent="0.25">
      <c r="A1402" t="s">
        <v>236</v>
      </c>
      <c r="B1402" t="s">
        <v>237</v>
      </c>
      <c r="C1402" t="s">
        <v>238</v>
      </c>
      <c r="D1402" t="s">
        <v>257</v>
      </c>
      <c r="E1402" t="s">
        <v>229</v>
      </c>
      <c r="F1402">
        <v>2006</v>
      </c>
      <c r="G1402">
        <v>2.12100000000001E-3</v>
      </c>
      <c r="H1402" t="s">
        <v>240</v>
      </c>
      <c r="I1402" t="s">
        <v>241</v>
      </c>
      <c r="J1402" t="s">
        <v>188</v>
      </c>
      <c r="K1402" s="183">
        <f ca="1">VLOOKUP(F1402,
    OFFSET(INDIRECT(ADDRESS(MATCH(J1402,'Vehicle numbers'!$A$5:$A$162,0),1,1,1,$L$6)),4,1,COUNTIF('Vehicle numbers'!$A$5:$A$162,J1402),4),
    MATCH(K$8,'Vehicle numbers'!$B$4:$D$4,0))*1000</f>
        <v>3023075</v>
      </c>
      <c r="L1402" s="183">
        <f ca="1">VLOOKUP(F1402,
    OFFSET(INDIRECT(ADDRESS(MATCH(J1402,'Vehicle numbers'!$A$5:$A$162,0),1,1,1,$L$6)),4,1,COUNTIF('Vehicle numbers'!$A$5:$A$162,J1402),4),
    MATCH(L$8,'Vehicle numbers'!$B$4:$D$4,0))*1000</f>
        <v>3109823.9025334446</v>
      </c>
      <c r="M1402" s="184">
        <f>VLOOKUP(F1402,'Annual distance covered (GB)'!$A$8:$H$33,MATCH(J1402,'Annual distance covered (GB)'!$A$7:$H$7,0))</f>
        <v>64.3</v>
      </c>
      <c r="N1402" s="2">
        <f t="shared" ca="1" si="56"/>
        <v>140293.81235155728</v>
      </c>
      <c r="O1402" s="180">
        <f t="shared" ca="1" si="57"/>
        <v>4.5113105033782054E-2</v>
      </c>
      <c r="P1402" s="180"/>
      <c r="Q1402" s="180"/>
      <c r="R1402" s="180"/>
      <c r="S1402" s="180"/>
      <c r="T1402" s="180"/>
    </row>
    <row r="1403" spans="1:20" x14ac:dyDescent="0.25">
      <c r="A1403" t="s">
        <v>243</v>
      </c>
      <c r="B1403" t="s">
        <v>237</v>
      </c>
      <c r="C1403" t="s">
        <v>238</v>
      </c>
      <c r="D1403" t="s">
        <v>257</v>
      </c>
      <c r="E1403" t="s">
        <v>229</v>
      </c>
      <c r="F1403">
        <v>2006</v>
      </c>
      <c r="G1403">
        <v>8.4840000000000403E-4</v>
      </c>
      <c r="H1403" t="s">
        <v>240</v>
      </c>
      <c r="I1403" t="s">
        <v>241</v>
      </c>
      <c r="J1403" t="s">
        <v>188</v>
      </c>
      <c r="K1403" s="183">
        <f ca="1">VLOOKUP(F1403,
    OFFSET(INDIRECT(ADDRESS(MATCH(J1403,'Vehicle numbers'!$A$5:$A$162,0),1,1,1,$L$6)),4,1,COUNTIF('Vehicle numbers'!$A$5:$A$162,J1403),4),
    MATCH(K$8,'Vehicle numbers'!$B$4:$D$4,0))*1000</f>
        <v>3023075</v>
      </c>
      <c r="L1403" s="183">
        <f ca="1">VLOOKUP(F1403,
    OFFSET(INDIRECT(ADDRESS(MATCH(J1403,'Vehicle numbers'!$A$5:$A$162,0),1,1,1,$L$6)),4,1,COUNTIF('Vehicle numbers'!$A$5:$A$162,J1403),4),
    MATCH(L$8,'Vehicle numbers'!$B$4:$D$4,0))*1000</f>
        <v>3109823.9025334446</v>
      </c>
      <c r="M1403" s="184">
        <f>VLOOKUP(F1403,'Annual distance covered (GB)'!$A$8:$H$33,MATCH(J1403,'Annual distance covered (GB)'!$A$7:$H$7,0))</f>
        <v>64.3</v>
      </c>
      <c r="N1403" s="2">
        <f t="shared" ca="1" si="56"/>
        <v>56117.524940622905</v>
      </c>
      <c r="O1403" s="180">
        <f t="shared" ca="1" si="57"/>
        <v>1.8045242013512819E-2</v>
      </c>
      <c r="P1403" s="180"/>
      <c r="Q1403" s="180"/>
      <c r="R1403" s="180"/>
      <c r="S1403" s="180"/>
      <c r="T1403" s="180"/>
    </row>
    <row r="1404" spans="1:20" x14ac:dyDescent="0.25">
      <c r="A1404" t="s">
        <v>244</v>
      </c>
      <c r="B1404" t="s">
        <v>237</v>
      </c>
      <c r="C1404" t="s">
        <v>238</v>
      </c>
      <c r="D1404" t="s">
        <v>257</v>
      </c>
      <c r="E1404" t="s">
        <v>229</v>
      </c>
      <c r="F1404">
        <v>2006</v>
      </c>
      <c r="G1404">
        <v>2.1210000000000101E-4</v>
      </c>
      <c r="H1404" t="s">
        <v>240</v>
      </c>
      <c r="I1404" t="s">
        <v>241</v>
      </c>
      <c r="J1404" t="s">
        <v>188</v>
      </c>
      <c r="K1404" s="183">
        <f ca="1">VLOOKUP(F1404,
    OFFSET(INDIRECT(ADDRESS(MATCH(J1404,'Vehicle numbers'!$A$5:$A$162,0),1,1,1,$L$6)),4,1,COUNTIF('Vehicle numbers'!$A$5:$A$162,J1404),4),
    MATCH(K$8,'Vehicle numbers'!$B$4:$D$4,0))*1000</f>
        <v>3023075</v>
      </c>
      <c r="L1404" s="183">
        <f ca="1">VLOOKUP(F1404,
    OFFSET(INDIRECT(ADDRESS(MATCH(J1404,'Vehicle numbers'!$A$5:$A$162,0),1,1,1,$L$6)),4,1,COUNTIF('Vehicle numbers'!$A$5:$A$162,J1404),4),
    MATCH(L$8,'Vehicle numbers'!$B$4:$D$4,0))*1000</f>
        <v>3109823.9025334446</v>
      </c>
      <c r="M1404" s="184">
        <f>VLOOKUP(F1404,'Annual distance covered (GB)'!$A$8:$H$33,MATCH(J1404,'Annual distance covered (GB)'!$A$7:$H$7,0))</f>
        <v>64.3</v>
      </c>
      <c r="N1404" s="2">
        <f t="shared" ca="1" si="56"/>
        <v>14029.381235155726</v>
      </c>
      <c r="O1404" s="180">
        <f t="shared" ca="1" si="57"/>
        <v>4.5113105033782047E-3</v>
      </c>
      <c r="P1404" s="180"/>
      <c r="Q1404" s="180"/>
      <c r="R1404" s="180"/>
      <c r="S1404" s="180"/>
      <c r="T1404" s="180"/>
    </row>
    <row r="1405" spans="1:20" x14ac:dyDescent="0.25">
      <c r="A1405" t="s">
        <v>246</v>
      </c>
      <c r="B1405" t="s">
        <v>237</v>
      </c>
      <c r="C1405" t="s">
        <v>238</v>
      </c>
      <c r="D1405" t="s">
        <v>257</v>
      </c>
      <c r="E1405" t="s">
        <v>229</v>
      </c>
      <c r="F1405">
        <v>2006</v>
      </c>
      <c r="G1405">
        <v>1.6968000000000099E-4</v>
      </c>
      <c r="H1405" t="s">
        <v>240</v>
      </c>
      <c r="I1405" t="s">
        <v>241</v>
      </c>
      <c r="J1405" t="s">
        <v>188</v>
      </c>
      <c r="K1405" s="183">
        <f ca="1">VLOOKUP(F1405,
    OFFSET(INDIRECT(ADDRESS(MATCH(J1405,'Vehicle numbers'!$A$5:$A$162,0),1,1,1,$L$6)),4,1,COUNTIF('Vehicle numbers'!$A$5:$A$162,J1405),4),
    MATCH(K$8,'Vehicle numbers'!$B$4:$D$4,0))*1000</f>
        <v>3023075</v>
      </c>
      <c r="L1405" s="183">
        <f ca="1">VLOOKUP(F1405,
    OFFSET(INDIRECT(ADDRESS(MATCH(J1405,'Vehicle numbers'!$A$5:$A$162,0),1,1,1,$L$6)),4,1,COUNTIF('Vehicle numbers'!$A$5:$A$162,J1405),4),
    MATCH(L$8,'Vehicle numbers'!$B$4:$D$4,0))*1000</f>
        <v>3109823.9025334446</v>
      </c>
      <c r="M1405" s="184">
        <f>VLOOKUP(F1405,'Annual distance covered (GB)'!$A$8:$H$33,MATCH(J1405,'Annual distance covered (GB)'!$A$7:$H$7,0))</f>
        <v>64.3</v>
      </c>
      <c r="N1405" s="2">
        <f t="shared" ca="1" si="56"/>
        <v>11223.504988124592</v>
      </c>
      <c r="O1405" s="180">
        <f t="shared" ca="1" si="57"/>
        <v>3.6090484027025672E-3</v>
      </c>
      <c r="P1405" s="180"/>
      <c r="Q1405" s="180"/>
      <c r="R1405" s="180"/>
      <c r="S1405" s="180"/>
      <c r="T1405" s="180"/>
    </row>
    <row r="1406" spans="1:20" x14ac:dyDescent="0.25">
      <c r="A1406" t="s">
        <v>236</v>
      </c>
      <c r="B1406" t="s">
        <v>237</v>
      </c>
      <c r="C1406" t="s">
        <v>238</v>
      </c>
      <c r="D1406" t="s">
        <v>257</v>
      </c>
      <c r="E1406" t="s">
        <v>228</v>
      </c>
      <c r="F1406">
        <v>2006</v>
      </c>
      <c r="G1406">
        <v>9.1460000000000204E-3</v>
      </c>
      <c r="H1406" t="s">
        <v>240</v>
      </c>
      <c r="I1406" t="s">
        <v>241</v>
      </c>
      <c r="J1406" t="s">
        <v>188</v>
      </c>
      <c r="K1406" s="183">
        <f ca="1">VLOOKUP(F1406,
    OFFSET(INDIRECT(ADDRESS(MATCH(J1406,'Vehicle numbers'!$A$5:$A$162,0),1,1,1,$L$6)),4,1,COUNTIF('Vehicle numbers'!$A$5:$A$162,J1406),4),
    MATCH(K$8,'Vehicle numbers'!$B$4:$D$4,0))*1000</f>
        <v>3023075</v>
      </c>
      <c r="L1406" s="183">
        <f ca="1">VLOOKUP(F1406,
    OFFSET(INDIRECT(ADDRESS(MATCH(J1406,'Vehicle numbers'!$A$5:$A$162,0),1,1,1,$L$6)),4,1,COUNTIF('Vehicle numbers'!$A$5:$A$162,J1406),4),
    MATCH(L$8,'Vehicle numbers'!$B$4:$D$4,0))*1000</f>
        <v>3109823.9025334446</v>
      </c>
      <c r="M1406" s="184">
        <f>VLOOKUP(F1406,'Annual distance covered (GB)'!$A$8:$H$33,MATCH(J1406,'Annual distance covered (GB)'!$A$7:$H$7,0))</f>
        <v>64.3</v>
      </c>
      <c r="N1406" s="2">
        <f t="shared" ca="1" si="56"/>
        <v>604963.32285117381</v>
      </c>
      <c r="O1406" s="180">
        <f t="shared" ca="1" si="57"/>
        <v>0.19453298379960848</v>
      </c>
      <c r="P1406" s="180"/>
      <c r="Q1406" s="180"/>
      <c r="R1406" s="180"/>
      <c r="S1406" s="180"/>
      <c r="T1406" s="180"/>
    </row>
    <row r="1407" spans="1:20" x14ac:dyDescent="0.25">
      <c r="A1407" t="s">
        <v>243</v>
      </c>
      <c r="B1407" t="s">
        <v>237</v>
      </c>
      <c r="C1407" t="s">
        <v>238</v>
      </c>
      <c r="D1407" t="s">
        <v>257</v>
      </c>
      <c r="E1407" t="s">
        <v>228</v>
      </c>
      <c r="F1407">
        <v>2006</v>
      </c>
      <c r="G1407">
        <v>6.4022000000000098E-3</v>
      </c>
      <c r="H1407" t="s">
        <v>240</v>
      </c>
      <c r="I1407" t="s">
        <v>241</v>
      </c>
      <c r="J1407" t="s">
        <v>188</v>
      </c>
      <c r="K1407" s="183">
        <f ca="1">VLOOKUP(F1407,
    OFFSET(INDIRECT(ADDRESS(MATCH(J1407,'Vehicle numbers'!$A$5:$A$162,0),1,1,1,$L$6)),4,1,COUNTIF('Vehicle numbers'!$A$5:$A$162,J1407),4),
    MATCH(K$8,'Vehicle numbers'!$B$4:$D$4,0))*1000</f>
        <v>3023075</v>
      </c>
      <c r="L1407" s="183">
        <f ca="1">VLOOKUP(F1407,
    OFFSET(INDIRECT(ADDRESS(MATCH(J1407,'Vehicle numbers'!$A$5:$A$162,0),1,1,1,$L$6)),4,1,COUNTIF('Vehicle numbers'!$A$5:$A$162,J1407),4),
    MATCH(L$8,'Vehicle numbers'!$B$4:$D$4,0))*1000</f>
        <v>3109823.9025334446</v>
      </c>
      <c r="M1407" s="184">
        <f>VLOOKUP(F1407,'Annual distance covered (GB)'!$A$8:$H$33,MATCH(J1407,'Annual distance covered (GB)'!$A$7:$H$7,0))</f>
        <v>64.3</v>
      </c>
      <c r="N1407" s="2">
        <f t="shared" ca="1" si="56"/>
        <v>423474.32599582127</v>
      </c>
      <c r="O1407" s="180">
        <f t="shared" ca="1" si="57"/>
        <v>0.1361730886597258</v>
      </c>
      <c r="P1407" s="180"/>
      <c r="Q1407" s="180"/>
      <c r="R1407" s="180"/>
      <c r="S1407" s="180"/>
      <c r="T1407" s="180"/>
    </row>
    <row r="1408" spans="1:20" x14ac:dyDescent="0.25">
      <c r="A1408" t="s">
        <v>244</v>
      </c>
      <c r="B1408" t="s">
        <v>237</v>
      </c>
      <c r="C1408" t="s">
        <v>238</v>
      </c>
      <c r="D1408" t="s">
        <v>257</v>
      </c>
      <c r="E1408" t="s">
        <v>228</v>
      </c>
      <c r="F1408">
        <v>2006</v>
      </c>
      <c r="G1408">
        <v>9.0171830985915497E-4</v>
      </c>
      <c r="H1408" t="s">
        <v>240</v>
      </c>
      <c r="I1408" t="s">
        <v>241</v>
      </c>
      <c r="J1408" t="s">
        <v>188</v>
      </c>
      <c r="K1408" s="183">
        <f ca="1">VLOOKUP(F1408,
    OFFSET(INDIRECT(ADDRESS(MATCH(J1408,'Vehicle numbers'!$A$5:$A$162,0),1,1,1,$L$6)),4,1,COUNTIF('Vehicle numbers'!$A$5:$A$162,J1408),4),
    MATCH(K$8,'Vehicle numbers'!$B$4:$D$4,0))*1000</f>
        <v>3023075</v>
      </c>
      <c r="L1408" s="183">
        <f ca="1">VLOOKUP(F1408,
    OFFSET(INDIRECT(ADDRESS(MATCH(J1408,'Vehicle numbers'!$A$5:$A$162,0),1,1,1,$L$6)),4,1,COUNTIF('Vehicle numbers'!$A$5:$A$162,J1408),4),
    MATCH(L$8,'Vehicle numbers'!$B$4:$D$4,0))*1000</f>
        <v>3109823.9025334446</v>
      </c>
      <c r="M1408" s="184">
        <f>VLOOKUP(F1408,'Annual distance covered (GB)'!$A$8:$H$33,MATCH(J1408,'Annual distance covered (GB)'!$A$7:$H$7,0))</f>
        <v>64.3</v>
      </c>
      <c r="N1408" s="2">
        <f t="shared" ca="1" si="56"/>
        <v>59644.271267017</v>
      </c>
      <c r="O1408" s="180">
        <f t="shared" ca="1" si="57"/>
        <v>1.9179308261933186E-2</v>
      </c>
      <c r="P1408" s="180"/>
      <c r="Q1408" s="180"/>
      <c r="R1408" s="180"/>
      <c r="S1408" s="180"/>
      <c r="T1408" s="180"/>
    </row>
    <row r="1409" spans="1:20" x14ac:dyDescent="0.25">
      <c r="A1409" t="s">
        <v>246</v>
      </c>
      <c r="B1409" t="s">
        <v>237</v>
      </c>
      <c r="C1409" t="s">
        <v>238</v>
      </c>
      <c r="D1409" t="s">
        <v>257</v>
      </c>
      <c r="E1409" t="s">
        <v>228</v>
      </c>
      <c r="F1409">
        <v>2006</v>
      </c>
      <c r="G1409">
        <v>7.2137464788732397E-4</v>
      </c>
      <c r="H1409" t="s">
        <v>240</v>
      </c>
      <c r="I1409" t="s">
        <v>241</v>
      </c>
      <c r="J1409" t="s">
        <v>188</v>
      </c>
      <c r="K1409" s="183">
        <f ca="1">VLOOKUP(F1409,
    OFFSET(INDIRECT(ADDRESS(MATCH(J1409,'Vehicle numbers'!$A$5:$A$162,0),1,1,1,$L$6)),4,1,COUNTIF('Vehicle numbers'!$A$5:$A$162,J1409),4),
    MATCH(K$8,'Vehicle numbers'!$B$4:$D$4,0))*1000</f>
        <v>3023075</v>
      </c>
      <c r="L1409" s="183">
        <f ca="1">VLOOKUP(F1409,
    OFFSET(INDIRECT(ADDRESS(MATCH(J1409,'Vehicle numbers'!$A$5:$A$162,0),1,1,1,$L$6)),4,1,COUNTIF('Vehicle numbers'!$A$5:$A$162,J1409),4),
    MATCH(L$8,'Vehicle numbers'!$B$4:$D$4,0))*1000</f>
        <v>3109823.9025334446</v>
      </c>
      <c r="M1409" s="184">
        <f>VLOOKUP(F1409,'Annual distance covered (GB)'!$A$8:$H$33,MATCH(J1409,'Annual distance covered (GB)'!$A$7:$H$7,0))</f>
        <v>64.3</v>
      </c>
      <c r="N1409" s="2">
        <f t="shared" ca="1" si="56"/>
        <v>47715.417013613594</v>
      </c>
      <c r="O1409" s="180">
        <f t="shared" ca="1" si="57"/>
        <v>1.5343446609546547E-2</v>
      </c>
      <c r="P1409" s="180"/>
      <c r="Q1409" s="180"/>
      <c r="R1409" s="180"/>
      <c r="S1409" s="180"/>
      <c r="T1409" s="180"/>
    </row>
    <row r="1410" spans="1:20" x14ac:dyDescent="0.25">
      <c r="A1410" t="s">
        <v>236</v>
      </c>
      <c r="B1410" t="s">
        <v>237</v>
      </c>
      <c r="C1410" t="s">
        <v>238</v>
      </c>
      <c r="D1410" t="s">
        <v>258</v>
      </c>
      <c r="E1410" t="s">
        <v>229</v>
      </c>
      <c r="F1410">
        <v>2006</v>
      </c>
      <c r="G1410">
        <v>8.6220000000000099E-3</v>
      </c>
      <c r="H1410" t="s">
        <v>240</v>
      </c>
      <c r="I1410" t="s">
        <v>241</v>
      </c>
      <c r="J1410" t="s">
        <v>188</v>
      </c>
      <c r="K1410" s="183">
        <f ca="1">VLOOKUP(F1410,
    OFFSET(INDIRECT(ADDRESS(MATCH(J1410,'Vehicle numbers'!$A$5:$A$162,0),1,1,1,$L$6)),4,1,COUNTIF('Vehicle numbers'!$A$5:$A$162,J1410),4),
    MATCH(K$8,'Vehicle numbers'!$B$4:$D$4,0))*1000</f>
        <v>3023075</v>
      </c>
      <c r="L1410" s="183">
        <f ca="1">VLOOKUP(F1410,
    OFFSET(INDIRECT(ADDRESS(MATCH(J1410,'Vehicle numbers'!$A$5:$A$162,0),1,1,1,$L$6)),4,1,COUNTIF('Vehicle numbers'!$A$5:$A$162,J1410),4),
    MATCH(L$8,'Vehicle numbers'!$B$4:$D$4,0))*1000</f>
        <v>3109823.9025334446</v>
      </c>
      <c r="M1410" s="184">
        <f>VLOOKUP(F1410,'Annual distance covered (GB)'!$A$8:$H$33,MATCH(J1410,'Annual distance covered (GB)'!$A$7:$H$7,0))</f>
        <v>64.3</v>
      </c>
      <c r="N1410" s="2">
        <f t="shared" ca="1" si="56"/>
        <v>570303.27680109499</v>
      </c>
      <c r="O1410" s="180">
        <f t="shared" ca="1" si="57"/>
        <v>0.18338764337636371</v>
      </c>
      <c r="P1410" s="180"/>
      <c r="Q1410" s="180"/>
      <c r="R1410" s="180"/>
      <c r="S1410" s="180"/>
      <c r="T1410" s="180"/>
    </row>
    <row r="1411" spans="1:20" x14ac:dyDescent="0.25">
      <c r="A1411" t="s">
        <v>243</v>
      </c>
      <c r="B1411" t="s">
        <v>237</v>
      </c>
      <c r="C1411" t="s">
        <v>238</v>
      </c>
      <c r="D1411" t="s">
        <v>258</v>
      </c>
      <c r="E1411" t="s">
        <v>229</v>
      </c>
      <c r="F1411">
        <v>2006</v>
      </c>
      <c r="G1411">
        <v>3.4488000000000001E-3</v>
      </c>
      <c r="H1411" t="s">
        <v>240</v>
      </c>
      <c r="I1411" t="s">
        <v>241</v>
      </c>
      <c r="J1411" t="s">
        <v>188</v>
      </c>
      <c r="K1411" s="183">
        <f ca="1">VLOOKUP(F1411,
    OFFSET(INDIRECT(ADDRESS(MATCH(J1411,'Vehicle numbers'!$A$5:$A$162,0),1,1,1,$L$6)),4,1,COUNTIF('Vehicle numbers'!$A$5:$A$162,J1411),4),
    MATCH(K$8,'Vehicle numbers'!$B$4:$D$4,0))*1000</f>
        <v>3023075</v>
      </c>
      <c r="L1411" s="183">
        <f ca="1">VLOOKUP(F1411,
    OFFSET(INDIRECT(ADDRESS(MATCH(J1411,'Vehicle numbers'!$A$5:$A$162,0),1,1,1,$L$6)),4,1,COUNTIF('Vehicle numbers'!$A$5:$A$162,J1411),4),
    MATCH(L$8,'Vehicle numbers'!$B$4:$D$4,0))*1000</f>
        <v>3109823.9025334446</v>
      </c>
      <c r="M1411" s="184">
        <f>VLOOKUP(F1411,'Annual distance covered (GB)'!$A$8:$H$33,MATCH(J1411,'Annual distance covered (GB)'!$A$7:$H$7,0))</f>
        <v>64.3</v>
      </c>
      <c r="N1411" s="2">
        <f t="shared" ca="1" si="56"/>
        <v>228121.31072043773</v>
      </c>
      <c r="O1411" s="180">
        <f t="shared" ca="1" si="57"/>
        <v>7.33550573505454E-2</v>
      </c>
      <c r="P1411" s="180"/>
      <c r="Q1411" s="180"/>
      <c r="R1411" s="180"/>
      <c r="S1411" s="180"/>
      <c r="T1411" s="180"/>
    </row>
    <row r="1412" spans="1:20" x14ac:dyDescent="0.25">
      <c r="A1412" t="s">
        <v>244</v>
      </c>
      <c r="B1412" t="s">
        <v>237</v>
      </c>
      <c r="C1412" t="s">
        <v>238</v>
      </c>
      <c r="D1412" t="s">
        <v>258</v>
      </c>
      <c r="E1412" t="s">
        <v>229</v>
      </c>
      <c r="F1412">
        <v>2006</v>
      </c>
      <c r="G1412">
        <v>8.6220000000000003E-4</v>
      </c>
      <c r="H1412" t="s">
        <v>240</v>
      </c>
      <c r="I1412" t="s">
        <v>241</v>
      </c>
      <c r="J1412" t="s">
        <v>188</v>
      </c>
      <c r="K1412" s="183">
        <f ca="1">VLOOKUP(F1412,
    OFFSET(INDIRECT(ADDRESS(MATCH(J1412,'Vehicle numbers'!$A$5:$A$162,0),1,1,1,$L$6)),4,1,COUNTIF('Vehicle numbers'!$A$5:$A$162,J1412),4),
    MATCH(K$8,'Vehicle numbers'!$B$4:$D$4,0))*1000</f>
        <v>3023075</v>
      </c>
      <c r="L1412" s="183">
        <f ca="1">VLOOKUP(F1412,
    OFFSET(INDIRECT(ADDRESS(MATCH(J1412,'Vehicle numbers'!$A$5:$A$162,0),1,1,1,$L$6)),4,1,COUNTIF('Vehicle numbers'!$A$5:$A$162,J1412),4),
    MATCH(L$8,'Vehicle numbers'!$B$4:$D$4,0))*1000</f>
        <v>3109823.9025334446</v>
      </c>
      <c r="M1412" s="184">
        <f>VLOOKUP(F1412,'Annual distance covered (GB)'!$A$8:$H$33,MATCH(J1412,'Annual distance covered (GB)'!$A$7:$H$7,0))</f>
        <v>64.3</v>
      </c>
      <c r="N1412" s="2">
        <f t="shared" ca="1" si="56"/>
        <v>57030.327680109433</v>
      </c>
      <c r="O1412" s="180">
        <f t="shared" ca="1" si="57"/>
        <v>1.833876433763635E-2</v>
      </c>
      <c r="P1412" s="180"/>
      <c r="Q1412" s="180"/>
      <c r="R1412" s="180"/>
      <c r="S1412" s="180"/>
      <c r="T1412" s="180"/>
    </row>
    <row r="1413" spans="1:20" x14ac:dyDescent="0.25">
      <c r="A1413" t="s">
        <v>246</v>
      </c>
      <c r="B1413" t="s">
        <v>237</v>
      </c>
      <c r="C1413" t="s">
        <v>238</v>
      </c>
      <c r="D1413" t="s">
        <v>258</v>
      </c>
      <c r="E1413" t="s">
        <v>229</v>
      </c>
      <c r="F1413">
        <v>2006</v>
      </c>
      <c r="G1413">
        <v>6.8975999999999998E-4</v>
      </c>
      <c r="H1413" t="s">
        <v>240</v>
      </c>
      <c r="I1413" t="s">
        <v>241</v>
      </c>
      <c r="J1413" t="s">
        <v>188</v>
      </c>
      <c r="K1413" s="183">
        <f ca="1">VLOOKUP(F1413,
    OFFSET(INDIRECT(ADDRESS(MATCH(J1413,'Vehicle numbers'!$A$5:$A$162,0),1,1,1,$L$6)),4,1,COUNTIF('Vehicle numbers'!$A$5:$A$162,J1413),4),
    MATCH(K$8,'Vehicle numbers'!$B$4:$D$4,0))*1000</f>
        <v>3023075</v>
      </c>
      <c r="L1413" s="183">
        <f ca="1">VLOOKUP(F1413,
    OFFSET(INDIRECT(ADDRESS(MATCH(J1413,'Vehicle numbers'!$A$5:$A$162,0),1,1,1,$L$6)),4,1,COUNTIF('Vehicle numbers'!$A$5:$A$162,J1413),4),
    MATCH(L$8,'Vehicle numbers'!$B$4:$D$4,0))*1000</f>
        <v>3109823.9025334446</v>
      </c>
      <c r="M1413" s="184">
        <f>VLOOKUP(F1413,'Annual distance covered (GB)'!$A$8:$H$33,MATCH(J1413,'Annual distance covered (GB)'!$A$7:$H$7,0))</f>
        <v>64.3</v>
      </c>
      <c r="N1413" s="2">
        <f t="shared" ca="1" si="56"/>
        <v>45624.262144087537</v>
      </c>
      <c r="O1413" s="180">
        <f t="shared" ca="1" si="57"/>
        <v>1.4671011470109076E-2</v>
      </c>
      <c r="P1413" s="180"/>
      <c r="Q1413" s="180"/>
      <c r="R1413" s="180"/>
      <c r="S1413" s="180"/>
      <c r="T1413" s="180"/>
    </row>
    <row r="1414" spans="1:20" x14ac:dyDescent="0.25">
      <c r="A1414" t="s">
        <v>236</v>
      </c>
      <c r="B1414" t="s">
        <v>237</v>
      </c>
      <c r="C1414" t="s">
        <v>238</v>
      </c>
      <c r="D1414" t="s">
        <v>258</v>
      </c>
      <c r="E1414" t="s">
        <v>228</v>
      </c>
      <c r="F1414">
        <v>2006</v>
      </c>
      <c r="G1414">
        <v>1.0741000000000001E-2</v>
      </c>
      <c r="H1414" t="s">
        <v>240</v>
      </c>
      <c r="I1414" t="s">
        <v>241</v>
      </c>
      <c r="J1414" t="s">
        <v>188</v>
      </c>
      <c r="K1414" s="183">
        <f ca="1">VLOOKUP(F1414,
    OFFSET(INDIRECT(ADDRESS(MATCH(J1414,'Vehicle numbers'!$A$5:$A$162,0),1,1,1,$L$6)),4,1,COUNTIF('Vehicle numbers'!$A$5:$A$162,J1414),4),
    MATCH(K$8,'Vehicle numbers'!$B$4:$D$4,0))*1000</f>
        <v>3023075</v>
      </c>
      <c r="L1414" s="183">
        <f ca="1">VLOOKUP(F1414,
    OFFSET(INDIRECT(ADDRESS(MATCH(J1414,'Vehicle numbers'!$A$5:$A$162,0),1,1,1,$L$6)),4,1,COUNTIF('Vehicle numbers'!$A$5:$A$162,J1414),4),
    MATCH(L$8,'Vehicle numbers'!$B$4:$D$4,0))*1000</f>
        <v>3109823.9025334446</v>
      </c>
      <c r="M1414" s="184">
        <f>VLOOKUP(F1414,'Annual distance covered (GB)'!$A$8:$H$33,MATCH(J1414,'Annual distance covered (GB)'!$A$7:$H$7,0))</f>
        <v>64.3</v>
      </c>
      <c r="N1414" s="2">
        <f t="shared" ca="1" si="56"/>
        <v>710464.7989005514</v>
      </c>
      <c r="O1414" s="180">
        <f t="shared" ca="1" si="57"/>
        <v>0.22845820894288105</v>
      </c>
      <c r="P1414" s="180"/>
      <c r="Q1414" s="180"/>
      <c r="R1414" s="180"/>
      <c r="S1414" s="180"/>
      <c r="T1414" s="180"/>
    </row>
    <row r="1415" spans="1:20" x14ac:dyDescent="0.25">
      <c r="A1415" t="s">
        <v>243</v>
      </c>
      <c r="B1415" t="s">
        <v>237</v>
      </c>
      <c r="C1415" t="s">
        <v>238</v>
      </c>
      <c r="D1415" t="s">
        <v>258</v>
      </c>
      <c r="E1415" t="s">
        <v>228</v>
      </c>
      <c r="F1415">
        <v>2006</v>
      </c>
      <c r="G1415">
        <v>7.5186999999999997E-3</v>
      </c>
      <c r="H1415" t="s">
        <v>240</v>
      </c>
      <c r="I1415" t="s">
        <v>241</v>
      </c>
      <c r="J1415" t="s">
        <v>188</v>
      </c>
      <c r="K1415" s="183">
        <f ca="1">VLOOKUP(F1415,
    OFFSET(INDIRECT(ADDRESS(MATCH(J1415,'Vehicle numbers'!$A$5:$A$162,0),1,1,1,$L$6)),4,1,COUNTIF('Vehicle numbers'!$A$5:$A$162,J1415),4),
    MATCH(K$8,'Vehicle numbers'!$B$4:$D$4,0))*1000</f>
        <v>3023075</v>
      </c>
      <c r="L1415" s="183">
        <f ca="1">VLOOKUP(F1415,
    OFFSET(INDIRECT(ADDRESS(MATCH(J1415,'Vehicle numbers'!$A$5:$A$162,0),1,1,1,$L$6)),4,1,COUNTIF('Vehicle numbers'!$A$5:$A$162,J1415),4),
    MATCH(L$8,'Vehicle numbers'!$B$4:$D$4,0))*1000</f>
        <v>3109823.9025334446</v>
      </c>
      <c r="M1415" s="184">
        <f>VLOOKUP(F1415,'Annual distance covered (GB)'!$A$8:$H$33,MATCH(J1415,'Annual distance covered (GB)'!$A$7:$H$7,0))</f>
        <v>64.3</v>
      </c>
      <c r="N1415" s="2">
        <f t="shared" ca="1" si="56"/>
        <v>497325.35923038586</v>
      </c>
      <c r="O1415" s="180">
        <f t="shared" ca="1" si="57"/>
        <v>0.15992074626001668</v>
      </c>
      <c r="P1415" s="180"/>
      <c r="Q1415" s="180"/>
      <c r="R1415" s="180"/>
      <c r="S1415" s="180"/>
      <c r="T1415" s="180"/>
    </row>
    <row r="1416" spans="1:20" x14ac:dyDescent="0.25">
      <c r="A1416" t="s">
        <v>244</v>
      </c>
      <c r="B1416" t="s">
        <v>237</v>
      </c>
      <c r="C1416" t="s">
        <v>238</v>
      </c>
      <c r="D1416" t="s">
        <v>258</v>
      </c>
      <c r="E1416" t="s">
        <v>228</v>
      </c>
      <c r="F1416">
        <v>2006</v>
      </c>
      <c r="G1416">
        <v>1.05897183098591E-3</v>
      </c>
      <c r="H1416" t="s">
        <v>240</v>
      </c>
      <c r="I1416" t="s">
        <v>241</v>
      </c>
      <c r="J1416" t="s">
        <v>188</v>
      </c>
      <c r="K1416" s="183">
        <f ca="1">VLOOKUP(F1416,
    OFFSET(INDIRECT(ADDRESS(MATCH(J1416,'Vehicle numbers'!$A$5:$A$162,0),1,1,1,$L$6)),4,1,COUNTIF('Vehicle numbers'!$A$5:$A$162,J1416),4),
    MATCH(K$8,'Vehicle numbers'!$B$4:$D$4,0))*1000</f>
        <v>3023075</v>
      </c>
      <c r="L1416" s="183">
        <f ca="1">VLOOKUP(F1416,
    OFFSET(INDIRECT(ADDRESS(MATCH(J1416,'Vehicle numbers'!$A$5:$A$162,0),1,1,1,$L$6)),4,1,COUNTIF('Vehicle numbers'!$A$5:$A$162,J1416),4),
    MATCH(L$8,'Vehicle numbers'!$B$4:$D$4,0))*1000</f>
        <v>3109823.9025334446</v>
      </c>
      <c r="M1416" s="184">
        <f>VLOOKUP(F1416,'Annual distance covered (GB)'!$A$8:$H$33,MATCH(J1416,'Annual distance covered (GB)'!$A$7:$H$7,0))</f>
        <v>64.3</v>
      </c>
      <c r="N1416" s="2">
        <f t="shared" ca="1" si="56"/>
        <v>70045.825243715968</v>
      </c>
      <c r="O1416" s="180">
        <f t="shared" ca="1" si="57"/>
        <v>2.2524048769016321E-2</v>
      </c>
      <c r="P1416" s="180"/>
      <c r="Q1416" s="180"/>
      <c r="R1416" s="180"/>
      <c r="S1416" s="180"/>
      <c r="T1416" s="180"/>
    </row>
    <row r="1417" spans="1:20" x14ac:dyDescent="0.25">
      <c r="A1417" t="s">
        <v>246</v>
      </c>
      <c r="B1417" t="s">
        <v>237</v>
      </c>
      <c r="C1417" t="s">
        <v>238</v>
      </c>
      <c r="D1417" t="s">
        <v>258</v>
      </c>
      <c r="E1417" t="s">
        <v>228</v>
      </c>
      <c r="F1417">
        <v>2006</v>
      </c>
      <c r="G1417">
        <v>8.47177464788731E-4</v>
      </c>
      <c r="H1417" t="s">
        <v>240</v>
      </c>
      <c r="I1417" t="s">
        <v>241</v>
      </c>
      <c r="J1417" t="s">
        <v>188</v>
      </c>
      <c r="K1417" s="183">
        <f ca="1">VLOOKUP(F1417,
    OFFSET(INDIRECT(ADDRESS(MATCH(J1417,'Vehicle numbers'!$A$5:$A$162,0),1,1,1,$L$6)),4,1,COUNTIF('Vehicle numbers'!$A$5:$A$162,J1417),4),
    MATCH(K$8,'Vehicle numbers'!$B$4:$D$4,0))*1000</f>
        <v>3023075</v>
      </c>
      <c r="L1417" s="183">
        <f ca="1">VLOOKUP(F1417,
    OFFSET(INDIRECT(ADDRESS(MATCH(J1417,'Vehicle numbers'!$A$5:$A$162,0),1,1,1,$L$6)),4,1,COUNTIF('Vehicle numbers'!$A$5:$A$162,J1417),4),
    MATCH(L$8,'Vehicle numbers'!$B$4:$D$4,0))*1000</f>
        <v>3109823.9025334446</v>
      </c>
      <c r="M1417" s="184">
        <f>VLOOKUP(F1417,'Annual distance covered (GB)'!$A$8:$H$33,MATCH(J1417,'Annual distance covered (GB)'!$A$7:$H$7,0))</f>
        <v>64.3</v>
      </c>
      <c r="N1417" s="2">
        <f t="shared" ca="1" si="56"/>
        <v>56036.660194972974</v>
      </c>
      <c r="O1417" s="180">
        <f t="shared" ca="1" si="57"/>
        <v>1.8019239015213122E-2</v>
      </c>
      <c r="P1417" s="180"/>
      <c r="Q1417" s="180"/>
      <c r="R1417" s="180"/>
      <c r="S1417" s="180"/>
      <c r="T1417" s="180"/>
    </row>
    <row r="1418" spans="1:20" x14ac:dyDescent="0.25">
      <c r="A1418" t="s">
        <v>236</v>
      </c>
      <c r="B1418" t="s">
        <v>237</v>
      </c>
      <c r="C1418" t="s">
        <v>238</v>
      </c>
      <c r="D1418" t="s">
        <v>259</v>
      </c>
      <c r="E1418" t="s">
        <v>229</v>
      </c>
      <c r="F1418">
        <v>2006</v>
      </c>
      <c r="G1418">
        <v>1.8218999999999999E-2</v>
      </c>
      <c r="H1418" t="s">
        <v>240</v>
      </c>
      <c r="I1418" t="s">
        <v>241</v>
      </c>
      <c r="J1418" t="s">
        <v>188</v>
      </c>
      <c r="K1418" s="183">
        <f ca="1">VLOOKUP(F1418,
    OFFSET(INDIRECT(ADDRESS(MATCH(J1418,'Vehicle numbers'!$A$5:$A$162,0),1,1,1,$L$6)),4,1,COUNTIF('Vehicle numbers'!$A$5:$A$162,J1418),4),
    MATCH(K$8,'Vehicle numbers'!$B$4:$D$4,0))*1000</f>
        <v>3023075</v>
      </c>
      <c r="L1418" s="183">
        <f ca="1">VLOOKUP(F1418,
    OFFSET(INDIRECT(ADDRESS(MATCH(J1418,'Vehicle numbers'!$A$5:$A$162,0),1,1,1,$L$6)),4,1,COUNTIF('Vehicle numbers'!$A$5:$A$162,J1418),4),
    MATCH(L$8,'Vehicle numbers'!$B$4:$D$4,0))*1000</f>
        <v>3109823.9025334446</v>
      </c>
      <c r="M1418" s="184">
        <f>VLOOKUP(F1418,'Annual distance covered (GB)'!$A$8:$H$33,MATCH(J1418,'Annual distance covered (GB)'!$A$7:$H$7,0))</f>
        <v>64.3</v>
      </c>
      <c r="N1418" s="2">
        <f t="shared" ca="1" si="56"/>
        <v>1205098.0515007118</v>
      </c>
      <c r="O1418" s="180">
        <f t="shared" ca="1" si="57"/>
        <v>0.3875132770440694</v>
      </c>
      <c r="P1418" s="180"/>
      <c r="Q1418" s="180"/>
      <c r="R1418" s="180"/>
      <c r="S1418" s="180"/>
      <c r="T1418" s="180"/>
    </row>
    <row r="1419" spans="1:20" x14ac:dyDescent="0.25">
      <c r="A1419" t="s">
        <v>243</v>
      </c>
      <c r="B1419" t="s">
        <v>237</v>
      </c>
      <c r="C1419" t="s">
        <v>238</v>
      </c>
      <c r="D1419" t="s">
        <v>259</v>
      </c>
      <c r="E1419" t="s">
        <v>229</v>
      </c>
      <c r="F1419">
        <v>2006</v>
      </c>
      <c r="G1419">
        <v>7.2876E-3</v>
      </c>
      <c r="H1419" t="s">
        <v>240</v>
      </c>
      <c r="I1419" t="s">
        <v>241</v>
      </c>
      <c r="J1419" t="s">
        <v>188</v>
      </c>
      <c r="K1419" s="183">
        <f ca="1">VLOOKUP(F1419,
    OFFSET(INDIRECT(ADDRESS(MATCH(J1419,'Vehicle numbers'!$A$5:$A$162,0),1,1,1,$L$6)),4,1,COUNTIF('Vehicle numbers'!$A$5:$A$162,J1419),4),
    MATCH(K$8,'Vehicle numbers'!$B$4:$D$4,0))*1000</f>
        <v>3023075</v>
      </c>
      <c r="L1419" s="183">
        <f ca="1">VLOOKUP(F1419,
    OFFSET(INDIRECT(ADDRESS(MATCH(J1419,'Vehicle numbers'!$A$5:$A$162,0),1,1,1,$L$6)),4,1,COUNTIF('Vehicle numbers'!$A$5:$A$162,J1419),4),
    MATCH(L$8,'Vehicle numbers'!$B$4:$D$4,0))*1000</f>
        <v>3109823.9025334446</v>
      </c>
      <c r="M1419" s="184">
        <f>VLOOKUP(F1419,'Annual distance covered (GB)'!$A$8:$H$33,MATCH(J1419,'Annual distance covered (GB)'!$A$7:$H$7,0))</f>
        <v>64.3</v>
      </c>
      <c r="N1419" s="2">
        <f t="shared" ref="N1419:N1482" ca="1" si="58">M1419*G1419*1000000*(L1419/K1419)</f>
        <v>482039.22060028469</v>
      </c>
      <c r="O1419" s="180">
        <f t="shared" ref="O1419:O1482" ca="1" si="59">N1419/L1419</f>
        <v>0.15500531081762775</v>
      </c>
      <c r="P1419" s="180"/>
      <c r="Q1419" s="180"/>
      <c r="R1419" s="180"/>
      <c r="S1419" s="180"/>
      <c r="T1419" s="180"/>
    </row>
    <row r="1420" spans="1:20" x14ac:dyDescent="0.25">
      <c r="A1420" t="s">
        <v>244</v>
      </c>
      <c r="B1420" t="s">
        <v>237</v>
      </c>
      <c r="C1420" t="s">
        <v>238</v>
      </c>
      <c r="D1420" t="s">
        <v>259</v>
      </c>
      <c r="E1420" t="s">
        <v>229</v>
      </c>
      <c r="F1420">
        <v>2006</v>
      </c>
      <c r="G1420">
        <v>1.8219E-3</v>
      </c>
      <c r="H1420" t="s">
        <v>240</v>
      </c>
      <c r="I1420" t="s">
        <v>241</v>
      </c>
      <c r="J1420" t="s">
        <v>188</v>
      </c>
      <c r="K1420" s="183">
        <f ca="1">VLOOKUP(F1420,
    OFFSET(INDIRECT(ADDRESS(MATCH(J1420,'Vehicle numbers'!$A$5:$A$162,0),1,1,1,$L$6)),4,1,COUNTIF('Vehicle numbers'!$A$5:$A$162,J1420),4),
    MATCH(K$8,'Vehicle numbers'!$B$4:$D$4,0))*1000</f>
        <v>3023075</v>
      </c>
      <c r="L1420" s="183">
        <f ca="1">VLOOKUP(F1420,
    OFFSET(INDIRECT(ADDRESS(MATCH(J1420,'Vehicle numbers'!$A$5:$A$162,0),1,1,1,$L$6)),4,1,COUNTIF('Vehicle numbers'!$A$5:$A$162,J1420),4),
    MATCH(L$8,'Vehicle numbers'!$B$4:$D$4,0))*1000</f>
        <v>3109823.9025334446</v>
      </c>
      <c r="M1420" s="184">
        <f>VLOOKUP(F1420,'Annual distance covered (GB)'!$A$8:$H$33,MATCH(J1420,'Annual distance covered (GB)'!$A$7:$H$7,0))</f>
        <v>64.3</v>
      </c>
      <c r="N1420" s="2">
        <f t="shared" ca="1" si="58"/>
        <v>120509.80515007117</v>
      </c>
      <c r="O1420" s="180">
        <f t="shared" ca="1" si="59"/>
        <v>3.8751327704406938E-2</v>
      </c>
      <c r="P1420" s="180"/>
      <c r="Q1420" s="180"/>
      <c r="R1420" s="180"/>
      <c r="S1420" s="180"/>
      <c r="T1420" s="180"/>
    </row>
    <row r="1421" spans="1:20" x14ac:dyDescent="0.25">
      <c r="A1421" t="s">
        <v>246</v>
      </c>
      <c r="B1421" t="s">
        <v>237</v>
      </c>
      <c r="C1421" t="s">
        <v>238</v>
      </c>
      <c r="D1421" t="s">
        <v>259</v>
      </c>
      <c r="E1421" t="s">
        <v>229</v>
      </c>
      <c r="F1421">
        <v>2006</v>
      </c>
      <c r="G1421">
        <v>1.4575199999999999E-3</v>
      </c>
      <c r="H1421" t="s">
        <v>240</v>
      </c>
      <c r="I1421" t="s">
        <v>241</v>
      </c>
      <c r="J1421" t="s">
        <v>188</v>
      </c>
      <c r="K1421" s="183">
        <f ca="1">VLOOKUP(F1421,
    OFFSET(INDIRECT(ADDRESS(MATCH(J1421,'Vehicle numbers'!$A$5:$A$162,0),1,1,1,$L$6)),4,1,COUNTIF('Vehicle numbers'!$A$5:$A$162,J1421),4),
    MATCH(K$8,'Vehicle numbers'!$B$4:$D$4,0))*1000</f>
        <v>3023075</v>
      </c>
      <c r="L1421" s="183">
        <f ca="1">VLOOKUP(F1421,
    OFFSET(INDIRECT(ADDRESS(MATCH(J1421,'Vehicle numbers'!$A$5:$A$162,0),1,1,1,$L$6)),4,1,COUNTIF('Vehicle numbers'!$A$5:$A$162,J1421),4),
    MATCH(L$8,'Vehicle numbers'!$B$4:$D$4,0))*1000</f>
        <v>3109823.9025334446</v>
      </c>
      <c r="M1421" s="184">
        <f>VLOOKUP(F1421,'Annual distance covered (GB)'!$A$8:$H$33,MATCH(J1421,'Annual distance covered (GB)'!$A$7:$H$7,0))</f>
        <v>64.3</v>
      </c>
      <c r="N1421" s="2">
        <f t="shared" ca="1" si="58"/>
        <v>96407.844120056936</v>
      </c>
      <c r="O1421" s="180">
        <f t="shared" ca="1" si="59"/>
        <v>3.100106216352555E-2</v>
      </c>
      <c r="P1421" s="180"/>
      <c r="Q1421" s="180"/>
      <c r="R1421" s="180"/>
      <c r="S1421" s="180"/>
      <c r="T1421" s="180"/>
    </row>
    <row r="1422" spans="1:20" x14ac:dyDescent="0.25">
      <c r="A1422" t="s">
        <v>236</v>
      </c>
      <c r="B1422" t="s">
        <v>237</v>
      </c>
      <c r="C1422" t="s">
        <v>238</v>
      </c>
      <c r="D1422" t="s">
        <v>259</v>
      </c>
      <c r="E1422" t="s">
        <v>228</v>
      </c>
      <c r="F1422">
        <v>2006</v>
      </c>
      <c r="G1422">
        <v>1.3802E-2</v>
      </c>
      <c r="H1422" t="s">
        <v>240</v>
      </c>
      <c r="I1422" t="s">
        <v>241</v>
      </c>
      <c r="J1422" t="s">
        <v>188</v>
      </c>
      <c r="K1422" s="183">
        <f ca="1">VLOOKUP(F1422,
    OFFSET(INDIRECT(ADDRESS(MATCH(J1422,'Vehicle numbers'!$A$5:$A$162,0),1,1,1,$L$6)),4,1,COUNTIF('Vehicle numbers'!$A$5:$A$162,J1422),4),
    MATCH(K$8,'Vehicle numbers'!$B$4:$D$4,0))*1000</f>
        <v>3023075</v>
      </c>
      <c r="L1422" s="183">
        <f ca="1">VLOOKUP(F1422,
    OFFSET(INDIRECT(ADDRESS(MATCH(J1422,'Vehicle numbers'!$A$5:$A$162,0),1,1,1,$L$6)),4,1,COUNTIF('Vehicle numbers'!$A$5:$A$162,J1422),4),
    MATCH(L$8,'Vehicle numbers'!$B$4:$D$4,0))*1000</f>
        <v>3109823.9025334446</v>
      </c>
      <c r="M1422" s="184">
        <f>VLOOKUP(F1422,'Annual distance covered (GB)'!$A$8:$H$33,MATCH(J1422,'Annual distance covered (GB)'!$A$7:$H$7,0))</f>
        <v>64.3</v>
      </c>
      <c r="N1422" s="2">
        <f t="shared" ca="1" si="58"/>
        <v>912935.02973888931</v>
      </c>
      <c r="O1422" s="180">
        <f t="shared" ca="1" si="59"/>
        <v>0.29356486359088019</v>
      </c>
      <c r="P1422" s="180"/>
      <c r="Q1422" s="180"/>
      <c r="R1422" s="180"/>
      <c r="S1422" s="180"/>
      <c r="T1422" s="180"/>
    </row>
    <row r="1423" spans="1:20" x14ac:dyDescent="0.25">
      <c r="A1423" t="s">
        <v>243</v>
      </c>
      <c r="B1423" t="s">
        <v>237</v>
      </c>
      <c r="C1423" t="s">
        <v>238</v>
      </c>
      <c r="D1423" t="s">
        <v>259</v>
      </c>
      <c r="E1423" t="s">
        <v>228</v>
      </c>
      <c r="F1423">
        <v>2006</v>
      </c>
      <c r="G1423">
        <v>9.6614000000000005E-3</v>
      </c>
      <c r="H1423" t="s">
        <v>240</v>
      </c>
      <c r="I1423" t="s">
        <v>241</v>
      </c>
      <c r="J1423" t="s">
        <v>188</v>
      </c>
      <c r="K1423" s="183">
        <f ca="1">VLOOKUP(F1423,
    OFFSET(INDIRECT(ADDRESS(MATCH(J1423,'Vehicle numbers'!$A$5:$A$162,0),1,1,1,$L$6)),4,1,COUNTIF('Vehicle numbers'!$A$5:$A$162,J1423),4),
    MATCH(K$8,'Vehicle numbers'!$B$4:$D$4,0))*1000</f>
        <v>3023075</v>
      </c>
      <c r="L1423" s="183">
        <f ca="1">VLOOKUP(F1423,
    OFFSET(INDIRECT(ADDRESS(MATCH(J1423,'Vehicle numbers'!$A$5:$A$162,0),1,1,1,$L$6)),4,1,COUNTIF('Vehicle numbers'!$A$5:$A$162,J1423),4),
    MATCH(L$8,'Vehicle numbers'!$B$4:$D$4,0))*1000</f>
        <v>3109823.9025334446</v>
      </c>
      <c r="M1423" s="184">
        <f>VLOOKUP(F1423,'Annual distance covered (GB)'!$A$8:$H$33,MATCH(J1423,'Annual distance covered (GB)'!$A$7:$H$7,0))</f>
        <v>64.3</v>
      </c>
      <c r="N1423" s="2">
        <f t="shared" ca="1" si="58"/>
        <v>639054.52081722254</v>
      </c>
      <c r="O1423" s="180">
        <f t="shared" ca="1" si="59"/>
        <v>0.20549540451361614</v>
      </c>
      <c r="P1423" s="180"/>
      <c r="Q1423" s="180"/>
      <c r="R1423" s="180"/>
      <c r="S1423" s="180"/>
      <c r="T1423" s="180"/>
    </row>
    <row r="1424" spans="1:20" x14ac:dyDescent="0.25">
      <c r="A1424" t="s">
        <v>244</v>
      </c>
      <c r="B1424" t="s">
        <v>237</v>
      </c>
      <c r="C1424" t="s">
        <v>238</v>
      </c>
      <c r="D1424" t="s">
        <v>259</v>
      </c>
      <c r="E1424" t="s">
        <v>228</v>
      </c>
      <c r="F1424">
        <v>2006</v>
      </c>
      <c r="G1424">
        <v>1.3607605633802801E-3</v>
      </c>
      <c r="H1424" t="s">
        <v>240</v>
      </c>
      <c r="I1424" t="s">
        <v>241</v>
      </c>
      <c r="J1424" t="s">
        <v>188</v>
      </c>
      <c r="K1424" s="183">
        <f ca="1">VLOOKUP(F1424,
    OFFSET(INDIRECT(ADDRESS(MATCH(J1424,'Vehicle numbers'!$A$5:$A$162,0),1,1,1,$L$6)),4,1,COUNTIF('Vehicle numbers'!$A$5:$A$162,J1424),4),
    MATCH(K$8,'Vehicle numbers'!$B$4:$D$4,0))*1000</f>
        <v>3023075</v>
      </c>
      <c r="L1424" s="183">
        <f ca="1">VLOOKUP(F1424,
    OFFSET(INDIRECT(ADDRESS(MATCH(J1424,'Vehicle numbers'!$A$5:$A$162,0),1,1,1,$L$6)),4,1,COUNTIF('Vehicle numbers'!$A$5:$A$162,J1424),4),
    MATCH(L$8,'Vehicle numbers'!$B$4:$D$4,0))*1000</f>
        <v>3109823.9025334446</v>
      </c>
      <c r="M1424" s="184">
        <f>VLOOKUP(F1424,'Annual distance covered (GB)'!$A$8:$H$33,MATCH(J1424,'Annual distance covered (GB)'!$A$7:$H$7,0))</f>
        <v>64.3</v>
      </c>
      <c r="N1424" s="2">
        <f t="shared" ca="1" si="58"/>
        <v>90007.678988341082</v>
      </c>
      <c r="O1424" s="180">
        <f t="shared" ca="1" si="59"/>
        <v>2.8943014720227585E-2</v>
      </c>
      <c r="P1424" s="180"/>
      <c r="Q1424" s="180"/>
      <c r="R1424" s="180"/>
      <c r="S1424" s="180"/>
      <c r="T1424" s="180"/>
    </row>
    <row r="1425" spans="1:20" x14ac:dyDescent="0.25">
      <c r="A1425" t="s">
        <v>246</v>
      </c>
      <c r="B1425" t="s">
        <v>237</v>
      </c>
      <c r="C1425" t="s">
        <v>238</v>
      </c>
      <c r="D1425" t="s">
        <v>259</v>
      </c>
      <c r="E1425" t="s">
        <v>228</v>
      </c>
      <c r="F1425">
        <v>2006</v>
      </c>
      <c r="G1425">
        <v>1.0886084507042201E-3</v>
      </c>
      <c r="H1425" t="s">
        <v>240</v>
      </c>
      <c r="I1425" t="s">
        <v>241</v>
      </c>
      <c r="J1425" t="s">
        <v>188</v>
      </c>
      <c r="K1425" s="183">
        <f ca="1">VLOOKUP(F1425,
    OFFSET(INDIRECT(ADDRESS(MATCH(J1425,'Vehicle numbers'!$A$5:$A$162,0),1,1,1,$L$6)),4,1,COUNTIF('Vehicle numbers'!$A$5:$A$162,J1425),4),
    MATCH(K$8,'Vehicle numbers'!$B$4:$D$4,0))*1000</f>
        <v>3023075</v>
      </c>
      <c r="L1425" s="183">
        <f ca="1">VLOOKUP(F1425,
    OFFSET(INDIRECT(ADDRESS(MATCH(J1425,'Vehicle numbers'!$A$5:$A$162,0),1,1,1,$L$6)),4,1,COUNTIF('Vehicle numbers'!$A$5:$A$162,J1425),4),
    MATCH(L$8,'Vehicle numbers'!$B$4:$D$4,0))*1000</f>
        <v>3109823.9025334446</v>
      </c>
      <c r="M1425" s="184">
        <f>VLOOKUP(F1425,'Annual distance covered (GB)'!$A$8:$H$33,MATCH(J1425,'Annual distance covered (GB)'!$A$7:$H$7,0))</f>
        <v>64.3</v>
      </c>
      <c r="N1425" s="2">
        <f t="shared" ca="1" si="58"/>
        <v>72006.143190672607</v>
      </c>
      <c r="O1425" s="180">
        <f t="shared" ca="1" si="59"/>
        <v>2.3154411776181986E-2</v>
      </c>
      <c r="P1425" s="180"/>
      <c r="Q1425" s="180"/>
      <c r="R1425" s="180"/>
      <c r="S1425" s="180"/>
      <c r="T1425" s="180"/>
    </row>
    <row r="1426" spans="1:20" x14ac:dyDescent="0.25">
      <c r="A1426" t="s">
        <v>236</v>
      </c>
      <c r="B1426" t="s">
        <v>237</v>
      </c>
      <c r="C1426" t="s">
        <v>238</v>
      </c>
      <c r="D1426" t="s">
        <v>260</v>
      </c>
      <c r="E1426" t="s">
        <v>229</v>
      </c>
      <c r="F1426">
        <v>2006</v>
      </c>
      <c r="G1426">
        <v>5.8400000000000101E-3</v>
      </c>
      <c r="H1426" t="s">
        <v>240</v>
      </c>
      <c r="I1426" t="s">
        <v>241</v>
      </c>
      <c r="J1426" t="s">
        <v>3</v>
      </c>
      <c r="K1426" s="183">
        <f ca="1">VLOOKUP(F1426,
    OFFSET(INDIRECT(ADDRESS(MATCH(J1426,'Vehicle numbers'!$A$5:$A$162,0),1,1,1,$L$6)),4,1,COUNTIF('Vehicle numbers'!$A$5:$A$162,J1426),4),
    MATCH(K$8,'Vehicle numbers'!$B$4:$D$4,0))*1000</f>
        <v>1209557</v>
      </c>
      <c r="L1426" s="183">
        <f ca="1">VLOOKUP(F1426,
    OFFSET(INDIRECT(ADDRESS(MATCH(J1426,'Vehicle numbers'!$A$5:$A$162,0),1,1,1,$L$6)),4,1,COUNTIF('Vehicle numbers'!$A$5:$A$162,J1426),4),
    MATCH(L$8,'Vehicle numbers'!$B$4:$D$4,0))*1000</f>
        <v>1231784.0365603496</v>
      </c>
      <c r="M1426" s="184">
        <f>VLOOKUP(F1426,'Annual distance covered (GB)'!$A$8:$H$33,MATCH(J1426,'Annual distance covered (GB)'!$A$7:$H$7,0))</f>
        <v>5.0999999999999996</v>
      </c>
      <c r="N1426" s="2">
        <f t="shared" ca="1" si="58"/>
        <v>30331.316130544918</v>
      </c>
      <c r="O1426" s="180">
        <f t="shared" ca="1" si="59"/>
        <v>2.4623891226291984E-2</v>
      </c>
      <c r="P1426" s="180"/>
      <c r="Q1426" s="180"/>
      <c r="R1426" s="180"/>
      <c r="S1426" s="180"/>
      <c r="T1426" s="180"/>
    </row>
    <row r="1427" spans="1:20" x14ac:dyDescent="0.25">
      <c r="A1427" t="s">
        <v>243</v>
      </c>
      <c r="B1427" t="s">
        <v>237</v>
      </c>
      <c r="C1427" t="s">
        <v>238</v>
      </c>
      <c r="D1427" t="s">
        <v>260</v>
      </c>
      <c r="E1427" t="s">
        <v>229</v>
      </c>
      <c r="F1427">
        <v>2006</v>
      </c>
      <c r="G1427">
        <v>2.336E-3</v>
      </c>
      <c r="H1427" t="s">
        <v>240</v>
      </c>
      <c r="I1427" t="s">
        <v>241</v>
      </c>
      <c r="J1427" t="s">
        <v>3</v>
      </c>
      <c r="K1427" s="183">
        <f ca="1">VLOOKUP(F1427,
    OFFSET(INDIRECT(ADDRESS(MATCH(J1427,'Vehicle numbers'!$A$5:$A$162,0),1,1,1,$L$6)),4,1,COUNTIF('Vehicle numbers'!$A$5:$A$162,J1427),4),
    MATCH(K$8,'Vehicle numbers'!$B$4:$D$4,0))*1000</f>
        <v>1209557</v>
      </c>
      <c r="L1427" s="183">
        <f ca="1">VLOOKUP(F1427,
    OFFSET(INDIRECT(ADDRESS(MATCH(J1427,'Vehicle numbers'!$A$5:$A$162,0),1,1,1,$L$6)),4,1,COUNTIF('Vehicle numbers'!$A$5:$A$162,J1427),4),
    MATCH(L$8,'Vehicle numbers'!$B$4:$D$4,0))*1000</f>
        <v>1231784.0365603496</v>
      </c>
      <c r="M1427" s="184">
        <f>VLOOKUP(F1427,'Annual distance covered (GB)'!$A$8:$H$33,MATCH(J1427,'Annual distance covered (GB)'!$A$7:$H$7,0))</f>
        <v>5.0999999999999996</v>
      </c>
      <c r="N1427" s="2">
        <f t="shared" ca="1" si="58"/>
        <v>12132.526452217944</v>
      </c>
      <c r="O1427" s="180">
        <f t="shared" ca="1" si="59"/>
        <v>9.8495564905167754E-3</v>
      </c>
      <c r="P1427" s="180"/>
      <c r="Q1427" s="180"/>
      <c r="R1427" s="180"/>
      <c r="S1427" s="180"/>
      <c r="T1427" s="180"/>
    </row>
    <row r="1428" spans="1:20" x14ac:dyDescent="0.25">
      <c r="A1428" t="s">
        <v>244</v>
      </c>
      <c r="B1428" t="s">
        <v>237</v>
      </c>
      <c r="C1428" t="s">
        <v>238</v>
      </c>
      <c r="D1428" t="s">
        <v>260</v>
      </c>
      <c r="E1428" t="s">
        <v>229</v>
      </c>
      <c r="F1428">
        <v>2006</v>
      </c>
      <c r="G1428">
        <v>5.8399999999999999E-4</v>
      </c>
      <c r="H1428" t="s">
        <v>240</v>
      </c>
      <c r="I1428" t="s">
        <v>241</v>
      </c>
      <c r="J1428" t="s">
        <v>3</v>
      </c>
      <c r="K1428" s="183">
        <f ca="1">VLOOKUP(F1428,
    OFFSET(INDIRECT(ADDRESS(MATCH(J1428,'Vehicle numbers'!$A$5:$A$162,0),1,1,1,$L$6)),4,1,COUNTIF('Vehicle numbers'!$A$5:$A$162,J1428),4),
    MATCH(K$8,'Vehicle numbers'!$B$4:$D$4,0))*1000</f>
        <v>1209557</v>
      </c>
      <c r="L1428" s="183">
        <f ca="1">VLOOKUP(F1428,
    OFFSET(INDIRECT(ADDRESS(MATCH(J1428,'Vehicle numbers'!$A$5:$A$162,0),1,1,1,$L$6)),4,1,COUNTIF('Vehicle numbers'!$A$5:$A$162,J1428),4),
    MATCH(L$8,'Vehicle numbers'!$B$4:$D$4,0))*1000</f>
        <v>1231784.0365603496</v>
      </c>
      <c r="M1428" s="184">
        <f>VLOOKUP(F1428,'Annual distance covered (GB)'!$A$8:$H$33,MATCH(J1428,'Annual distance covered (GB)'!$A$7:$H$7,0))</f>
        <v>5.0999999999999996</v>
      </c>
      <c r="N1428" s="2">
        <f t="shared" ca="1" si="58"/>
        <v>3033.131613054486</v>
      </c>
      <c r="O1428" s="180">
        <f t="shared" ca="1" si="59"/>
        <v>2.4623891226291938E-3</v>
      </c>
      <c r="P1428" s="180"/>
      <c r="Q1428" s="180"/>
      <c r="R1428" s="180"/>
      <c r="S1428" s="180"/>
      <c r="T1428" s="180"/>
    </row>
    <row r="1429" spans="1:20" x14ac:dyDescent="0.25">
      <c r="A1429" t="s">
        <v>246</v>
      </c>
      <c r="B1429" t="s">
        <v>237</v>
      </c>
      <c r="C1429" t="s">
        <v>238</v>
      </c>
      <c r="D1429" t="s">
        <v>260</v>
      </c>
      <c r="E1429" t="s">
        <v>229</v>
      </c>
      <c r="F1429">
        <v>2006</v>
      </c>
      <c r="G1429">
        <v>4.6720000000000003E-4</v>
      </c>
      <c r="H1429" t="s">
        <v>240</v>
      </c>
      <c r="I1429" t="s">
        <v>241</v>
      </c>
      <c r="J1429" t="s">
        <v>3</v>
      </c>
      <c r="K1429" s="183">
        <f ca="1">VLOOKUP(F1429,
    OFFSET(INDIRECT(ADDRESS(MATCH(J1429,'Vehicle numbers'!$A$5:$A$162,0),1,1,1,$L$6)),4,1,COUNTIF('Vehicle numbers'!$A$5:$A$162,J1429),4),
    MATCH(K$8,'Vehicle numbers'!$B$4:$D$4,0))*1000</f>
        <v>1209557</v>
      </c>
      <c r="L1429" s="183">
        <f ca="1">VLOOKUP(F1429,
    OFFSET(INDIRECT(ADDRESS(MATCH(J1429,'Vehicle numbers'!$A$5:$A$162,0),1,1,1,$L$6)),4,1,COUNTIF('Vehicle numbers'!$A$5:$A$162,J1429),4),
    MATCH(L$8,'Vehicle numbers'!$B$4:$D$4,0))*1000</f>
        <v>1231784.0365603496</v>
      </c>
      <c r="M1429" s="184">
        <f>VLOOKUP(F1429,'Annual distance covered (GB)'!$A$8:$H$33,MATCH(J1429,'Annual distance covered (GB)'!$A$7:$H$7,0))</f>
        <v>5.0999999999999996</v>
      </c>
      <c r="N1429" s="2">
        <f t="shared" ca="1" si="58"/>
        <v>2426.5052904435893</v>
      </c>
      <c r="O1429" s="180">
        <f t="shared" ca="1" si="59"/>
        <v>1.9699112981033553E-3</v>
      </c>
      <c r="P1429" s="180"/>
      <c r="Q1429" s="180"/>
      <c r="R1429" s="180"/>
      <c r="S1429" s="180"/>
      <c r="T1429" s="180"/>
    </row>
    <row r="1430" spans="1:20" x14ac:dyDescent="0.25">
      <c r="A1430" t="s">
        <v>236</v>
      </c>
      <c r="B1430" t="s">
        <v>237</v>
      </c>
      <c r="C1430" t="s">
        <v>238</v>
      </c>
      <c r="D1430" t="s">
        <v>260</v>
      </c>
      <c r="E1430" t="s">
        <v>228</v>
      </c>
      <c r="F1430">
        <v>2006</v>
      </c>
      <c r="G1430">
        <v>3.7570000000000099E-3</v>
      </c>
      <c r="H1430" t="s">
        <v>240</v>
      </c>
      <c r="I1430" t="s">
        <v>241</v>
      </c>
      <c r="J1430" t="s">
        <v>3</v>
      </c>
      <c r="K1430" s="183">
        <f ca="1">VLOOKUP(F1430,
    OFFSET(INDIRECT(ADDRESS(MATCH(J1430,'Vehicle numbers'!$A$5:$A$162,0),1,1,1,$L$6)),4,1,COUNTIF('Vehicle numbers'!$A$5:$A$162,J1430),4),
    MATCH(K$8,'Vehicle numbers'!$B$4:$D$4,0))*1000</f>
        <v>1209557</v>
      </c>
      <c r="L1430" s="183">
        <f ca="1">VLOOKUP(F1430,
    OFFSET(INDIRECT(ADDRESS(MATCH(J1430,'Vehicle numbers'!$A$5:$A$162,0),1,1,1,$L$6)),4,1,COUNTIF('Vehicle numbers'!$A$5:$A$162,J1430),4),
    MATCH(L$8,'Vehicle numbers'!$B$4:$D$4,0))*1000</f>
        <v>1231784.0365603496</v>
      </c>
      <c r="M1430" s="184">
        <f>VLOOKUP(F1430,'Annual distance covered (GB)'!$A$8:$H$33,MATCH(J1430,'Annual distance covered (GB)'!$A$7:$H$7,0))</f>
        <v>5.0999999999999996</v>
      </c>
      <c r="N1430" s="2">
        <f t="shared" ca="1" si="58"/>
        <v>19512.800462749543</v>
      </c>
      <c r="O1430" s="180">
        <f t="shared" ca="1" si="59"/>
        <v>1.584108892759915E-2</v>
      </c>
      <c r="P1430" s="180"/>
      <c r="Q1430" s="180"/>
      <c r="R1430" s="180"/>
      <c r="S1430" s="180"/>
      <c r="T1430" s="180"/>
    </row>
    <row r="1431" spans="1:20" x14ac:dyDescent="0.25">
      <c r="A1431" t="s">
        <v>243</v>
      </c>
      <c r="B1431" t="s">
        <v>237</v>
      </c>
      <c r="C1431" t="s">
        <v>238</v>
      </c>
      <c r="D1431" t="s">
        <v>260</v>
      </c>
      <c r="E1431" t="s">
        <v>228</v>
      </c>
      <c r="F1431">
        <v>2006</v>
      </c>
      <c r="G1431">
        <v>2.6299000000000101E-3</v>
      </c>
      <c r="H1431" t="s">
        <v>240</v>
      </c>
      <c r="I1431" t="s">
        <v>241</v>
      </c>
      <c r="J1431" t="s">
        <v>3</v>
      </c>
      <c r="K1431" s="183">
        <f ca="1">VLOOKUP(F1431,
    OFFSET(INDIRECT(ADDRESS(MATCH(J1431,'Vehicle numbers'!$A$5:$A$162,0),1,1,1,$L$6)),4,1,COUNTIF('Vehicle numbers'!$A$5:$A$162,J1431),4),
    MATCH(K$8,'Vehicle numbers'!$B$4:$D$4,0))*1000</f>
        <v>1209557</v>
      </c>
      <c r="L1431" s="183">
        <f ca="1">VLOOKUP(F1431,
    OFFSET(INDIRECT(ADDRESS(MATCH(J1431,'Vehicle numbers'!$A$5:$A$162,0),1,1,1,$L$6)),4,1,COUNTIF('Vehicle numbers'!$A$5:$A$162,J1431),4),
    MATCH(L$8,'Vehicle numbers'!$B$4:$D$4,0))*1000</f>
        <v>1231784.0365603496</v>
      </c>
      <c r="M1431" s="184">
        <f>VLOOKUP(F1431,'Annual distance covered (GB)'!$A$8:$H$33,MATCH(J1431,'Annual distance covered (GB)'!$A$7:$H$7,0))</f>
        <v>5.0999999999999996</v>
      </c>
      <c r="N1431" s="2">
        <f t="shared" ca="1" si="58"/>
        <v>13658.960323924699</v>
      </c>
      <c r="O1431" s="180">
        <f t="shared" ca="1" si="59"/>
        <v>1.1088762249319421E-2</v>
      </c>
      <c r="P1431" s="180"/>
      <c r="Q1431" s="180"/>
      <c r="R1431" s="180"/>
      <c r="S1431" s="180"/>
      <c r="T1431" s="180"/>
    </row>
    <row r="1432" spans="1:20" x14ac:dyDescent="0.25">
      <c r="A1432" t="s">
        <v>244</v>
      </c>
      <c r="B1432" t="s">
        <v>237</v>
      </c>
      <c r="C1432" t="s">
        <v>238</v>
      </c>
      <c r="D1432" t="s">
        <v>260</v>
      </c>
      <c r="E1432" t="s">
        <v>228</v>
      </c>
      <c r="F1432">
        <v>2006</v>
      </c>
      <c r="G1432">
        <v>3.7040845070422602E-4</v>
      </c>
      <c r="H1432" t="s">
        <v>240</v>
      </c>
      <c r="I1432" t="s">
        <v>241</v>
      </c>
      <c r="J1432" t="s">
        <v>3</v>
      </c>
      <c r="K1432" s="183">
        <f ca="1">VLOOKUP(F1432,
    OFFSET(INDIRECT(ADDRESS(MATCH(J1432,'Vehicle numbers'!$A$5:$A$162,0),1,1,1,$L$6)),4,1,COUNTIF('Vehicle numbers'!$A$5:$A$162,J1432),4),
    MATCH(K$8,'Vehicle numbers'!$B$4:$D$4,0))*1000</f>
        <v>1209557</v>
      </c>
      <c r="L1432" s="183">
        <f ca="1">VLOOKUP(F1432,
    OFFSET(INDIRECT(ADDRESS(MATCH(J1432,'Vehicle numbers'!$A$5:$A$162,0),1,1,1,$L$6)),4,1,COUNTIF('Vehicle numbers'!$A$5:$A$162,J1432),4),
    MATCH(L$8,'Vehicle numbers'!$B$4:$D$4,0))*1000</f>
        <v>1231784.0365603496</v>
      </c>
      <c r="M1432" s="184">
        <f>VLOOKUP(F1432,'Annual distance covered (GB)'!$A$8:$H$33,MATCH(J1432,'Annual distance covered (GB)'!$A$7:$H$7,0))</f>
        <v>5.0999999999999996</v>
      </c>
      <c r="N1432" s="2">
        <f t="shared" ca="1" si="58"/>
        <v>1923.7972287217847</v>
      </c>
      <c r="O1432" s="180">
        <f t="shared" ca="1" si="59"/>
        <v>1.5617974999041406E-3</v>
      </c>
      <c r="P1432" s="180"/>
      <c r="Q1432" s="180"/>
      <c r="R1432" s="180"/>
      <c r="S1432" s="180"/>
      <c r="T1432" s="180"/>
    </row>
    <row r="1433" spans="1:20" x14ac:dyDescent="0.25">
      <c r="A1433" t="s">
        <v>246</v>
      </c>
      <c r="B1433" t="s">
        <v>237</v>
      </c>
      <c r="C1433" t="s">
        <v>238</v>
      </c>
      <c r="D1433" t="s">
        <v>260</v>
      </c>
      <c r="E1433" t="s">
        <v>228</v>
      </c>
      <c r="F1433">
        <v>2006</v>
      </c>
      <c r="G1433">
        <v>2.9632676056338101E-4</v>
      </c>
      <c r="H1433" t="s">
        <v>240</v>
      </c>
      <c r="I1433" t="s">
        <v>241</v>
      </c>
      <c r="J1433" t="s">
        <v>3</v>
      </c>
      <c r="K1433" s="183">
        <f ca="1">VLOOKUP(F1433,
    OFFSET(INDIRECT(ADDRESS(MATCH(J1433,'Vehicle numbers'!$A$5:$A$162,0),1,1,1,$L$6)),4,1,COUNTIF('Vehicle numbers'!$A$5:$A$162,J1433),4),
    MATCH(K$8,'Vehicle numbers'!$B$4:$D$4,0))*1000</f>
        <v>1209557</v>
      </c>
      <c r="L1433" s="183">
        <f ca="1">VLOOKUP(F1433,
    OFFSET(INDIRECT(ADDRESS(MATCH(J1433,'Vehicle numbers'!$A$5:$A$162,0),1,1,1,$L$6)),4,1,COUNTIF('Vehicle numbers'!$A$5:$A$162,J1433),4),
    MATCH(L$8,'Vehicle numbers'!$B$4:$D$4,0))*1000</f>
        <v>1231784.0365603496</v>
      </c>
      <c r="M1433" s="184">
        <f>VLOOKUP(F1433,'Annual distance covered (GB)'!$A$8:$H$33,MATCH(J1433,'Annual distance covered (GB)'!$A$7:$H$7,0))</f>
        <v>5.0999999999999996</v>
      </c>
      <c r="N1433" s="2">
        <f t="shared" ca="1" si="58"/>
        <v>1539.0377829774286</v>
      </c>
      <c r="O1433" s="180">
        <f t="shared" ca="1" si="59"/>
        <v>1.2494379999233131E-3</v>
      </c>
      <c r="P1433" s="180"/>
      <c r="Q1433" s="180"/>
      <c r="R1433" s="180"/>
      <c r="S1433" s="180"/>
      <c r="T1433" s="180"/>
    </row>
    <row r="1434" spans="1:20" x14ac:dyDescent="0.25">
      <c r="A1434" t="s">
        <v>236</v>
      </c>
      <c r="B1434" t="s">
        <v>237</v>
      </c>
      <c r="C1434" t="s">
        <v>238</v>
      </c>
      <c r="D1434" t="s">
        <v>261</v>
      </c>
      <c r="E1434" t="s">
        <v>229</v>
      </c>
      <c r="F1434">
        <v>2006</v>
      </c>
      <c r="G1434">
        <v>5.8399999999999997E-3</v>
      </c>
      <c r="H1434" t="s">
        <v>240</v>
      </c>
      <c r="I1434" t="s">
        <v>241</v>
      </c>
      <c r="J1434" t="s">
        <v>3</v>
      </c>
      <c r="K1434" s="183">
        <f ca="1">VLOOKUP(F1434,
    OFFSET(INDIRECT(ADDRESS(MATCH(J1434,'Vehicle numbers'!$A$5:$A$162,0),1,1,1,$L$6)),4,1,COUNTIF('Vehicle numbers'!$A$5:$A$162,J1434),4),
    MATCH(K$8,'Vehicle numbers'!$B$4:$D$4,0))*1000</f>
        <v>1209557</v>
      </c>
      <c r="L1434" s="183">
        <f ca="1">VLOOKUP(F1434,
    OFFSET(INDIRECT(ADDRESS(MATCH(J1434,'Vehicle numbers'!$A$5:$A$162,0),1,1,1,$L$6)),4,1,COUNTIF('Vehicle numbers'!$A$5:$A$162,J1434),4),
    MATCH(L$8,'Vehicle numbers'!$B$4:$D$4,0))*1000</f>
        <v>1231784.0365603496</v>
      </c>
      <c r="M1434" s="184">
        <f>VLOOKUP(F1434,'Annual distance covered (GB)'!$A$8:$H$33,MATCH(J1434,'Annual distance covered (GB)'!$A$7:$H$7,0))</f>
        <v>5.0999999999999996</v>
      </c>
      <c r="N1434" s="2">
        <f t="shared" ca="1" si="58"/>
        <v>30331.316130544859</v>
      </c>
      <c r="O1434" s="180">
        <f t="shared" ca="1" si="59"/>
        <v>2.4623891226291935E-2</v>
      </c>
      <c r="P1434" s="180"/>
      <c r="Q1434" s="180"/>
      <c r="R1434" s="180"/>
      <c r="S1434" s="180"/>
      <c r="T1434" s="180"/>
    </row>
    <row r="1435" spans="1:20" x14ac:dyDescent="0.25">
      <c r="A1435" t="s">
        <v>243</v>
      </c>
      <c r="B1435" t="s">
        <v>237</v>
      </c>
      <c r="C1435" t="s">
        <v>238</v>
      </c>
      <c r="D1435" t="s">
        <v>261</v>
      </c>
      <c r="E1435" t="s">
        <v>229</v>
      </c>
      <c r="F1435">
        <v>2006</v>
      </c>
      <c r="G1435">
        <v>2.336E-3</v>
      </c>
      <c r="H1435" t="s">
        <v>240</v>
      </c>
      <c r="I1435" t="s">
        <v>241</v>
      </c>
      <c r="J1435" t="s">
        <v>3</v>
      </c>
      <c r="K1435" s="183">
        <f ca="1">VLOOKUP(F1435,
    OFFSET(INDIRECT(ADDRESS(MATCH(J1435,'Vehicle numbers'!$A$5:$A$162,0),1,1,1,$L$6)),4,1,COUNTIF('Vehicle numbers'!$A$5:$A$162,J1435),4),
    MATCH(K$8,'Vehicle numbers'!$B$4:$D$4,0))*1000</f>
        <v>1209557</v>
      </c>
      <c r="L1435" s="183">
        <f ca="1">VLOOKUP(F1435,
    OFFSET(INDIRECT(ADDRESS(MATCH(J1435,'Vehicle numbers'!$A$5:$A$162,0),1,1,1,$L$6)),4,1,COUNTIF('Vehicle numbers'!$A$5:$A$162,J1435),4),
    MATCH(L$8,'Vehicle numbers'!$B$4:$D$4,0))*1000</f>
        <v>1231784.0365603496</v>
      </c>
      <c r="M1435" s="184">
        <f>VLOOKUP(F1435,'Annual distance covered (GB)'!$A$8:$H$33,MATCH(J1435,'Annual distance covered (GB)'!$A$7:$H$7,0))</f>
        <v>5.0999999999999996</v>
      </c>
      <c r="N1435" s="2">
        <f t="shared" ca="1" si="58"/>
        <v>12132.526452217944</v>
      </c>
      <c r="O1435" s="180">
        <f t="shared" ca="1" si="59"/>
        <v>9.8495564905167754E-3</v>
      </c>
      <c r="P1435" s="180"/>
      <c r="Q1435" s="180"/>
      <c r="R1435" s="180"/>
      <c r="S1435" s="180"/>
      <c r="T1435" s="180"/>
    </row>
    <row r="1436" spans="1:20" x14ac:dyDescent="0.25">
      <c r="A1436" t="s">
        <v>244</v>
      </c>
      <c r="B1436" t="s">
        <v>237</v>
      </c>
      <c r="C1436" t="s">
        <v>238</v>
      </c>
      <c r="D1436" t="s">
        <v>261</v>
      </c>
      <c r="E1436" t="s">
        <v>229</v>
      </c>
      <c r="F1436">
        <v>2006</v>
      </c>
      <c r="G1436">
        <v>5.8399999999999999E-4</v>
      </c>
      <c r="H1436" t="s">
        <v>240</v>
      </c>
      <c r="I1436" t="s">
        <v>241</v>
      </c>
      <c r="J1436" t="s">
        <v>3</v>
      </c>
      <c r="K1436" s="183">
        <f ca="1">VLOOKUP(F1436,
    OFFSET(INDIRECT(ADDRESS(MATCH(J1436,'Vehicle numbers'!$A$5:$A$162,0),1,1,1,$L$6)),4,1,COUNTIF('Vehicle numbers'!$A$5:$A$162,J1436),4),
    MATCH(K$8,'Vehicle numbers'!$B$4:$D$4,0))*1000</f>
        <v>1209557</v>
      </c>
      <c r="L1436" s="183">
        <f ca="1">VLOOKUP(F1436,
    OFFSET(INDIRECT(ADDRESS(MATCH(J1436,'Vehicle numbers'!$A$5:$A$162,0),1,1,1,$L$6)),4,1,COUNTIF('Vehicle numbers'!$A$5:$A$162,J1436),4),
    MATCH(L$8,'Vehicle numbers'!$B$4:$D$4,0))*1000</f>
        <v>1231784.0365603496</v>
      </c>
      <c r="M1436" s="184">
        <f>VLOOKUP(F1436,'Annual distance covered (GB)'!$A$8:$H$33,MATCH(J1436,'Annual distance covered (GB)'!$A$7:$H$7,0))</f>
        <v>5.0999999999999996</v>
      </c>
      <c r="N1436" s="2">
        <f t="shared" ca="1" si="58"/>
        <v>3033.131613054486</v>
      </c>
      <c r="O1436" s="180">
        <f t="shared" ca="1" si="59"/>
        <v>2.4623891226291938E-3</v>
      </c>
      <c r="P1436" s="180"/>
      <c r="Q1436" s="180"/>
      <c r="R1436" s="180"/>
      <c r="S1436" s="180"/>
      <c r="T1436" s="180"/>
    </row>
    <row r="1437" spans="1:20" x14ac:dyDescent="0.25">
      <c r="A1437" t="s">
        <v>246</v>
      </c>
      <c r="B1437" t="s">
        <v>237</v>
      </c>
      <c r="C1437" t="s">
        <v>238</v>
      </c>
      <c r="D1437" t="s">
        <v>261</v>
      </c>
      <c r="E1437" t="s">
        <v>229</v>
      </c>
      <c r="F1437">
        <v>2006</v>
      </c>
      <c r="G1437">
        <v>4.6720000000000003E-4</v>
      </c>
      <c r="H1437" t="s">
        <v>240</v>
      </c>
      <c r="I1437" t="s">
        <v>241</v>
      </c>
      <c r="J1437" t="s">
        <v>3</v>
      </c>
      <c r="K1437" s="183">
        <f ca="1">VLOOKUP(F1437,
    OFFSET(INDIRECT(ADDRESS(MATCH(J1437,'Vehicle numbers'!$A$5:$A$162,0),1,1,1,$L$6)),4,1,COUNTIF('Vehicle numbers'!$A$5:$A$162,J1437),4),
    MATCH(K$8,'Vehicle numbers'!$B$4:$D$4,0))*1000</f>
        <v>1209557</v>
      </c>
      <c r="L1437" s="183">
        <f ca="1">VLOOKUP(F1437,
    OFFSET(INDIRECT(ADDRESS(MATCH(J1437,'Vehicle numbers'!$A$5:$A$162,0),1,1,1,$L$6)),4,1,COUNTIF('Vehicle numbers'!$A$5:$A$162,J1437),4),
    MATCH(L$8,'Vehicle numbers'!$B$4:$D$4,0))*1000</f>
        <v>1231784.0365603496</v>
      </c>
      <c r="M1437" s="184">
        <f>VLOOKUP(F1437,'Annual distance covered (GB)'!$A$8:$H$33,MATCH(J1437,'Annual distance covered (GB)'!$A$7:$H$7,0))</f>
        <v>5.0999999999999996</v>
      </c>
      <c r="N1437" s="2">
        <f t="shared" ca="1" si="58"/>
        <v>2426.5052904435893</v>
      </c>
      <c r="O1437" s="180">
        <f t="shared" ca="1" si="59"/>
        <v>1.9699112981033553E-3</v>
      </c>
      <c r="P1437" s="180"/>
      <c r="Q1437" s="180"/>
      <c r="R1437" s="180"/>
      <c r="S1437" s="180"/>
      <c r="T1437" s="180"/>
    </row>
    <row r="1438" spans="1:20" x14ac:dyDescent="0.25">
      <c r="A1438" t="s">
        <v>236</v>
      </c>
      <c r="B1438" t="s">
        <v>237</v>
      </c>
      <c r="C1438" t="s">
        <v>238</v>
      </c>
      <c r="D1438" t="s">
        <v>261</v>
      </c>
      <c r="E1438" t="s">
        <v>228</v>
      </c>
      <c r="F1438">
        <v>2006</v>
      </c>
      <c r="G1438">
        <v>3.7569999999999999E-3</v>
      </c>
      <c r="H1438" t="s">
        <v>240</v>
      </c>
      <c r="I1438" t="s">
        <v>241</v>
      </c>
      <c r="J1438" t="s">
        <v>3</v>
      </c>
      <c r="K1438" s="183">
        <f ca="1">VLOOKUP(F1438,
    OFFSET(INDIRECT(ADDRESS(MATCH(J1438,'Vehicle numbers'!$A$5:$A$162,0),1,1,1,$L$6)),4,1,COUNTIF('Vehicle numbers'!$A$5:$A$162,J1438),4),
    MATCH(K$8,'Vehicle numbers'!$B$4:$D$4,0))*1000</f>
        <v>1209557</v>
      </c>
      <c r="L1438" s="183">
        <f ca="1">VLOOKUP(F1438,
    OFFSET(INDIRECT(ADDRESS(MATCH(J1438,'Vehicle numbers'!$A$5:$A$162,0),1,1,1,$L$6)),4,1,COUNTIF('Vehicle numbers'!$A$5:$A$162,J1438),4),
    MATCH(L$8,'Vehicle numbers'!$B$4:$D$4,0))*1000</f>
        <v>1231784.0365603496</v>
      </c>
      <c r="M1438" s="184">
        <f>VLOOKUP(F1438,'Annual distance covered (GB)'!$A$8:$H$33,MATCH(J1438,'Annual distance covered (GB)'!$A$7:$H$7,0))</f>
        <v>5.0999999999999996</v>
      </c>
      <c r="N1438" s="2">
        <f t="shared" ca="1" si="58"/>
        <v>19512.800462749496</v>
      </c>
      <c r="O1438" s="180">
        <f t="shared" ca="1" si="59"/>
        <v>1.5841088927599112E-2</v>
      </c>
      <c r="P1438" s="180"/>
      <c r="Q1438" s="180"/>
      <c r="R1438" s="180"/>
      <c r="S1438" s="180"/>
      <c r="T1438" s="180"/>
    </row>
    <row r="1439" spans="1:20" x14ac:dyDescent="0.25">
      <c r="A1439" t="s">
        <v>243</v>
      </c>
      <c r="B1439" t="s">
        <v>237</v>
      </c>
      <c r="C1439" t="s">
        <v>238</v>
      </c>
      <c r="D1439" t="s">
        <v>261</v>
      </c>
      <c r="E1439" t="s">
        <v>228</v>
      </c>
      <c r="F1439">
        <v>2006</v>
      </c>
      <c r="G1439">
        <v>2.6299000000000001E-3</v>
      </c>
      <c r="H1439" t="s">
        <v>240</v>
      </c>
      <c r="I1439" t="s">
        <v>241</v>
      </c>
      <c r="J1439" t="s">
        <v>3</v>
      </c>
      <c r="K1439" s="183">
        <f ca="1">VLOOKUP(F1439,
    OFFSET(INDIRECT(ADDRESS(MATCH(J1439,'Vehicle numbers'!$A$5:$A$162,0),1,1,1,$L$6)),4,1,COUNTIF('Vehicle numbers'!$A$5:$A$162,J1439),4),
    MATCH(K$8,'Vehicle numbers'!$B$4:$D$4,0))*1000</f>
        <v>1209557</v>
      </c>
      <c r="L1439" s="183">
        <f ca="1">VLOOKUP(F1439,
    OFFSET(INDIRECT(ADDRESS(MATCH(J1439,'Vehicle numbers'!$A$5:$A$162,0),1,1,1,$L$6)),4,1,COUNTIF('Vehicle numbers'!$A$5:$A$162,J1439),4),
    MATCH(L$8,'Vehicle numbers'!$B$4:$D$4,0))*1000</f>
        <v>1231784.0365603496</v>
      </c>
      <c r="M1439" s="184">
        <f>VLOOKUP(F1439,'Annual distance covered (GB)'!$A$8:$H$33,MATCH(J1439,'Annual distance covered (GB)'!$A$7:$H$7,0))</f>
        <v>5.0999999999999996</v>
      </c>
      <c r="N1439" s="2">
        <f t="shared" ca="1" si="58"/>
        <v>13658.960323924646</v>
      </c>
      <c r="O1439" s="180">
        <f t="shared" ca="1" si="59"/>
        <v>1.1088762249319378E-2</v>
      </c>
      <c r="P1439" s="180"/>
      <c r="Q1439" s="180"/>
      <c r="R1439" s="180"/>
      <c r="S1439" s="180"/>
      <c r="T1439" s="180"/>
    </row>
    <row r="1440" spans="1:20" x14ac:dyDescent="0.25">
      <c r="A1440" t="s">
        <v>244</v>
      </c>
      <c r="B1440" t="s">
        <v>237</v>
      </c>
      <c r="C1440" t="s">
        <v>238</v>
      </c>
      <c r="D1440" t="s">
        <v>261</v>
      </c>
      <c r="E1440" t="s">
        <v>228</v>
      </c>
      <c r="F1440">
        <v>2006</v>
      </c>
      <c r="G1440">
        <v>3.7040845070422499E-4</v>
      </c>
      <c r="H1440" t="s">
        <v>240</v>
      </c>
      <c r="I1440" t="s">
        <v>241</v>
      </c>
      <c r="J1440" t="s">
        <v>3</v>
      </c>
      <c r="K1440" s="183">
        <f ca="1">VLOOKUP(F1440,
    OFFSET(INDIRECT(ADDRESS(MATCH(J1440,'Vehicle numbers'!$A$5:$A$162,0),1,1,1,$L$6)),4,1,COUNTIF('Vehicle numbers'!$A$5:$A$162,J1440),4),
    MATCH(K$8,'Vehicle numbers'!$B$4:$D$4,0))*1000</f>
        <v>1209557</v>
      </c>
      <c r="L1440" s="183">
        <f ca="1">VLOOKUP(F1440,
    OFFSET(INDIRECT(ADDRESS(MATCH(J1440,'Vehicle numbers'!$A$5:$A$162,0),1,1,1,$L$6)),4,1,COUNTIF('Vehicle numbers'!$A$5:$A$162,J1440),4),
    MATCH(L$8,'Vehicle numbers'!$B$4:$D$4,0))*1000</f>
        <v>1231784.0365603496</v>
      </c>
      <c r="M1440" s="184">
        <f>VLOOKUP(F1440,'Annual distance covered (GB)'!$A$8:$H$33,MATCH(J1440,'Annual distance covered (GB)'!$A$7:$H$7,0))</f>
        <v>5.0999999999999996</v>
      </c>
      <c r="N1440" s="2">
        <f t="shared" ca="1" si="58"/>
        <v>1923.7972287217794</v>
      </c>
      <c r="O1440" s="180">
        <f t="shared" ca="1" si="59"/>
        <v>1.5617974999041365E-3</v>
      </c>
      <c r="P1440" s="180"/>
      <c r="Q1440" s="180"/>
      <c r="R1440" s="180"/>
      <c r="S1440" s="180"/>
      <c r="T1440" s="180"/>
    </row>
    <row r="1441" spans="1:20" x14ac:dyDescent="0.25">
      <c r="A1441" t="s">
        <v>246</v>
      </c>
      <c r="B1441" t="s">
        <v>237</v>
      </c>
      <c r="C1441" t="s">
        <v>238</v>
      </c>
      <c r="D1441" t="s">
        <v>261</v>
      </c>
      <c r="E1441" t="s">
        <v>228</v>
      </c>
      <c r="F1441">
        <v>2006</v>
      </c>
      <c r="G1441">
        <v>2.9632676056337998E-4</v>
      </c>
      <c r="H1441" t="s">
        <v>240</v>
      </c>
      <c r="I1441" t="s">
        <v>241</v>
      </c>
      <c r="J1441" t="s">
        <v>3</v>
      </c>
      <c r="K1441" s="183">
        <f ca="1">VLOOKUP(F1441,
    OFFSET(INDIRECT(ADDRESS(MATCH(J1441,'Vehicle numbers'!$A$5:$A$162,0),1,1,1,$L$6)),4,1,COUNTIF('Vehicle numbers'!$A$5:$A$162,J1441),4),
    MATCH(K$8,'Vehicle numbers'!$B$4:$D$4,0))*1000</f>
        <v>1209557</v>
      </c>
      <c r="L1441" s="183">
        <f ca="1">VLOOKUP(F1441,
    OFFSET(INDIRECT(ADDRESS(MATCH(J1441,'Vehicle numbers'!$A$5:$A$162,0),1,1,1,$L$6)),4,1,COUNTIF('Vehicle numbers'!$A$5:$A$162,J1441),4),
    MATCH(L$8,'Vehicle numbers'!$B$4:$D$4,0))*1000</f>
        <v>1231784.0365603496</v>
      </c>
      <c r="M1441" s="184">
        <f>VLOOKUP(F1441,'Annual distance covered (GB)'!$A$8:$H$33,MATCH(J1441,'Annual distance covered (GB)'!$A$7:$H$7,0))</f>
        <v>5.0999999999999996</v>
      </c>
      <c r="N1441" s="2">
        <f t="shared" ca="1" si="58"/>
        <v>1539.0377829774231</v>
      </c>
      <c r="O1441" s="180">
        <f t="shared" ca="1" si="59"/>
        <v>1.2494379999233088E-3</v>
      </c>
      <c r="P1441" s="180"/>
      <c r="Q1441" s="180"/>
      <c r="R1441" s="180"/>
      <c r="S1441" s="180"/>
      <c r="T1441" s="180"/>
    </row>
    <row r="1442" spans="1:20" x14ac:dyDescent="0.25">
      <c r="A1442" t="s">
        <v>236</v>
      </c>
      <c r="B1442" t="s">
        <v>237</v>
      </c>
      <c r="C1442" t="s">
        <v>238</v>
      </c>
      <c r="D1442" t="s">
        <v>262</v>
      </c>
      <c r="E1442" t="s">
        <v>229</v>
      </c>
      <c r="F1442">
        <v>2006</v>
      </c>
      <c r="G1442">
        <v>6.8000000000000005E-4</v>
      </c>
      <c r="H1442" t="s">
        <v>240</v>
      </c>
      <c r="I1442" t="s">
        <v>241</v>
      </c>
      <c r="J1442" t="s">
        <v>3</v>
      </c>
      <c r="K1442" s="183">
        <f ca="1">VLOOKUP(F1442,
    OFFSET(INDIRECT(ADDRESS(MATCH(J1442,'Vehicle numbers'!$A$5:$A$162,0),1,1,1,$L$6)),4,1,COUNTIF('Vehicle numbers'!$A$5:$A$162,J1442),4),
    MATCH(K$8,'Vehicle numbers'!$B$4:$D$4,0))*1000</f>
        <v>1209557</v>
      </c>
      <c r="L1442" s="183">
        <f ca="1">VLOOKUP(F1442,
    OFFSET(INDIRECT(ADDRESS(MATCH(J1442,'Vehicle numbers'!$A$5:$A$162,0),1,1,1,$L$6)),4,1,COUNTIF('Vehicle numbers'!$A$5:$A$162,J1442),4),
    MATCH(L$8,'Vehicle numbers'!$B$4:$D$4,0))*1000</f>
        <v>1231784.0365603496</v>
      </c>
      <c r="M1442" s="184">
        <f>VLOOKUP(F1442,'Annual distance covered (GB)'!$A$8:$H$33,MATCH(J1442,'Annual distance covered (GB)'!$A$7:$H$7,0))</f>
        <v>5.0999999999999996</v>
      </c>
      <c r="N1442" s="2">
        <f t="shared" ca="1" si="58"/>
        <v>3531.7285905428953</v>
      </c>
      <c r="O1442" s="180">
        <f t="shared" ca="1" si="59"/>
        <v>2.8671654167600207E-3</v>
      </c>
      <c r="P1442" s="180"/>
      <c r="Q1442" s="180"/>
      <c r="R1442" s="180"/>
      <c r="S1442" s="180"/>
      <c r="T1442" s="180"/>
    </row>
    <row r="1443" spans="1:20" x14ac:dyDescent="0.25">
      <c r="A1443" t="s">
        <v>243</v>
      </c>
      <c r="B1443" t="s">
        <v>237</v>
      </c>
      <c r="C1443" t="s">
        <v>238</v>
      </c>
      <c r="D1443" t="s">
        <v>262</v>
      </c>
      <c r="E1443" t="s">
        <v>229</v>
      </c>
      <c r="F1443">
        <v>2006</v>
      </c>
      <c r="G1443">
        <v>2.72E-4</v>
      </c>
      <c r="H1443" t="s">
        <v>240</v>
      </c>
      <c r="I1443" t="s">
        <v>241</v>
      </c>
      <c r="J1443" t="s">
        <v>3</v>
      </c>
      <c r="K1443" s="183">
        <f ca="1">VLOOKUP(F1443,
    OFFSET(INDIRECT(ADDRESS(MATCH(J1443,'Vehicle numbers'!$A$5:$A$162,0),1,1,1,$L$6)),4,1,COUNTIF('Vehicle numbers'!$A$5:$A$162,J1443),4),
    MATCH(K$8,'Vehicle numbers'!$B$4:$D$4,0))*1000</f>
        <v>1209557</v>
      </c>
      <c r="L1443" s="183">
        <f ca="1">VLOOKUP(F1443,
    OFFSET(INDIRECT(ADDRESS(MATCH(J1443,'Vehicle numbers'!$A$5:$A$162,0),1,1,1,$L$6)),4,1,COUNTIF('Vehicle numbers'!$A$5:$A$162,J1443),4),
    MATCH(L$8,'Vehicle numbers'!$B$4:$D$4,0))*1000</f>
        <v>1231784.0365603496</v>
      </c>
      <c r="M1443" s="184">
        <f>VLOOKUP(F1443,'Annual distance covered (GB)'!$A$8:$H$33,MATCH(J1443,'Annual distance covered (GB)'!$A$7:$H$7,0))</f>
        <v>5.0999999999999996</v>
      </c>
      <c r="N1443" s="2">
        <f t="shared" ca="1" si="58"/>
        <v>1412.6914362171578</v>
      </c>
      <c r="O1443" s="180">
        <f t="shared" ca="1" si="59"/>
        <v>1.1468661667040081E-3</v>
      </c>
      <c r="P1443" s="180"/>
      <c r="Q1443" s="180"/>
      <c r="R1443" s="180"/>
      <c r="S1443" s="180"/>
      <c r="T1443" s="180"/>
    </row>
    <row r="1444" spans="1:20" x14ac:dyDescent="0.25">
      <c r="A1444" t="s">
        <v>244</v>
      </c>
      <c r="B1444" t="s">
        <v>237</v>
      </c>
      <c r="C1444" t="s">
        <v>238</v>
      </c>
      <c r="D1444" t="s">
        <v>262</v>
      </c>
      <c r="E1444" t="s">
        <v>229</v>
      </c>
      <c r="F1444">
        <v>2006</v>
      </c>
      <c r="G1444" s="189">
        <v>6.7999999999999999E-5</v>
      </c>
      <c r="H1444" t="s">
        <v>240</v>
      </c>
      <c r="I1444" t="s">
        <v>241</v>
      </c>
      <c r="J1444" t="s">
        <v>3</v>
      </c>
      <c r="K1444" s="183">
        <f ca="1">VLOOKUP(F1444,
    OFFSET(INDIRECT(ADDRESS(MATCH(J1444,'Vehicle numbers'!$A$5:$A$162,0),1,1,1,$L$6)),4,1,COUNTIF('Vehicle numbers'!$A$5:$A$162,J1444),4),
    MATCH(K$8,'Vehicle numbers'!$B$4:$D$4,0))*1000</f>
        <v>1209557</v>
      </c>
      <c r="L1444" s="183">
        <f ca="1">VLOOKUP(F1444,
    OFFSET(INDIRECT(ADDRESS(MATCH(J1444,'Vehicle numbers'!$A$5:$A$162,0),1,1,1,$L$6)),4,1,COUNTIF('Vehicle numbers'!$A$5:$A$162,J1444),4),
    MATCH(L$8,'Vehicle numbers'!$B$4:$D$4,0))*1000</f>
        <v>1231784.0365603496</v>
      </c>
      <c r="M1444" s="184">
        <f>VLOOKUP(F1444,'Annual distance covered (GB)'!$A$8:$H$33,MATCH(J1444,'Annual distance covered (GB)'!$A$7:$H$7,0))</f>
        <v>5.0999999999999996</v>
      </c>
      <c r="N1444" s="2">
        <f t="shared" ca="1" si="58"/>
        <v>353.17285905428946</v>
      </c>
      <c r="O1444" s="180">
        <f t="shared" ca="1" si="59"/>
        <v>2.8671654167600202E-4</v>
      </c>
      <c r="P1444" s="180"/>
      <c r="Q1444" s="180"/>
      <c r="R1444" s="180"/>
      <c r="S1444" s="180"/>
      <c r="T1444" s="180"/>
    </row>
    <row r="1445" spans="1:20" x14ac:dyDescent="0.25">
      <c r="A1445" t="s">
        <v>246</v>
      </c>
      <c r="B1445" t="s">
        <v>237</v>
      </c>
      <c r="C1445" t="s">
        <v>238</v>
      </c>
      <c r="D1445" t="s">
        <v>262</v>
      </c>
      <c r="E1445" t="s">
        <v>229</v>
      </c>
      <c r="F1445">
        <v>2006</v>
      </c>
      <c r="G1445" s="189">
        <v>5.4400000000000001E-5</v>
      </c>
      <c r="H1445" t="s">
        <v>240</v>
      </c>
      <c r="I1445" t="s">
        <v>241</v>
      </c>
      <c r="J1445" t="s">
        <v>3</v>
      </c>
      <c r="K1445" s="183">
        <f ca="1">VLOOKUP(F1445,
    OFFSET(INDIRECT(ADDRESS(MATCH(J1445,'Vehicle numbers'!$A$5:$A$162,0),1,1,1,$L$6)),4,1,COUNTIF('Vehicle numbers'!$A$5:$A$162,J1445),4),
    MATCH(K$8,'Vehicle numbers'!$B$4:$D$4,0))*1000</f>
        <v>1209557</v>
      </c>
      <c r="L1445" s="183">
        <f ca="1">VLOOKUP(F1445,
    OFFSET(INDIRECT(ADDRESS(MATCH(J1445,'Vehicle numbers'!$A$5:$A$162,0),1,1,1,$L$6)),4,1,COUNTIF('Vehicle numbers'!$A$5:$A$162,J1445),4),
    MATCH(L$8,'Vehicle numbers'!$B$4:$D$4,0))*1000</f>
        <v>1231784.0365603496</v>
      </c>
      <c r="M1445" s="184">
        <f>VLOOKUP(F1445,'Annual distance covered (GB)'!$A$8:$H$33,MATCH(J1445,'Annual distance covered (GB)'!$A$7:$H$7,0))</f>
        <v>5.0999999999999996</v>
      </c>
      <c r="N1445" s="2">
        <f t="shared" ca="1" si="58"/>
        <v>282.53828724343163</v>
      </c>
      <c r="O1445" s="180">
        <f t="shared" ca="1" si="59"/>
        <v>2.2937323334080165E-4</v>
      </c>
      <c r="P1445" s="180"/>
      <c r="Q1445" s="180"/>
      <c r="R1445" s="180"/>
      <c r="S1445" s="180"/>
      <c r="T1445" s="180"/>
    </row>
    <row r="1446" spans="1:20" x14ac:dyDescent="0.25">
      <c r="A1446" t="s">
        <v>236</v>
      </c>
      <c r="B1446" t="s">
        <v>237</v>
      </c>
      <c r="C1446" t="s">
        <v>238</v>
      </c>
      <c r="D1446" t="s">
        <v>262</v>
      </c>
      <c r="E1446" t="s">
        <v>228</v>
      </c>
      <c r="F1446">
        <v>2006</v>
      </c>
      <c r="G1446">
        <v>2.49E-3</v>
      </c>
      <c r="H1446" t="s">
        <v>240</v>
      </c>
      <c r="I1446" t="s">
        <v>241</v>
      </c>
      <c r="J1446" t="s">
        <v>3</v>
      </c>
      <c r="K1446" s="183">
        <f ca="1">VLOOKUP(F1446,
    OFFSET(INDIRECT(ADDRESS(MATCH(J1446,'Vehicle numbers'!$A$5:$A$162,0),1,1,1,$L$6)),4,1,COUNTIF('Vehicle numbers'!$A$5:$A$162,J1446),4),
    MATCH(K$8,'Vehicle numbers'!$B$4:$D$4,0))*1000</f>
        <v>1209557</v>
      </c>
      <c r="L1446" s="183">
        <f ca="1">VLOOKUP(F1446,
    OFFSET(INDIRECT(ADDRESS(MATCH(J1446,'Vehicle numbers'!$A$5:$A$162,0),1,1,1,$L$6)),4,1,COUNTIF('Vehicle numbers'!$A$5:$A$162,J1446),4),
    MATCH(L$8,'Vehicle numbers'!$B$4:$D$4,0))*1000</f>
        <v>1231784.0365603496</v>
      </c>
      <c r="M1446" s="184">
        <f>VLOOKUP(F1446,'Annual distance covered (GB)'!$A$8:$H$33,MATCH(J1446,'Annual distance covered (GB)'!$A$7:$H$7,0))</f>
        <v>5.0999999999999996</v>
      </c>
      <c r="N1446" s="2">
        <f t="shared" ca="1" si="58"/>
        <v>12932.3591036056</v>
      </c>
      <c r="O1446" s="180">
        <f t="shared" ca="1" si="59"/>
        <v>1.0498885129018309E-2</v>
      </c>
      <c r="P1446" s="180"/>
      <c r="Q1446" s="180"/>
      <c r="R1446" s="180"/>
      <c r="S1446" s="180"/>
      <c r="T1446" s="180"/>
    </row>
    <row r="1447" spans="1:20" x14ac:dyDescent="0.25">
      <c r="A1447" t="s">
        <v>243</v>
      </c>
      <c r="B1447" t="s">
        <v>237</v>
      </c>
      <c r="C1447" t="s">
        <v>238</v>
      </c>
      <c r="D1447" t="s">
        <v>262</v>
      </c>
      <c r="E1447" t="s">
        <v>228</v>
      </c>
      <c r="F1447">
        <v>2006</v>
      </c>
      <c r="G1447">
        <v>1.743E-3</v>
      </c>
      <c r="H1447" t="s">
        <v>240</v>
      </c>
      <c r="I1447" t="s">
        <v>241</v>
      </c>
      <c r="J1447" t="s">
        <v>3</v>
      </c>
      <c r="K1447" s="183">
        <f ca="1">VLOOKUP(F1447,
    OFFSET(INDIRECT(ADDRESS(MATCH(J1447,'Vehicle numbers'!$A$5:$A$162,0),1,1,1,$L$6)),4,1,COUNTIF('Vehicle numbers'!$A$5:$A$162,J1447),4),
    MATCH(K$8,'Vehicle numbers'!$B$4:$D$4,0))*1000</f>
        <v>1209557</v>
      </c>
      <c r="L1447" s="183">
        <f ca="1">VLOOKUP(F1447,
    OFFSET(INDIRECT(ADDRESS(MATCH(J1447,'Vehicle numbers'!$A$5:$A$162,0),1,1,1,$L$6)),4,1,COUNTIF('Vehicle numbers'!$A$5:$A$162,J1447),4),
    MATCH(L$8,'Vehicle numbers'!$B$4:$D$4,0))*1000</f>
        <v>1231784.0365603496</v>
      </c>
      <c r="M1447" s="184">
        <f>VLOOKUP(F1447,'Annual distance covered (GB)'!$A$8:$H$33,MATCH(J1447,'Annual distance covered (GB)'!$A$7:$H$7,0))</f>
        <v>5.0999999999999996</v>
      </c>
      <c r="N1447" s="2">
        <f t="shared" ca="1" si="58"/>
        <v>9052.6513725239201</v>
      </c>
      <c r="O1447" s="180">
        <f t="shared" ca="1" si="59"/>
        <v>7.3492195903128166E-3</v>
      </c>
      <c r="P1447" s="180"/>
      <c r="Q1447" s="180"/>
      <c r="R1447" s="180"/>
      <c r="S1447" s="180"/>
      <c r="T1447" s="180"/>
    </row>
    <row r="1448" spans="1:20" x14ac:dyDescent="0.25">
      <c r="A1448" t="s">
        <v>244</v>
      </c>
      <c r="B1448" t="s">
        <v>237</v>
      </c>
      <c r="C1448" t="s">
        <v>238</v>
      </c>
      <c r="D1448" t="s">
        <v>262</v>
      </c>
      <c r="E1448" t="s">
        <v>228</v>
      </c>
      <c r="F1448">
        <v>2006</v>
      </c>
      <c r="G1448">
        <v>2.4549295774647798E-4</v>
      </c>
      <c r="H1448" t="s">
        <v>240</v>
      </c>
      <c r="I1448" t="s">
        <v>241</v>
      </c>
      <c r="J1448" t="s">
        <v>3</v>
      </c>
      <c r="K1448" s="183">
        <f ca="1">VLOOKUP(F1448,
    OFFSET(INDIRECT(ADDRESS(MATCH(J1448,'Vehicle numbers'!$A$5:$A$162,0),1,1,1,$L$6)),4,1,COUNTIF('Vehicle numbers'!$A$5:$A$162,J1448),4),
    MATCH(K$8,'Vehicle numbers'!$B$4:$D$4,0))*1000</f>
        <v>1209557</v>
      </c>
      <c r="L1448" s="183">
        <f ca="1">VLOOKUP(F1448,
    OFFSET(INDIRECT(ADDRESS(MATCH(J1448,'Vehicle numbers'!$A$5:$A$162,0),1,1,1,$L$6)),4,1,COUNTIF('Vehicle numbers'!$A$5:$A$162,J1448),4),
    MATCH(L$8,'Vehicle numbers'!$B$4:$D$4,0))*1000</f>
        <v>1231784.0365603496</v>
      </c>
      <c r="M1448" s="184">
        <f>VLOOKUP(F1448,'Annual distance covered (GB)'!$A$8:$H$33,MATCH(J1448,'Annual distance covered (GB)'!$A$7:$H$7,0))</f>
        <v>5.0999999999999996</v>
      </c>
      <c r="N1448" s="2">
        <f t="shared" ca="1" si="58"/>
        <v>1275.0213200737869</v>
      </c>
      <c r="O1448" s="180">
        <f t="shared" ca="1" si="59"/>
        <v>1.0351013507482803E-3</v>
      </c>
      <c r="P1448" s="180"/>
      <c r="Q1448" s="180"/>
      <c r="R1448" s="180"/>
      <c r="S1448" s="180"/>
      <c r="T1448" s="180"/>
    </row>
    <row r="1449" spans="1:20" x14ac:dyDescent="0.25">
      <c r="A1449" t="s">
        <v>246</v>
      </c>
      <c r="B1449" t="s">
        <v>237</v>
      </c>
      <c r="C1449" t="s">
        <v>238</v>
      </c>
      <c r="D1449" t="s">
        <v>262</v>
      </c>
      <c r="E1449" t="s">
        <v>228</v>
      </c>
      <c r="F1449">
        <v>2006</v>
      </c>
      <c r="G1449">
        <v>1.96394366197183E-4</v>
      </c>
      <c r="H1449" t="s">
        <v>240</v>
      </c>
      <c r="I1449" t="s">
        <v>241</v>
      </c>
      <c r="J1449" t="s">
        <v>3</v>
      </c>
      <c r="K1449" s="183">
        <f ca="1">VLOOKUP(F1449,
    OFFSET(INDIRECT(ADDRESS(MATCH(J1449,'Vehicle numbers'!$A$5:$A$162,0),1,1,1,$L$6)),4,1,COUNTIF('Vehicle numbers'!$A$5:$A$162,J1449),4),
    MATCH(K$8,'Vehicle numbers'!$B$4:$D$4,0))*1000</f>
        <v>1209557</v>
      </c>
      <c r="L1449" s="183">
        <f ca="1">VLOOKUP(F1449,
    OFFSET(INDIRECT(ADDRESS(MATCH(J1449,'Vehicle numbers'!$A$5:$A$162,0),1,1,1,$L$6)),4,1,COUNTIF('Vehicle numbers'!$A$5:$A$162,J1449),4),
    MATCH(L$8,'Vehicle numbers'!$B$4:$D$4,0))*1000</f>
        <v>1231784.0365603496</v>
      </c>
      <c r="M1449" s="184">
        <f>VLOOKUP(F1449,'Annual distance covered (GB)'!$A$8:$H$33,MATCH(J1449,'Annual distance covered (GB)'!$A$7:$H$7,0))</f>
        <v>5.0999999999999996</v>
      </c>
      <c r="N1449" s="2">
        <f t="shared" ca="1" si="58"/>
        <v>1020.0170560590328</v>
      </c>
      <c r="O1449" s="180">
        <f t="shared" ca="1" si="59"/>
        <v>8.2808108059862688E-4</v>
      </c>
      <c r="P1449" s="180"/>
      <c r="Q1449" s="180"/>
      <c r="R1449" s="180"/>
      <c r="S1449" s="180"/>
      <c r="T1449" s="180"/>
    </row>
    <row r="1450" spans="1:20" x14ac:dyDescent="0.25">
      <c r="A1450" t="s">
        <v>236</v>
      </c>
      <c r="B1450" t="s">
        <v>237</v>
      </c>
      <c r="C1450" t="s">
        <v>238</v>
      </c>
      <c r="D1450" t="s">
        <v>263</v>
      </c>
      <c r="E1450" t="s">
        <v>229</v>
      </c>
      <c r="F1450">
        <v>2006</v>
      </c>
      <c r="G1450">
        <v>2.764E-3</v>
      </c>
      <c r="H1450" t="s">
        <v>240</v>
      </c>
      <c r="I1450" t="s">
        <v>241</v>
      </c>
      <c r="J1450" t="s">
        <v>3</v>
      </c>
      <c r="K1450" s="183">
        <f ca="1">VLOOKUP(F1450,
    OFFSET(INDIRECT(ADDRESS(MATCH(J1450,'Vehicle numbers'!$A$5:$A$162,0),1,1,1,$L$6)),4,1,COUNTIF('Vehicle numbers'!$A$5:$A$162,J1450),4),
    MATCH(K$8,'Vehicle numbers'!$B$4:$D$4,0))*1000</f>
        <v>1209557</v>
      </c>
      <c r="L1450" s="183">
        <f ca="1">VLOOKUP(F1450,
    OFFSET(INDIRECT(ADDRESS(MATCH(J1450,'Vehicle numbers'!$A$5:$A$162,0),1,1,1,$L$6)),4,1,COUNTIF('Vehicle numbers'!$A$5:$A$162,J1450),4),
    MATCH(L$8,'Vehicle numbers'!$B$4:$D$4,0))*1000</f>
        <v>1231784.0365603496</v>
      </c>
      <c r="M1450" s="184">
        <f>VLOOKUP(F1450,'Annual distance covered (GB)'!$A$8:$H$33,MATCH(J1450,'Annual distance covered (GB)'!$A$7:$H$7,0))</f>
        <v>5.0999999999999996</v>
      </c>
      <c r="N1450" s="2">
        <f t="shared" ca="1" si="58"/>
        <v>14355.437976853766</v>
      </c>
      <c r="O1450" s="180">
        <f t="shared" ca="1" si="59"/>
        <v>1.1654184135183375E-2</v>
      </c>
      <c r="P1450" s="180"/>
      <c r="Q1450" s="180"/>
      <c r="R1450" s="180"/>
      <c r="S1450" s="180"/>
      <c r="T1450" s="180"/>
    </row>
    <row r="1451" spans="1:20" x14ac:dyDescent="0.25">
      <c r="A1451" t="s">
        <v>243</v>
      </c>
      <c r="B1451" t="s">
        <v>237</v>
      </c>
      <c r="C1451" t="s">
        <v>238</v>
      </c>
      <c r="D1451" t="s">
        <v>263</v>
      </c>
      <c r="E1451" t="s">
        <v>229</v>
      </c>
      <c r="F1451">
        <v>2006</v>
      </c>
      <c r="G1451">
        <v>1.1056E-3</v>
      </c>
      <c r="H1451" t="s">
        <v>240</v>
      </c>
      <c r="I1451" t="s">
        <v>241</v>
      </c>
      <c r="J1451" t="s">
        <v>3</v>
      </c>
      <c r="K1451" s="183">
        <f ca="1">VLOOKUP(F1451,
    OFFSET(INDIRECT(ADDRESS(MATCH(J1451,'Vehicle numbers'!$A$5:$A$162,0),1,1,1,$L$6)),4,1,COUNTIF('Vehicle numbers'!$A$5:$A$162,J1451),4),
    MATCH(K$8,'Vehicle numbers'!$B$4:$D$4,0))*1000</f>
        <v>1209557</v>
      </c>
      <c r="L1451" s="183">
        <f ca="1">VLOOKUP(F1451,
    OFFSET(INDIRECT(ADDRESS(MATCH(J1451,'Vehicle numbers'!$A$5:$A$162,0),1,1,1,$L$6)),4,1,COUNTIF('Vehicle numbers'!$A$5:$A$162,J1451),4),
    MATCH(L$8,'Vehicle numbers'!$B$4:$D$4,0))*1000</f>
        <v>1231784.0365603496</v>
      </c>
      <c r="M1451" s="184">
        <f>VLOOKUP(F1451,'Annual distance covered (GB)'!$A$8:$H$33,MATCH(J1451,'Annual distance covered (GB)'!$A$7:$H$7,0))</f>
        <v>5.0999999999999996</v>
      </c>
      <c r="N1451" s="2">
        <f t="shared" ca="1" si="58"/>
        <v>5742.1751907415064</v>
      </c>
      <c r="O1451" s="180">
        <f t="shared" ca="1" si="59"/>
        <v>4.66167365407335E-3</v>
      </c>
      <c r="P1451" s="180"/>
      <c r="Q1451" s="180"/>
      <c r="R1451" s="180"/>
      <c r="S1451" s="180"/>
      <c r="T1451" s="180"/>
    </row>
    <row r="1452" spans="1:20" x14ac:dyDescent="0.25">
      <c r="A1452" t="s">
        <v>244</v>
      </c>
      <c r="B1452" t="s">
        <v>237</v>
      </c>
      <c r="C1452" t="s">
        <v>238</v>
      </c>
      <c r="D1452" t="s">
        <v>263</v>
      </c>
      <c r="E1452" t="s">
        <v>229</v>
      </c>
      <c r="F1452">
        <v>2006</v>
      </c>
      <c r="G1452">
        <v>2.764E-4</v>
      </c>
      <c r="H1452" t="s">
        <v>240</v>
      </c>
      <c r="I1452" t="s">
        <v>241</v>
      </c>
      <c r="J1452" t="s">
        <v>3</v>
      </c>
      <c r="K1452" s="183">
        <f ca="1">VLOOKUP(F1452,
    OFFSET(INDIRECT(ADDRESS(MATCH(J1452,'Vehicle numbers'!$A$5:$A$162,0),1,1,1,$L$6)),4,1,COUNTIF('Vehicle numbers'!$A$5:$A$162,J1452),4),
    MATCH(K$8,'Vehicle numbers'!$B$4:$D$4,0))*1000</f>
        <v>1209557</v>
      </c>
      <c r="L1452" s="183">
        <f ca="1">VLOOKUP(F1452,
    OFFSET(INDIRECT(ADDRESS(MATCH(J1452,'Vehicle numbers'!$A$5:$A$162,0),1,1,1,$L$6)),4,1,COUNTIF('Vehicle numbers'!$A$5:$A$162,J1452),4),
    MATCH(L$8,'Vehicle numbers'!$B$4:$D$4,0))*1000</f>
        <v>1231784.0365603496</v>
      </c>
      <c r="M1452" s="184">
        <f>VLOOKUP(F1452,'Annual distance covered (GB)'!$A$8:$H$33,MATCH(J1452,'Annual distance covered (GB)'!$A$7:$H$7,0))</f>
        <v>5.0999999999999996</v>
      </c>
      <c r="N1452" s="2">
        <f t="shared" ca="1" si="58"/>
        <v>1435.5437976853766</v>
      </c>
      <c r="O1452" s="180">
        <f t="shared" ca="1" si="59"/>
        <v>1.1654184135183375E-3</v>
      </c>
      <c r="P1452" s="180"/>
      <c r="Q1452" s="180"/>
      <c r="R1452" s="180"/>
      <c r="S1452" s="180"/>
      <c r="T1452" s="180"/>
    </row>
    <row r="1453" spans="1:20" x14ac:dyDescent="0.25">
      <c r="A1453" t="s">
        <v>246</v>
      </c>
      <c r="B1453" t="s">
        <v>237</v>
      </c>
      <c r="C1453" t="s">
        <v>238</v>
      </c>
      <c r="D1453" t="s">
        <v>263</v>
      </c>
      <c r="E1453" t="s">
        <v>229</v>
      </c>
      <c r="F1453">
        <v>2006</v>
      </c>
      <c r="G1453">
        <v>2.2112E-4</v>
      </c>
      <c r="H1453" t="s">
        <v>240</v>
      </c>
      <c r="I1453" t="s">
        <v>241</v>
      </c>
      <c r="J1453" t="s">
        <v>3</v>
      </c>
      <c r="K1453" s="183">
        <f ca="1">VLOOKUP(F1453,
    OFFSET(INDIRECT(ADDRESS(MATCH(J1453,'Vehicle numbers'!$A$5:$A$162,0),1,1,1,$L$6)),4,1,COUNTIF('Vehicle numbers'!$A$5:$A$162,J1453),4),
    MATCH(K$8,'Vehicle numbers'!$B$4:$D$4,0))*1000</f>
        <v>1209557</v>
      </c>
      <c r="L1453" s="183">
        <f ca="1">VLOOKUP(F1453,
    OFFSET(INDIRECT(ADDRESS(MATCH(J1453,'Vehicle numbers'!$A$5:$A$162,0),1,1,1,$L$6)),4,1,COUNTIF('Vehicle numbers'!$A$5:$A$162,J1453),4),
    MATCH(L$8,'Vehicle numbers'!$B$4:$D$4,0))*1000</f>
        <v>1231784.0365603496</v>
      </c>
      <c r="M1453" s="184">
        <f>VLOOKUP(F1453,'Annual distance covered (GB)'!$A$8:$H$33,MATCH(J1453,'Annual distance covered (GB)'!$A$7:$H$7,0))</f>
        <v>5.0999999999999996</v>
      </c>
      <c r="N1453" s="2">
        <f t="shared" ca="1" si="58"/>
        <v>1148.4350381483014</v>
      </c>
      <c r="O1453" s="180">
        <f t="shared" ca="1" si="59"/>
        <v>9.3233473081467011E-4</v>
      </c>
      <c r="P1453" s="180"/>
      <c r="Q1453" s="180"/>
      <c r="R1453" s="180"/>
      <c r="S1453" s="180"/>
      <c r="T1453" s="180"/>
    </row>
    <row r="1454" spans="1:20" x14ac:dyDescent="0.25">
      <c r="A1454" t="s">
        <v>236</v>
      </c>
      <c r="B1454" t="s">
        <v>237</v>
      </c>
      <c r="C1454" t="s">
        <v>238</v>
      </c>
      <c r="D1454" t="s">
        <v>263</v>
      </c>
      <c r="E1454" t="s">
        <v>228</v>
      </c>
      <c r="F1454">
        <v>2006</v>
      </c>
      <c r="G1454">
        <v>2.9239999999999999E-3</v>
      </c>
      <c r="H1454" t="s">
        <v>240</v>
      </c>
      <c r="I1454" t="s">
        <v>241</v>
      </c>
      <c r="J1454" t="s">
        <v>3</v>
      </c>
      <c r="K1454" s="183">
        <f ca="1">VLOOKUP(F1454,
    OFFSET(INDIRECT(ADDRESS(MATCH(J1454,'Vehicle numbers'!$A$5:$A$162,0),1,1,1,$L$6)),4,1,COUNTIF('Vehicle numbers'!$A$5:$A$162,J1454),4),
    MATCH(K$8,'Vehicle numbers'!$B$4:$D$4,0))*1000</f>
        <v>1209557</v>
      </c>
      <c r="L1454" s="183">
        <f ca="1">VLOOKUP(F1454,
    OFFSET(INDIRECT(ADDRESS(MATCH(J1454,'Vehicle numbers'!$A$5:$A$162,0),1,1,1,$L$6)),4,1,COUNTIF('Vehicle numbers'!$A$5:$A$162,J1454),4),
    MATCH(L$8,'Vehicle numbers'!$B$4:$D$4,0))*1000</f>
        <v>1231784.0365603496</v>
      </c>
      <c r="M1454" s="184">
        <f>VLOOKUP(F1454,'Annual distance covered (GB)'!$A$8:$H$33,MATCH(J1454,'Annual distance covered (GB)'!$A$7:$H$7,0))</f>
        <v>5.0999999999999996</v>
      </c>
      <c r="N1454" s="2">
        <f t="shared" ca="1" si="58"/>
        <v>15186.432939334449</v>
      </c>
      <c r="O1454" s="180">
        <f t="shared" ca="1" si="59"/>
        <v>1.2328811292068087E-2</v>
      </c>
      <c r="P1454" s="180"/>
      <c r="Q1454" s="180"/>
      <c r="R1454" s="180"/>
      <c r="S1454" s="180"/>
      <c r="T1454" s="180"/>
    </row>
    <row r="1455" spans="1:20" x14ac:dyDescent="0.25">
      <c r="A1455" t="s">
        <v>243</v>
      </c>
      <c r="B1455" t="s">
        <v>237</v>
      </c>
      <c r="C1455" t="s">
        <v>238</v>
      </c>
      <c r="D1455" t="s">
        <v>263</v>
      </c>
      <c r="E1455" t="s">
        <v>228</v>
      </c>
      <c r="F1455">
        <v>2006</v>
      </c>
      <c r="G1455">
        <v>2.0468000000000001E-3</v>
      </c>
      <c r="H1455" t="s">
        <v>240</v>
      </c>
      <c r="I1455" t="s">
        <v>241</v>
      </c>
      <c r="J1455" t="s">
        <v>3</v>
      </c>
      <c r="K1455" s="183">
        <f ca="1">VLOOKUP(F1455,
    OFFSET(INDIRECT(ADDRESS(MATCH(J1455,'Vehicle numbers'!$A$5:$A$162,0),1,1,1,$L$6)),4,1,COUNTIF('Vehicle numbers'!$A$5:$A$162,J1455),4),
    MATCH(K$8,'Vehicle numbers'!$B$4:$D$4,0))*1000</f>
        <v>1209557</v>
      </c>
      <c r="L1455" s="183">
        <f ca="1">VLOOKUP(F1455,
    OFFSET(INDIRECT(ADDRESS(MATCH(J1455,'Vehicle numbers'!$A$5:$A$162,0),1,1,1,$L$6)),4,1,COUNTIF('Vehicle numbers'!$A$5:$A$162,J1455),4),
    MATCH(L$8,'Vehicle numbers'!$B$4:$D$4,0))*1000</f>
        <v>1231784.0365603496</v>
      </c>
      <c r="M1455" s="184">
        <f>VLOOKUP(F1455,'Annual distance covered (GB)'!$A$8:$H$33,MATCH(J1455,'Annual distance covered (GB)'!$A$7:$H$7,0))</f>
        <v>5.0999999999999996</v>
      </c>
      <c r="N1455" s="2">
        <f t="shared" ca="1" si="58"/>
        <v>10630.503057534115</v>
      </c>
      <c r="O1455" s="180">
        <f t="shared" ca="1" si="59"/>
        <v>8.630167904447662E-3</v>
      </c>
      <c r="P1455" s="180"/>
      <c r="Q1455" s="180"/>
      <c r="R1455" s="180"/>
      <c r="S1455" s="180"/>
      <c r="T1455" s="180"/>
    </row>
    <row r="1456" spans="1:20" x14ac:dyDescent="0.25">
      <c r="A1456" t="s">
        <v>244</v>
      </c>
      <c r="B1456" t="s">
        <v>237</v>
      </c>
      <c r="C1456" t="s">
        <v>238</v>
      </c>
      <c r="D1456" t="s">
        <v>263</v>
      </c>
      <c r="E1456" t="s">
        <v>228</v>
      </c>
      <c r="F1456">
        <v>2006</v>
      </c>
      <c r="G1456">
        <v>2.8828169014084501E-4</v>
      </c>
      <c r="H1456" t="s">
        <v>240</v>
      </c>
      <c r="I1456" t="s">
        <v>241</v>
      </c>
      <c r="J1456" t="s">
        <v>3</v>
      </c>
      <c r="K1456" s="183">
        <f ca="1">VLOOKUP(F1456,
    OFFSET(INDIRECT(ADDRESS(MATCH(J1456,'Vehicle numbers'!$A$5:$A$162,0),1,1,1,$L$6)),4,1,COUNTIF('Vehicle numbers'!$A$5:$A$162,J1456),4),
    MATCH(K$8,'Vehicle numbers'!$B$4:$D$4,0))*1000</f>
        <v>1209557</v>
      </c>
      <c r="L1456" s="183">
        <f ca="1">VLOOKUP(F1456,
    OFFSET(INDIRECT(ADDRESS(MATCH(J1456,'Vehicle numbers'!$A$5:$A$162,0),1,1,1,$L$6)),4,1,COUNTIF('Vehicle numbers'!$A$5:$A$162,J1456),4),
    MATCH(L$8,'Vehicle numbers'!$B$4:$D$4,0))*1000</f>
        <v>1231784.0365603496</v>
      </c>
      <c r="M1456" s="184">
        <f>VLOOKUP(F1456,'Annual distance covered (GB)'!$A$8:$H$33,MATCH(J1456,'Annual distance covered (GB)'!$A$7:$H$7,0))</f>
        <v>5.0999999999999996</v>
      </c>
      <c r="N1456" s="2">
        <f t="shared" ca="1" si="58"/>
        <v>1497.2539517653677</v>
      </c>
      <c r="O1456" s="180">
        <f t="shared" ca="1" si="59"/>
        <v>1.2155166062602337E-3</v>
      </c>
      <c r="P1456" s="180"/>
      <c r="Q1456" s="180"/>
      <c r="R1456" s="180"/>
      <c r="S1456" s="180"/>
      <c r="T1456" s="180"/>
    </row>
    <row r="1457" spans="1:20" x14ac:dyDescent="0.25">
      <c r="A1457" t="s">
        <v>246</v>
      </c>
      <c r="B1457" t="s">
        <v>237</v>
      </c>
      <c r="C1457" t="s">
        <v>238</v>
      </c>
      <c r="D1457" t="s">
        <v>263</v>
      </c>
      <c r="E1457" t="s">
        <v>228</v>
      </c>
      <c r="F1457">
        <v>2006</v>
      </c>
      <c r="G1457">
        <v>2.3062535211267599E-4</v>
      </c>
      <c r="H1457" t="s">
        <v>240</v>
      </c>
      <c r="I1457" t="s">
        <v>241</v>
      </c>
      <c r="J1457" t="s">
        <v>3</v>
      </c>
      <c r="K1457" s="183">
        <f ca="1">VLOOKUP(F1457,
    OFFSET(INDIRECT(ADDRESS(MATCH(J1457,'Vehicle numbers'!$A$5:$A$162,0),1,1,1,$L$6)),4,1,COUNTIF('Vehicle numbers'!$A$5:$A$162,J1457),4),
    MATCH(K$8,'Vehicle numbers'!$B$4:$D$4,0))*1000</f>
        <v>1209557</v>
      </c>
      <c r="L1457" s="183">
        <f ca="1">VLOOKUP(F1457,
    OFFSET(INDIRECT(ADDRESS(MATCH(J1457,'Vehicle numbers'!$A$5:$A$162,0),1,1,1,$L$6)),4,1,COUNTIF('Vehicle numbers'!$A$5:$A$162,J1457),4),
    MATCH(L$8,'Vehicle numbers'!$B$4:$D$4,0))*1000</f>
        <v>1231784.0365603496</v>
      </c>
      <c r="M1457" s="184">
        <f>VLOOKUP(F1457,'Annual distance covered (GB)'!$A$8:$H$33,MATCH(J1457,'Annual distance covered (GB)'!$A$7:$H$7,0))</f>
        <v>5.0999999999999996</v>
      </c>
      <c r="N1457" s="2">
        <f t="shared" ca="1" si="58"/>
        <v>1197.8031614122942</v>
      </c>
      <c r="O1457" s="180">
        <f t="shared" ca="1" si="59"/>
        <v>9.7241328500818696E-4</v>
      </c>
      <c r="P1457" s="180"/>
      <c r="Q1457" s="180"/>
      <c r="R1457" s="180"/>
      <c r="S1457" s="180"/>
      <c r="T1457" s="180"/>
    </row>
    <row r="1458" spans="1:20" x14ac:dyDescent="0.25">
      <c r="A1458" t="s">
        <v>236</v>
      </c>
      <c r="B1458" t="s">
        <v>237</v>
      </c>
      <c r="C1458" t="s">
        <v>238</v>
      </c>
      <c r="D1458" t="s">
        <v>264</v>
      </c>
      <c r="E1458" t="s">
        <v>229</v>
      </c>
      <c r="F1458">
        <v>2006</v>
      </c>
      <c r="G1458">
        <v>5.8399999999999997E-3</v>
      </c>
      <c r="H1458" t="s">
        <v>240</v>
      </c>
      <c r="I1458" t="s">
        <v>241</v>
      </c>
      <c r="J1458" t="s">
        <v>3</v>
      </c>
      <c r="K1458" s="183">
        <f ca="1">VLOOKUP(F1458,
    OFFSET(INDIRECT(ADDRESS(MATCH(J1458,'Vehicle numbers'!$A$5:$A$162,0),1,1,1,$L$6)),4,1,COUNTIF('Vehicle numbers'!$A$5:$A$162,J1458),4),
    MATCH(K$8,'Vehicle numbers'!$B$4:$D$4,0))*1000</f>
        <v>1209557</v>
      </c>
      <c r="L1458" s="183">
        <f ca="1">VLOOKUP(F1458,
    OFFSET(INDIRECT(ADDRESS(MATCH(J1458,'Vehicle numbers'!$A$5:$A$162,0),1,1,1,$L$6)),4,1,COUNTIF('Vehicle numbers'!$A$5:$A$162,J1458),4),
    MATCH(L$8,'Vehicle numbers'!$B$4:$D$4,0))*1000</f>
        <v>1231784.0365603496</v>
      </c>
      <c r="M1458" s="184">
        <f>VLOOKUP(F1458,'Annual distance covered (GB)'!$A$8:$H$33,MATCH(J1458,'Annual distance covered (GB)'!$A$7:$H$7,0))</f>
        <v>5.0999999999999996</v>
      </c>
      <c r="N1458" s="2">
        <f t="shared" ca="1" si="58"/>
        <v>30331.316130544859</v>
      </c>
      <c r="O1458" s="180">
        <f t="shared" ca="1" si="59"/>
        <v>2.4623891226291935E-2</v>
      </c>
      <c r="P1458" s="180"/>
      <c r="Q1458" s="180"/>
      <c r="R1458" s="180"/>
      <c r="S1458" s="180"/>
      <c r="T1458" s="180"/>
    </row>
    <row r="1459" spans="1:20" x14ac:dyDescent="0.25">
      <c r="A1459" t="s">
        <v>243</v>
      </c>
      <c r="B1459" t="s">
        <v>237</v>
      </c>
      <c r="C1459" t="s">
        <v>238</v>
      </c>
      <c r="D1459" t="s">
        <v>264</v>
      </c>
      <c r="E1459" t="s">
        <v>229</v>
      </c>
      <c r="F1459">
        <v>2006</v>
      </c>
      <c r="G1459">
        <v>2.336E-3</v>
      </c>
      <c r="H1459" t="s">
        <v>240</v>
      </c>
      <c r="I1459" t="s">
        <v>241</v>
      </c>
      <c r="J1459" t="s">
        <v>3</v>
      </c>
      <c r="K1459" s="183">
        <f ca="1">VLOOKUP(F1459,
    OFFSET(INDIRECT(ADDRESS(MATCH(J1459,'Vehicle numbers'!$A$5:$A$162,0),1,1,1,$L$6)),4,1,COUNTIF('Vehicle numbers'!$A$5:$A$162,J1459),4),
    MATCH(K$8,'Vehicle numbers'!$B$4:$D$4,0))*1000</f>
        <v>1209557</v>
      </c>
      <c r="L1459" s="183">
        <f ca="1">VLOOKUP(F1459,
    OFFSET(INDIRECT(ADDRESS(MATCH(J1459,'Vehicle numbers'!$A$5:$A$162,0),1,1,1,$L$6)),4,1,COUNTIF('Vehicle numbers'!$A$5:$A$162,J1459),4),
    MATCH(L$8,'Vehicle numbers'!$B$4:$D$4,0))*1000</f>
        <v>1231784.0365603496</v>
      </c>
      <c r="M1459" s="184">
        <f>VLOOKUP(F1459,'Annual distance covered (GB)'!$A$8:$H$33,MATCH(J1459,'Annual distance covered (GB)'!$A$7:$H$7,0))</f>
        <v>5.0999999999999996</v>
      </c>
      <c r="N1459" s="2">
        <f t="shared" ca="1" si="58"/>
        <v>12132.526452217944</v>
      </c>
      <c r="O1459" s="180">
        <f t="shared" ca="1" si="59"/>
        <v>9.8495564905167754E-3</v>
      </c>
      <c r="P1459" s="180"/>
      <c r="Q1459" s="180"/>
      <c r="R1459" s="180"/>
      <c r="S1459" s="180"/>
      <c r="T1459" s="180"/>
    </row>
    <row r="1460" spans="1:20" x14ac:dyDescent="0.25">
      <c r="A1460" t="s">
        <v>244</v>
      </c>
      <c r="B1460" t="s">
        <v>237</v>
      </c>
      <c r="C1460" t="s">
        <v>238</v>
      </c>
      <c r="D1460" t="s">
        <v>264</v>
      </c>
      <c r="E1460" t="s">
        <v>229</v>
      </c>
      <c r="F1460">
        <v>2006</v>
      </c>
      <c r="G1460">
        <v>5.8399999999999999E-4</v>
      </c>
      <c r="H1460" t="s">
        <v>240</v>
      </c>
      <c r="I1460" t="s">
        <v>241</v>
      </c>
      <c r="J1460" t="s">
        <v>3</v>
      </c>
      <c r="K1460" s="183">
        <f ca="1">VLOOKUP(F1460,
    OFFSET(INDIRECT(ADDRESS(MATCH(J1460,'Vehicle numbers'!$A$5:$A$162,0),1,1,1,$L$6)),4,1,COUNTIF('Vehicle numbers'!$A$5:$A$162,J1460),4),
    MATCH(K$8,'Vehicle numbers'!$B$4:$D$4,0))*1000</f>
        <v>1209557</v>
      </c>
      <c r="L1460" s="183">
        <f ca="1">VLOOKUP(F1460,
    OFFSET(INDIRECT(ADDRESS(MATCH(J1460,'Vehicle numbers'!$A$5:$A$162,0),1,1,1,$L$6)),4,1,COUNTIF('Vehicle numbers'!$A$5:$A$162,J1460),4),
    MATCH(L$8,'Vehicle numbers'!$B$4:$D$4,0))*1000</f>
        <v>1231784.0365603496</v>
      </c>
      <c r="M1460" s="184">
        <f>VLOOKUP(F1460,'Annual distance covered (GB)'!$A$8:$H$33,MATCH(J1460,'Annual distance covered (GB)'!$A$7:$H$7,0))</f>
        <v>5.0999999999999996</v>
      </c>
      <c r="N1460" s="2">
        <f t="shared" ca="1" si="58"/>
        <v>3033.131613054486</v>
      </c>
      <c r="O1460" s="180">
        <f t="shared" ca="1" si="59"/>
        <v>2.4623891226291938E-3</v>
      </c>
      <c r="P1460" s="180"/>
      <c r="Q1460" s="180"/>
      <c r="R1460" s="180"/>
      <c r="S1460" s="180"/>
      <c r="T1460" s="180"/>
    </row>
    <row r="1461" spans="1:20" x14ac:dyDescent="0.25">
      <c r="A1461" t="s">
        <v>246</v>
      </c>
      <c r="B1461" t="s">
        <v>237</v>
      </c>
      <c r="C1461" t="s">
        <v>238</v>
      </c>
      <c r="D1461" t="s">
        <v>264</v>
      </c>
      <c r="E1461" t="s">
        <v>229</v>
      </c>
      <c r="F1461">
        <v>2006</v>
      </c>
      <c r="G1461">
        <v>4.6720000000000003E-4</v>
      </c>
      <c r="H1461" t="s">
        <v>240</v>
      </c>
      <c r="I1461" t="s">
        <v>241</v>
      </c>
      <c r="J1461" t="s">
        <v>3</v>
      </c>
      <c r="K1461" s="183">
        <f ca="1">VLOOKUP(F1461,
    OFFSET(INDIRECT(ADDRESS(MATCH(J1461,'Vehicle numbers'!$A$5:$A$162,0),1,1,1,$L$6)),4,1,COUNTIF('Vehicle numbers'!$A$5:$A$162,J1461),4),
    MATCH(K$8,'Vehicle numbers'!$B$4:$D$4,0))*1000</f>
        <v>1209557</v>
      </c>
      <c r="L1461" s="183">
        <f ca="1">VLOOKUP(F1461,
    OFFSET(INDIRECT(ADDRESS(MATCH(J1461,'Vehicle numbers'!$A$5:$A$162,0),1,1,1,$L$6)),4,1,COUNTIF('Vehicle numbers'!$A$5:$A$162,J1461),4),
    MATCH(L$8,'Vehicle numbers'!$B$4:$D$4,0))*1000</f>
        <v>1231784.0365603496</v>
      </c>
      <c r="M1461" s="184">
        <f>VLOOKUP(F1461,'Annual distance covered (GB)'!$A$8:$H$33,MATCH(J1461,'Annual distance covered (GB)'!$A$7:$H$7,0))</f>
        <v>5.0999999999999996</v>
      </c>
      <c r="N1461" s="2">
        <f t="shared" ca="1" si="58"/>
        <v>2426.5052904435893</v>
      </c>
      <c r="O1461" s="180">
        <f t="shared" ca="1" si="59"/>
        <v>1.9699112981033553E-3</v>
      </c>
      <c r="P1461" s="180"/>
      <c r="Q1461" s="180"/>
      <c r="R1461" s="180"/>
      <c r="S1461" s="180"/>
      <c r="T1461" s="180"/>
    </row>
    <row r="1462" spans="1:20" x14ac:dyDescent="0.25">
      <c r="A1462" t="s">
        <v>236</v>
      </c>
      <c r="B1462" t="s">
        <v>237</v>
      </c>
      <c r="C1462" t="s">
        <v>238</v>
      </c>
      <c r="D1462" t="s">
        <v>264</v>
      </c>
      <c r="E1462" t="s">
        <v>228</v>
      </c>
      <c r="F1462">
        <v>2006</v>
      </c>
      <c r="G1462">
        <v>3.7569999999999999E-3</v>
      </c>
      <c r="H1462" t="s">
        <v>240</v>
      </c>
      <c r="I1462" t="s">
        <v>241</v>
      </c>
      <c r="J1462" t="s">
        <v>3</v>
      </c>
      <c r="K1462" s="183">
        <f ca="1">VLOOKUP(F1462,
    OFFSET(INDIRECT(ADDRESS(MATCH(J1462,'Vehicle numbers'!$A$5:$A$162,0),1,1,1,$L$6)),4,1,COUNTIF('Vehicle numbers'!$A$5:$A$162,J1462),4),
    MATCH(K$8,'Vehicle numbers'!$B$4:$D$4,0))*1000</f>
        <v>1209557</v>
      </c>
      <c r="L1462" s="183">
        <f ca="1">VLOOKUP(F1462,
    OFFSET(INDIRECT(ADDRESS(MATCH(J1462,'Vehicle numbers'!$A$5:$A$162,0),1,1,1,$L$6)),4,1,COUNTIF('Vehicle numbers'!$A$5:$A$162,J1462),4),
    MATCH(L$8,'Vehicle numbers'!$B$4:$D$4,0))*1000</f>
        <v>1231784.0365603496</v>
      </c>
      <c r="M1462" s="184">
        <f>VLOOKUP(F1462,'Annual distance covered (GB)'!$A$8:$H$33,MATCH(J1462,'Annual distance covered (GB)'!$A$7:$H$7,0))</f>
        <v>5.0999999999999996</v>
      </c>
      <c r="N1462" s="2">
        <f t="shared" ca="1" si="58"/>
        <v>19512.800462749496</v>
      </c>
      <c r="O1462" s="180">
        <f t="shared" ca="1" si="59"/>
        <v>1.5841088927599112E-2</v>
      </c>
      <c r="P1462" s="180"/>
      <c r="Q1462" s="180"/>
      <c r="R1462" s="180"/>
      <c r="S1462" s="180"/>
      <c r="T1462" s="180"/>
    </row>
    <row r="1463" spans="1:20" x14ac:dyDescent="0.25">
      <c r="A1463" t="s">
        <v>243</v>
      </c>
      <c r="B1463" t="s">
        <v>237</v>
      </c>
      <c r="C1463" t="s">
        <v>238</v>
      </c>
      <c r="D1463" t="s">
        <v>264</v>
      </c>
      <c r="E1463" t="s">
        <v>228</v>
      </c>
      <c r="F1463">
        <v>2006</v>
      </c>
      <c r="G1463">
        <v>2.6299000000000001E-3</v>
      </c>
      <c r="H1463" t="s">
        <v>240</v>
      </c>
      <c r="I1463" t="s">
        <v>241</v>
      </c>
      <c r="J1463" t="s">
        <v>3</v>
      </c>
      <c r="K1463" s="183">
        <f ca="1">VLOOKUP(F1463,
    OFFSET(INDIRECT(ADDRESS(MATCH(J1463,'Vehicle numbers'!$A$5:$A$162,0),1,1,1,$L$6)),4,1,COUNTIF('Vehicle numbers'!$A$5:$A$162,J1463),4),
    MATCH(K$8,'Vehicle numbers'!$B$4:$D$4,0))*1000</f>
        <v>1209557</v>
      </c>
      <c r="L1463" s="183">
        <f ca="1">VLOOKUP(F1463,
    OFFSET(INDIRECT(ADDRESS(MATCH(J1463,'Vehicle numbers'!$A$5:$A$162,0),1,1,1,$L$6)),4,1,COUNTIF('Vehicle numbers'!$A$5:$A$162,J1463),4),
    MATCH(L$8,'Vehicle numbers'!$B$4:$D$4,0))*1000</f>
        <v>1231784.0365603496</v>
      </c>
      <c r="M1463" s="184">
        <f>VLOOKUP(F1463,'Annual distance covered (GB)'!$A$8:$H$33,MATCH(J1463,'Annual distance covered (GB)'!$A$7:$H$7,0))</f>
        <v>5.0999999999999996</v>
      </c>
      <c r="N1463" s="2">
        <f t="shared" ca="1" si="58"/>
        <v>13658.960323924646</v>
      </c>
      <c r="O1463" s="180">
        <f t="shared" ca="1" si="59"/>
        <v>1.1088762249319378E-2</v>
      </c>
      <c r="P1463" s="180"/>
      <c r="Q1463" s="180"/>
      <c r="R1463" s="180"/>
      <c r="S1463" s="180"/>
      <c r="T1463" s="180"/>
    </row>
    <row r="1464" spans="1:20" x14ac:dyDescent="0.25">
      <c r="A1464" t="s">
        <v>244</v>
      </c>
      <c r="B1464" t="s">
        <v>237</v>
      </c>
      <c r="C1464" t="s">
        <v>238</v>
      </c>
      <c r="D1464" t="s">
        <v>264</v>
      </c>
      <c r="E1464" t="s">
        <v>228</v>
      </c>
      <c r="F1464">
        <v>2006</v>
      </c>
      <c r="G1464">
        <v>3.7040845070422499E-4</v>
      </c>
      <c r="H1464" t="s">
        <v>240</v>
      </c>
      <c r="I1464" t="s">
        <v>241</v>
      </c>
      <c r="J1464" t="s">
        <v>3</v>
      </c>
      <c r="K1464" s="183">
        <f ca="1">VLOOKUP(F1464,
    OFFSET(INDIRECT(ADDRESS(MATCH(J1464,'Vehicle numbers'!$A$5:$A$162,0),1,1,1,$L$6)),4,1,COUNTIF('Vehicle numbers'!$A$5:$A$162,J1464),4),
    MATCH(K$8,'Vehicle numbers'!$B$4:$D$4,0))*1000</f>
        <v>1209557</v>
      </c>
      <c r="L1464" s="183">
        <f ca="1">VLOOKUP(F1464,
    OFFSET(INDIRECT(ADDRESS(MATCH(J1464,'Vehicle numbers'!$A$5:$A$162,0),1,1,1,$L$6)),4,1,COUNTIF('Vehicle numbers'!$A$5:$A$162,J1464),4),
    MATCH(L$8,'Vehicle numbers'!$B$4:$D$4,0))*1000</f>
        <v>1231784.0365603496</v>
      </c>
      <c r="M1464" s="184">
        <f>VLOOKUP(F1464,'Annual distance covered (GB)'!$A$8:$H$33,MATCH(J1464,'Annual distance covered (GB)'!$A$7:$H$7,0))</f>
        <v>5.0999999999999996</v>
      </c>
      <c r="N1464" s="2">
        <f t="shared" ca="1" si="58"/>
        <v>1923.7972287217794</v>
      </c>
      <c r="O1464" s="180">
        <f t="shared" ca="1" si="59"/>
        <v>1.5617974999041365E-3</v>
      </c>
      <c r="P1464" s="180"/>
      <c r="Q1464" s="180"/>
      <c r="R1464" s="180"/>
      <c r="S1464" s="180"/>
      <c r="T1464" s="180"/>
    </row>
    <row r="1465" spans="1:20" x14ac:dyDescent="0.25">
      <c r="A1465" t="s">
        <v>246</v>
      </c>
      <c r="B1465" t="s">
        <v>237</v>
      </c>
      <c r="C1465" t="s">
        <v>238</v>
      </c>
      <c r="D1465" t="s">
        <v>264</v>
      </c>
      <c r="E1465" t="s">
        <v>228</v>
      </c>
      <c r="F1465">
        <v>2006</v>
      </c>
      <c r="G1465">
        <v>2.9632676056337998E-4</v>
      </c>
      <c r="H1465" t="s">
        <v>240</v>
      </c>
      <c r="I1465" t="s">
        <v>241</v>
      </c>
      <c r="J1465" t="s">
        <v>3</v>
      </c>
      <c r="K1465" s="183">
        <f ca="1">VLOOKUP(F1465,
    OFFSET(INDIRECT(ADDRESS(MATCH(J1465,'Vehicle numbers'!$A$5:$A$162,0),1,1,1,$L$6)),4,1,COUNTIF('Vehicle numbers'!$A$5:$A$162,J1465),4),
    MATCH(K$8,'Vehicle numbers'!$B$4:$D$4,0))*1000</f>
        <v>1209557</v>
      </c>
      <c r="L1465" s="183">
        <f ca="1">VLOOKUP(F1465,
    OFFSET(INDIRECT(ADDRESS(MATCH(J1465,'Vehicle numbers'!$A$5:$A$162,0),1,1,1,$L$6)),4,1,COUNTIF('Vehicle numbers'!$A$5:$A$162,J1465),4),
    MATCH(L$8,'Vehicle numbers'!$B$4:$D$4,0))*1000</f>
        <v>1231784.0365603496</v>
      </c>
      <c r="M1465" s="184">
        <f>VLOOKUP(F1465,'Annual distance covered (GB)'!$A$8:$H$33,MATCH(J1465,'Annual distance covered (GB)'!$A$7:$H$7,0))</f>
        <v>5.0999999999999996</v>
      </c>
      <c r="N1465" s="2">
        <f t="shared" ca="1" si="58"/>
        <v>1539.0377829774231</v>
      </c>
      <c r="O1465" s="180">
        <f t="shared" ca="1" si="59"/>
        <v>1.2494379999233088E-3</v>
      </c>
      <c r="P1465" s="180"/>
      <c r="Q1465" s="180"/>
      <c r="R1465" s="180"/>
      <c r="S1465" s="180"/>
      <c r="T1465" s="180"/>
    </row>
    <row r="1466" spans="1:20" x14ac:dyDescent="0.25">
      <c r="A1466" t="s">
        <v>236</v>
      </c>
      <c r="B1466" t="s">
        <v>237</v>
      </c>
      <c r="C1466" t="s">
        <v>238</v>
      </c>
      <c r="D1466" t="s">
        <v>239</v>
      </c>
      <c r="E1466" t="s">
        <v>229</v>
      </c>
      <c r="F1466">
        <v>2007</v>
      </c>
      <c r="G1466">
        <v>8.4410000000000093E-3</v>
      </c>
      <c r="H1466" t="s">
        <v>240</v>
      </c>
      <c r="I1466" t="s">
        <v>241</v>
      </c>
      <c r="J1466" t="s">
        <v>242</v>
      </c>
      <c r="K1466" s="183">
        <f ca="1">VLOOKUP(F1466,
    OFFSET(INDIRECT(ADDRESS(MATCH(J1466,'Vehicle numbers'!$A$5:$A$162,0),1,1,1,$L$6)),4,1,COUNTIF('Vehicle numbers'!$A$5:$A$162,J1466),4),
    MATCH(K$8,'Vehicle numbers'!$B$4:$D$4,0))*1000</f>
        <v>176929</v>
      </c>
      <c r="L1466" s="183">
        <f ca="1">VLOOKUP(F1466,
    OFFSET(INDIRECT(ADDRESS(MATCH(J1466,'Vehicle numbers'!$A$5:$A$162,0),1,1,1,$L$6)),4,1,COUNTIF('Vehicle numbers'!$A$5:$A$162,J1466),4),
    MATCH(L$8,'Vehicle numbers'!$B$4:$D$4,0))*1000</f>
        <v>183110.8349213714</v>
      </c>
      <c r="M1466" s="184">
        <f>VLOOKUP(F1466,'Annual distance covered (GB)'!$A$8:$H$33,MATCH(J1466,'Annual distance covered (GB)'!$A$7:$H$7,0))</f>
        <v>5.4</v>
      </c>
      <c r="N1466" s="2">
        <f t="shared" ca="1" si="58"/>
        <v>47173.997540736724</v>
      </c>
      <c r="O1466" s="180">
        <f t="shared" ca="1" si="59"/>
        <v>0.25762537515048439</v>
      </c>
      <c r="P1466" s="180"/>
      <c r="Q1466" s="180"/>
      <c r="R1466" s="180"/>
      <c r="S1466" s="180"/>
      <c r="T1466" s="180"/>
    </row>
    <row r="1467" spans="1:20" x14ac:dyDescent="0.25">
      <c r="A1467" t="s">
        <v>243</v>
      </c>
      <c r="B1467" t="s">
        <v>237</v>
      </c>
      <c r="C1467" t="s">
        <v>238</v>
      </c>
      <c r="D1467" t="s">
        <v>239</v>
      </c>
      <c r="E1467" t="s">
        <v>229</v>
      </c>
      <c r="F1467">
        <v>2007</v>
      </c>
      <c r="G1467">
        <v>3.3763999999999999E-3</v>
      </c>
      <c r="H1467" t="s">
        <v>240</v>
      </c>
      <c r="I1467" t="s">
        <v>241</v>
      </c>
      <c r="J1467" t="s">
        <v>242</v>
      </c>
      <c r="K1467" s="183">
        <f ca="1">VLOOKUP(F1467,
    OFFSET(INDIRECT(ADDRESS(MATCH(J1467,'Vehicle numbers'!$A$5:$A$162,0),1,1,1,$L$6)),4,1,COUNTIF('Vehicle numbers'!$A$5:$A$162,J1467),4),
    MATCH(K$8,'Vehicle numbers'!$B$4:$D$4,0))*1000</f>
        <v>176929</v>
      </c>
      <c r="L1467" s="183">
        <f ca="1">VLOOKUP(F1467,
    OFFSET(INDIRECT(ADDRESS(MATCH(J1467,'Vehicle numbers'!$A$5:$A$162,0),1,1,1,$L$6)),4,1,COUNTIF('Vehicle numbers'!$A$5:$A$162,J1467),4),
    MATCH(L$8,'Vehicle numbers'!$B$4:$D$4,0))*1000</f>
        <v>183110.8349213714</v>
      </c>
      <c r="M1467" s="184">
        <f>VLOOKUP(F1467,'Annual distance covered (GB)'!$A$8:$H$33,MATCH(J1467,'Annual distance covered (GB)'!$A$7:$H$7,0))</f>
        <v>5.4</v>
      </c>
      <c r="N1467" s="2">
        <f t="shared" ca="1" si="58"/>
        <v>18869.599016294669</v>
      </c>
      <c r="O1467" s="180">
        <f t="shared" ca="1" si="59"/>
        <v>0.10305015006019365</v>
      </c>
      <c r="P1467" s="180"/>
      <c r="Q1467" s="180"/>
      <c r="R1467" s="180"/>
      <c r="S1467" s="180"/>
      <c r="T1467" s="180"/>
    </row>
    <row r="1468" spans="1:20" x14ac:dyDescent="0.25">
      <c r="A1468" t="s">
        <v>244</v>
      </c>
      <c r="B1468" t="s">
        <v>237</v>
      </c>
      <c r="C1468" t="s">
        <v>238</v>
      </c>
      <c r="D1468" t="s">
        <v>239</v>
      </c>
      <c r="E1468" t="s">
        <v>229</v>
      </c>
      <c r="F1468">
        <v>2007</v>
      </c>
      <c r="G1468">
        <v>8.4409999999999997E-4</v>
      </c>
      <c r="H1468" t="s">
        <v>240</v>
      </c>
      <c r="I1468" t="s">
        <v>241</v>
      </c>
      <c r="J1468" t="s">
        <v>242</v>
      </c>
      <c r="K1468" s="183">
        <f ca="1">VLOOKUP(F1468,
    OFFSET(INDIRECT(ADDRESS(MATCH(J1468,'Vehicle numbers'!$A$5:$A$162,0),1,1,1,$L$6)),4,1,COUNTIF('Vehicle numbers'!$A$5:$A$162,J1468),4),
    MATCH(K$8,'Vehicle numbers'!$B$4:$D$4,0))*1000</f>
        <v>176929</v>
      </c>
      <c r="L1468" s="183">
        <f ca="1">VLOOKUP(F1468,
    OFFSET(INDIRECT(ADDRESS(MATCH(J1468,'Vehicle numbers'!$A$5:$A$162,0),1,1,1,$L$6)),4,1,COUNTIF('Vehicle numbers'!$A$5:$A$162,J1468),4),
    MATCH(L$8,'Vehicle numbers'!$B$4:$D$4,0))*1000</f>
        <v>183110.8349213714</v>
      </c>
      <c r="M1468" s="184">
        <f>VLOOKUP(F1468,'Annual distance covered (GB)'!$A$8:$H$33,MATCH(J1468,'Annual distance covered (GB)'!$A$7:$H$7,0))</f>
        <v>5.4</v>
      </c>
      <c r="N1468" s="2">
        <f t="shared" ca="1" si="58"/>
        <v>4717.3997540736673</v>
      </c>
      <c r="O1468" s="180">
        <f t="shared" ca="1" si="59"/>
        <v>2.5762537515048412E-2</v>
      </c>
      <c r="P1468" s="180"/>
      <c r="Q1468" s="180"/>
      <c r="R1468" s="180"/>
      <c r="S1468" s="180"/>
      <c r="T1468" s="180"/>
    </row>
    <row r="1469" spans="1:20" x14ac:dyDescent="0.25">
      <c r="A1469" t="s">
        <v>246</v>
      </c>
      <c r="B1469" t="s">
        <v>237</v>
      </c>
      <c r="C1469" t="s">
        <v>238</v>
      </c>
      <c r="D1469" t="s">
        <v>239</v>
      </c>
      <c r="E1469" t="s">
        <v>229</v>
      </c>
      <c r="F1469">
        <v>2007</v>
      </c>
      <c r="G1469">
        <v>6.7528E-4</v>
      </c>
      <c r="H1469" t="s">
        <v>240</v>
      </c>
      <c r="I1469" t="s">
        <v>241</v>
      </c>
      <c r="J1469" t="s">
        <v>242</v>
      </c>
      <c r="K1469" s="183">
        <f ca="1">VLOOKUP(F1469,
    OFFSET(INDIRECT(ADDRESS(MATCH(J1469,'Vehicle numbers'!$A$5:$A$162,0),1,1,1,$L$6)),4,1,COUNTIF('Vehicle numbers'!$A$5:$A$162,J1469),4),
    MATCH(K$8,'Vehicle numbers'!$B$4:$D$4,0))*1000</f>
        <v>176929</v>
      </c>
      <c r="L1469" s="183">
        <f ca="1">VLOOKUP(F1469,
    OFFSET(INDIRECT(ADDRESS(MATCH(J1469,'Vehicle numbers'!$A$5:$A$162,0),1,1,1,$L$6)),4,1,COUNTIF('Vehicle numbers'!$A$5:$A$162,J1469),4),
    MATCH(L$8,'Vehicle numbers'!$B$4:$D$4,0))*1000</f>
        <v>183110.8349213714</v>
      </c>
      <c r="M1469" s="184">
        <f>VLOOKUP(F1469,'Annual distance covered (GB)'!$A$8:$H$33,MATCH(J1469,'Annual distance covered (GB)'!$A$7:$H$7,0))</f>
        <v>5.4</v>
      </c>
      <c r="N1469" s="2">
        <f t="shared" ca="1" si="58"/>
        <v>3773.9198032589338</v>
      </c>
      <c r="O1469" s="180">
        <f t="shared" ca="1" si="59"/>
        <v>2.0610030012038729E-2</v>
      </c>
      <c r="P1469" s="180"/>
      <c r="Q1469" s="180"/>
      <c r="R1469" s="180"/>
      <c r="S1469" s="180"/>
      <c r="T1469" s="180"/>
    </row>
    <row r="1470" spans="1:20" x14ac:dyDescent="0.25">
      <c r="A1470" t="s">
        <v>236</v>
      </c>
      <c r="B1470" t="s">
        <v>237</v>
      </c>
      <c r="C1470" t="s">
        <v>238</v>
      </c>
      <c r="D1470" t="s">
        <v>239</v>
      </c>
      <c r="E1470" t="s">
        <v>228</v>
      </c>
      <c r="F1470">
        <v>2007</v>
      </c>
      <c r="G1470">
        <v>1.3984E-2</v>
      </c>
      <c r="H1470" t="s">
        <v>240</v>
      </c>
      <c r="I1470" t="s">
        <v>241</v>
      </c>
      <c r="J1470" t="s">
        <v>242</v>
      </c>
      <c r="K1470" s="183">
        <f ca="1">VLOOKUP(F1470,
    OFFSET(INDIRECT(ADDRESS(MATCH(J1470,'Vehicle numbers'!$A$5:$A$162,0),1,1,1,$L$6)),4,1,COUNTIF('Vehicle numbers'!$A$5:$A$162,J1470),4),
    MATCH(K$8,'Vehicle numbers'!$B$4:$D$4,0))*1000</f>
        <v>176929</v>
      </c>
      <c r="L1470" s="183">
        <f ca="1">VLOOKUP(F1470,
    OFFSET(INDIRECT(ADDRESS(MATCH(J1470,'Vehicle numbers'!$A$5:$A$162,0),1,1,1,$L$6)),4,1,COUNTIF('Vehicle numbers'!$A$5:$A$162,J1470),4),
    MATCH(L$8,'Vehicle numbers'!$B$4:$D$4,0))*1000</f>
        <v>183110.8349213714</v>
      </c>
      <c r="M1470" s="184">
        <f>VLOOKUP(F1470,'Annual distance covered (GB)'!$A$8:$H$33,MATCH(J1470,'Annual distance covered (GB)'!$A$7:$H$7,0))</f>
        <v>5.4</v>
      </c>
      <c r="N1470" s="2">
        <f t="shared" ca="1" si="58"/>
        <v>78152.017724163219</v>
      </c>
      <c r="O1470" s="180">
        <f t="shared" ca="1" si="59"/>
        <v>0.42680171142096557</v>
      </c>
      <c r="P1470" s="180"/>
      <c r="Q1470" s="180"/>
      <c r="R1470" s="180"/>
      <c r="S1470" s="180"/>
      <c r="T1470" s="180"/>
    </row>
    <row r="1471" spans="1:20" x14ac:dyDescent="0.25">
      <c r="A1471" t="s">
        <v>243</v>
      </c>
      <c r="B1471" t="s">
        <v>237</v>
      </c>
      <c r="C1471" t="s">
        <v>238</v>
      </c>
      <c r="D1471" t="s">
        <v>239</v>
      </c>
      <c r="E1471" t="s">
        <v>228</v>
      </c>
      <c r="F1471">
        <v>2007</v>
      </c>
      <c r="G1471">
        <v>9.7888000000000003E-3</v>
      </c>
      <c r="H1471" t="s">
        <v>240</v>
      </c>
      <c r="I1471" t="s">
        <v>241</v>
      </c>
      <c r="J1471" t="s">
        <v>242</v>
      </c>
      <c r="K1471" s="183">
        <f ca="1">VLOOKUP(F1471,
    OFFSET(INDIRECT(ADDRESS(MATCH(J1471,'Vehicle numbers'!$A$5:$A$162,0),1,1,1,$L$6)),4,1,COUNTIF('Vehicle numbers'!$A$5:$A$162,J1471),4),
    MATCH(K$8,'Vehicle numbers'!$B$4:$D$4,0))*1000</f>
        <v>176929</v>
      </c>
      <c r="L1471" s="183">
        <f ca="1">VLOOKUP(F1471,
    OFFSET(INDIRECT(ADDRESS(MATCH(J1471,'Vehicle numbers'!$A$5:$A$162,0),1,1,1,$L$6)),4,1,COUNTIF('Vehicle numbers'!$A$5:$A$162,J1471),4),
    MATCH(L$8,'Vehicle numbers'!$B$4:$D$4,0))*1000</f>
        <v>183110.8349213714</v>
      </c>
      <c r="M1471" s="184">
        <f>VLOOKUP(F1471,'Annual distance covered (GB)'!$A$8:$H$33,MATCH(J1471,'Annual distance covered (GB)'!$A$7:$H$7,0))</f>
        <v>5.4</v>
      </c>
      <c r="N1471" s="2">
        <f t="shared" ca="1" si="58"/>
        <v>54706.412406914249</v>
      </c>
      <c r="O1471" s="180">
        <f t="shared" ca="1" si="59"/>
        <v>0.29876119799467588</v>
      </c>
      <c r="P1471" s="180"/>
      <c r="Q1471" s="180"/>
      <c r="R1471" s="180"/>
      <c r="S1471" s="180"/>
      <c r="T1471" s="180"/>
    </row>
    <row r="1472" spans="1:20" x14ac:dyDescent="0.25">
      <c r="A1472" t="s">
        <v>244</v>
      </c>
      <c r="B1472" t="s">
        <v>237</v>
      </c>
      <c r="C1472" t="s">
        <v>238</v>
      </c>
      <c r="D1472" t="s">
        <v>239</v>
      </c>
      <c r="E1472" t="s">
        <v>228</v>
      </c>
      <c r="F1472">
        <v>2007</v>
      </c>
      <c r="G1472">
        <v>1.3787042253521099E-3</v>
      </c>
      <c r="H1472" t="s">
        <v>240</v>
      </c>
      <c r="I1472" t="s">
        <v>241</v>
      </c>
      <c r="J1472" t="s">
        <v>242</v>
      </c>
      <c r="K1472" s="183">
        <f ca="1">VLOOKUP(F1472,
    OFFSET(INDIRECT(ADDRESS(MATCH(J1472,'Vehicle numbers'!$A$5:$A$162,0),1,1,1,$L$6)),4,1,COUNTIF('Vehicle numbers'!$A$5:$A$162,J1472),4),
    MATCH(K$8,'Vehicle numbers'!$B$4:$D$4,0))*1000</f>
        <v>176929</v>
      </c>
      <c r="L1472" s="183">
        <f ca="1">VLOOKUP(F1472,
    OFFSET(INDIRECT(ADDRESS(MATCH(J1472,'Vehicle numbers'!$A$5:$A$162,0),1,1,1,$L$6)),4,1,COUNTIF('Vehicle numbers'!$A$5:$A$162,J1472),4),
    MATCH(L$8,'Vehicle numbers'!$B$4:$D$4,0))*1000</f>
        <v>183110.8349213714</v>
      </c>
      <c r="M1472" s="184">
        <f>VLOOKUP(F1472,'Annual distance covered (GB)'!$A$8:$H$33,MATCH(J1472,'Annual distance covered (GB)'!$A$7:$H$7,0))</f>
        <v>5.4</v>
      </c>
      <c r="N1472" s="2">
        <f t="shared" ca="1" si="58"/>
        <v>7705.128508016076</v>
      </c>
      <c r="O1472" s="180">
        <f t="shared" ca="1" si="59"/>
        <v>4.2079041971081026E-2</v>
      </c>
      <c r="P1472" s="180"/>
      <c r="Q1472" s="180"/>
      <c r="R1472" s="180"/>
      <c r="S1472" s="180"/>
      <c r="T1472" s="180"/>
    </row>
    <row r="1473" spans="1:20" x14ac:dyDescent="0.25">
      <c r="A1473" t="s">
        <v>246</v>
      </c>
      <c r="B1473" t="s">
        <v>237</v>
      </c>
      <c r="C1473" t="s">
        <v>238</v>
      </c>
      <c r="D1473" t="s">
        <v>239</v>
      </c>
      <c r="E1473" t="s">
        <v>228</v>
      </c>
      <c r="F1473">
        <v>2007</v>
      </c>
      <c r="G1473">
        <v>1.10296338028169E-3</v>
      </c>
      <c r="H1473" t="s">
        <v>240</v>
      </c>
      <c r="I1473" t="s">
        <v>241</v>
      </c>
      <c r="J1473" t="s">
        <v>242</v>
      </c>
      <c r="K1473" s="183">
        <f ca="1">VLOOKUP(F1473,
    OFFSET(INDIRECT(ADDRESS(MATCH(J1473,'Vehicle numbers'!$A$5:$A$162,0),1,1,1,$L$6)),4,1,COUNTIF('Vehicle numbers'!$A$5:$A$162,J1473),4),
    MATCH(K$8,'Vehicle numbers'!$B$4:$D$4,0))*1000</f>
        <v>176929</v>
      </c>
      <c r="L1473" s="183">
        <f ca="1">VLOOKUP(F1473,
    OFFSET(INDIRECT(ADDRESS(MATCH(J1473,'Vehicle numbers'!$A$5:$A$162,0),1,1,1,$L$6)),4,1,COUNTIF('Vehicle numbers'!$A$5:$A$162,J1473),4),
    MATCH(L$8,'Vehicle numbers'!$B$4:$D$4,0))*1000</f>
        <v>183110.8349213714</v>
      </c>
      <c r="M1473" s="184">
        <f>VLOOKUP(F1473,'Annual distance covered (GB)'!$A$8:$H$33,MATCH(J1473,'Annual distance covered (GB)'!$A$7:$H$7,0))</f>
        <v>5.4</v>
      </c>
      <c r="N1473" s="2">
        <f t="shared" ca="1" si="58"/>
        <v>6164.1028064128723</v>
      </c>
      <c r="O1473" s="180">
        <f t="shared" ca="1" si="59"/>
        <v>3.3663233576864883E-2</v>
      </c>
      <c r="P1473" s="180"/>
      <c r="Q1473" s="180"/>
      <c r="R1473" s="180"/>
      <c r="S1473" s="180"/>
      <c r="T1473" s="180"/>
    </row>
    <row r="1474" spans="1:20" x14ac:dyDescent="0.25">
      <c r="A1474" t="s">
        <v>236</v>
      </c>
      <c r="B1474" t="s">
        <v>237</v>
      </c>
      <c r="C1474" t="s">
        <v>238</v>
      </c>
      <c r="D1474" t="s">
        <v>248</v>
      </c>
      <c r="E1474" t="s">
        <v>229</v>
      </c>
      <c r="F1474">
        <v>2007</v>
      </c>
      <c r="G1474">
        <v>2.71429999999999E-2</v>
      </c>
      <c r="H1474" t="s">
        <v>240</v>
      </c>
      <c r="I1474" t="s">
        <v>241</v>
      </c>
      <c r="J1474" t="s">
        <v>242</v>
      </c>
      <c r="K1474" s="183">
        <f ca="1">VLOOKUP(F1474,
    OFFSET(INDIRECT(ADDRESS(MATCH(J1474,'Vehicle numbers'!$A$5:$A$162,0),1,1,1,$L$6)),4,1,COUNTIF('Vehicle numbers'!$A$5:$A$162,J1474),4),
    MATCH(K$8,'Vehicle numbers'!$B$4:$D$4,0))*1000</f>
        <v>176929</v>
      </c>
      <c r="L1474" s="183">
        <f ca="1">VLOOKUP(F1474,
    OFFSET(INDIRECT(ADDRESS(MATCH(J1474,'Vehicle numbers'!$A$5:$A$162,0),1,1,1,$L$6)),4,1,COUNTIF('Vehicle numbers'!$A$5:$A$162,J1474),4),
    MATCH(L$8,'Vehicle numbers'!$B$4:$D$4,0))*1000</f>
        <v>183110.8349213714</v>
      </c>
      <c r="M1474" s="184">
        <f>VLOOKUP(F1474,'Annual distance covered (GB)'!$A$8:$H$33,MATCH(J1474,'Annual distance covered (GB)'!$A$7:$H$7,0))</f>
        <v>5.4</v>
      </c>
      <c r="N1474" s="2">
        <f t="shared" ca="1" si="58"/>
        <v>151693.37936834627</v>
      </c>
      <c r="O1474" s="180">
        <f t="shared" ca="1" si="59"/>
        <v>0.82842383102826267</v>
      </c>
      <c r="P1474" s="180"/>
      <c r="Q1474" s="180"/>
      <c r="R1474" s="180"/>
      <c r="S1474" s="180"/>
      <c r="T1474" s="180"/>
    </row>
    <row r="1475" spans="1:20" x14ac:dyDescent="0.25">
      <c r="A1475" t="s">
        <v>243</v>
      </c>
      <c r="B1475" t="s">
        <v>237</v>
      </c>
      <c r="C1475" t="s">
        <v>238</v>
      </c>
      <c r="D1475" t="s">
        <v>248</v>
      </c>
      <c r="E1475" t="s">
        <v>229</v>
      </c>
      <c r="F1475">
        <v>2007</v>
      </c>
      <c r="G1475">
        <v>1.0857199999999999E-2</v>
      </c>
      <c r="H1475" t="s">
        <v>240</v>
      </c>
      <c r="I1475" t="s">
        <v>241</v>
      </c>
      <c r="J1475" t="s">
        <v>242</v>
      </c>
      <c r="K1475" s="183">
        <f ca="1">VLOOKUP(F1475,
    OFFSET(INDIRECT(ADDRESS(MATCH(J1475,'Vehicle numbers'!$A$5:$A$162,0),1,1,1,$L$6)),4,1,COUNTIF('Vehicle numbers'!$A$5:$A$162,J1475),4),
    MATCH(K$8,'Vehicle numbers'!$B$4:$D$4,0))*1000</f>
        <v>176929</v>
      </c>
      <c r="L1475" s="183">
        <f ca="1">VLOOKUP(F1475,
    OFFSET(INDIRECT(ADDRESS(MATCH(J1475,'Vehicle numbers'!$A$5:$A$162,0),1,1,1,$L$6)),4,1,COUNTIF('Vehicle numbers'!$A$5:$A$162,J1475),4),
    MATCH(L$8,'Vehicle numbers'!$B$4:$D$4,0))*1000</f>
        <v>183110.8349213714</v>
      </c>
      <c r="M1475" s="184">
        <f>VLOOKUP(F1475,'Annual distance covered (GB)'!$A$8:$H$33,MATCH(J1475,'Annual distance covered (GB)'!$A$7:$H$7,0))</f>
        <v>5.4</v>
      </c>
      <c r="N1475" s="2">
        <f t="shared" ca="1" si="58"/>
        <v>60677.351747338733</v>
      </c>
      <c r="O1475" s="180">
        <f t="shared" ca="1" si="59"/>
        <v>0.33136953241130629</v>
      </c>
      <c r="P1475" s="180"/>
      <c r="Q1475" s="180"/>
      <c r="R1475" s="180"/>
      <c r="S1475" s="180"/>
      <c r="T1475" s="180"/>
    </row>
    <row r="1476" spans="1:20" x14ac:dyDescent="0.25">
      <c r="A1476" t="s">
        <v>244</v>
      </c>
      <c r="B1476" t="s">
        <v>237</v>
      </c>
      <c r="C1476" t="s">
        <v>238</v>
      </c>
      <c r="D1476" t="s">
        <v>248</v>
      </c>
      <c r="E1476" t="s">
        <v>229</v>
      </c>
      <c r="F1476">
        <v>2007</v>
      </c>
      <c r="G1476">
        <v>2.7142999999999998E-3</v>
      </c>
      <c r="H1476" t="s">
        <v>240</v>
      </c>
      <c r="I1476" t="s">
        <v>241</v>
      </c>
      <c r="J1476" t="s">
        <v>242</v>
      </c>
      <c r="K1476" s="183">
        <f ca="1">VLOOKUP(F1476,
    OFFSET(INDIRECT(ADDRESS(MATCH(J1476,'Vehicle numbers'!$A$5:$A$162,0),1,1,1,$L$6)),4,1,COUNTIF('Vehicle numbers'!$A$5:$A$162,J1476),4),
    MATCH(K$8,'Vehicle numbers'!$B$4:$D$4,0))*1000</f>
        <v>176929</v>
      </c>
      <c r="L1476" s="183">
        <f ca="1">VLOOKUP(F1476,
    OFFSET(INDIRECT(ADDRESS(MATCH(J1476,'Vehicle numbers'!$A$5:$A$162,0),1,1,1,$L$6)),4,1,COUNTIF('Vehicle numbers'!$A$5:$A$162,J1476),4),
    MATCH(L$8,'Vehicle numbers'!$B$4:$D$4,0))*1000</f>
        <v>183110.8349213714</v>
      </c>
      <c r="M1476" s="184">
        <f>VLOOKUP(F1476,'Annual distance covered (GB)'!$A$8:$H$33,MATCH(J1476,'Annual distance covered (GB)'!$A$7:$H$7,0))</f>
        <v>5.4</v>
      </c>
      <c r="N1476" s="2">
        <f t="shared" ca="1" si="58"/>
        <v>15169.337936834683</v>
      </c>
      <c r="O1476" s="180">
        <f t="shared" ca="1" si="59"/>
        <v>8.2842383102826572E-2</v>
      </c>
      <c r="P1476" s="180"/>
      <c r="Q1476" s="180"/>
      <c r="R1476" s="180"/>
      <c r="S1476" s="180"/>
      <c r="T1476" s="180"/>
    </row>
    <row r="1477" spans="1:20" x14ac:dyDescent="0.25">
      <c r="A1477" t="s">
        <v>246</v>
      </c>
      <c r="B1477" t="s">
        <v>237</v>
      </c>
      <c r="C1477" t="s">
        <v>238</v>
      </c>
      <c r="D1477" t="s">
        <v>248</v>
      </c>
      <c r="E1477" t="s">
        <v>229</v>
      </c>
      <c r="F1477">
        <v>2007</v>
      </c>
      <c r="G1477">
        <v>2.1714400000000002E-3</v>
      </c>
      <c r="H1477" t="s">
        <v>240</v>
      </c>
      <c r="I1477" t="s">
        <v>241</v>
      </c>
      <c r="J1477" t="s">
        <v>242</v>
      </c>
      <c r="K1477" s="183">
        <f ca="1">VLOOKUP(F1477,
    OFFSET(INDIRECT(ADDRESS(MATCH(J1477,'Vehicle numbers'!$A$5:$A$162,0),1,1,1,$L$6)),4,1,COUNTIF('Vehicle numbers'!$A$5:$A$162,J1477),4),
    MATCH(K$8,'Vehicle numbers'!$B$4:$D$4,0))*1000</f>
        <v>176929</v>
      </c>
      <c r="L1477" s="183">
        <f ca="1">VLOOKUP(F1477,
    OFFSET(INDIRECT(ADDRESS(MATCH(J1477,'Vehicle numbers'!$A$5:$A$162,0),1,1,1,$L$6)),4,1,COUNTIF('Vehicle numbers'!$A$5:$A$162,J1477),4),
    MATCH(L$8,'Vehicle numbers'!$B$4:$D$4,0))*1000</f>
        <v>183110.8349213714</v>
      </c>
      <c r="M1477" s="184">
        <f>VLOOKUP(F1477,'Annual distance covered (GB)'!$A$8:$H$33,MATCH(J1477,'Annual distance covered (GB)'!$A$7:$H$7,0))</f>
        <v>5.4</v>
      </c>
      <c r="N1477" s="2">
        <f t="shared" ca="1" si="58"/>
        <v>12135.470349467747</v>
      </c>
      <c r="O1477" s="180">
        <f t="shared" ca="1" si="59"/>
        <v>6.6273906482261252E-2</v>
      </c>
      <c r="P1477" s="180"/>
      <c r="Q1477" s="180"/>
      <c r="R1477" s="180"/>
      <c r="S1477" s="180"/>
      <c r="T1477" s="180"/>
    </row>
    <row r="1478" spans="1:20" x14ac:dyDescent="0.25">
      <c r="A1478" t="s">
        <v>236</v>
      </c>
      <c r="B1478" t="s">
        <v>237</v>
      </c>
      <c r="C1478" t="s">
        <v>238</v>
      </c>
      <c r="D1478" t="s">
        <v>248</v>
      </c>
      <c r="E1478" t="s">
        <v>228</v>
      </c>
      <c r="F1478">
        <v>2007</v>
      </c>
      <c r="G1478">
        <v>1.6857898777956799E-2</v>
      </c>
      <c r="H1478" t="s">
        <v>240</v>
      </c>
      <c r="I1478" t="s">
        <v>241</v>
      </c>
      <c r="J1478" t="s">
        <v>242</v>
      </c>
      <c r="K1478" s="183">
        <f ca="1">VLOOKUP(F1478,
    OFFSET(INDIRECT(ADDRESS(MATCH(J1478,'Vehicle numbers'!$A$5:$A$162,0),1,1,1,$L$6)),4,1,COUNTIF('Vehicle numbers'!$A$5:$A$162,J1478),4),
    MATCH(K$8,'Vehicle numbers'!$B$4:$D$4,0))*1000</f>
        <v>176929</v>
      </c>
      <c r="L1478" s="183">
        <f ca="1">VLOOKUP(F1478,
    OFFSET(INDIRECT(ADDRESS(MATCH(J1478,'Vehicle numbers'!$A$5:$A$162,0),1,1,1,$L$6)),4,1,COUNTIF('Vehicle numbers'!$A$5:$A$162,J1478),4),
    MATCH(L$8,'Vehicle numbers'!$B$4:$D$4,0))*1000</f>
        <v>183110.8349213714</v>
      </c>
      <c r="M1478" s="184">
        <f>VLOOKUP(F1478,'Annual distance covered (GB)'!$A$8:$H$33,MATCH(J1478,'Annual distance covered (GB)'!$A$7:$H$7,0))</f>
        <v>5.4</v>
      </c>
      <c r="N1478" s="2">
        <f t="shared" ca="1" si="58"/>
        <v>94213.30120759648</v>
      </c>
      <c r="O1478" s="180">
        <f t="shared" ca="1" si="59"/>
        <v>0.51451516371520067</v>
      </c>
      <c r="P1478" s="180"/>
      <c r="Q1478" s="180"/>
      <c r="R1478" s="180"/>
      <c r="S1478" s="180"/>
      <c r="T1478" s="180"/>
    </row>
    <row r="1479" spans="1:20" x14ac:dyDescent="0.25">
      <c r="A1479" t="s">
        <v>243</v>
      </c>
      <c r="B1479" t="s">
        <v>237</v>
      </c>
      <c r="C1479" t="s">
        <v>238</v>
      </c>
      <c r="D1479" t="s">
        <v>248</v>
      </c>
      <c r="E1479" t="s">
        <v>228</v>
      </c>
      <c r="F1479">
        <v>2007</v>
      </c>
      <c r="G1479">
        <v>1.1800529144569799E-2</v>
      </c>
      <c r="H1479" t="s">
        <v>240</v>
      </c>
      <c r="I1479" t="s">
        <v>241</v>
      </c>
      <c r="J1479" t="s">
        <v>242</v>
      </c>
      <c r="K1479" s="183">
        <f ca="1">VLOOKUP(F1479,
    OFFSET(INDIRECT(ADDRESS(MATCH(J1479,'Vehicle numbers'!$A$5:$A$162,0),1,1,1,$L$6)),4,1,COUNTIF('Vehicle numbers'!$A$5:$A$162,J1479),4),
    MATCH(K$8,'Vehicle numbers'!$B$4:$D$4,0))*1000</f>
        <v>176929</v>
      </c>
      <c r="L1479" s="183">
        <f ca="1">VLOOKUP(F1479,
    OFFSET(INDIRECT(ADDRESS(MATCH(J1479,'Vehicle numbers'!$A$5:$A$162,0),1,1,1,$L$6)),4,1,COUNTIF('Vehicle numbers'!$A$5:$A$162,J1479),4),
    MATCH(L$8,'Vehicle numbers'!$B$4:$D$4,0))*1000</f>
        <v>183110.8349213714</v>
      </c>
      <c r="M1479" s="184">
        <f>VLOOKUP(F1479,'Annual distance covered (GB)'!$A$8:$H$33,MATCH(J1479,'Annual distance covered (GB)'!$A$7:$H$7,0))</f>
        <v>5.4</v>
      </c>
      <c r="N1479" s="2">
        <f t="shared" ca="1" si="58"/>
        <v>65949.310845317756</v>
      </c>
      <c r="O1479" s="180">
        <f t="shared" ca="1" si="59"/>
        <v>0.36016061460064164</v>
      </c>
      <c r="P1479" s="180"/>
      <c r="Q1479" s="180"/>
      <c r="R1479" s="180"/>
      <c r="S1479" s="180"/>
      <c r="T1479" s="180"/>
    </row>
    <row r="1480" spans="1:20" x14ac:dyDescent="0.25">
      <c r="A1480" t="s">
        <v>244</v>
      </c>
      <c r="B1480" t="s">
        <v>237</v>
      </c>
      <c r="C1480" t="s">
        <v>238</v>
      </c>
      <c r="D1480" t="s">
        <v>248</v>
      </c>
      <c r="E1480" t="s">
        <v>228</v>
      </c>
      <c r="F1480">
        <v>2007</v>
      </c>
      <c r="G1480">
        <v>1.66204635839011E-3</v>
      </c>
      <c r="H1480" t="s">
        <v>240</v>
      </c>
      <c r="I1480" t="s">
        <v>241</v>
      </c>
      <c r="J1480" t="s">
        <v>242</v>
      </c>
      <c r="K1480" s="183">
        <f ca="1">VLOOKUP(F1480,
    OFFSET(INDIRECT(ADDRESS(MATCH(J1480,'Vehicle numbers'!$A$5:$A$162,0),1,1,1,$L$6)),4,1,COUNTIF('Vehicle numbers'!$A$5:$A$162,J1480),4),
    MATCH(K$8,'Vehicle numbers'!$B$4:$D$4,0))*1000</f>
        <v>176929</v>
      </c>
      <c r="L1480" s="183">
        <f ca="1">VLOOKUP(F1480,
    OFFSET(INDIRECT(ADDRESS(MATCH(J1480,'Vehicle numbers'!$A$5:$A$162,0),1,1,1,$L$6)),4,1,COUNTIF('Vehicle numbers'!$A$5:$A$162,J1480),4),
    MATCH(L$8,'Vehicle numbers'!$B$4:$D$4,0))*1000</f>
        <v>183110.8349213714</v>
      </c>
      <c r="M1480" s="184">
        <f>VLOOKUP(F1480,'Annual distance covered (GB)'!$A$8:$H$33,MATCH(J1480,'Annual distance covered (GB)'!$A$7:$H$7,0))</f>
        <v>5.4</v>
      </c>
      <c r="N1480" s="2">
        <f t="shared" ca="1" si="58"/>
        <v>9288.6353303264295</v>
      </c>
      <c r="O1480" s="180">
        <f t="shared" ca="1" si="59"/>
        <v>5.0726847126850855E-2</v>
      </c>
      <c r="P1480" s="180"/>
      <c r="Q1480" s="180"/>
      <c r="R1480" s="180"/>
      <c r="S1480" s="180"/>
      <c r="T1480" s="180"/>
    </row>
    <row r="1481" spans="1:20" x14ac:dyDescent="0.25">
      <c r="A1481" t="s">
        <v>246</v>
      </c>
      <c r="B1481" t="s">
        <v>237</v>
      </c>
      <c r="C1481" t="s">
        <v>238</v>
      </c>
      <c r="D1481" t="s">
        <v>248</v>
      </c>
      <c r="E1481" t="s">
        <v>228</v>
      </c>
      <c r="F1481">
        <v>2007</v>
      </c>
      <c r="G1481">
        <v>1.32963708671209E-3</v>
      </c>
      <c r="H1481" t="s">
        <v>240</v>
      </c>
      <c r="I1481" t="s">
        <v>241</v>
      </c>
      <c r="J1481" t="s">
        <v>242</v>
      </c>
      <c r="K1481" s="183">
        <f ca="1">VLOOKUP(F1481,
    OFFSET(INDIRECT(ADDRESS(MATCH(J1481,'Vehicle numbers'!$A$5:$A$162,0),1,1,1,$L$6)),4,1,COUNTIF('Vehicle numbers'!$A$5:$A$162,J1481),4),
    MATCH(K$8,'Vehicle numbers'!$B$4:$D$4,0))*1000</f>
        <v>176929</v>
      </c>
      <c r="L1481" s="183">
        <f ca="1">VLOOKUP(F1481,
    OFFSET(INDIRECT(ADDRESS(MATCH(J1481,'Vehicle numbers'!$A$5:$A$162,0),1,1,1,$L$6)),4,1,COUNTIF('Vehicle numbers'!$A$5:$A$162,J1481),4),
    MATCH(L$8,'Vehicle numbers'!$B$4:$D$4,0))*1000</f>
        <v>183110.8349213714</v>
      </c>
      <c r="M1481" s="184">
        <f>VLOOKUP(F1481,'Annual distance covered (GB)'!$A$8:$H$33,MATCH(J1481,'Annual distance covered (GB)'!$A$7:$H$7,0))</f>
        <v>5.4</v>
      </c>
      <c r="N1481" s="2">
        <f t="shared" ca="1" si="58"/>
        <v>7430.9082642611556</v>
      </c>
      <c r="O1481" s="180">
        <f t="shared" ca="1" si="59"/>
        <v>4.0581477701480746E-2</v>
      </c>
      <c r="P1481" s="180"/>
      <c r="Q1481" s="180"/>
      <c r="R1481" s="180"/>
      <c r="S1481" s="180"/>
      <c r="T1481" s="180"/>
    </row>
    <row r="1482" spans="1:20" x14ac:dyDescent="0.25">
      <c r="A1482" t="s">
        <v>236</v>
      </c>
      <c r="B1482" t="s">
        <v>237</v>
      </c>
      <c r="C1482" t="s">
        <v>238</v>
      </c>
      <c r="D1482" t="s">
        <v>249</v>
      </c>
      <c r="E1482" t="s">
        <v>229</v>
      </c>
      <c r="F1482">
        <v>2007</v>
      </c>
      <c r="G1482">
        <v>5.35949999999999E-2</v>
      </c>
      <c r="H1482" t="s">
        <v>240</v>
      </c>
      <c r="I1482" t="s">
        <v>241</v>
      </c>
      <c r="J1482" t="s">
        <v>242</v>
      </c>
      <c r="K1482" s="183">
        <f ca="1">VLOOKUP(F1482,
    OFFSET(INDIRECT(ADDRESS(MATCH(J1482,'Vehicle numbers'!$A$5:$A$162,0),1,1,1,$L$6)),4,1,COUNTIF('Vehicle numbers'!$A$5:$A$162,J1482),4),
    MATCH(K$8,'Vehicle numbers'!$B$4:$D$4,0))*1000</f>
        <v>176929</v>
      </c>
      <c r="L1482" s="183">
        <f ca="1">VLOOKUP(F1482,
    OFFSET(INDIRECT(ADDRESS(MATCH(J1482,'Vehicle numbers'!$A$5:$A$162,0),1,1,1,$L$6)),4,1,COUNTIF('Vehicle numbers'!$A$5:$A$162,J1482),4),
    MATCH(L$8,'Vehicle numbers'!$B$4:$D$4,0))*1000</f>
        <v>183110.8349213714</v>
      </c>
      <c r="M1482" s="184">
        <f>VLOOKUP(F1482,'Annual distance covered (GB)'!$A$8:$H$33,MATCH(J1482,'Annual distance covered (GB)'!$A$7:$H$7,0))</f>
        <v>5.4</v>
      </c>
      <c r="N1482" s="2">
        <f t="shared" ca="1" si="58"/>
        <v>299524.98497758294</v>
      </c>
      <c r="O1482" s="180">
        <f t="shared" ca="1" si="59"/>
        <v>1.6357578463677493</v>
      </c>
      <c r="P1482" s="180"/>
      <c r="Q1482" s="180"/>
      <c r="R1482" s="180"/>
      <c r="S1482" s="180"/>
      <c r="T1482" s="180"/>
    </row>
    <row r="1483" spans="1:20" x14ac:dyDescent="0.25">
      <c r="A1483" t="s">
        <v>243</v>
      </c>
      <c r="B1483" t="s">
        <v>237</v>
      </c>
      <c r="C1483" t="s">
        <v>238</v>
      </c>
      <c r="D1483" t="s">
        <v>249</v>
      </c>
      <c r="E1483" t="s">
        <v>229</v>
      </c>
      <c r="F1483">
        <v>2007</v>
      </c>
      <c r="G1483">
        <v>2.1437999999999999E-2</v>
      </c>
      <c r="H1483" t="s">
        <v>240</v>
      </c>
      <c r="I1483" t="s">
        <v>241</v>
      </c>
      <c r="J1483" t="s">
        <v>242</v>
      </c>
      <c r="K1483" s="183">
        <f ca="1">VLOOKUP(F1483,
    OFFSET(INDIRECT(ADDRESS(MATCH(J1483,'Vehicle numbers'!$A$5:$A$162,0),1,1,1,$L$6)),4,1,COUNTIF('Vehicle numbers'!$A$5:$A$162,J1483),4),
    MATCH(K$8,'Vehicle numbers'!$B$4:$D$4,0))*1000</f>
        <v>176929</v>
      </c>
      <c r="L1483" s="183">
        <f ca="1">VLOOKUP(F1483,
    OFFSET(INDIRECT(ADDRESS(MATCH(J1483,'Vehicle numbers'!$A$5:$A$162,0),1,1,1,$L$6)),4,1,COUNTIF('Vehicle numbers'!$A$5:$A$162,J1483),4),
    MATCH(L$8,'Vehicle numbers'!$B$4:$D$4,0))*1000</f>
        <v>183110.8349213714</v>
      </c>
      <c r="M1483" s="184">
        <f>VLOOKUP(F1483,'Annual distance covered (GB)'!$A$8:$H$33,MATCH(J1483,'Annual distance covered (GB)'!$A$7:$H$7,0))</f>
        <v>5.4</v>
      </c>
      <c r="N1483" s="2">
        <f t="shared" ref="N1483:N1546" ca="1" si="60">M1483*G1483*1000000*(L1483/K1483)</f>
        <v>119809.99399103338</v>
      </c>
      <c r="O1483" s="180">
        <f t="shared" ref="O1483:O1546" ca="1" si="61">N1483/L1483</f>
        <v>0.65430313854710087</v>
      </c>
      <c r="P1483" s="180"/>
      <c r="Q1483" s="180"/>
      <c r="R1483" s="180"/>
      <c r="S1483" s="180"/>
      <c r="T1483" s="180"/>
    </row>
    <row r="1484" spans="1:20" x14ac:dyDescent="0.25">
      <c r="A1484" t="s">
        <v>244</v>
      </c>
      <c r="B1484" t="s">
        <v>237</v>
      </c>
      <c r="C1484" t="s">
        <v>238</v>
      </c>
      <c r="D1484" t="s">
        <v>249</v>
      </c>
      <c r="E1484" t="s">
        <v>229</v>
      </c>
      <c r="F1484">
        <v>2007</v>
      </c>
      <c r="G1484">
        <v>5.3594999999999997E-3</v>
      </c>
      <c r="H1484" t="s">
        <v>240</v>
      </c>
      <c r="I1484" t="s">
        <v>241</v>
      </c>
      <c r="J1484" t="s">
        <v>242</v>
      </c>
      <c r="K1484" s="183">
        <f ca="1">VLOOKUP(F1484,
    OFFSET(INDIRECT(ADDRESS(MATCH(J1484,'Vehicle numbers'!$A$5:$A$162,0),1,1,1,$L$6)),4,1,COUNTIF('Vehicle numbers'!$A$5:$A$162,J1484),4),
    MATCH(K$8,'Vehicle numbers'!$B$4:$D$4,0))*1000</f>
        <v>176929</v>
      </c>
      <c r="L1484" s="183">
        <f ca="1">VLOOKUP(F1484,
    OFFSET(INDIRECT(ADDRESS(MATCH(J1484,'Vehicle numbers'!$A$5:$A$162,0),1,1,1,$L$6)),4,1,COUNTIF('Vehicle numbers'!$A$5:$A$162,J1484),4),
    MATCH(L$8,'Vehicle numbers'!$B$4:$D$4,0))*1000</f>
        <v>183110.8349213714</v>
      </c>
      <c r="M1484" s="184">
        <f>VLOOKUP(F1484,'Annual distance covered (GB)'!$A$8:$H$33,MATCH(J1484,'Annual distance covered (GB)'!$A$7:$H$7,0))</f>
        <v>5.4</v>
      </c>
      <c r="N1484" s="2">
        <f t="shared" ca="1" si="60"/>
        <v>29952.498497758344</v>
      </c>
      <c r="O1484" s="180">
        <f t="shared" ca="1" si="61"/>
        <v>0.16357578463677522</v>
      </c>
      <c r="P1484" s="180"/>
      <c r="Q1484" s="180"/>
      <c r="R1484" s="180"/>
      <c r="S1484" s="180"/>
      <c r="T1484" s="180"/>
    </row>
    <row r="1485" spans="1:20" x14ac:dyDescent="0.25">
      <c r="A1485" t="s">
        <v>246</v>
      </c>
      <c r="B1485" t="s">
        <v>237</v>
      </c>
      <c r="C1485" t="s">
        <v>238</v>
      </c>
      <c r="D1485" t="s">
        <v>249</v>
      </c>
      <c r="E1485" t="s">
        <v>229</v>
      </c>
      <c r="F1485">
        <v>2007</v>
      </c>
      <c r="G1485">
        <v>4.2875999999999999E-3</v>
      </c>
      <c r="H1485" t="s">
        <v>240</v>
      </c>
      <c r="I1485" t="s">
        <v>241</v>
      </c>
      <c r="J1485" t="s">
        <v>242</v>
      </c>
      <c r="K1485" s="183">
        <f ca="1">VLOOKUP(F1485,
    OFFSET(INDIRECT(ADDRESS(MATCH(J1485,'Vehicle numbers'!$A$5:$A$162,0),1,1,1,$L$6)),4,1,COUNTIF('Vehicle numbers'!$A$5:$A$162,J1485),4),
    MATCH(K$8,'Vehicle numbers'!$B$4:$D$4,0))*1000</f>
        <v>176929</v>
      </c>
      <c r="L1485" s="183">
        <f ca="1">VLOOKUP(F1485,
    OFFSET(INDIRECT(ADDRESS(MATCH(J1485,'Vehicle numbers'!$A$5:$A$162,0),1,1,1,$L$6)),4,1,COUNTIF('Vehicle numbers'!$A$5:$A$162,J1485),4),
    MATCH(L$8,'Vehicle numbers'!$B$4:$D$4,0))*1000</f>
        <v>183110.8349213714</v>
      </c>
      <c r="M1485" s="184">
        <f>VLOOKUP(F1485,'Annual distance covered (GB)'!$A$8:$H$33,MATCH(J1485,'Annual distance covered (GB)'!$A$7:$H$7,0))</f>
        <v>5.4</v>
      </c>
      <c r="N1485" s="2">
        <f t="shared" ca="1" si="60"/>
        <v>23961.998798206678</v>
      </c>
      <c r="O1485" s="180">
        <f t="shared" ca="1" si="61"/>
        <v>0.13086062770942017</v>
      </c>
      <c r="P1485" s="180"/>
      <c r="Q1485" s="180"/>
      <c r="R1485" s="180"/>
      <c r="S1485" s="180"/>
      <c r="T1485" s="180"/>
    </row>
    <row r="1486" spans="1:20" x14ac:dyDescent="0.25">
      <c r="A1486" t="s">
        <v>236</v>
      </c>
      <c r="B1486" t="s">
        <v>237</v>
      </c>
      <c r="C1486" t="s">
        <v>238</v>
      </c>
      <c r="D1486" t="s">
        <v>249</v>
      </c>
      <c r="E1486" t="s">
        <v>228</v>
      </c>
      <c r="F1486">
        <v>2007</v>
      </c>
      <c r="G1486">
        <v>2.1391184944182899E-2</v>
      </c>
      <c r="H1486" t="s">
        <v>240</v>
      </c>
      <c r="I1486" t="s">
        <v>241</v>
      </c>
      <c r="J1486" t="s">
        <v>242</v>
      </c>
      <c r="K1486" s="183">
        <f ca="1">VLOOKUP(F1486,
    OFFSET(INDIRECT(ADDRESS(MATCH(J1486,'Vehicle numbers'!$A$5:$A$162,0),1,1,1,$L$6)),4,1,COUNTIF('Vehicle numbers'!$A$5:$A$162,J1486),4),
    MATCH(K$8,'Vehicle numbers'!$B$4:$D$4,0))*1000</f>
        <v>176929</v>
      </c>
      <c r="L1486" s="183">
        <f ca="1">VLOOKUP(F1486,
    OFFSET(INDIRECT(ADDRESS(MATCH(J1486,'Vehicle numbers'!$A$5:$A$162,0),1,1,1,$L$6)),4,1,COUNTIF('Vehicle numbers'!$A$5:$A$162,J1486),4),
    MATCH(L$8,'Vehicle numbers'!$B$4:$D$4,0))*1000</f>
        <v>183110.8349213714</v>
      </c>
      <c r="M1486" s="184">
        <f>VLOOKUP(F1486,'Annual distance covered (GB)'!$A$8:$H$33,MATCH(J1486,'Annual distance covered (GB)'!$A$7:$H$7,0))</f>
        <v>5.4</v>
      </c>
      <c r="N1486" s="2">
        <f t="shared" ca="1" si="60"/>
        <v>119548.35990407861</v>
      </c>
      <c r="O1486" s="180">
        <f t="shared" ca="1" si="61"/>
        <v>0.65287430946078751</v>
      </c>
      <c r="P1486" s="180"/>
      <c r="Q1486" s="180"/>
      <c r="R1486" s="180"/>
      <c r="S1486" s="180"/>
      <c r="T1486" s="180"/>
    </row>
    <row r="1487" spans="1:20" x14ac:dyDescent="0.25">
      <c r="A1487" t="s">
        <v>243</v>
      </c>
      <c r="B1487" t="s">
        <v>237</v>
      </c>
      <c r="C1487" t="s">
        <v>238</v>
      </c>
      <c r="D1487" t="s">
        <v>249</v>
      </c>
      <c r="E1487" t="s">
        <v>228</v>
      </c>
      <c r="F1487">
        <v>2007</v>
      </c>
      <c r="G1487">
        <v>1.4973829460928E-2</v>
      </c>
      <c r="H1487" t="s">
        <v>240</v>
      </c>
      <c r="I1487" t="s">
        <v>241</v>
      </c>
      <c r="J1487" t="s">
        <v>242</v>
      </c>
      <c r="K1487" s="183">
        <f ca="1">VLOOKUP(F1487,
    OFFSET(INDIRECT(ADDRESS(MATCH(J1487,'Vehicle numbers'!$A$5:$A$162,0),1,1,1,$L$6)),4,1,COUNTIF('Vehicle numbers'!$A$5:$A$162,J1487),4),
    MATCH(K$8,'Vehicle numbers'!$B$4:$D$4,0))*1000</f>
        <v>176929</v>
      </c>
      <c r="L1487" s="183">
        <f ca="1">VLOOKUP(F1487,
    OFFSET(INDIRECT(ADDRESS(MATCH(J1487,'Vehicle numbers'!$A$5:$A$162,0),1,1,1,$L$6)),4,1,COUNTIF('Vehicle numbers'!$A$5:$A$162,J1487),4),
    MATCH(L$8,'Vehicle numbers'!$B$4:$D$4,0))*1000</f>
        <v>183110.8349213714</v>
      </c>
      <c r="M1487" s="184">
        <f>VLOOKUP(F1487,'Annual distance covered (GB)'!$A$8:$H$33,MATCH(J1487,'Annual distance covered (GB)'!$A$7:$H$7,0))</f>
        <v>5.4</v>
      </c>
      <c r="N1487" s="2">
        <f t="shared" ca="1" si="60"/>
        <v>83683.851932854857</v>
      </c>
      <c r="O1487" s="180">
        <f t="shared" ca="1" si="61"/>
        <v>0.45701201662255037</v>
      </c>
      <c r="P1487" s="180"/>
      <c r="Q1487" s="180"/>
      <c r="R1487" s="180"/>
      <c r="S1487" s="180"/>
      <c r="T1487" s="180"/>
    </row>
    <row r="1488" spans="1:20" x14ac:dyDescent="0.25">
      <c r="A1488" t="s">
        <v>244</v>
      </c>
      <c r="B1488" t="s">
        <v>237</v>
      </c>
      <c r="C1488" t="s">
        <v>238</v>
      </c>
      <c r="D1488" t="s">
        <v>249</v>
      </c>
      <c r="E1488" t="s">
        <v>228</v>
      </c>
      <c r="F1488">
        <v>2007</v>
      </c>
      <c r="G1488">
        <v>2.1089900649194299E-3</v>
      </c>
      <c r="H1488" t="s">
        <v>240</v>
      </c>
      <c r="I1488" t="s">
        <v>241</v>
      </c>
      <c r="J1488" t="s">
        <v>242</v>
      </c>
      <c r="K1488" s="183">
        <f ca="1">VLOOKUP(F1488,
    OFFSET(INDIRECT(ADDRESS(MATCH(J1488,'Vehicle numbers'!$A$5:$A$162,0),1,1,1,$L$6)),4,1,COUNTIF('Vehicle numbers'!$A$5:$A$162,J1488),4),
    MATCH(K$8,'Vehicle numbers'!$B$4:$D$4,0))*1000</f>
        <v>176929</v>
      </c>
      <c r="L1488" s="183">
        <f ca="1">VLOOKUP(F1488,
    OFFSET(INDIRECT(ADDRESS(MATCH(J1488,'Vehicle numbers'!$A$5:$A$162,0),1,1,1,$L$6)),4,1,COUNTIF('Vehicle numbers'!$A$5:$A$162,J1488),4),
    MATCH(L$8,'Vehicle numbers'!$B$4:$D$4,0))*1000</f>
        <v>183110.8349213714</v>
      </c>
      <c r="M1488" s="184">
        <f>VLOOKUP(F1488,'Annual distance covered (GB)'!$A$8:$H$33,MATCH(J1488,'Annual distance covered (GB)'!$A$7:$H$7,0))</f>
        <v>5.4</v>
      </c>
      <c r="N1488" s="2">
        <f t="shared" ca="1" si="60"/>
        <v>11786.458018711914</v>
      </c>
      <c r="O1488" s="180">
        <f t="shared" ca="1" si="61"/>
        <v>6.4367889665147726E-2</v>
      </c>
      <c r="P1488" s="180"/>
      <c r="Q1488" s="180"/>
      <c r="R1488" s="180"/>
      <c r="S1488" s="180"/>
      <c r="T1488" s="180"/>
    </row>
    <row r="1489" spans="1:20" x14ac:dyDescent="0.25">
      <c r="A1489" t="s">
        <v>246</v>
      </c>
      <c r="B1489" t="s">
        <v>237</v>
      </c>
      <c r="C1489" t="s">
        <v>238</v>
      </c>
      <c r="D1489" t="s">
        <v>249</v>
      </c>
      <c r="E1489" t="s">
        <v>228</v>
      </c>
      <c r="F1489">
        <v>2007</v>
      </c>
      <c r="G1489">
        <v>1.6871920519355499E-3</v>
      </c>
      <c r="H1489" t="s">
        <v>240</v>
      </c>
      <c r="I1489" t="s">
        <v>241</v>
      </c>
      <c r="J1489" t="s">
        <v>242</v>
      </c>
      <c r="K1489" s="183">
        <f ca="1">VLOOKUP(F1489,
    OFFSET(INDIRECT(ADDRESS(MATCH(J1489,'Vehicle numbers'!$A$5:$A$162,0),1,1,1,$L$6)),4,1,COUNTIF('Vehicle numbers'!$A$5:$A$162,J1489),4),
    MATCH(K$8,'Vehicle numbers'!$B$4:$D$4,0))*1000</f>
        <v>176929</v>
      </c>
      <c r="L1489" s="183">
        <f ca="1">VLOOKUP(F1489,
    OFFSET(INDIRECT(ADDRESS(MATCH(J1489,'Vehicle numbers'!$A$5:$A$162,0),1,1,1,$L$6)),4,1,COUNTIF('Vehicle numbers'!$A$5:$A$162,J1489),4),
    MATCH(L$8,'Vehicle numbers'!$B$4:$D$4,0))*1000</f>
        <v>183110.8349213714</v>
      </c>
      <c r="M1489" s="184">
        <f>VLOOKUP(F1489,'Annual distance covered (GB)'!$A$8:$H$33,MATCH(J1489,'Annual distance covered (GB)'!$A$7:$H$7,0))</f>
        <v>5.4</v>
      </c>
      <c r="N1489" s="2">
        <f t="shared" ca="1" si="60"/>
        <v>9429.1664149695644</v>
      </c>
      <c r="O1489" s="180">
        <f t="shared" ca="1" si="61"/>
        <v>5.1494311732118367E-2</v>
      </c>
      <c r="P1489" s="180"/>
      <c r="Q1489" s="180"/>
      <c r="R1489" s="180"/>
      <c r="S1489" s="180"/>
      <c r="T1489" s="180"/>
    </row>
    <row r="1490" spans="1:20" x14ac:dyDescent="0.25">
      <c r="A1490" t="s">
        <v>236</v>
      </c>
      <c r="B1490" t="s">
        <v>237</v>
      </c>
      <c r="C1490" t="s">
        <v>238</v>
      </c>
      <c r="D1490" t="s">
        <v>250</v>
      </c>
      <c r="E1490" t="s">
        <v>229</v>
      </c>
      <c r="F1490">
        <v>2007</v>
      </c>
      <c r="G1490">
        <v>1.3600000000000001E-3</v>
      </c>
      <c r="H1490" t="s">
        <v>240</v>
      </c>
      <c r="I1490" t="s">
        <v>241</v>
      </c>
      <c r="J1490" t="s">
        <v>2</v>
      </c>
      <c r="K1490" s="183">
        <f ca="1">VLOOKUP(F1490,
    OFFSET(INDIRECT(ADDRESS(MATCH(J1490,'Vehicle numbers'!$A$5:$A$162,0),1,1,1,$L$6)),4,1,COUNTIF('Vehicle numbers'!$A$5:$A$162,J1490),4),
    MATCH(K$8,'Vehicle numbers'!$B$4:$D$4,0))*1000</f>
        <v>28000264</v>
      </c>
      <c r="L1490" s="183">
        <f ca="1">VLOOKUP(F1490,
    OFFSET(INDIRECT(ADDRESS(MATCH(J1490,'Vehicle numbers'!$A$5:$A$162,0),1,1,1,$L$6)),4,1,COUNTIF('Vehicle numbers'!$A$5:$A$162,J1490),4),
    MATCH(L$8,'Vehicle numbers'!$B$4:$D$4,0))*1000</f>
        <v>28860782.073397093</v>
      </c>
      <c r="M1490" s="184">
        <f>VLOOKUP(F1490,'Annual distance covered (GB)'!$A$8:$H$33,MATCH(J1490,'Annual distance covered (GB)'!$A$7:$H$7,0))</f>
        <v>397.9</v>
      </c>
      <c r="N1490" s="2">
        <f t="shared" ca="1" si="60"/>
        <v>557774.70720727474</v>
      </c>
      <c r="O1490" s="180">
        <f t="shared" ca="1" si="61"/>
        <v>1.9326389208330321E-2</v>
      </c>
      <c r="P1490" s="180"/>
      <c r="Q1490" s="180"/>
      <c r="R1490" s="180"/>
      <c r="S1490" s="180"/>
      <c r="T1490" s="180"/>
    </row>
    <row r="1491" spans="1:20" x14ac:dyDescent="0.25">
      <c r="A1491" t="s">
        <v>243</v>
      </c>
      <c r="B1491" t="s">
        <v>237</v>
      </c>
      <c r="C1491" t="s">
        <v>238</v>
      </c>
      <c r="D1491" t="s">
        <v>250</v>
      </c>
      <c r="E1491" t="s">
        <v>229</v>
      </c>
      <c r="F1491">
        <v>2007</v>
      </c>
      <c r="G1491">
        <v>5.44E-4</v>
      </c>
      <c r="H1491" t="s">
        <v>240</v>
      </c>
      <c r="I1491" t="s">
        <v>241</v>
      </c>
      <c r="J1491" t="s">
        <v>2</v>
      </c>
      <c r="K1491" s="183">
        <f ca="1">VLOOKUP(F1491,
    OFFSET(INDIRECT(ADDRESS(MATCH(J1491,'Vehicle numbers'!$A$5:$A$162,0),1,1,1,$L$6)),4,1,COUNTIF('Vehicle numbers'!$A$5:$A$162,J1491),4),
    MATCH(K$8,'Vehicle numbers'!$B$4:$D$4,0))*1000</f>
        <v>28000264</v>
      </c>
      <c r="L1491" s="183">
        <f ca="1">VLOOKUP(F1491,
    OFFSET(INDIRECT(ADDRESS(MATCH(J1491,'Vehicle numbers'!$A$5:$A$162,0),1,1,1,$L$6)),4,1,COUNTIF('Vehicle numbers'!$A$5:$A$162,J1491),4),
    MATCH(L$8,'Vehicle numbers'!$B$4:$D$4,0))*1000</f>
        <v>28860782.073397093</v>
      </c>
      <c r="M1491" s="184">
        <f>VLOOKUP(F1491,'Annual distance covered (GB)'!$A$8:$H$33,MATCH(J1491,'Annual distance covered (GB)'!$A$7:$H$7,0))</f>
        <v>397.9</v>
      </c>
      <c r="N1491" s="2">
        <f t="shared" ca="1" si="60"/>
        <v>223109.88288290988</v>
      </c>
      <c r="O1491" s="180">
        <f t="shared" ca="1" si="61"/>
        <v>7.7305556833321279E-3</v>
      </c>
      <c r="P1491" s="180"/>
      <c r="Q1491" s="180"/>
      <c r="R1491" s="180"/>
      <c r="S1491" s="180"/>
      <c r="T1491" s="180"/>
    </row>
    <row r="1492" spans="1:20" x14ac:dyDescent="0.25">
      <c r="A1492" t="s">
        <v>244</v>
      </c>
      <c r="B1492" t="s">
        <v>237</v>
      </c>
      <c r="C1492" t="s">
        <v>238</v>
      </c>
      <c r="D1492" t="s">
        <v>250</v>
      </c>
      <c r="E1492" t="s">
        <v>229</v>
      </c>
      <c r="F1492">
        <v>2007</v>
      </c>
      <c r="G1492">
        <v>1.36E-4</v>
      </c>
      <c r="H1492" t="s">
        <v>240</v>
      </c>
      <c r="I1492" t="s">
        <v>241</v>
      </c>
      <c r="J1492" t="s">
        <v>2</v>
      </c>
      <c r="K1492" s="183">
        <f ca="1">VLOOKUP(F1492,
    OFFSET(INDIRECT(ADDRESS(MATCH(J1492,'Vehicle numbers'!$A$5:$A$162,0),1,1,1,$L$6)),4,1,COUNTIF('Vehicle numbers'!$A$5:$A$162,J1492),4),
    MATCH(K$8,'Vehicle numbers'!$B$4:$D$4,0))*1000</f>
        <v>28000264</v>
      </c>
      <c r="L1492" s="183">
        <f ca="1">VLOOKUP(F1492,
    OFFSET(INDIRECT(ADDRESS(MATCH(J1492,'Vehicle numbers'!$A$5:$A$162,0),1,1,1,$L$6)),4,1,COUNTIF('Vehicle numbers'!$A$5:$A$162,J1492),4),
    MATCH(L$8,'Vehicle numbers'!$B$4:$D$4,0))*1000</f>
        <v>28860782.073397093</v>
      </c>
      <c r="M1492" s="184">
        <f>VLOOKUP(F1492,'Annual distance covered (GB)'!$A$8:$H$33,MATCH(J1492,'Annual distance covered (GB)'!$A$7:$H$7,0))</f>
        <v>397.9</v>
      </c>
      <c r="N1492" s="2">
        <f t="shared" ca="1" si="60"/>
        <v>55777.47072072747</v>
      </c>
      <c r="O1492" s="180">
        <f t="shared" ca="1" si="61"/>
        <v>1.932638920833032E-3</v>
      </c>
      <c r="P1492" s="180"/>
      <c r="Q1492" s="180"/>
      <c r="R1492" s="180"/>
      <c r="S1492" s="180"/>
      <c r="T1492" s="180"/>
    </row>
    <row r="1493" spans="1:20" x14ac:dyDescent="0.25">
      <c r="A1493" t="s">
        <v>246</v>
      </c>
      <c r="B1493" t="s">
        <v>237</v>
      </c>
      <c r="C1493" t="s">
        <v>238</v>
      </c>
      <c r="D1493" t="s">
        <v>250</v>
      </c>
      <c r="E1493" t="s">
        <v>229</v>
      </c>
      <c r="F1493">
        <v>2007</v>
      </c>
      <c r="G1493">
        <v>1.088E-4</v>
      </c>
      <c r="H1493" t="s">
        <v>240</v>
      </c>
      <c r="I1493" t="s">
        <v>241</v>
      </c>
      <c r="J1493" t="s">
        <v>2</v>
      </c>
      <c r="K1493" s="183">
        <f ca="1">VLOOKUP(F1493,
    OFFSET(INDIRECT(ADDRESS(MATCH(J1493,'Vehicle numbers'!$A$5:$A$162,0),1,1,1,$L$6)),4,1,COUNTIF('Vehicle numbers'!$A$5:$A$162,J1493),4),
    MATCH(K$8,'Vehicle numbers'!$B$4:$D$4,0))*1000</f>
        <v>28000264</v>
      </c>
      <c r="L1493" s="183">
        <f ca="1">VLOOKUP(F1493,
    OFFSET(INDIRECT(ADDRESS(MATCH(J1493,'Vehicle numbers'!$A$5:$A$162,0),1,1,1,$L$6)),4,1,COUNTIF('Vehicle numbers'!$A$5:$A$162,J1493),4),
    MATCH(L$8,'Vehicle numbers'!$B$4:$D$4,0))*1000</f>
        <v>28860782.073397093</v>
      </c>
      <c r="M1493" s="184">
        <f>VLOOKUP(F1493,'Annual distance covered (GB)'!$A$8:$H$33,MATCH(J1493,'Annual distance covered (GB)'!$A$7:$H$7,0))</f>
        <v>397.9</v>
      </c>
      <c r="N1493" s="2">
        <f t="shared" ca="1" si="60"/>
        <v>44621.976576581983</v>
      </c>
      <c r="O1493" s="180">
        <f t="shared" ca="1" si="61"/>
        <v>1.5461111366664258E-3</v>
      </c>
      <c r="P1493" s="180"/>
      <c r="Q1493" s="180"/>
      <c r="R1493" s="180"/>
      <c r="S1493" s="180"/>
      <c r="T1493" s="180"/>
    </row>
    <row r="1494" spans="1:20" x14ac:dyDescent="0.25">
      <c r="A1494" t="s">
        <v>236</v>
      </c>
      <c r="B1494" t="s">
        <v>237</v>
      </c>
      <c r="C1494" t="s">
        <v>238</v>
      </c>
      <c r="D1494" t="s">
        <v>250</v>
      </c>
      <c r="E1494" t="s">
        <v>228</v>
      </c>
      <c r="F1494">
        <v>2007</v>
      </c>
      <c r="G1494">
        <v>5.7910000000000001E-3</v>
      </c>
      <c r="H1494" t="s">
        <v>240</v>
      </c>
      <c r="I1494" t="s">
        <v>241</v>
      </c>
      <c r="J1494" t="s">
        <v>2</v>
      </c>
      <c r="K1494" s="183">
        <f ca="1">VLOOKUP(F1494,
    OFFSET(INDIRECT(ADDRESS(MATCH(J1494,'Vehicle numbers'!$A$5:$A$162,0),1,1,1,$L$6)),4,1,COUNTIF('Vehicle numbers'!$A$5:$A$162,J1494),4),
    MATCH(K$8,'Vehicle numbers'!$B$4:$D$4,0))*1000</f>
        <v>28000264</v>
      </c>
      <c r="L1494" s="183">
        <f ca="1">VLOOKUP(F1494,
    OFFSET(INDIRECT(ADDRESS(MATCH(J1494,'Vehicle numbers'!$A$5:$A$162,0),1,1,1,$L$6)),4,1,COUNTIF('Vehicle numbers'!$A$5:$A$162,J1494),4),
    MATCH(L$8,'Vehicle numbers'!$B$4:$D$4,0))*1000</f>
        <v>28860782.073397093</v>
      </c>
      <c r="M1494" s="184">
        <f>VLOOKUP(F1494,'Annual distance covered (GB)'!$A$8:$H$33,MATCH(J1494,'Annual distance covered (GB)'!$A$7:$H$7,0))</f>
        <v>397.9</v>
      </c>
      <c r="N1494" s="2">
        <f t="shared" ca="1" si="60"/>
        <v>2375053.9187039179</v>
      </c>
      <c r="O1494" s="180">
        <f t="shared" ca="1" si="61"/>
        <v>8.2293470518706544E-2</v>
      </c>
      <c r="P1494" s="180"/>
      <c r="Q1494" s="180"/>
      <c r="R1494" s="180"/>
      <c r="S1494" s="180"/>
      <c r="T1494" s="180"/>
    </row>
    <row r="1495" spans="1:20" x14ac:dyDescent="0.25">
      <c r="A1495" t="s">
        <v>243</v>
      </c>
      <c r="B1495" t="s">
        <v>237</v>
      </c>
      <c r="C1495" t="s">
        <v>238</v>
      </c>
      <c r="D1495" t="s">
        <v>250</v>
      </c>
      <c r="E1495" t="s">
        <v>228</v>
      </c>
      <c r="F1495">
        <v>2007</v>
      </c>
      <c r="G1495">
        <v>4.0537000000000004E-3</v>
      </c>
      <c r="H1495" t="s">
        <v>240</v>
      </c>
      <c r="I1495" t="s">
        <v>241</v>
      </c>
      <c r="J1495" t="s">
        <v>2</v>
      </c>
      <c r="K1495" s="183">
        <f ca="1">VLOOKUP(F1495,
    OFFSET(INDIRECT(ADDRESS(MATCH(J1495,'Vehicle numbers'!$A$5:$A$162,0),1,1,1,$L$6)),4,1,COUNTIF('Vehicle numbers'!$A$5:$A$162,J1495),4),
    MATCH(K$8,'Vehicle numbers'!$B$4:$D$4,0))*1000</f>
        <v>28000264</v>
      </c>
      <c r="L1495" s="183">
        <f ca="1">VLOOKUP(F1495,
    OFFSET(INDIRECT(ADDRESS(MATCH(J1495,'Vehicle numbers'!$A$5:$A$162,0),1,1,1,$L$6)),4,1,COUNTIF('Vehicle numbers'!$A$5:$A$162,J1495),4),
    MATCH(L$8,'Vehicle numbers'!$B$4:$D$4,0))*1000</f>
        <v>28860782.073397093</v>
      </c>
      <c r="M1495" s="184">
        <f>VLOOKUP(F1495,'Annual distance covered (GB)'!$A$8:$H$33,MATCH(J1495,'Annual distance covered (GB)'!$A$7:$H$7,0))</f>
        <v>397.9</v>
      </c>
      <c r="N1495" s="2">
        <f t="shared" ca="1" si="60"/>
        <v>1662537.7430927425</v>
      </c>
      <c r="O1495" s="180">
        <f t="shared" ca="1" si="61"/>
        <v>5.7605429363094582E-2</v>
      </c>
      <c r="P1495" s="180"/>
      <c r="Q1495" s="180"/>
      <c r="R1495" s="180"/>
      <c r="S1495" s="180"/>
      <c r="T1495" s="180"/>
    </row>
    <row r="1496" spans="1:20" x14ac:dyDescent="0.25">
      <c r="A1496" t="s">
        <v>244</v>
      </c>
      <c r="B1496" t="s">
        <v>237</v>
      </c>
      <c r="C1496" t="s">
        <v>238</v>
      </c>
      <c r="D1496" t="s">
        <v>250</v>
      </c>
      <c r="E1496" t="s">
        <v>228</v>
      </c>
      <c r="F1496">
        <v>2007</v>
      </c>
      <c r="G1496">
        <v>5.7094366197182997E-4</v>
      </c>
      <c r="H1496" t="s">
        <v>240</v>
      </c>
      <c r="I1496" t="s">
        <v>241</v>
      </c>
      <c r="J1496" t="s">
        <v>2</v>
      </c>
      <c r="K1496" s="183">
        <f ca="1">VLOOKUP(F1496,
    OFFSET(INDIRECT(ADDRESS(MATCH(J1496,'Vehicle numbers'!$A$5:$A$162,0),1,1,1,$L$6)),4,1,COUNTIF('Vehicle numbers'!$A$5:$A$162,J1496),4),
    MATCH(K$8,'Vehicle numbers'!$B$4:$D$4,0))*1000</f>
        <v>28000264</v>
      </c>
      <c r="L1496" s="183">
        <f ca="1">VLOOKUP(F1496,
    OFFSET(INDIRECT(ADDRESS(MATCH(J1496,'Vehicle numbers'!$A$5:$A$162,0),1,1,1,$L$6)),4,1,COUNTIF('Vehicle numbers'!$A$5:$A$162,J1496),4),
    MATCH(L$8,'Vehicle numbers'!$B$4:$D$4,0))*1000</f>
        <v>28860782.073397093</v>
      </c>
      <c r="M1496" s="184">
        <f>VLOOKUP(F1496,'Annual distance covered (GB)'!$A$8:$H$33,MATCH(J1496,'Annual distance covered (GB)'!$A$7:$H$7,0))</f>
        <v>397.9</v>
      </c>
      <c r="N1496" s="2">
        <f t="shared" ca="1" si="60"/>
        <v>234160.24550601962</v>
      </c>
      <c r="O1496" s="180">
        <f t="shared" ca="1" si="61"/>
        <v>8.1134407553654173E-3</v>
      </c>
      <c r="P1496" s="180"/>
      <c r="Q1496" s="180"/>
      <c r="R1496" s="180"/>
      <c r="S1496" s="180"/>
      <c r="T1496" s="180"/>
    </row>
    <row r="1497" spans="1:20" x14ac:dyDescent="0.25">
      <c r="A1497" t="s">
        <v>246</v>
      </c>
      <c r="B1497" t="s">
        <v>237</v>
      </c>
      <c r="C1497" t="s">
        <v>238</v>
      </c>
      <c r="D1497" t="s">
        <v>250</v>
      </c>
      <c r="E1497" t="s">
        <v>228</v>
      </c>
      <c r="F1497">
        <v>2007</v>
      </c>
      <c r="G1497">
        <v>4.5675492957746402E-4</v>
      </c>
      <c r="H1497" t="s">
        <v>240</v>
      </c>
      <c r="I1497" t="s">
        <v>241</v>
      </c>
      <c r="J1497" t="s">
        <v>2</v>
      </c>
      <c r="K1497" s="183">
        <f ca="1">VLOOKUP(F1497,
    OFFSET(INDIRECT(ADDRESS(MATCH(J1497,'Vehicle numbers'!$A$5:$A$162,0),1,1,1,$L$6)),4,1,COUNTIF('Vehicle numbers'!$A$5:$A$162,J1497),4),
    MATCH(K$8,'Vehicle numbers'!$B$4:$D$4,0))*1000</f>
        <v>28000264</v>
      </c>
      <c r="L1497" s="183">
        <f ca="1">VLOOKUP(F1497,
    OFFSET(INDIRECT(ADDRESS(MATCH(J1497,'Vehicle numbers'!$A$5:$A$162,0),1,1,1,$L$6)),4,1,COUNTIF('Vehicle numbers'!$A$5:$A$162,J1497),4),
    MATCH(L$8,'Vehicle numbers'!$B$4:$D$4,0))*1000</f>
        <v>28860782.073397093</v>
      </c>
      <c r="M1497" s="184">
        <f>VLOOKUP(F1497,'Annual distance covered (GB)'!$A$8:$H$33,MATCH(J1497,'Annual distance covered (GB)'!$A$7:$H$7,0))</f>
        <v>397.9</v>
      </c>
      <c r="N1497" s="2">
        <f t="shared" ca="1" si="60"/>
        <v>187328.19640481574</v>
      </c>
      <c r="O1497" s="180">
        <f t="shared" ca="1" si="61"/>
        <v>6.4907526042923356E-3</v>
      </c>
      <c r="P1497" s="180"/>
      <c r="Q1497" s="180"/>
      <c r="R1497" s="180"/>
      <c r="S1497" s="180"/>
      <c r="T1497" s="180"/>
    </row>
    <row r="1498" spans="1:20" x14ac:dyDescent="0.25">
      <c r="A1498" t="s">
        <v>236</v>
      </c>
      <c r="B1498" t="s">
        <v>237</v>
      </c>
      <c r="C1498" t="s">
        <v>238</v>
      </c>
      <c r="D1498" t="s">
        <v>255</v>
      </c>
      <c r="E1498" t="s">
        <v>229</v>
      </c>
      <c r="F1498">
        <v>2007</v>
      </c>
      <c r="G1498">
        <v>5.5269999999999903E-3</v>
      </c>
      <c r="H1498" t="s">
        <v>240</v>
      </c>
      <c r="I1498" t="s">
        <v>241</v>
      </c>
      <c r="J1498" t="s">
        <v>2</v>
      </c>
      <c r="K1498" s="183">
        <f ca="1">VLOOKUP(F1498,
    OFFSET(INDIRECT(ADDRESS(MATCH(J1498,'Vehicle numbers'!$A$5:$A$162,0),1,1,1,$L$6)),4,1,COUNTIF('Vehicle numbers'!$A$5:$A$162,J1498),4),
    MATCH(K$8,'Vehicle numbers'!$B$4:$D$4,0))*1000</f>
        <v>28000264</v>
      </c>
      <c r="L1498" s="183">
        <f ca="1">VLOOKUP(F1498,
    OFFSET(INDIRECT(ADDRESS(MATCH(J1498,'Vehicle numbers'!$A$5:$A$162,0),1,1,1,$L$6)),4,1,COUNTIF('Vehicle numbers'!$A$5:$A$162,J1498),4),
    MATCH(L$8,'Vehicle numbers'!$B$4:$D$4,0))*1000</f>
        <v>28860782.073397093</v>
      </c>
      <c r="M1498" s="184">
        <f>VLOOKUP(F1498,'Annual distance covered (GB)'!$A$8:$H$33,MATCH(J1498,'Annual distance covered (GB)'!$A$7:$H$7,0))</f>
        <v>397.9</v>
      </c>
      <c r="N1498" s="2">
        <f t="shared" ca="1" si="60"/>
        <v>2266780.0049519134</v>
      </c>
      <c r="O1498" s="180">
        <f t="shared" ca="1" si="61"/>
        <v>7.8541877319442274E-2</v>
      </c>
      <c r="P1498" s="180"/>
      <c r="Q1498" s="180"/>
      <c r="R1498" s="180"/>
      <c r="S1498" s="180"/>
      <c r="T1498" s="180"/>
    </row>
    <row r="1499" spans="1:20" x14ac:dyDescent="0.25">
      <c r="A1499" t="s">
        <v>243</v>
      </c>
      <c r="B1499" t="s">
        <v>237</v>
      </c>
      <c r="C1499" t="s">
        <v>238</v>
      </c>
      <c r="D1499" t="s">
        <v>255</v>
      </c>
      <c r="E1499" t="s">
        <v>229</v>
      </c>
      <c r="F1499">
        <v>2007</v>
      </c>
      <c r="G1499">
        <v>2.2108000000000002E-3</v>
      </c>
      <c r="H1499" t="s">
        <v>240</v>
      </c>
      <c r="I1499" t="s">
        <v>241</v>
      </c>
      <c r="J1499" t="s">
        <v>2</v>
      </c>
      <c r="K1499" s="183">
        <f ca="1">VLOOKUP(F1499,
    OFFSET(INDIRECT(ADDRESS(MATCH(J1499,'Vehicle numbers'!$A$5:$A$162,0),1,1,1,$L$6)),4,1,COUNTIF('Vehicle numbers'!$A$5:$A$162,J1499),4),
    MATCH(K$8,'Vehicle numbers'!$B$4:$D$4,0))*1000</f>
        <v>28000264</v>
      </c>
      <c r="L1499" s="183">
        <f ca="1">VLOOKUP(F1499,
    OFFSET(INDIRECT(ADDRESS(MATCH(J1499,'Vehicle numbers'!$A$5:$A$162,0),1,1,1,$L$6)),4,1,COUNTIF('Vehicle numbers'!$A$5:$A$162,J1499),4),
    MATCH(L$8,'Vehicle numbers'!$B$4:$D$4,0))*1000</f>
        <v>28860782.073397093</v>
      </c>
      <c r="M1499" s="184">
        <f>VLOOKUP(F1499,'Annual distance covered (GB)'!$A$8:$H$33,MATCH(J1499,'Annual distance covered (GB)'!$A$7:$H$7,0))</f>
        <v>397.9</v>
      </c>
      <c r="N1499" s="2">
        <f t="shared" ca="1" si="60"/>
        <v>906712.00198076689</v>
      </c>
      <c r="O1499" s="180">
        <f t="shared" ca="1" si="61"/>
        <v>3.1416750927776967E-2</v>
      </c>
      <c r="P1499" s="180"/>
      <c r="Q1499" s="180"/>
      <c r="R1499" s="180"/>
      <c r="S1499" s="180"/>
      <c r="T1499" s="180"/>
    </row>
    <row r="1500" spans="1:20" x14ac:dyDescent="0.25">
      <c r="A1500" t="s">
        <v>244</v>
      </c>
      <c r="B1500" t="s">
        <v>237</v>
      </c>
      <c r="C1500" t="s">
        <v>238</v>
      </c>
      <c r="D1500" t="s">
        <v>255</v>
      </c>
      <c r="E1500" t="s">
        <v>229</v>
      </c>
      <c r="F1500">
        <v>2007</v>
      </c>
      <c r="G1500">
        <v>5.5270000000000004E-4</v>
      </c>
      <c r="H1500" t="s">
        <v>240</v>
      </c>
      <c r="I1500" t="s">
        <v>241</v>
      </c>
      <c r="J1500" t="s">
        <v>2</v>
      </c>
      <c r="K1500" s="183">
        <f ca="1">VLOOKUP(F1500,
    OFFSET(INDIRECT(ADDRESS(MATCH(J1500,'Vehicle numbers'!$A$5:$A$162,0),1,1,1,$L$6)),4,1,COUNTIF('Vehicle numbers'!$A$5:$A$162,J1500),4),
    MATCH(K$8,'Vehicle numbers'!$B$4:$D$4,0))*1000</f>
        <v>28000264</v>
      </c>
      <c r="L1500" s="183">
        <f ca="1">VLOOKUP(F1500,
    OFFSET(INDIRECT(ADDRESS(MATCH(J1500,'Vehicle numbers'!$A$5:$A$162,0),1,1,1,$L$6)),4,1,COUNTIF('Vehicle numbers'!$A$5:$A$162,J1500),4),
    MATCH(L$8,'Vehicle numbers'!$B$4:$D$4,0))*1000</f>
        <v>28860782.073397093</v>
      </c>
      <c r="M1500" s="184">
        <f>VLOOKUP(F1500,'Annual distance covered (GB)'!$A$8:$H$33,MATCH(J1500,'Annual distance covered (GB)'!$A$7:$H$7,0))</f>
        <v>397.9</v>
      </c>
      <c r="N1500" s="2">
        <f t="shared" ca="1" si="60"/>
        <v>226678.00049519172</v>
      </c>
      <c r="O1500" s="180">
        <f t="shared" ca="1" si="61"/>
        <v>7.8541877319442416E-3</v>
      </c>
      <c r="P1500" s="180"/>
      <c r="Q1500" s="180"/>
      <c r="R1500" s="180"/>
      <c r="S1500" s="180"/>
      <c r="T1500" s="180"/>
    </row>
    <row r="1501" spans="1:20" x14ac:dyDescent="0.25">
      <c r="A1501" t="s">
        <v>246</v>
      </c>
      <c r="B1501" t="s">
        <v>237</v>
      </c>
      <c r="C1501" t="s">
        <v>238</v>
      </c>
      <c r="D1501" t="s">
        <v>255</v>
      </c>
      <c r="E1501" t="s">
        <v>229</v>
      </c>
      <c r="F1501">
        <v>2007</v>
      </c>
      <c r="G1501">
        <v>4.4215999999999998E-4</v>
      </c>
      <c r="H1501" t="s">
        <v>240</v>
      </c>
      <c r="I1501" t="s">
        <v>241</v>
      </c>
      <c r="J1501" t="s">
        <v>2</v>
      </c>
      <c r="K1501" s="183">
        <f ca="1">VLOOKUP(F1501,
    OFFSET(INDIRECT(ADDRESS(MATCH(J1501,'Vehicle numbers'!$A$5:$A$162,0),1,1,1,$L$6)),4,1,COUNTIF('Vehicle numbers'!$A$5:$A$162,J1501),4),
    MATCH(K$8,'Vehicle numbers'!$B$4:$D$4,0))*1000</f>
        <v>28000264</v>
      </c>
      <c r="L1501" s="183">
        <f ca="1">VLOOKUP(F1501,
    OFFSET(INDIRECT(ADDRESS(MATCH(J1501,'Vehicle numbers'!$A$5:$A$162,0),1,1,1,$L$6)),4,1,COUNTIF('Vehicle numbers'!$A$5:$A$162,J1501),4),
    MATCH(L$8,'Vehicle numbers'!$B$4:$D$4,0))*1000</f>
        <v>28860782.073397093</v>
      </c>
      <c r="M1501" s="184">
        <f>VLOOKUP(F1501,'Annual distance covered (GB)'!$A$8:$H$33,MATCH(J1501,'Annual distance covered (GB)'!$A$7:$H$7,0))</f>
        <v>397.9</v>
      </c>
      <c r="N1501" s="2">
        <f t="shared" ca="1" si="60"/>
        <v>181342.40039615336</v>
      </c>
      <c r="O1501" s="180">
        <f t="shared" ca="1" si="61"/>
        <v>6.2833501855553923E-3</v>
      </c>
      <c r="P1501" s="180"/>
      <c r="Q1501" s="180"/>
      <c r="R1501" s="180"/>
      <c r="S1501" s="180"/>
      <c r="T1501" s="180"/>
    </row>
    <row r="1502" spans="1:20" x14ac:dyDescent="0.25">
      <c r="A1502" t="s">
        <v>236</v>
      </c>
      <c r="B1502" t="s">
        <v>237</v>
      </c>
      <c r="C1502" t="s">
        <v>238</v>
      </c>
      <c r="D1502" t="s">
        <v>255</v>
      </c>
      <c r="E1502" t="s">
        <v>228</v>
      </c>
      <c r="F1502">
        <v>2007</v>
      </c>
      <c r="G1502">
        <v>6.7999999999999797E-3</v>
      </c>
      <c r="H1502" t="s">
        <v>240</v>
      </c>
      <c r="I1502" t="s">
        <v>241</v>
      </c>
      <c r="J1502" t="s">
        <v>2</v>
      </c>
      <c r="K1502" s="183">
        <f ca="1">VLOOKUP(F1502,
    OFFSET(INDIRECT(ADDRESS(MATCH(J1502,'Vehicle numbers'!$A$5:$A$162,0),1,1,1,$L$6)),4,1,COUNTIF('Vehicle numbers'!$A$5:$A$162,J1502),4),
    MATCH(K$8,'Vehicle numbers'!$B$4:$D$4,0))*1000</f>
        <v>28000264</v>
      </c>
      <c r="L1502" s="183">
        <f ca="1">VLOOKUP(F1502,
    OFFSET(INDIRECT(ADDRESS(MATCH(J1502,'Vehicle numbers'!$A$5:$A$162,0),1,1,1,$L$6)),4,1,COUNTIF('Vehicle numbers'!$A$5:$A$162,J1502),4),
    MATCH(L$8,'Vehicle numbers'!$B$4:$D$4,0))*1000</f>
        <v>28860782.073397093</v>
      </c>
      <c r="M1502" s="184">
        <f>VLOOKUP(F1502,'Annual distance covered (GB)'!$A$8:$H$33,MATCH(J1502,'Annual distance covered (GB)'!$A$7:$H$7,0))</f>
        <v>397.9</v>
      </c>
      <c r="N1502" s="2">
        <f t="shared" ca="1" si="60"/>
        <v>2788873.5360363657</v>
      </c>
      <c r="O1502" s="180">
        <f t="shared" ca="1" si="61"/>
        <v>9.6631946041651318E-2</v>
      </c>
      <c r="P1502" s="180"/>
      <c r="Q1502" s="180"/>
      <c r="R1502" s="180"/>
      <c r="S1502" s="180"/>
      <c r="T1502" s="180"/>
    </row>
    <row r="1503" spans="1:20" x14ac:dyDescent="0.25">
      <c r="A1503" t="s">
        <v>243</v>
      </c>
      <c r="B1503" t="s">
        <v>237</v>
      </c>
      <c r="C1503" t="s">
        <v>238</v>
      </c>
      <c r="D1503" t="s">
        <v>255</v>
      </c>
      <c r="E1503" t="s">
        <v>228</v>
      </c>
      <c r="F1503">
        <v>2007</v>
      </c>
      <c r="G1503">
        <v>4.7599999999999899E-3</v>
      </c>
      <c r="H1503" t="s">
        <v>240</v>
      </c>
      <c r="I1503" t="s">
        <v>241</v>
      </c>
      <c r="J1503" t="s">
        <v>2</v>
      </c>
      <c r="K1503" s="183">
        <f ca="1">VLOOKUP(F1503,
    OFFSET(INDIRECT(ADDRESS(MATCH(J1503,'Vehicle numbers'!$A$5:$A$162,0),1,1,1,$L$6)),4,1,COUNTIF('Vehicle numbers'!$A$5:$A$162,J1503),4),
    MATCH(K$8,'Vehicle numbers'!$B$4:$D$4,0))*1000</f>
        <v>28000264</v>
      </c>
      <c r="L1503" s="183">
        <f ca="1">VLOOKUP(F1503,
    OFFSET(INDIRECT(ADDRESS(MATCH(J1503,'Vehicle numbers'!$A$5:$A$162,0),1,1,1,$L$6)),4,1,COUNTIF('Vehicle numbers'!$A$5:$A$162,J1503),4),
    MATCH(L$8,'Vehicle numbers'!$B$4:$D$4,0))*1000</f>
        <v>28860782.073397093</v>
      </c>
      <c r="M1503" s="184">
        <f>VLOOKUP(F1503,'Annual distance covered (GB)'!$A$8:$H$33,MATCH(J1503,'Annual distance covered (GB)'!$A$7:$H$7,0))</f>
        <v>397.9</v>
      </c>
      <c r="N1503" s="2">
        <f t="shared" ca="1" si="60"/>
        <v>1952211.4752254575</v>
      </c>
      <c r="O1503" s="180">
        <f t="shared" ca="1" si="61"/>
        <v>6.7642362229155983E-2</v>
      </c>
      <c r="P1503" s="180"/>
      <c r="Q1503" s="180"/>
      <c r="R1503" s="180"/>
      <c r="S1503" s="180"/>
      <c r="T1503" s="180"/>
    </row>
    <row r="1504" spans="1:20" x14ac:dyDescent="0.25">
      <c r="A1504" t="s">
        <v>244</v>
      </c>
      <c r="B1504" t="s">
        <v>237</v>
      </c>
      <c r="C1504" t="s">
        <v>238</v>
      </c>
      <c r="D1504" t="s">
        <v>255</v>
      </c>
      <c r="E1504" t="s">
        <v>228</v>
      </c>
      <c r="F1504">
        <v>2007</v>
      </c>
      <c r="G1504">
        <v>6.7042253521126501E-4</v>
      </c>
      <c r="H1504" t="s">
        <v>240</v>
      </c>
      <c r="I1504" t="s">
        <v>241</v>
      </c>
      <c r="J1504" t="s">
        <v>2</v>
      </c>
      <c r="K1504" s="183">
        <f ca="1">VLOOKUP(F1504,
    OFFSET(INDIRECT(ADDRESS(MATCH(J1504,'Vehicle numbers'!$A$5:$A$162,0),1,1,1,$L$6)),4,1,COUNTIF('Vehicle numbers'!$A$5:$A$162,J1504),4),
    MATCH(K$8,'Vehicle numbers'!$B$4:$D$4,0))*1000</f>
        <v>28000264</v>
      </c>
      <c r="L1504" s="183">
        <f ca="1">VLOOKUP(F1504,
    OFFSET(INDIRECT(ADDRESS(MATCH(J1504,'Vehicle numbers'!$A$5:$A$162,0),1,1,1,$L$6)),4,1,COUNTIF('Vehicle numbers'!$A$5:$A$162,J1504),4),
    MATCH(L$8,'Vehicle numbers'!$B$4:$D$4,0))*1000</f>
        <v>28860782.073397093</v>
      </c>
      <c r="M1504" s="184">
        <f>VLOOKUP(F1504,'Annual distance covered (GB)'!$A$8:$H$33,MATCH(J1504,'Annual distance covered (GB)'!$A$7:$H$7,0))</f>
        <v>397.9</v>
      </c>
      <c r="N1504" s="2">
        <f t="shared" ca="1" si="60"/>
        <v>274959.36270781048</v>
      </c>
      <c r="O1504" s="180">
        <f t="shared" ca="1" si="61"/>
        <v>9.5270932717120942E-3</v>
      </c>
      <c r="P1504" s="180"/>
      <c r="Q1504" s="180"/>
      <c r="R1504" s="180"/>
      <c r="S1504" s="180"/>
      <c r="T1504" s="180"/>
    </row>
    <row r="1505" spans="1:20" x14ac:dyDescent="0.25">
      <c r="A1505" t="s">
        <v>246</v>
      </c>
      <c r="B1505" t="s">
        <v>237</v>
      </c>
      <c r="C1505" t="s">
        <v>238</v>
      </c>
      <c r="D1505" t="s">
        <v>255</v>
      </c>
      <c r="E1505" t="s">
        <v>228</v>
      </c>
      <c r="F1505">
        <v>2007</v>
      </c>
      <c r="G1505">
        <v>5.3633802816901196E-4</v>
      </c>
      <c r="H1505" t="s">
        <v>240</v>
      </c>
      <c r="I1505" t="s">
        <v>241</v>
      </c>
      <c r="J1505" t="s">
        <v>2</v>
      </c>
      <c r="K1505" s="183">
        <f ca="1">VLOOKUP(F1505,
    OFFSET(INDIRECT(ADDRESS(MATCH(J1505,'Vehicle numbers'!$A$5:$A$162,0),1,1,1,$L$6)),4,1,COUNTIF('Vehicle numbers'!$A$5:$A$162,J1505),4),
    MATCH(K$8,'Vehicle numbers'!$B$4:$D$4,0))*1000</f>
        <v>28000264</v>
      </c>
      <c r="L1505" s="183">
        <f ca="1">VLOOKUP(F1505,
    OFFSET(INDIRECT(ADDRESS(MATCH(J1505,'Vehicle numbers'!$A$5:$A$162,0),1,1,1,$L$6)),4,1,COUNTIF('Vehicle numbers'!$A$5:$A$162,J1505),4),
    MATCH(L$8,'Vehicle numbers'!$B$4:$D$4,0))*1000</f>
        <v>28860782.073397093</v>
      </c>
      <c r="M1505" s="184">
        <f>VLOOKUP(F1505,'Annual distance covered (GB)'!$A$8:$H$33,MATCH(J1505,'Annual distance covered (GB)'!$A$7:$H$7,0))</f>
        <v>397.9</v>
      </c>
      <c r="N1505" s="2">
        <f t="shared" ca="1" si="60"/>
        <v>219967.49016624832</v>
      </c>
      <c r="O1505" s="180">
        <f t="shared" ca="1" si="61"/>
        <v>7.6216746173696738E-3</v>
      </c>
      <c r="P1505" s="180"/>
      <c r="Q1505" s="180"/>
      <c r="R1505" s="180"/>
      <c r="S1505" s="180"/>
      <c r="T1505" s="180"/>
    </row>
    <row r="1506" spans="1:20" x14ac:dyDescent="0.25">
      <c r="A1506" t="s">
        <v>236</v>
      </c>
      <c r="B1506" t="s">
        <v>237</v>
      </c>
      <c r="C1506" t="s">
        <v>238</v>
      </c>
      <c r="D1506" t="s">
        <v>256</v>
      </c>
      <c r="E1506" t="s">
        <v>229</v>
      </c>
      <c r="F1506">
        <v>2007</v>
      </c>
      <c r="G1506">
        <v>1.1723784305930501E-2</v>
      </c>
      <c r="H1506" t="s">
        <v>240</v>
      </c>
      <c r="I1506" t="s">
        <v>241</v>
      </c>
      <c r="J1506" t="s">
        <v>2</v>
      </c>
      <c r="K1506" s="183">
        <f ca="1">VLOOKUP(F1506,
    OFFSET(INDIRECT(ADDRESS(MATCH(J1506,'Vehicle numbers'!$A$5:$A$162,0),1,1,1,$L$6)),4,1,COUNTIF('Vehicle numbers'!$A$5:$A$162,J1506),4),
    MATCH(K$8,'Vehicle numbers'!$B$4:$D$4,0))*1000</f>
        <v>28000264</v>
      </c>
      <c r="L1506" s="183">
        <f ca="1">VLOOKUP(F1506,
    OFFSET(INDIRECT(ADDRESS(MATCH(J1506,'Vehicle numbers'!$A$5:$A$162,0),1,1,1,$L$6)),4,1,COUNTIF('Vehicle numbers'!$A$5:$A$162,J1506),4),
    MATCH(L$8,'Vehicle numbers'!$B$4:$D$4,0))*1000</f>
        <v>28860782.073397093</v>
      </c>
      <c r="M1506" s="184">
        <f>VLOOKUP(F1506,'Annual distance covered (GB)'!$A$8:$H$33,MATCH(J1506,'Annual distance covered (GB)'!$A$7:$H$7,0))</f>
        <v>397.9</v>
      </c>
      <c r="N1506" s="2">
        <f t="shared" ca="1" si="60"/>
        <v>4808257.6166188447</v>
      </c>
      <c r="O1506" s="180">
        <f t="shared" ca="1" si="61"/>
        <v>0.16660177830215267</v>
      </c>
      <c r="P1506" s="180"/>
      <c r="Q1506" s="180"/>
      <c r="R1506" s="180"/>
      <c r="S1506" s="180"/>
      <c r="T1506" s="180"/>
    </row>
    <row r="1507" spans="1:20" x14ac:dyDescent="0.25">
      <c r="A1507" t="s">
        <v>243</v>
      </c>
      <c r="B1507" t="s">
        <v>237</v>
      </c>
      <c r="C1507" t="s">
        <v>238</v>
      </c>
      <c r="D1507" t="s">
        <v>256</v>
      </c>
      <c r="E1507" t="s">
        <v>229</v>
      </c>
      <c r="F1507">
        <v>2007</v>
      </c>
      <c r="G1507">
        <v>4.6895137223721996E-3</v>
      </c>
      <c r="H1507" t="s">
        <v>240</v>
      </c>
      <c r="I1507" t="s">
        <v>241</v>
      </c>
      <c r="J1507" t="s">
        <v>2</v>
      </c>
      <c r="K1507" s="183">
        <f ca="1">VLOOKUP(F1507,
    OFFSET(INDIRECT(ADDRESS(MATCH(J1507,'Vehicle numbers'!$A$5:$A$162,0),1,1,1,$L$6)),4,1,COUNTIF('Vehicle numbers'!$A$5:$A$162,J1507),4),
    MATCH(K$8,'Vehicle numbers'!$B$4:$D$4,0))*1000</f>
        <v>28000264</v>
      </c>
      <c r="L1507" s="183">
        <f ca="1">VLOOKUP(F1507,
    OFFSET(INDIRECT(ADDRESS(MATCH(J1507,'Vehicle numbers'!$A$5:$A$162,0),1,1,1,$L$6)),4,1,COUNTIF('Vehicle numbers'!$A$5:$A$162,J1507),4),
    MATCH(L$8,'Vehicle numbers'!$B$4:$D$4,0))*1000</f>
        <v>28860782.073397093</v>
      </c>
      <c r="M1507" s="184">
        <f>VLOOKUP(F1507,'Annual distance covered (GB)'!$A$8:$H$33,MATCH(J1507,'Annual distance covered (GB)'!$A$7:$H$7,0))</f>
        <v>397.9</v>
      </c>
      <c r="N1507" s="2">
        <f t="shared" ca="1" si="60"/>
        <v>1923303.0466475373</v>
      </c>
      <c r="O1507" s="180">
        <f t="shared" ca="1" si="61"/>
        <v>6.6640711320861051E-2</v>
      </c>
      <c r="P1507" s="180"/>
      <c r="Q1507" s="180"/>
      <c r="R1507" s="180"/>
      <c r="S1507" s="180"/>
      <c r="T1507" s="180"/>
    </row>
    <row r="1508" spans="1:20" x14ac:dyDescent="0.25">
      <c r="A1508" t="s">
        <v>244</v>
      </c>
      <c r="B1508" t="s">
        <v>237</v>
      </c>
      <c r="C1508" t="s">
        <v>238</v>
      </c>
      <c r="D1508" t="s">
        <v>256</v>
      </c>
      <c r="E1508" t="s">
        <v>229</v>
      </c>
      <c r="F1508">
        <v>2007</v>
      </c>
      <c r="G1508">
        <v>1.1723784305930499E-3</v>
      </c>
      <c r="H1508" t="s">
        <v>240</v>
      </c>
      <c r="I1508" t="s">
        <v>241</v>
      </c>
      <c r="J1508" t="s">
        <v>2</v>
      </c>
      <c r="K1508" s="183">
        <f ca="1">VLOOKUP(F1508,
    OFFSET(INDIRECT(ADDRESS(MATCH(J1508,'Vehicle numbers'!$A$5:$A$162,0),1,1,1,$L$6)),4,1,COUNTIF('Vehicle numbers'!$A$5:$A$162,J1508),4),
    MATCH(K$8,'Vehicle numbers'!$B$4:$D$4,0))*1000</f>
        <v>28000264</v>
      </c>
      <c r="L1508" s="183">
        <f ca="1">VLOOKUP(F1508,
    OFFSET(INDIRECT(ADDRESS(MATCH(J1508,'Vehicle numbers'!$A$5:$A$162,0),1,1,1,$L$6)),4,1,COUNTIF('Vehicle numbers'!$A$5:$A$162,J1508),4),
    MATCH(L$8,'Vehicle numbers'!$B$4:$D$4,0))*1000</f>
        <v>28860782.073397093</v>
      </c>
      <c r="M1508" s="184">
        <f>VLOOKUP(F1508,'Annual distance covered (GB)'!$A$8:$H$33,MATCH(J1508,'Annual distance covered (GB)'!$A$7:$H$7,0))</f>
        <v>397.9</v>
      </c>
      <c r="N1508" s="2">
        <f t="shared" ca="1" si="60"/>
        <v>480825.76166188432</v>
      </c>
      <c r="O1508" s="180">
        <f t="shared" ca="1" si="61"/>
        <v>1.6660177830215263E-2</v>
      </c>
      <c r="P1508" s="180"/>
      <c r="Q1508" s="180"/>
      <c r="R1508" s="180"/>
      <c r="S1508" s="180"/>
      <c r="T1508" s="180"/>
    </row>
    <row r="1509" spans="1:20" x14ac:dyDescent="0.25">
      <c r="A1509" t="s">
        <v>246</v>
      </c>
      <c r="B1509" t="s">
        <v>237</v>
      </c>
      <c r="C1509" t="s">
        <v>238</v>
      </c>
      <c r="D1509" t="s">
        <v>256</v>
      </c>
      <c r="E1509" t="s">
        <v>229</v>
      </c>
      <c r="F1509">
        <v>2007</v>
      </c>
      <c r="G1509">
        <v>9.3790274447444E-4</v>
      </c>
      <c r="H1509" t="s">
        <v>240</v>
      </c>
      <c r="I1509" t="s">
        <v>241</v>
      </c>
      <c r="J1509" t="s">
        <v>2</v>
      </c>
      <c r="K1509" s="183">
        <f ca="1">VLOOKUP(F1509,
    OFFSET(INDIRECT(ADDRESS(MATCH(J1509,'Vehicle numbers'!$A$5:$A$162,0),1,1,1,$L$6)),4,1,COUNTIF('Vehicle numbers'!$A$5:$A$162,J1509),4),
    MATCH(K$8,'Vehicle numbers'!$B$4:$D$4,0))*1000</f>
        <v>28000264</v>
      </c>
      <c r="L1509" s="183">
        <f ca="1">VLOOKUP(F1509,
    OFFSET(INDIRECT(ADDRESS(MATCH(J1509,'Vehicle numbers'!$A$5:$A$162,0),1,1,1,$L$6)),4,1,COUNTIF('Vehicle numbers'!$A$5:$A$162,J1509),4),
    MATCH(L$8,'Vehicle numbers'!$B$4:$D$4,0))*1000</f>
        <v>28860782.073397093</v>
      </c>
      <c r="M1509" s="184">
        <f>VLOOKUP(F1509,'Annual distance covered (GB)'!$A$8:$H$33,MATCH(J1509,'Annual distance covered (GB)'!$A$7:$H$7,0))</f>
        <v>397.9</v>
      </c>
      <c r="N1509" s="2">
        <f t="shared" ca="1" si="60"/>
        <v>384660.60932950745</v>
      </c>
      <c r="O1509" s="180">
        <f t="shared" ca="1" si="61"/>
        <v>1.332814226417221E-2</v>
      </c>
      <c r="P1509" s="180"/>
      <c r="Q1509" s="180"/>
      <c r="R1509" s="180"/>
      <c r="S1509" s="180"/>
      <c r="T1509" s="180"/>
    </row>
    <row r="1510" spans="1:20" x14ac:dyDescent="0.25">
      <c r="A1510" t="s">
        <v>236</v>
      </c>
      <c r="B1510" t="s">
        <v>237</v>
      </c>
      <c r="C1510" t="s">
        <v>238</v>
      </c>
      <c r="D1510" t="s">
        <v>256</v>
      </c>
      <c r="E1510" t="s">
        <v>228</v>
      </c>
      <c r="F1510">
        <v>2007</v>
      </c>
      <c r="G1510">
        <v>8.7736701744535496E-3</v>
      </c>
      <c r="H1510" t="s">
        <v>240</v>
      </c>
      <c r="I1510" t="s">
        <v>241</v>
      </c>
      <c r="J1510" t="s">
        <v>2</v>
      </c>
      <c r="K1510" s="183">
        <f ca="1">VLOOKUP(F1510,
    OFFSET(INDIRECT(ADDRESS(MATCH(J1510,'Vehicle numbers'!$A$5:$A$162,0),1,1,1,$L$6)),4,1,COUNTIF('Vehicle numbers'!$A$5:$A$162,J1510),4),
    MATCH(K$8,'Vehicle numbers'!$B$4:$D$4,0))*1000</f>
        <v>28000264</v>
      </c>
      <c r="L1510" s="183">
        <f ca="1">VLOOKUP(F1510,
    OFFSET(INDIRECT(ADDRESS(MATCH(J1510,'Vehicle numbers'!$A$5:$A$162,0),1,1,1,$L$6)),4,1,COUNTIF('Vehicle numbers'!$A$5:$A$162,J1510),4),
    MATCH(L$8,'Vehicle numbers'!$B$4:$D$4,0))*1000</f>
        <v>28860782.073397093</v>
      </c>
      <c r="M1510" s="184">
        <f>VLOOKUP(F1510,'Annual distance covered (GB)'!$A$8:$H$33,MATCH(J1510,'Annual distance covered (GB)'!$A$7:$H$7,0))</f>
        <v>397.9</v>
      </c>
      <c r="N1510" s="2">
        <f t="shared" ca="1" si="60"/>
        <v>3598331.8475654619</v>
      </c>
      <c r="O1510" s="180">
        <f t="shared" ca="1" si="61"/>
        <v>0.12467894454191816</v>
      </c>
      <c r="P1510" s="180"/>
      <c r="Q1510" s="180"/>
      <c r="R1510" s="180"/>
      <c r="S1510" s="180"/>
      <c r="T1510" s="180"/>
    </row>
    <row r="1511" spans="1:20" x14ac:dyDescent="0.25">
      <c r="A1511" t="s">
        <v>243</v>
      </c>
      <c r="B1511" t="s">
        <v>237</v>
      </c>
      <c r="C1511" t="s">
        <v>238</v>
      </c>
      <c r="D1511" t="s">
        <v>256</v>
      </c>
      <c r="E1511" t="s">
        <v>228</v>
      </c>
      <c r="F1511">
        <v>2007</v>
      </c>
      <c r="G1511">
        <v>6.1415691221174797E-3</v>
      </c>
      <c r="H1511" t="s">
        <v>240</v>
      </c>
      <c r="I1511" t="s">
        <v>241</v>
      </c>
      <c r="J1511" t="s">
        <v>2</v>
      </c>
      <c r="K1511" s="183">
        <f ca="1">VLOOKUP(F1511,
    OFFSET(INDIRECT(ADDRESS(MATCH(J1511,'Vehicle numbers'!$A$5:$A$162,0),1,1,1,$L$6)),4,1,COUNTIF('Vehicle numbers'!$A$5:$A$162,J1511),4),
    MATCH(K$8,'Vehicle numbers'!$B$4:$D$4,0))*1000</f>
        <v>28000264</v>
      </c>
      <c r="L1511" s="183">
        <f ca="1">VLOOKUP(F1511,
    OFFSET(INDIRECT(ADDRESS(MATCH(J1511,'Vehicle numbers'!$A$5:$A$162,0),1,1,1,$L$6)),4,1,COUNTIF('Vehicle numbers'!$A$5:$A$162,J1511),4),
    MATCH(L$8,'Vehicle numbers'!$B$4:$D$4,0))*1000</f>
        <v>28860782.073397093</v>
      </c>
      <c r="M1511" s="184">
        <f>VLOOKUP(F1511,'Annual distance covered (GB)'!$A$8:$H$33,MATCH(J1511,'Annual distance covered (GB)'!$A$7:$H$7,0))</f>
        <v>397.9</v>
      </c>
      <c r="N1511" s="2">
        <f t="shared" ca="1" si="60"/>
        <v>2518832.2932958207</v>
      </c>
      <c r="O1511" s="180">
        <f t="shared" ca="1" si="61"/>
        <v>8.7275261179342617E-2</v>
      </c>
      <c r="P1511" s="180"/>
      <c r="Q1511" s="180"/>
      <c r="R1511" s="180"/>
      <c r="S1511" s="180"/>
      <c r="T1511" s="180"/>
    </row>
    <row r="1512" spans="1:20" x14ac:dyDescent="0.25">
      <c r="A1512" t="s">
        <v>244</v>
      </c>
      <c r="B1512" t="s">
        <v>237</v>
      </c>
      <c r="C1512" t="s">
        <v>238</v>
      </c>
      <c r="D1512" t="s">
        <v>256</v>
      </c>
      <c r="E1512" t="s">
        <v>228</v>
      </c>
      <c r="F1512">
        <v>2007</v>
      </c>
      <c r="G1512">
        <v>8.6500973550950305E-4</v>
      </c>
      <c r="H1512" t="s">
        <v>240</v>
      </c>
      <c r="I1512" t="s">
        <v>241</v>
      </c>
      <c r="J1512" t="s">
        <v>2</v>
      </c>
      <c r="K1512" s="183">
        <f ca="1">VLOOKUP(F1512,
    OFFSET(INDIRECT(ADDRESS(MATCH(J1512,'Vehicle numbers'!$A$5:$A$162,0),1,1,1,$L$6)),4,1,COUNTIF('Vehicle numbers'!$A$5:$A$162,J1512),4),
    MATCH(K$8,'Vehicle numbers'!$B$4:$D$4,0))*1000</f>
        <v>28000264</v>
      </c>
      <c r="L1512" s="183">
        <f ca="1">VLOOKUP(F1512,
    OFFSET(INDIRECT(ADDRESS(MATCH(J1512,'Vehicle numbers'!$A$5:$A$162,0),1,1,1,$L$6)),4,1,COUNTIF('Vehicle numbers'!$A$5:$A$162,J1512),4),
    MATCH(L$8,'Vehicle numbers'!$B$4:$D$4,0))*1000</f>
        <v>28860782.073397093</v>
      </c>
      <c r="M1512" s="184">
        <f>VLOOKUP(F1512,'Annual distance covered (GB)'!$A$8:$H$33,MATCH(J1512,'Annual distance covered (GB)'!$A$7:$H$7,0))</f>
        <v>397.9</v>
      </c>
      <c r="N1512" s="2">
        <f t="shared" ca="1" si="60"/>
        <v>354765.11173180531</v>
      </c>
      <c r="O1512" s="180">
        <f t="shared" ca="1" si="61"/>
        <v>1.2292290306949651E-2</v>
      </c>
      <c r="P1512" s="180"/>
      <c r="Q1512" s="180"/>
      <c r="R1512" s="180"/>
      <c r="S1512" s="180"/>
      <c r="T1512" s="180"/>
    </row>
    <row r="1513" spans="1:20" x14ac:dyDescent="0.25">
      <c r="A1513" t="s">
        <v>246</v>
      </c>
      <c r="B1513" t="s">
        <v>237</v>
      </c>
      <c r="C1513" t="s">
        <v>238</v>
      </c>
      <c r="D1513" t="s">
        <v>256</v>
      </c>
      <c r="E1513" t="s">
        <v>228</v>
      </c>
      <c r="F1513">
        <v>2007</v>
      </c>
      <c r="G1513">
        <v>6.9200778840760202E-4</v>
      </c>
      <c r="H1513" t="s">
        <v>240</v>
      </c>
      <c r="I1513" t="s">
        <v>241</v>
      </c>
      <c r="J1513" t="s">
        <v>2</v>
      </c>
      <c r="K1513" s="183">
        <f ca="1">VLOOKUP(F1513,
    OFFSET(INDIRECT(ADDRESS(MATCH(J1513,'Vehicle numbers'!$A$5:$A$162,0),1,1,1,$L$6)),4,1,COUNTIF('Vehicle numbers'!$A$5:$A$162,J1513),4),
    MATCH(K$8,'Vehicle numbers'!$B$4:$D$4,0))*1000</f>
        <v>28000264</v>
      </c>
      <c r="L1513" s="183">
        <f ca="1">VLOOKUP(F1513,
    OFFSET(INDIRECT(ADDRESS(MATCH(J1513,'Vehicle numbers'!$A$5:$A$162,0),1,1,1,$L$6)),4,1,COUNTIF('Vehicle numbers'!$A$5:$A$162,J1513),4),
    MATCH(L$8,'Vehicle numbers'!$B$4:$D$4,0))*1000</f>
        <v>28860782.073397093</v>
      </c>
      <c r="M1513" s="184">
        <f>VLOOKUP(F1513,'Annual distance covered (GB)'!$A$8:$H$33,MATCH(J1513,'Annual distance covered (GB)'!$A$7:$H$7,0))</f>
        <v>397.9</v>
      </c>
      <c r="N1513" s="2">
        <f t="shared" ca="1" si="60"/>
        <v>283812.08938544412</v>
      </c>
      <c r="O1513" s="180">
        <f t="shared" ca="1" si="61"/>
        <v>9.8338322455597156E-3</v>
      </c>
      <c r="P1513" s="180"/>
      <c r="Q1513" s="180"/>
      <c r="R1513" s="180"/>
      <c r="S1513" s="180"/>
      <c r="T1513" s="180"/>
    </row>
    <row r="1514" spans="1:20" x14ac:dyDescent="0.25">
      <c r="A1514" t="s">
        <v>236</v>
      </c>
      <c r="B1514" t="s">
        <v>237</v>
      </c>
      <c r="C1514" t="s">
        <v>238</v>
      </c>
      <c r="D1514" t="s">
        <v>257</v>
      </c>
      <c r="E1514" t="s">
        <v>229</v>
      </c>
      <c r="F1514">
        <v>2007</v>
      </c>
      <c r="G1514">
        <v>2.12100000000001E-3</v>
      </c>
      <c r="H1514" t="s">
        <v>240</v>
      </c>
      <c r="I1514" t="s">
        <v>241</v>
      </c>
      <c r="J1514" t="s">
        <v>188</v>
      </c>
      <c r="K1514" s="183">
        <f ca="1">VLOOKUP(F1514,
    OFFSET(INDIRECT(ADDRESS(MATCH(J1514,'Vehicle numbers'!$A$5:$A$162,0),1,1,1,$L$6)),4,1,COUNTIF('Vehicle numbers'!$A$5:$A$162,J1514),4),
    MATCH(K$8,'Vehicle numbers'!$B$4:$D$4,0))*1000</f>
        <v>3148885</v>
      </c>
      <c r="L1514" s="183">
        <f ca="1">VLOOKUP(F1514,
    OFFSET(INDIRECT(ADDRESS(MATCH(J1514,'Vehicle numbers'!$A$5:$A$162,0),1,1,1,$L$6)),4,1,COUNTIF('Vehicle numbers'!$A$5:$A$162,J1514),4),
    MATCH(L$8,'Vehicle numbers'!$B$4:$D$4,0))*1000</f>
        <v>3239244.0939536816</v>
      </c>
      <c r="M1514" s="184">
        <f>VLOOKUP(F1514,'Annual distance covered (GB)'!$A$8:$H$33,MATCH(J1514,'Annual distance covered (GB)'!$A$7:$H$7,0))</f>
        <v>67.400000000000006</v>
      </c>
      <c r="N1514" s="2">
        <f t="shared" ca="1" si="60"/>
        <v>147057.58868576918</v>
      </c>
      <c r="O1514" s="180">
        <f t="shared" ca="1" si="61"/>
        <v>4.5398736378115007E-2</v>
      </c>
      <c r="P1514" s="180"/>
      <c r="Q1514" s="180"/>
      <c r="R1514" s="180"/>
      <c r="S1514" s="180"/>
      <c r="T1514" s="180"/>
    </row>
    <row r="1515" spans="1:20" x14ac:dyDescent="0.25">
      <c r="A1515" t="s">
        <v>243</v>
      </c>
      <c r="B1515" t="s">
        <v>237</v>
      </c>
      <c r="C1515" t="s">
        <v>238</v>
      </c>
      <c r="D1515" t="s">
        <v>257</v>
      </c>
      <c r="E1515" t="s">
        <v>229</v>
      </c>
      <c r="F1515">
        <v>2007</v>
      </c>
      <c r="G1515">
        <v>8.4840000000000403E-4</v>
      </c>
      <c r="H1515" t="s">
        <v>240</v>
      </c>
      <c r="I1515" t="s">
        <v>241</v>
      </c>
      <c r="J1515" t="s">
        <v>188</v>
      </c>
      <c r="K1515" s="183">
        <f ca="1">VLOOKUP(F1515,
    OFFSET(INDIRECT(ADDRESS(MATCH(J1515,'Vehicle numbers'!$A$5:$A$162,0),1,1,1,$L$6)),4,1,COUNTIF('Vehicle numbers'!$A$5:$A$162,J1515),4),
    MATCH(K$8,'Vehicle numbers'!$B$4:$D$4,0))*1000</f>
        <v>3148885</v>
      </c>
      <c r="L1515" s="183">
        <f ca="1">VLOOKUP(F1515,
    OFFSET(INDIRECT(ADDRESS(MATCH(J1515,'Vehicle numbers'!$A$5:$A$162,0),1,1,1,$L$6)),4,1,COUNTIF('Vehicle numbers'!$A$5:$A$162,J1515),4),
    MATCH(L$8,'Vehicle numbers'!$B$4:$D$4,0))*1000</f>
        <v>3239244.0939536816</v>
      </c>
      <c r="M1515" s="184">
        <f>VLOOKUP(F1515,'Annual distance covered (GB)'!$A$8:$H$33,MATCH(J1515,'Annual distance covered (GB)'!$A$7:$H$7,0))</f>
        <v>67.400000000000006</v>
      </c>
      <c r="N1515" s="2">
        <f t="shared" ca="1" si="60"/>
        <v>58823.035474307682</v>
      </c>
      <c r="O1515" s="180">
        <f t="shared" ca="1" si="61"/>
        <v>1.8159494551246005E-2</v>
      </c>
      <c r="P1515" s="180"/>
      <c r="Q1515" s="180"/>
      <c r="R1515" s="180"/>
      <c r="S1515" s="180"/>
      <c r="T1515" s="180"/>
    </row>
    <row r="1516" spans="1:20" x14ac:dyDescent="0.25">
      <c r="A1516" t="s">
        <v>244</v>
      </c>
      <c r="B1516" t="s">
        <v>237</v>
      </c>
      <c r="C1516" t="s">
        <v>238</v>
      </c>
      <c r="D1516" t="s">
        <v>257</v>
      </c>
      <c r="E1516" t="s">
        <v>229</v>
      </c>
      <c r="F1516">
        <v>2007</v>
      </c>
      <c r="G1516">
        <v>2.1210000000000101E-4</v>
      </c>
      <c r="H1516" t="s">
        <v>240</v>
      </c>
      <c r="I1516" t="s">
        <v>241</v>
      </c>
      <c r="J1516" t="s">
        <v>188</v>
      </c>
      <c r="K1516" s="183">
        <f ca="1">VLOOKUP(F1516,
    OFFSET(INDIRECT(ADDRESS(MATCH(J1516,'Vehicle numbers'!$A$5:$A$162,0),1,1,1,$L$6)),4,1,COUNTIF('Vehicle numbers'!$A$5:$A$162,J1516),4),
    MATCH(K$8,'Vehicle numbers'!$B$4:$D$4,0))*1000</f>
        <v>3148885</v>
      </c>
      <c r="L1516" s="183">
        <f ca="1">VLOOKUP(F1516,
    OFFSET(INDIRECT(ADDRESS(MATCH(J1516,'Vehicle numbers'!$A$5:$A$162,0),1,1,1,$L$6)),4,1,COUNTIF('Vehicle numbers'!$A$5:$A$162,J1516),4),
    MATCH(L$8,'Vehicle numbers'!$B$4:$D$4,0))*1000</f>
        <v>3239244.0939536816</v>
      </c>
      <c r="M1516" s="184">
        <f>VLOOKUP(F1516,'Annual distance covered (GB)'!$A$8:$H$33,MATCH(J1516,'Annual distance covered (GB)'!$A$7:$H$7,0))</f>
        <v>67.400000000000006</v>
      </c>
      <c r="N1516" s="2">
        <f t="shared" ca="1" si="60"/>
        <v>14705.758868576921</v>
      </c>
      <c r="O1516" s="180">
        <f t="shared" ca="1" si="61"/>
        <v>4.5398736378115014E-3</v>
      </c>
      <c r="P1516" s="180"/>
      <c r="Q1516" s="180"/>
      <c r="R1516" s="180"/>
      <c r="S1516" s="180"/>
      <c r="T1516" s="180"/>
    </row>
    <row r="1517" spans="1:20" x14ac:dyDescent="0.25">
      <c r="A1517" t="s">
        <v>246</v>
      </c>
      <c r="B1517" t="s">
        <v>237</v>
      </c>
      <c r="C1517" t="s">
        <v>238</v>
      </c>
      <c r="D1517" t="s">
        <v>257</v>
      </c>
      <c r="E1517" t="s">
        <v>229</v>
      </c>
      <c r="F1517">
        <v>2007</v>
      </c>
      <c r="G1517">
        <v>1.6968000000000099E-4</v>
      </c>
      <c r="H1517" t="s">
        <v>240</v>
      </c>
      <c r="I1517" t="s">
        <v>241</v>
      </c>
      <c r="J1517" t="s">
        <v>188</v>
      </c>
      <c r="K1517" s="183">
        <f ca="1">VLOOKUP(F1517,
    OFFSET(INDIRECT(ADDRESS(MATCH(J1517,'Vehicle numbers'!$A$5:$A$162,0),1,1,1,$L$6)),4,1,COUNTIF('Vehicle numbers'!$A$5:$A$162,J1517),4),
    MATCH(K$8,'Vehicle numbers'!$B$4:$D$4,0))*1000</f>
        <v>3148885</v>
      </c>
      <c r="L1517" s="183">
        <f ca="1">VLOOKUP(F1517,
    OFFSET(INDIRECT(ADDRESS(MATCH(J1517,'Vehicle numbers'!$A$5:$A$162,0),1,1,1,$L$6)),4,1,COUNTIF('Vehicle numbers'!$A$5:$A$162,J1517),4),
    MATCH(L$8,'Vehicle numbers'!$B$4:$D$4,0))*1000</f>
        <v>3239244.0939536816</v>
      </c>
      <c r="M1517" s="184">
        <f>VLOOKUP(F1517,'Annual distance covered (GB)'!$A$8:$H$33,MATCH(J1517,'Annual distance covered (GB)'!$A$7:$H$7,0))</f>
        <v>67.400000000000006</v>
      </c>
      <c r="N1517" s="2">
        <f t="shared" ca="1" si="60"/>
        <v>11764.607094861551</v>
      </c>
      <c r="O1517" s="180">
        <f t="shared" ca="1" si="61"/>
        <v>3.6318989102492052E-3</v>
      </c>
      <c r="P1517" s="180"/>
      <c r="Q1517" s="180"/>
      <c r="R1517" s="180"/>
      <c r="S1517" s="180"/>
      <c r="T1517" s="180"/>
    </row>
    <row r="1518" spans="1:20" x14ac:dyDescent="0.25">
      <c r="A1518" t="s">
        <v>236</v>
      </c>
      <c r="B1518" t="s">
        <v>237</v>
      </c>
      <c r="C1518" t="s">
        <v>238</v>
      </c>
      <c r="D1518" t="s">
        <v>257</v>
      </c>
      <c r="E1518" t="s">
        <v>228</v>
      </c>
      <c r="F1518">
        <v>2007</v>
      </c>
      <c r="G1518">
        <v>9.1460000000000204E-3</v>
      </c>
      <c r="H1518" t="s">
        <v>240</v>
      </c>
      <c r="I1518" t="s">
        <v>241</v>
      </c>
      <c r="J1518" t="s">
        <v>188</v>
      </c>
      <c r="K1518" s="183">
        <f ca="1">VLOOKUP(F1518,
    OFFSET(INDIRECT(ADDRESS(MATCH(J1518,'Vehicle numbers'!$A$5:$A$162,0),1,1,1,$L$6)),4,1,COUNTIF('Vehicle numbers'!$A$5:$A$162,J1518),4),
    MATCH(K$8,'Vehicle numbers'!$B$4:$D$4,0))*1000</f>
        <v>3148885</v>
      </c>
      <c r="L1518" s="183">
        <f ca="1">VLOOKUP(F1518,
    OFFSET(INDIRECT(ADDRESS(MATCH(J1518,'Vehicle numbers'!$A$5:$A$162,0),1,1,1,$L$6)),4,1,COUNTIF('Vehicle numbers'!$A$5:$A$162,J1518),4),
    MATCH(L$8,'Vehicle numbers'!$B$4:$D$4,0))*1000</f>
        <v>3239244.0939536816</v>
      </c>
      <c r="M1518" s="184">
        <f>VLOOKUP(F1518,'Annual distance covered (GB)'!$A$8:$H$33,MATCH(J1518,'Annual distance covered (GB)'!$A$7:$H$7,0))</f>
        <v>67.400000000000006</v>
      </c>
      <c r="N1518" s="2">
        <f t="shared" ca="1" si="60"/>
        <v>634129.51726546057</v>
      </c>
      <c r="O1518" s="180">
        <f t="shared" ca="1" si="61"/>
        <v>0.19576465955409658</v>
      </c>
      <c r="P1518" s="180"/>
      <c r="Q1518" s="180"/>
      <c r="R1518" s="180"/>
      <c r="S1518" s="180"/>
      <c r="T1518" s="180"/>
    </row>
    <row r="1519" spans="1:20" x14ac:dyDescent="0.25">
      <c r="A1519" t="s">
        <v>243</v>
      </c>
      <c r="B1519" t="s">
        <v>237</v>
      </c>
      <c r="C1519" t="s">
        <v>238</v>
      </c>
      <c r="D1519" t="s">
        <v>257</v>
      </c>
      <c r="E1519" t="s">
        <v>228</v>
      </c>
      <c r="F1519">
        <v>2007</v>
      </c>
      <c r="G1519">
        <v>6.4022000000000098E-3</v>
      </c>
      <c r="H1519" t="s">
        <v>240</v>
      </c>
      <c r="I1519" t="s">
        <v>241</v>
      </c>
      <c r="J1519" t="s">
        <v>188</v>
      </c>
      <c r="K1519" s="183">
        <f ca="1">VLOOKUP(F1519,
    OFFSET(INDIRECT(ADDRESS(MATCH(J1519,'Vehicle numbers'!$A$5:$A$162,0),1,1,1,$L$6)),4,1,COUNTIF('Vehicle numbers'!$A$5:$A$162,J1519),4),
    MATCH(K$8,'Vehicle numbers'!$B$4:$D$4,0))*1000</f>
        <v>3148885</v>
      </c>
      <c r="L1519" s="183">
        <f ca="1">VLOOKUP(F1519,
    OFFSET(INDIRECT(ADDRESS(MATCH(J1519,'Vehicle numbers'!$A$5:$A$162,0),1,1,1,$L$6)),4,1,COUNTIF('Vehicle numbers'!$A$5:$A$162,J1519),4),
    MATCH(L$8,'Vehicle numbers'!$B$4:$D$4,0))*1000</f>
        <v>3239244.0939536816</v>
      </c>
      <c r="M1519" s="184">
        <f>VLOOKUP(F1519,'Annual distance covered (GB)'!$A$8:$H$33,MATCH(J1519,'Annual distance covered (GB)'!$A$7:$H$7,0))</f>
        <v>67.400000000000006</v>
      </c>
      <c r="N1519" s="2">
        <f t="shared" ca="1" si="60"/>
        <v>443890.66208582203</v>
      </c>
      <c r="O1519" s="180">
        <f t="shared" ca="1" si="61"/>
        <v>0.1370352616878675</v>
      </c>
      <c r="P1519" s="180"/>
      <c r="Q1519" s="180"/>
      <c r="R1519" s="180"/>
      <c r="S1519" s="180"/>
      <c r="T1519" s="180"/>
    </row>
    <row r="1520" spans="1:20" x14ac:dyDescent="0.25">
      <c r="A1520" t="s">
        <v>244</v>
      </c>
      <c r="B1520" t="s">
        <v>237</v>
      </c>
      <c r="C1520" t="s">
        <v>238</v>
      </c>
      <c r="D1520" t="s">
        <v>257</v>
      </c>
      <c r="E1520" t="s">
        <v>228</v>
      </c>
      <c r="F1520">
        <v>2007</v>
      </c>
      <c r="G1520">
        <v>9.0171830985915497E-4</v>
      </c>
      <c r="H1520" t="s">
        <v>240</v>
      </c>
      <c r="I1520" t="s">
        <v>241</v>
      </c>
      <c r="J1520" t="s">
        <v>188</v>
      </c>
      <c r="K1520" s="183">
        <f ca="1">VLOOKUP(F1520,
    OFFSET(INDIRECT(ADDRESS(MATCH(J1520,'Vehicle numbers'!$A$5:$A$162,0),1,1,1,$L$6)),4,1,COUNTIF('Vehicle numbers'!$A$5:$A$162,J1520),4),
    MATCH(K$8,'Vehicle numbers'!$B$4:$D$4,0))*1000</f>
        <v>3148885</v>
      </c>
      <c r="L1520" s="183">
        <f ca="1">VLOOKUP(F1520,
    OFFSET(INDIRECT(ADDRESS(MATCH(J1520,'Vehicle numbers'!$A$5:$A$162,0),1,1,1,$L$6)),4,1,COUNTIF('Vehicle numbers'!$A$5:$A$162,J1520),4),
    MATCH(L$8,'Vehicle numbers'!$B$4:$D$4,0))*1000</f>
        <v>3239244.0939536816</v>
      </c>
      <c r="M1520" s="184">
        <f>VLOOKUP(F1520,'Annual distance covered (GB)'!$A$8:$H$33,MATCH(J1520,'Annual distance covered (GB)'!$A$7:$H$7,0))</f>
        <v>67.400000000000006</v>
      </c>
      <c r="N1520" s="2">
        <f t="shared" ca="1" si="60"/>
        <v>62519.8115613833</v>
      </c>
      <c r="O1520" s="180">
        <f t="shared" ca="1" si="61"/>
        <v>1.9300741082798212E-2</v>
      </c>
      <c r="P1520" s="180"/>
      <c r="Q1520" s="180"/>
      <c r="R1520" s="180"/>
      <c r="S1520" s="180"/>
      <c r="T1520" s="180"/>
    </row>
    <row r="1521" spans="1:20" x14ac:dyDescent="0.25">
      <c r="A1521" t="s">
        <v>246</v>
      </c>
      <c r="B1521" t="s">
        <v>237</v>
      </c>
      <c r="C1521" t="s">
        <v>238</v>
      </c>
      <c r="D1521" t="s">
        <v>257</v>
      </c>
      <c r="E1521" t="s">
        <v>228</v>
      </c>
      <c r="F1521">
        <v>2007</v>
      </c>
      <c r="G1521">
        <v>7.2137464788732397E-4</v>
      </c>
      <c r="H1521" t="s">
        <v>240</v>
      </c>
      <c r="I1521" t="s">
        <v>241</v>
      </c>
      <c r="J1521" t="s">
        <v>188</v>
      </c>
      <c r="K1521" s="183">
        <f ca="1">VLOOKUP(F1521,
    OFFSET(INDIRECT(ADDRESS(MATCH(J1521,'Vehicle numbers'!$A$5:$A$162,0),1,1,1,$L$6)),4,1,COUNTIF('Vehicle numbers'!$A$5:$A$162,J1521),4),
    MATCH(K$8,'Vehicle numbers'!$B$4:$D$4,0))*1000</f>
        <v>3148885</v>
      </c>
      <c r="L1521" s="183">
        <f ca="1">VLOOKUP(F1521,
    OFFSET(INDIRECT(ADDRESS(MATCH(J1521,'Vehicle numbers'!$A$5:$A$162,0),1,1,1,$L$6)),4,1,COUNTIF('Vehicle numbers'!$A$5:$A$162,J1521),4),
    MATCH(L$8,'Vehicle numbers'!$B$4:$D$4,0))*1000</f>
        <v>3239244.0939536816</v>
      </c>
      <c r="M1521" s="184">
        <f>VLOOKUP(F1521,'Annual distance covered (GB)'!$A$8:$H$33,MATCH(J1521,'Annual distance covered (GB)'!$A$7:$H$7,0))</f>
        <v>67.400000000000006</v>
      </c>
      <c r="N1521" s="2">
        <f t="shared" ca="1" si="60"/>
        <v>50015.849249106635</v>
      </c>
      <c r="O1521" s="180">
        <f t="shared" ca="1" si="61"/>
        <v>1.544059286623857E-2</v>
      </c>
      <c r="P1521" s="180"/>
      <c r="Q1521" s="180"/>
      <c r="R1521" s="180"/>
      <c r="S1521" s="180"/>
      <c r="T1521" s="180"/>
    </row>
    <row r="1522" spans="1:20" x14ac:dyDescent="0.25">
      <c r="A1522" t="s">
        <v>236</v>
      </c>
      <c r="B1522" t="s">
        <v>237</v>
      </c>
      <c r="C1522" t="s">
        <v>238</v>
      </c>
      <c r="D1522" t="s">
        <v>258</v>
      </c>
      <c r="E1522" t="s">
        <v>229</v>
      </c>
      <c r="F1522">
        <v>2007</v>
      </c>
      <c r="G1522">
        <v>8.6219999999999995E-3</v>
      </c>
      <c r="H1522" t="s">
        <v>240</v>
      </c>
      <c r="I1522" t="s">
        <v>241</v>
      </c>
      <c r="J1522" t="s">
        <v>188</v>
      </c>
      <c r="K1522" s="183">
        <f ca="1">VLOOKUP(F1522,
    OFFSET(INDIRECT(ADDRESS(MATCH(J1522,'Vehicle numbers'!$A$5:$A$162,0),1,1,1,$L$6)),4,1,COUNTIF('Vehicle numbers'!$A$5:$A$162,J1522),4),
    MATCH(K$8,'Vehicle numbers'!$B$4:$D$4,0))*1000</f>
        <v>3148885</v>
      </c>
      <c r="L1522" s="183">
        <f ca="1">VLOOKUP(F1522,
    OFFSET(INDIRECT(ADDRESS(MATCH(J1522,'Vehicle numbers'!$A$5:$A$162,0),1,1,1,$L$6)),4,1,COUNTIF('Vehicle numbers'!$A$5:$A$162,J1522),4),
    MATCH(L$8,'Vehicle numbers'!$B$4:$D$4,0))*1000</f>
        <v>3239244.0939536816</v>
      </c>
      <c r="M1522" s="184">
        <f>VLOOKUP(F1522,'Annual distance covered (GB)'!$A$8:$H$33,MATCH(J1522,'Annual distance covered (GB)'!$A$7:$H$7,0))</f>
        <v>67.400000000000006</v>
      </c>
      <c r="N1522" s="2">
        <f t="shared" ca="1" si="60"/>
        <v>597798.45810876763</v>
      </c>
      <c r="O1522" s="180">
        <f t="shared" ca="1" si="61"/>
        <v>0.18454875297128986</v>
      </c>
      <c r="P1522" s="180"/>
      <c r="Q1522" s="180"/>
      <c r="R1522" s="180"/>
      <c r="S1522" s="180"/>
      <c r="T1522" s="180"/>
    </row>
    <row r="1523" spans="1:20" x14ac:dyDescent="0.25">
      <c r="A1523" t="s">
        <v>243</v>
      </c>
      <c r="B1523" t="s">
        <v>237</v>
      </c>
      <c r="C1523" t="s">
        <v>238</v>
      </c>
      <c r="D1523" t="s">
        <v>258</v>
      </c>
      <c r="E1523" t="s">
        <v>229</v>
      </c>
      <c r="F1523">
        <v>2007</v>
      </c>
      <c r="G1523">
        <v>3.4488000000000001E-3</v>
      </c>
      <c r="H1523" t="s">
        <v>240</v>
      </c>
      <c r="I1523" t="s">
        <v>241</v>
      </c>
      <c r="J1523" t="s">
        <v>188</v>
      </c>
      <c r="K1523" s="183">
        <f ca="1">VLOOKUP(F1523,
    OFFSET(INDIRECT(ADDRESS(MATCH(J1523,'Vehicle numbers'!$A$5:$A$162,0),1,1,1,$L$6)),4,1,COUNTIF('Vehicle numbers'!$A$5:$A$162,J1523),4),
    MATCH(K$8,'Vehicle numbers'!$B$4:$D$4,0))*1000</f>
        <v>3148885</v>
      </c>
      <c r="L1523" s="183">
        <f ca="1">VLOOKUP(F1523,
    OFFSET(INDIRECT(ADDRESS(MATCH(J1523,'Vehicle numbers'!$A$5:$A$162,0),1,1,1,$L$6)),4,1,COUNTIF('Vehicle numbers'!$A$5:$A$162,J1523),4),
    MATCH(L$8,'Vehicle numbers'!$B$4:$D$4,0))*1000</f>
        <v>3239244.0939536816</v>
      </c>
      <c r="M1523" s="184">
        <f>VLOOKUP(F1523,'Annual distance covered (GB)'!$A$8:$H$33,MATCH(J1523,'Annual distance covered (GB)'!$A$7:$H$7,0))</f>
        <v>67.400000000000006</v>
      </c>
      <c r="N1523" s="2">
        <f t="shared" ca="1" si="60"/>
        <v>239119.38324350707</v>
      </c>
      <c r="O1523" s="180">
        <f t="shared" ca="1" si="61"/>
        <v>7.3819501188515949E-2</v>
      </c>
      <c r="P1523" s="180"/>
      <c r="Q1523" s="180"/>
      <c r="R1523" s="180"/>
      <c r="S1523" s="180"/>
      <c r="T1523" s="180"/>
    </row>
    <row r="1524" spans="1:20" x14ac:dyDescent="0.25">
      <c r="A1524" t="s">
        <v>244</v>
      </c>
      <c r="B1524" t="s">
        <v>237</v>
      </c>
      <c r="C1524" t="s">
        <v>238</v>
      </c>
      <c r="D1524" t="s">
        <v>258</v>
      </c>
      <c r="E1524" t="s">
        <v>229</v>
      </c>
      <c r="F1524">
        <v>2007</v>
      </c>
      <c r="G1524">
        <v>8.6220000000000003E-4</v>
      </c>
      <c r="H1524" t="s">
        <v>240</v>
      </c>
      <c r="I1524" t="s">
        <v>241</v>
      </c>
      <c r="J1524" t="s">
        <v>188</v>
      </c>
      <c r="K1524" s="183">
        <f ca="1">VLOOKUP(F1524,
    OFFSET(INDIRECT(ADDRESS(MATCH(J1524,'Vehicle numbers'!$A$5:$A$162,0),1,1,1,$L$6)),4,1,COUNTIF('Vehicle numbers'!$A$5:$A$162,J1524),4),
    MATCH(K$8,'Vehicle numbers'!$B$4:$D$4,0))*1000</f>
        <v>3148885</v>
      </c>
      <c r="L1524" s="183">
        <f ca="1">VLOOKUP(F1524,
    OFFSET(INDIRECT(ADDRESS(MATCH(J1524,'Vehicle numbers'!$A$5:$A$162,0),1,1,1,$L$6)),4,1,COUNTIF('Vehicle numbers'!$A$5:$A$162,J1524),4),
    MATCH(L$8,'Vehicle numbers'!$B$4:$D$4,0))*1000</f>
        <v>3239244.0939536816</v>
      </c>
      <c r="M1524" s="184">
        <f>VLOOKUP(F1524,'Annual distance covered (GB)'!$A$8:$H$33,MATCH(J1524,'Annual distance covered (GB)'!$A$7:$H$7,0))</f>
        <v>67.400000000000006</v>
      </c>
      <c r="N1524" s="2">
        <f t="shared" ca="1" si="60"/>
        <v>59779.845810876766</v>
      </c>
      <c r="O1524" s="180">
        <f t="shared" ca="1" si="61"/>
        <v>1.8454875297128987E-2</v>
      </c>
      <c r="P1524" s="180"/>
      <c r="Q1524" s="180"/>
      <c r="R1524" s="180"/>
      <c r="S1524" s="180"/>
      <c r="T1524" s="180"/>
    </row>
    <row r="1525" spans="1:20" x14ac:dyDescent="0.25">
      <c r="A1525" t="s">
        <v>246</v>
      </c>
      <c r="B1525" t="s">
        <v>237</v>
      </c>
      <c r="C1525" t="s">
        <v>238</v>
      </c>
      <c r="D1525" t="s">
        <v>258</v>
      </c>
      <c r="E1525" t="s">
        <v>229</v>
      </c>
      <c r="F1525">
        <v>2007</v>
      </c>
      <c r="G1525">
        <v>6.8975999999999998E-4</v>
      </c>
      <c r="H1525" t="s">
        <v>240</v>
      </c>
      <c r="I1525" t="s">
        <v>241</v>
      </c>
      <c r="J1525" t="s">
        <v>188</v>
      </c>
      <c r="K1525" s="183">
        <f ca="1">VLOOKUP(F1525,
    OFFSET(INDIRECT(ADDRESS(MATCH(J1525,'Vehicle numbers'!$A$5:$A$162,0),1,1,1,$L$6)),4,1,COUNTIF('Vehicle numbers'!$A$5:$A$162,J1525),4),
    MATCH(K$8,'Vehicle numbers'!$B$4:$D$4,0))*1000</f>
        <v>3148885</v>
      </c>
      <c r="L1525" s="183">
        <f ca="1">VLOOKUP(F1525,
    OFFSET(INDIRECT(ADDRESS(MATCH(J1525,'Vehicle numbers'!$A$5:$A$162,0),1,1,1,$L$6)),4,1,COUNTIF('Vehicle numbers'!$A$5:$A$162,J1525),4),
    MATCH(L$8,'Vehicle numbers'!$B$4:$D$4,0))*1000</f>
        <v>3239244.0939536816</v>
      </c>
      <c r="M1525" s="184">
        <f>VLOOKUP(F1525,'Annual distance covered (GB)'!$A$8:$H$33,MATCH(J1525,'Annual distance covered (GB)'!$A$7:$H$7,0))</f>
        <v>67.400000000000006</v>
      </c>
      <c r="N1525" s="2">
        <f t="shared" ca="1" si="60"/>
        <v>47823.876648701415</v>
      </c>
      <c r="O1525" s="180">
        <f t="shared" ca="1" si="61"/>
        <v>1.476390023770319E-2</v>
      </c>
      <c r="P1525" s="180"/>
      <c r="Q1525" s="180"/>
      <c r="R1525" s="180"/>
      <c r="S1525" s="180"/>
      <c r="T1525" s="180"/>
    </row>
    <row r="1526" spans="1:20" x14ac:dyDescent="0.25">
      <c r="A1526" t="s">
        <v>236</v>
      </c>
      <c r="B1526" t="s">
        <v>237</v>
      </c>
      <c r="C1526" t="s">
        <v>238</v>
      </c>
      <c r="D1526" t="s">
        <v>258</v>
      </c>
      <c r="E1526" t="s">
        <v>228</v>
      </c>
      <c r="F1526">
        <v>2007</v>
      </c>
      <c r="G1526">
        <v>1.0741000000000001E-2</v>
      </c>
      <c r="H1526" t="s">
        <v>240</v>
      </c>
      <c r="I1526" t="s">
        <v>241</v>
      </c>
      <c r="J1526" t="s">
        <v>188</v>
      </c>
      <c r="K1526" s="183">
        <f ca="1">VLOOKUP(F1526,
    OFFSET(INDIRECT(ADDRESS(MATCH(J1526,'Vehicle numbers'!$A$5:$A$162,0),1,1,1,$L$6)),4,1,COUNTIF('Vehicle numbers'!$A$5:$A$162,J1526),4),
    MATCH(K$8,'Vehicle numbers'!$B$4:$D$4,0))*1000</f>
        <v>3148885</v>
      </c>
      <c r="L1526" s="183">
        <f ca="1">VLOOKUP(F1526,
    OFFSET(INDIRECT(ADDRESS(MATCH(J1526,'Vehicle numbers'!$A$5:$A$162,0),1,1,1,$L$6)),4,1,COUNTIF('Vehicle numbers'!$A$5:$A$162,J1526),4),
    MATCH(L$8,'Vehicle numbers'!$B$4:$D$4,0))*1000</f>
        <v>3239244.0939536816</v>
      </c>
      <c r="M1526" s="184">
        <f>VLOOKUP(F1526,'Annual distance covered (GB)'!$A$8:$H$33,MATCH(J1526,'Annual distance covered (GB)'!$A$7:$H$7,0))</f>
        <v>67.400000000000006</v>
      </c>
      <c r="N1526" s="2">
        <f t="shared" ca="1" si="60"/>
        <v>744717.378629816</v>
      </c>
      <c r="O1526" s="180">
        <f t="shared" ca="1" si="61"/>
        <v>0.22990468054565349</v>
      </c>
      <c r="P1526" s="180"/>
      <c r="Q1526" s="180"/>
      <c r="R1526" s="180"/>
      <c r="S1526" s="180"/>
      <c r="T1526" s="180"/>
    </row>
    <row r="1527" spans="1:20" x14ac:dyDescent="0.25">
      <c r="A1527" t="s">
        <v>243</v>
      </c>
      <c r="B1527" t="s">
        <v>237</v>
      </c>
      <c r="C1527" t="s">
        <v>238</v>
      </c>
      <c r="D1527" t="s">
        <v>258</v>
      </c>
      <c r="E1527" t="s">
        <v>228</v>
      </c>
      <c r="F1527">
        <v>2007</v>
      </c>
      <c r="G1527">
        <v>7.5186999999999997E-3</v>
      </c>
      <c r="H1527" t="s">
        <v>240</v>
      </c>
      <c r="I1527" t="s">
        <v>241</v>
      </c>
      <c r="J1527" t="s">
        <v>188</v>
      </c>
      <c r="K1527" s="183">
        <f ca="1">VLOOKUP(F1527,
    OFFSET(INDIRECT(ADDRESS(MATCH(J1527,'Vehicle numbers'!$A$5:$A$162,0),1,1,1,$L$6)),4,1,COUNTIF('Vehicle numbers'!$A$5:$A$162,J1527),4),
    MATCH(K$8,'Vehicle numbers'!$B$4:$D$4,0))*1000</f>
        <v>3148885</v>
      </c>
      <c r="L1527" s="183">
        <f ca="1">VLOOKUP(F1527,
    OFFSET(INDIRECT(ADDRESS(MATCH(J1527,'Vehicle numbers'!$A$5:$A$162,0),1,1,1,$L$6)),4,1,COUNTIF('Vehicle numbers'!$A$5:$A$162,J1527),4),
    MATCH(L$8,'Vehicle numbers'!$B$4:$D$4,0))*1000</f>
        <v>3239244.0939536816</v>
      </c>
      <c r="M1527" s="184">
        <f>VLOOKUP(F1527,'Annual distance covered (GB)'!$A$8:$H$33,MATCH(J1527,'Annual distance covered (GB)'!$A$7:$H$7,0))</f>
        <v>67.400000000000006</v>
      </c>
      <c r="N1527" s="2">
        <f t="shared" ca="1" si="60"/>
        <v>521302.16504087113</v>
      </c>
      <c r="O1527" s="180">
        <f t="shared" ca="1" si="61"/>
        <v>0.16093327638195742</v>
      </c>
      <c r="P1527" s="180"/>
      <c r="Q1527" s="180"/>
      <c r="R1527" s="180"/>
      <c r="S1527" s="180"/>
      <c r="T1527" s="180"/>
    </row>
    <row r="1528" spans="1:20" x14ac:dyDescent="0.25">
      <c r="A1528" t="s">
        <v>244</v>
      </c>
      <c r="B1528" t="s">
        <v>237</v>
      </c>
      <c r="C1528" t="s">
        <v>238</v>
      </c>
      <c r="D1528" t="s">
        <v>258</v>
      </c>
      <c r="E1528" t="s">
        <v>228</v>
      </c>
      <c r="F1528">
        <v>2007</v>
      </c>
      <c r="G1528">
        <v>1.05897183098591E-3</v>
      </c>
      <c r="H1528" t="s">
        <v>240</v>
      </c>
      <c r="I1528" t="s">
        <v>241</v>
      </c>
      <c r="J1528" t="s">
        <v>188</v>
      </c>
      <c r="K1528" s="183">
        <f ca="1">VLOOKUP(F1528,
    OFFSET(INDIRECT(ADDRESS(MATCH(J1528,'Vehicle numbers'!$A$5:$A$162,0),1,1,1,$L$6)),4,1,COUNTIF('Vehicle numbers'!$A$5:$A$162,J1528),4),
    MATCH(K$8,'Vehicle numbers'!$B$4:$D$4,0))*1000</f>
        <v>3148885</v>
      </c>
      <c r="L1528" s="183">
        <f ca="1">VLOOKUP(F1528,
    OFFSET(INDIRECT(ADDRESS(MATCH(J1528,'Vehicle numbers'!$A$5:$A$162,0),1,1,1,$L$6)),4,1,COUNTIF('Vehicle numbers'!$A$5:$A$162,J1528),4),
    MATCH(L$8,'Vehicle numbers'!$B$4:$D$4,0))*1000</f>
        <v>3239244.0939536816</v>
      </c>
      <c r="M1528" s="184">
        <f>VLOOKUP(F1528,'Annual distance covered (GB)'!$A$8:$H$33,MATCH(J1528,'Annual distance covered (GB)'!$A$7:$H$7,0))</f>
        <v>67.400000000000006</v>
      </c>
      <c r="N1528" s="2">
        <f t="shared" ca="1" si="60"/>
        <v>73422.8401466012</v>
      </c>
      <c r="O1528" s="180">
        <f t="shared" ca="1" si="61"/>
        <v>2.2666658645346005E-2</v>
      </c>
      <c r="P1528" s="180"/>
      <c r="Q1528" s="180"/>
      <c r="R1528" s="180"/>
      <c r="S1528" s="180"/>
      <c r="T1528" s="180"/>
    </row>
    <row r="1529" spans="1:20" x14ac:dyDescent="0.25">
      <c r="A1529" t="s">
        <v>246</v>
      </c>
      <c r="B1529" t="s">
        <v>237</v>
      </c>
      <c r="C1529" t="s">
        <v>238</v>
      </c>
      <c r="D1529" t="s">
        <v>258</v>
      </c>
      <c r="E1529" t="s">
        <v>228</v>
      </c>
      <c r="F1529">
        <v>2007</v>
      </c>
      <c r="G1529">
        <v>8.47177464788731E-4</v>
      </c>
      <c r="H1529" t="s">
        <v>240</v>
      </c>
      <c r="I1529" t="s">
        <v>241</v>
      </c>
      <c r="J1529" t="s">
        <v>188</v>
      </c>
      <c r="K1529" s="183">
        <f ca="1">VLOOKUP(F1529,
    OFFSET(INDIRECT(ADDRESS(MATCH(J1529,'Vehicle numbers'!$A$5:$A$162,0),1,1,1,$L$6)),4,1,COUNTIF('Vehicle numbers'!$A$5:$A$162,J1529),4),
    MATCH(K$8,'Vehicle numbers'!$B$4:$D$4,0))*1000</f>
        <v>3148885</v>
      </c>
      <c r="L1529" s="183">
        <f ca="1">VLOOKUP(F1529,
    OFFSET(INDIRECT(ADDRESS(MATCH(J1529,'Vehicle numbers'!$A$5:$A$162,0),1,1,1,$L$6)),4,1,COUNTIF('Vehicle numbers'!$A$5:$A$162,J1529),4),
    MATCH(L$8,'Vehicle numbers'!$B$4:$D$4,0))*1000</f>
        <v>3239244.0939536816</v>
      </c>
      <c r="M1529" s="184">
        <f>VLOOKUP(F1529,'Annual distance covered (GB)'!$A$8:$H$33,MATCH(J1529,'Annual distance covered (GB)'!$A$7:$H$7,0))</f>
        <v>67.400000000000006</v>
      </c>
      <c r="N1529" s="2">
        <f t="shared" ca="1" si="60"/>
        <v>58738.272117281158</v>
      </c>
      <c r="O1529" s="180">
        <f t="shared" ca="1" si="61"/>
        <v>1.8133326916276865E-2</v>
      </c>
      <c r="P1529" s="180"/>
      <c r="Q1529" s="180"/>
      <c r="R1529" s="180"/>
      <c r="S1529" s="180"/>
      <c r="T1529" s="180"/>
    </row>
    <row r="1530" spans="1:20" x14ac:dyDescent="0.25">
      <c r="A1530" t="s">
        <v>236</v>
      </c>
      <c r="B1530" t="s">
        <v>237</v>
      </c>
      <c r="C1530" t="s">
        <v>238</v>
      </c>
      <c r="D1530" t="s">
        <v>259</v>
      </c>
      <c r="E1530" t="s">
        <v>229</v>
      </c>
      <c r="F1530">
        <v>2007</v>
      </c>
      <c r="G1530">
        <v>1.8218999999999999E-2</v>
      </c>
      <c r="H1530" t="s">
        <v>240</v>
      </c>
      <c r="I1530" t="s">
        <v>241</v>
      </c>
      <c r="J1530" t="s">
        <v>188</v>
      </c>
      <c r="K1530" s="183">
        <f ca="1">VLOOKUP(F1530,
    OFFSET(INDIRECT(ADDRESS(MATCH(J1530,'Vehicle numbers'!$A$5:$A$162,0),1,1,1,$L$6)),4,1,COUNTIF('Vehicle numbers'!$A$5:$A$162,J1530),4),
    MATCH(K$8,'Vehicle numbers'!$B$4:$D$4,0))*1000</f>
        <v>3148885</v>
      </c>
      <c r="L1530" s="183">
        <f ca="1">VLOOKUP(F1530,
    OFFSET(INDIRECT(ADDRESS(MATCH(J1530,'Vehicle numbers'!$A$5:$A$162,0),1,1,1,$L$6)),4,1,COUNTIF('Vehicle numbers'!$A$5:$A$162,J1530),4),
    MATCH(L$8,'Vehicle numbers'!$B$4:$D$4,0))*1000</f>
        <v>3239244.0939536816</v>
      </c>
      <c r="M1530" s="184">
        <f>VLOOKUP(F1530,'Annual distance covered (GB)'!$A$8:$H$33,MATCH(J1530,'Annual distance covered (GB)'!$A$7:$H$7,0))</f>
        <v>67.400000000000006</v>
      </c>
      <c r="N1530" s="2">
        <f t="shared" ca="1" si="60"/>
        <v>1263197.6465186311</v>
      </c>
      <c r="O1530" s="180">
        <f t="shared" ca="1" si="61"/>
        <v>0.38996679777127463</v>
      </c>
      <c r="P1530" s="180"/>
      <c r="Q1530" s="180"/>
      <c r="R1530" s="180"/>
      <c r="S1530" s="180"/>
      <c r="T1530" s="180"/>
    </row>
    <row r="1531" spans="1:20" x14ac:dyDescent="0.25">
      <c r="A1531" t="s">
        <v>243</v>
      </c>
      <c r="B1531" t="s">
        <v>237</v>
      </c>
      <c r="C1531" t="s">
        <v>238</v>
      </c>
      <c r="D1531" t="s">
        <v>259</v>
      </c>
      <c r="E1531" t="s">
        <v>229</v>
      </c>
      <c r="F1531">
        <v>2007</v>
      </c>
      <c r="G1531">
        <v>7.2876E-3</v>
      </c>
      <c r="H1531" t="s">
        <v>240</v>
      </c>
      <c r="I1531" t="s">
        <v>241</v>
      </c>
      <c r="J1531" t="s">
        <v>188</v>
      </c>
      <c r="K1531" s="183">
        <f ca="1">VLOOKUP(F1531,
    OFFSET(INDIRECT(ADDRESS(MATCH(J1531,'Vehicle numbers'!$A$5:$A$162,0),1,1,1,$L$6)),4,1,COUNTIF('Vehicle numbers'!$A$5:$A$162,J1531),4),
    MATCH(K$8,'Vehicle numbers'!$B$4:$D$4,0))*1000</f>
        <v>3148885</v>
      </c>
      <c r="L1531" s="183">
        <f ca="1">VLOOKUP(F1531,
    OFFSET(INDIRECT(ADDRESS(MATCH(J1531,'Vehicle numbers'!$A$5:$A$162,0),1,1,1,$L$6)),4,1,COUNTIF('Vehicle numbers'!$A$5:$A$162,J1531),4),
    MATCH(L$8,'Vehicle numbers'!$B$4:$D$4,0))*1000</f>
        <v>3239244.0939536816</v>
      </c>
      <c r="M1531" s="184">
        <f>VLOOKUP(F1531,'Annual distance covered (GB)'!$A$8:$H$33,MATCH(J1531,'Annual distance covered (GB)'!$A$7:$H$7,0))</f>
        <v>67.400000000000006</v>
      </c>
      <c r="N1531" s="2">
        <f t="shared" ca="1" si="60"/>
        <v>505279.05860745243</v>
      </c>
      <c r="O1531" s="180">
        <f t="shared" ca="1" si="61"/>
        <v>0.15598671910850986</v>
      </c>
      <c r="P1531" s="180"/>
      <c r="Q1531" s="180"/>
      <c r="R1531" s="180"/>
      <c r="S1531" s="180"/>
      <c r="T1531" s="180"/>
    </row>
    <row r="1532" spans="1:20" x14ac:dyDescent="0.25">
      <c r="A1532" t="s">
        <v>244</v>
      </c>
      <c r="B1532" t="s">
        <v>237</v>
      </c>
      <c r="C1532" t="s">
        <v>238</v>
      </c>
      <c r="D1532" t="s">
        <v>259</v>
      </c>
      <c r="E1532" t="s">
        <v>229</v>
      </c>
      <c r="F1532">
        <v>2007</v>
      </c>
      <c r="G1532">
        <v>1.8219E-3</v>
      </c>
      <c r="H1532" t="s">
        <v>240</v>
      </c>
      <c r="I1532" t="s">
        <v>241</v>
      </c>
      <c r="J1532" t="s">
        <v>188</v>
      </c>
      <c r="K1532" s="183">
        <f ca="1">VLOOKUP(F1532,
    OFFSET(INDIRECT(ADDRESS(MATCH(J1532,'Vehicle numbers'!$A$5:$A$162,0),1,1,1,$L$6)),4,1,COUNTIF('Vehicle numbers'!$A$5:$A$162,J1532),4),
    MATCH(K$8,'Vehicle numbers'!$B$4:$D$4,0))*1000</f>
        <v>3148885</v>
      </c>
      <c r="L1532" s="183">
        <f ca="1">VLOOKUP(F1532,
    OFFSET(INDIRECT(ADDRESS(MATCH(J1532,'Vehicle numbers'!$A$5:$A$162,0),1,1,1,$L$6)),4,1,COUNTIF('Vehicle numbers'!$A$5:$A$162,J1532),4),
    MATCH(L$8,'Vehicle numbers'!$B$4:$D$4,0))*1000</f>
        <v>3239244.0939536816</v>
      </c>
      <c r="M1532" s="184">
        <f>VLOOKUP(F1532,'Annual distance covered (GB)'!$A$8:$H$33,MATCH(J1532,'Annual distance covered (GB)'!$A$7:$H$7,0))</f>
        <v>67.400000000000006</v>
      </c>
      <c r="N1532" s="2">
        <f t="shared" ca="1" si="60"/>
        <v>126319.76465186311</v>
      </c>
      <c r="O1532" s="180">
        <f t="shared" ca="1" si="61"/>
        <v>3.8996679777127466E-2</v>
      </c>
      <c r="P1532" s="180"/>
      <c r="Q1532" s="180"/>
      <c r="R1532" s="180"/>
      <c r="S1532" s="180"/>
      <c r="T1532" s="180"/>
    </row>
    <row r="1533" spans="1:20" x14ac:dyDescent="0.25">
      <c r="A1533" t="s">
        <v>246</v>
      </c>
      <c r="B1533" t="s">
        <v>237</v>
      </c>
      <c r="C1533" t="s">
        <v>238</v>
      </c>
      <c r="D1533" t="s">
        <v>259</v>
      </c>
      <c r="E1533" t="s">
        <v>229</v>
      </c>
      <c r="F1533">
        <v>2007</v>
      </c>
      <c r="G1533">
        <v>1.4575199999999999E-3</v>
      </c>
      <c r="H1533" t="s">
        <v>240</v>
      </c>
      <c r="I1533" t="s">
        <v>241</v>
      </c>
      <c r="J1533" t="s">
        <v>188</v>
      </c>
      <c r="K1533" s="183">
        <f ca="1">VLOOKUP(F1533,
    OFFSET(INDIRECT(ADDRESS(MATCH(J1533,'Vehicle numbers'!$A$5:$A$162,0),1,1,1,$L$6)),4,1,COUNTIF('Vehicle numbers'!$A$5:$A$162,J1533),4),
    MATCH(K$8,'Vehicle numbers'!$B$4:$D$4,0))*1000</f>
        <v>3148885</v>
      </c>
      <c r="L1533" s="183">
        <f ca="1">VLOOKUP(F1533,
    OFFSET(INDIRECT(ADDRESS(MATCH(J1533,'Vehicle numbers'!$A$5:$A$162,0),1,1,1,$L$6)),4,1,COUNTIF('Vehicle numbers'!$A$5:$A$162,J1533),4),
    MATCH(L$8,'Vehicle numbers'!$B$4:$D$4,0))*1000</f>
        <v>3239244.0939536816</v>
      </c>
      <c r="M1533" s="184">
        <f>VLOOKUP(F1533,'Annual distance covered (GB)'!$A$8:$H$33,MATCH(J1533,'Annual distance covered (GB)'!$A$7:$H$7,0))</f>
        <v>67.400000000000006</v>
      </c>
      <c r="N1533" s="2">
        <f t="shared" ca="1" si="60"/>
        <v>101055.81172149048</v>
      </c>
      <c r="O1533" s="180">
        <f t="shared" ca="1" si="61"/>
        <v>3.1197343821701969E-2</v>
      </c>
      <c r="P1533" s="180"/>
      <c r="Q1533" s="180"/>
      <c r="R1533" s="180"/>
      <c r="S1533" s="180"/>
      <c r="T1533" s="180"/>
    </row>
    <row r="1534" spans="1:20" x14ac:dyDescent="0.25">
      <c r="A1534" t="s">
        <v>236</v>
      </c>
      <c r="B1534" t="s">
        <v>237</v>
      </c>
      <c r="C1534" t="s">
        <v>238</v>
      </c>
      <c r="D1534" t="s">
        <v>259</v>
      </c>
      <c r="E1534" t="s">
        <v>228</v>
      </c>
      <c r="F1534">
        <v>2007</v>
      </c>
      <c r="G1534">
        <v>1.3802E-2</v>
      </c>
      <c r="H1534" t="s">
        <v>240</v>
      </c>
      <c r="I1534" t="s">
        <v>241</v>
      </c>
      <c r="J1534" t="s">
        <v>188</v>
      </c>
      <c r="K1534" s="183">
        <f ca="1">VLOOKUP(F1534,
    OFFSET(INDIRECT(ADDRESS(MATCH(J1534,'Vehicle numbers'!$A$5:$A$162,0),1,1,1,$L$6)),4,1,COUNTIF('Vehicle numbers'!$A$5:$A$162,J1534),4),
    MATCH(K$8,'Vehicle numbers'!$B$4:$D$4,0))*1000</f>
        <v>3148885</v>
      </c>
      <c r="L1534" s="183">
        <f ca="1">VLOOKUP(F1534,
    OFFSET(INDIRECT(ADDRESS(MATCH(J1534,'Vehicle numbers'!$A$5:$A$162,0),1,1,1,$L$6)),4,1,COUNTIF('Vehicle numbers'!$A$5:$A$162,J1534),4),
    MATCH(L$8,'Vehicle numbers'!$B$4:$D$4,0))*1000</f>
        <v>3239244.0939536816</v>
      </c>
      <c r="M1534" s="184">
        <f>VLOOKUP(F1534,'Annual distance covered (GB)'!$A$8:$H$33,MATCH(J1534,'Annual distance covered (GB)'!$A$7:$H$7,0))</f>
        <v>67.400000000000006</v>
      </c>
      <c r="N1534" s="2">
        <f t="shared" ca="1" si="60"/>
        <v>956949.00473407679</v>
      </c>
      <c r="O1534" s="180">
        <f t="shared" ca="1" si="61"/>
        <v>0.29542355468681775</v>
      </c>
      <c r="P1534" s="180"/>
      <c r="Q1534" s="180"/>
      <c r="R1534" s="180"/>
      <c r="S1534" s="180"/>
      <c r="T1534" s="180"/>
    </row>
    <row r="1535" spans="1:20" x14ac:dyDescent="0.25">
      <c r="A1535" t="s">
        <v>243</v>
      </c>
      <c r="B1535" t="s">
        <v>237</v>
      </c>
      <c r="C1535" t="s">
        <v>238</v>
      </c>
      <c r="D1535" t="s">
        <v>259</v>
      </c>
      <c r="E1535" t="s">
        <v>228</v>
      </c>
      <c r="F1535">
        <v>2007</v>
      </c>
      <c r="G1535">
        <v>9.6614000000000005E-3</v>
      </c>
      <c r="H1535" t="s">
        <v>240</v>
      </c>
      <c r="I1535" t="s">
        <v>241</v>
      </c>
      <c r="J1535" t="s">
        <v>188</v>
      </c>
      <c r="K1535" s="183">
        <f ca="1">VLOOKUP(F1535,
    OFFSET(INDIRECT(ADDRESS(MATCH(J1535,'Vehicle numbers'!$A$5:$A$162,0),1,1,1,$L$6)),4,1,COUNTIF('Vehicle numbers'!$A$5:$A$162,J1535),4),
    MATCH(K$8,'Vehicle numbers'!$B$4:$D$4,0))*1000</f>
        <v>3148885</v>
      </c>
      <c r="L1535" s="183">
        <f ca="1">VLOOKUP(F1535,
    OFFSET(INDIRECT(ADDRESS(MATCH(J1535,'Vehicle numbers'!$A$5:$A$162,0),1,1,1,$L$6)),4,1,COUNTIF('Vehicle numbers'!$A$5:$A$162,J1535),4),
    MATCH(L$8,'Vehicle numbers'!$B$4:$D$4,0))*1000</f>
        <v>3239244.0939536816</v>
      </c>
      <c r="M1535" s="184">
        <f>VLOOKUP(F1535,'Annual distance covered (GB)'!$A$8:$H$33,MATCH(J1535,'Annual distance covered (GB)'!$A$7:$H$7,0))</f>
        <v>67.400000000000006</v>
      </c>
      <c r="N1535" s="2">
        <f t="shared" ca="1" si="60"/>
        <v>669864.30331385392</v>
      </c>
      <c r="O1535" s="180">
        <f t="shared" ca="1" si="61"/>
        <v>0.20679648828077246</v>
      </c>
      <c r="P1535" s="180"/>
      <c r="Q1535" s="180"/>
      <c r="R1535" s="180"/>
      <c r="S1535" s="180"/>
      <c r="T1535" s="180"/>
    </row>
    <row r="1536" spans="1:20" x14ac:dyDescent="0.25">
      <c r="A1536" t="s">
        <v>244</v>
      </c>
      <c r="B1536" t="s">
        <v>237</v>
      </c>
      <c r="C1536" t="s">
        <v>238</v>
      </c>
      <c r="D1536" t="s">
        <v>259</v>
      </c>
      <c r="E1536" t="s">
        <v>228</v>
      </c>
      <c r="F1536">
        <v>2007</v>
      </c>
      <c r="G1536">
        <v>1.3607605633802801E-3</v>
      </c>
      <c r="H1536" t="s">
        <v>240</v>
      </c>
      <c r="I1536" t="s">
        <v>241</v>
      </c>
      <c r="J1536" t="s">
        <v>188</v>
      </c>
      <c r="K1536" s="183">
        <f ca="1">VLOOKUP(F1536,
    OFFSET(INDIRECT(ADDRESS(MATCH(J1536,'Vehicle numbers'!$A$5:$A$162,0),1,1,1,$L$6)),4,1,COUNTIF('Vehicle numbers'!$A$5:$A$162,J1536),4),
    MATCH(K$8,'Vehicle numbers'!$B$4:$D$4,0))*1000</f>
        <v>3148885</v>
      </c>
      <c r="L1536" s="183">
        <f ca="1">VLOOKUP(F1536,
    OFFSET(INDIRECT(ADDRESS(MATCH(J1536,'Vehicle numbers'!$A$5:$A$162,0),1,1,1,$L$6)),4,1,COUNTIF('Vehicle numbers'!$A$5:$A$162,J1536),4),
    MATCH(L$8,'Vehicle numbers'!$B$4:$D$4,0))*1000</f>
        <v>3239244.0939536816</v>
      </c>
      <c r="M1536" s="184">
        <f>VLOOKUP(F1536,'Annual distance covered (GB)'!$A$8:$H$33,MATCH(J1536,'Annual distance covered (GB)'!$A$7:$H$7,0))</f>
        <v>67.400000000000006</v>
      </c>
      <c r="N1536" s="2">
        <f t="shared" ca="1" si="60"/>
        <v>94347.084973782112</v>
      </c>
      <c r="O1536" s="180">
        <f t="shared" ca="1" si="61"/>
        <v>2.9126265955038335E-2</v>
      </c>
      <c r="P1536" s="180"/>
      <c r="Q1536" s="180"/>
      <c r="R1536" s="180"/>
      <c r="S1536" s="180"/>
      <c r="T1536" s="180"/>
    </row>
    <row r="1537" spans="1:20" x14ac:dyDescent="0.25">
      <c r="A1537" t="s">
        <v>246</v>
      </c>
      <c r="B1537" t="s">
        <v>237</v>
      </c>
      <c r="C1537" t="s">
        <v>238</v>
      </c>
      <c r="D1537" t="s">
        <v>259</v>
      </c>
      <c r="E1537" t="s">
        <v>228</v>
      </c>
      <c r="F1537">
        <v>2007</v>
      </c>
      <c r="G1537">
        <v>1.0886084507042201E-3</v>
      </c>
      <c r="H1537" t="s">
        <v>240</v>
      </c>
      <c r="I1537" t="s">
        <v>241</v>
      </c>
      <c r="J1537" t="s">
        <v>188</v>
      </c>
      <c r="K1537" s="183">
        <f ca="1">VLOOKUP(F1537,
    OFFSET(INDIRECT(ADDRESS(MATCH(J1537,'Vehicle numbers'!$A$5:$A$162,0),1,1,1,$L$6)),4,1,COUNTIF('Vehicle numbers'!$A$5:$A$162,J1537),4),
    MATCH(K$8,'Vehicle numbers'!$B$4:$D$4,0))*1000</f>
        <v>3148885</v>
      </c>
      <c r="L1537" s="183">
        <f ca="1">VLOOKUP(F1537,
    OFFSET(INDIRECT(ADDRESS(MATCH(J1537,'Vehicle numbers'!$A$5:$A$162,0),1,1,1,$L$6)),4,1,COUNTIF('Vehicle numbers'!$A$5:$A$162,J1537),4),
    MATCH(L$8,'Vehicle numbers'!$B$4:$D$4,0))*1000</f>
        <v>3239244.0939536816</v>
      </c>
      <c r="M1537" s="184">
        <f>VLOOKUP(F1537,'Annual distance covered (GB)'!$A$8:$H$33,MATCH(J1537,'Annual distance covered (GB)'!$A$7:$H$7,0))</f>
        <v>67.400000000000006</v>
      </c>
      <c r="N1537" s="2">
        <f t="shared" ca="1" si="60"/>
        <v>75477.667979025413</v>
      </c>
      <c r="O1537" s="180">
        <f t="shared" ca="1" si="61"/>
        <v>2.3301012764030581E-2</v>
      </c>
      <c r="P1537" s="180"/>
      <c r="Q1537" s="180"/>
      <c r="R1537" s="180"/>
      <c r="S1537" s="180"/>
      <c r="T1537" s="180"/>
    </row>
    <row r="1538" spans="1:20" x14ac:dyDescent="0.25">
      <c r="A1538" t="s">
        <v>236</v>
      </c>
      <c r="B1538" t="s">
        <v>237</v>
      </c>
      <c r="C1538" t="s">
        <v>238</v>
      </c>
      <c r="D1538" t="s">
        <v>260</v>
      </c>
      <c r="E1538" t="s">
        <v>229</v>
      </c>
      <c r="F1538">
        <v>2007</v>
      </c>
      <c r="G1538">
        <v>5.8400000000000101E-3</v>
      </c>
      <c r="H1538" t="s">
        <v>240</v>
      </c>
      <c r="I1538" t="s">
        <v>241</v>
      </c>
      <c r="J1538" t="s">
        <v>3</v>
      </c>
      <c r="K1538" s="183">
        <f ca="1">VLOOKUP(F1538,
    OFFSET(INDIRECT(ADDRESS(MATCH(J1538,'Vehicle numbers'!$A$5:$A$162,0),1,1,1,$L$6)),4,1,COUNTIF('Vehicle numbers'!$A$5:$A$162,J1538),4),
    MATCH(K$8,'Vehicle numbers'!$B$4:$D$4,0))*1000</f>
        <v>1248321</v>
      </c>
      <c r="L1538" s="183">
        <f ca="1">VLOOKUP(F1538,
    OFFSET(INDIRECT(ADDRESS(MATCH(J1538,'Vehicle numbers'!$A$5:$A$162,0),1,1,1,$L$6)),4,1,COUNTIF('Vehicle numbers'!$A$5:$A$162,J1538),4),
    MATCH(L$8,'Vehicle numbers'!$B$4:$D$4,0))*1000</f>
        <v>1271260.3707829001</v>
      </c>
      <c r="M1538" s="184">
        <f>VLOOKUP(F1538,'Annual distance covered (GB)'!$A$8:$H$33,MATCH(J1538,'Annual distance covered (GB)'!$A$7:$H$7,0))</f>
        <v>5.5</v>
      </c>
      <c r="N1538" s="2">
        <f t="shared" ca="1" si="60"/>
        <v>32710.242885881777</v>
      </c>
      <c r="O1538" s="180">
        <f t="shared" ca="1" si="61"/>
        <v>2.5730561289924674E-2</v>
      </c>
      <c r="P1538" s="180"/>
      <c r="Q1538" s="180"/>
      <c r="R1538" s="180"/>
      <c r="S1538" s="180"/>
      <c r="T1538" s="180"/>
    </row>
    <row r="1539" spans="1:20" x14ac:dyDescent="0.25">
      <c r="A1539" t="s">
        <v>243</v>
      </c>
      <c r="B1539" t="s">
        <v>237</v>
      </c>
      <c r="C1539" t="s">
        <v>238</v>
      </c>
      <c r="D1539" t="s">
        <v>260</v>
      </c>
      <c r="E1539" t="s">
        <v>229</v>
      </c>
      <c r="F1539">
        <v>2007</v>
      </c>
      <c r="G1539">
        <v>2.336E-3</v>
      </c>
      <c r="H1539" t="s">
        <v>240</v>
      </c>
      <c r="I1539" t="s">
        <v>241</v>
      </c>
      <c r="J1539" t="s">
        <v>3</v>
      </c>
      <c r="K1539" s="183">
        <f ca="1">VLOOKUP(F1539,
    OFFSET(INDIRECT(ADDRESS(MATCH(J1539,'Vehicle numbers'!$A$5:$A$162,0),1,1,1,$L$6)),4,1,COUNTIF('Vehicle numbers'!$A$5:$A$162,J1539),4),
    MATCH(K$8,'Vehicle numbers'!$B$4:$D$4,0))*1000</f>
        <v>1248321</v>
      </c>
      <c r="L1539" s="183">
        <f ca="1">VLOOKUP(F1539,
    OFFSET(INDIRECT(ADDRESS(MATCH(J1539,'Vehicle numbers'!$A$5:$A$162,0),1,1,1,$L$6)),4,1,COUNTIF('Vehicle numbers'!$A$5:$A$162,J1539),4),
    MATCH(L$8,'Vehicle numbers'!$B$4:$D$4,0))*1000</f>
        <v>1271260.3707829001</v>
      </c>
      <c r="M1539" s="184">
        <f>VLOOKUP(F1539,'Annual distance covered (GB)'!$A$8:$H$33,MATCH(J1539,'Annual distance covered (GB)'!$A$7:$H$7,0))</f>
        <v>5.5</v>
      </c>
      <c r="N1539" s="2">
        <f t="shared" ca="1" si="60"/>
        <v>13084.097154352687</v>
      </c>
      <c r="O1539" s="180">
        <f t="shared" ca="1" si="61"/>
        <v>1.0292224515969851E-2</v>
      </c>
      <c r="P1539" s="180"/>
      <c r="Q1539" s="180"/>
      <c r="R1539" s="180"/>
      <c r="S1539" s="180"/>
      <c r="T1539" s="180"/>
    </row>
    <row r="1540" spans="1:20" x14ac:dyDescent="0.25">
      <c r="A1540" t="s">
        <v>244</v>
      </c>
      <c r="B1540" t="s">
        <v>237</v>
      </c>
      <c r="C1540" t="s">
        <v>238</v>
      </c>
      <c r="D1540" t="s">
        <v>260</v>
      </c>
      <c r="E1540" t="s">
        <v>229</v>
      </c>
      <c r="F1540">
        <v>2007</v>
      </c>
      <c r="G1540">
        <v>5.8399999999999999E-4</v>
      </c>
      <c r="H1540" t="s">
        <v>240</v>
      </c>
      <c r="I1540" t="s">
        <v>241</v>
      </c>
      <c r="J1540" t="s">
        <v>3</v>
      </c>
      <c r="K1540" s="183">
        <f ca="1">VLOOKUP(F1540,
    OFFSET(INDIRECT(ADDRESS(MATCH(J1540,'Vehicle numbers'!$A$5:$A$162,0),1,1,1,$L$6)),4,1,COUNTIF('Vehicle numbers'!$A$5:$A$162,J1540),4),
    MATCH(K$8,'Vehicle numbers'!$B$4:$D$4,0))*1000</f>
        <v>1248321</v>
      </c>
      <c r="L1540" s="183">
        <f ca="1">VLOOKUP(F1540,
    OFFSET(INDIRECT(ADDRESS(MATCH(J1540,'Vehicle numbers'!$A$5:$A$162,0),1,1,1,$L$6)),4,1,COUNTIF('Vehicle numbers'!$A$5:$A$162,J1540),4),
    MATCH(L$8,'Vehicle numbers'!$B$4:$D$4,0))*1000</f>
        <v>1271260.3707829001</v>
      </c>
      <c r="M1540" s="184">
        <f>VLOOKUP(F1540,'Annual distance covered (GB)'!$A$8:$H$33,MATCH(J1540,'Annual distance covered (GB)'!$A$7:$H$7,0))</f>
        <v>5.5</v>
      </c>
      <c r="N1540" s="2">
        <f t="shared" ca="1" si="60"/>
        <v>3271.0242885881717</v>
      </c>
      <c r="O1540" s="180">
        <f t="shared" ca="1" si="61"/>
        <v>2.5730561289924628E-3</v>
      </c>
      <c r="P1540" s="180"/>
      <c r="Q1540" s="180"/>
      <c r="R1540" s="180"/>
      <c r="S1540" s="180"/>
      <c r="T1540" s="180"/>
    </row>
    <row r="1541" spans="1:20" x14ac:dyDescent="0.25">
      <c r="A1541" t="s">
        <v>246</v>
      </c>
      <c r="B1541" t="s">
        <v>237</v>
      </c>
      <c r="C1541" t="s">
        <v>238</v>
      </c>
      <c r="D1541" t="s">
        <v>260</v>
      </c>
      <c r="E1541" t="s">
        <v>229</v>
      </c>
      <c r="F1541">
        <v>2007</v>
      </c>
      <c r="G1541">
        <v>4.6720000000000003E-4</v>
      </c>
      <c r="H1541" t="s">
        <v>240</v>
      </c>
      <c r="I1541" t="s">
        <v>241</v>
      </c>
      <c r="J1541" t="s">
        <v>3</v>
      </c>
      <c r="K1541" s="183">
        <f ca="1">VLOOKUP(F1541,
    OFFSET(INDIRECT(ADDRESS(MATCH(J1541,'Vehicle numbers'!$A$5:$A$162,0),1,1,1,$L$6)),4,1,COUNTIF('Vehicle numbers'!$A$5:$A$162,J1541),4),
    MATCH(K$8,'Vehicle numbers'!$B$4:$D$4,0))*1000</f>
        <v>1248321</v>
      </c>
      <c r="L1541" s="183">
        <f ca="1">VLOOKUP(F1541,
    OFFSET(INDIRECT(ADDRESS(MATCH(J1541,'Vehicle numbers'!$A$5:$A$162,0),1,1,1,$L$6)),4,1,COUNTIF('Vehicle numbers'!$A$5:$A$162,J1541),4),
    MATCH(L$8,'Vehicle numbers'!$B$4:$D$4,0))*1000</f>
        <v>1271260.3707829001</v>
      </c>
      <c r="M1541" s="184">
        <f>VLOOKUP(F1541,'Annual distance covered (GB)'!$A$8:$H$33,MATCH(J1541,'Annual distance covered (GB)'!$A$7:$H$7,0))</f>
        <v>5.5</v>
      </c>
      <c r="N1541" s="2">
        <f t="shared" ca="1" si="60"/>
        <v>2616.8194308705374</v>
      </c>
      <c r="O1541" s="180">
        <f t="shared" ca="1" si="61"/>
        <v>2.0584449031939701E-3</v>
      </c>
      <c r="P1541" s="180"/>
      <c r="Q1541" s="180"/>
      <c r="R1541" s="180"/>
      <c r="S1541" s="180"/>
      <c r="T1541" s="180"/>
    </row>
    <row r="1542" spans="1:20" x14ac:dyDescent="0.25">
      <c r="A1542" t="s">
        <v>236</v>
      </c>
      <c r="B1542" t="s">
        <v>237</v>
      </c>
      <c r="C1542" t="s">
        <v>238</v>
      </c>
      <c r="D1542" t="s">
        <v>260</v>
      </c>
      <c r="E1542" t="s">
        <v>228</v>
      </c>
      <c r="F1542">
        <v>2007</v>
      </c>
      <c r="G1542">
        <v>3.7570000000000099E-3</v>
      </c>
      <c r="H1542" t="s">
        <v>240</v>
      </c>
      <c r="I1542" t="s">
        <v>241</v>
      </c>
      <c r="J1542" t="s">
        <v>3</v>
      </c>
      <c r="K1542" s="183">
        <f ca="1">VLOOKUP(F1542,
    OFFSET(INDIRECT(ADDRESS(MATCH(J1542,'Vehicle numbers'!$A$5:$A$162,0),1,1,1,$L$6)),4,1,COUNTIF('Vehicle numbers'!$A$5:$A$162,J1542),4),
    MATCH(K$8,'Vehicle numbers'!$B$4:$D$4,0))*1000</f>
        <v>1248321</v>
      </c>
      <c r="L1542" s="183">
        <f ca="1">VLOOKUP(F1542,
    OFFSET(INDIRECT(ADDRESS(MATCH(J1542,'Vehicle numbers'!$A$5:$A$162,0),1,1,1,$L$6)),4,1,COUNTIF('Vehicle numbers'!$A$5:$A$162,J1542),4),
    MATCH(L$8,'Vehicle numbers'!$B$4:$D$4,0))*1000</f>
        <v>1271260.3707829001</v>
      </c>
      <c r="M1542" s="184">
        <f>VLOOKUP(F1542,'Annual distance covered (GB)'!$A$8:$H$33,MATCH(J1542,'Annual distance covered (GB)'!$A$7:$H$7,0))</f>
        <v>5.5</v>
      </c>
      <c r="N1542" s="2">
        <f t="shared" ca="1" si="60"/>
        <v>21043.216185318139</v>
      </c>
      <c r="O1542" s="180">
        <f t="shared" ca="1" si="61"/>
        <v>1.6553034035316279E-2</v>
      </c>
      <c r="P1542" s="180"/>
      <c r="Q1542" s="180"/>
      <c r="R1542" s="180"/>
      <c r="S1542" s="180"/>
      <c r="T1542" s="180"/>
    </row>
    <row r="1543" spans="1:20" x14ac:dyDescent="0.25">
      <c r="A1543" t="s">
        <v>243</v>
      </c>
      <c r="B1543" t="s">
        <v>237</v>
      </c>
      <c r="C1543" t="s">
        <v>238</v>
      </c>
      <c r="D1543" t="s">
        <v>260</v>
      </c>
      <c r="E1543" t="s">
        <v>228</v>
      </c>
      <c r="F1543">
        <v>2007</v>
      </c>
      <c r="G1543">
        <v>2.6299000000000101E-3</v>
      </c>
      <c r="H1543" t="s">
        <v>240</v>
      </c>
      <c r="I1543" t="s">
        <v>241</v>
      </c>
      <c r="J1543" t="s">
        <v>3</v>
      </c>
      <c r="K1543" s="183">
        <f ca="1">VLOOKUP(F1543,
    OFFSET(INDIRECT(ADDRESS(MATCH(J1543,'Vehicle numbers'!$A$5:$A$162,0),1,1,1,$L$6)),4,1,COUNTIF('Vehicle numbers'!$A$5:$A$162,J1543),4),
    MATCH(K$8,'Vehicle numbers'!$B$4:$D$4,0))*1000</f>
        <v>1248321</v>
      </c>
      <c r="L1543" s="183">
        <f ca="1">VLOOKUP(F1543,
    OFFSET(INDIRECT(ADDRESS(MATCH(J1543,'Vehicle numbers'!$A$5:$A$162,0),1,1,1,$L$6)),4,1,COUNTIF('Vehicle numbers'!$A$5:$A$162,J1543),4),
    MATCH(L$8,'Vehicle numbers'!$B$4:$D$4,0))*1000</f>
        <v>1271260.3707829001</v>
      </c>
      <c r="M1543" s="184">
        <f>VLOOKUP(F1543,'Annual distance covered (GB)'!$A$8:$H$33,MATCH(J1543,'Annual distance covered (GB)'!$A$7:$H$7,0))</f>
        <v>5.5</v>
      </c>
      <c r="N1543" s="2">
        <f t="shared" ca="1" si="60"/>
        <v>14730.251329722714</v>
      </c>
      <c r="O1543" s="180">
        <f t="shared" ca="1" si="61"/>
        <v>1.1587123824721409E-2</v>
      </c>
      <c r="P1543" s="180"/>
      <c r="Q1543" s="180"/>
      <c r="R1543" s="180"/>
      <c r="S1543" s="180"/>
      <c r="T1543" s="180"/>
    </row>
    <row r="1544" spans="1:20" x14ac:dyDescent="0.25">
      <c r="A1544" t="s">
        <v>244</v>
      </c>
      <c r="B1544" t="s">
        <v>237</v>
      </c>
      <c r="C1544" t="s">
        <v>238</v>
      </c>
      <c r="D1544" t="s">
        <v>260</v>
      </c>
      <c r="E1544" t="s">
        <v>228</v>
      </c>
      <c r="F1544">
        <v>2007</v>
      </c>
      <c r="G1544">
        <v>3.7040845070422602E-4</v>
      </c>
      <c r="H1544" t="s">
        <v>240</v>
      </c>
      <c r="I1544" t="s">
        <v>241</v>
      </c>
      <c r="J1544" t="s">
        <v>3</v>
      </c>
      <c r="K1544" s="183">
        <f ca="1">VLOOKUP(F1544,
    OFFSET(INDIRECT(ADDRESS(MATCH(J1544,'Vehicle numbers'!$A$5:$A$162,0),1,1,1,$L$6)),4,1,COUNTIF('Vehicle numbers'!$A$5:$A$162,J1544),4),
    MATCH(K$8,'Vehicle numbers'!$B$4:$D$4,0))*1000</f>
        <v>1248321</v>
      </c>
      <c r="L1544" s="183">
        <f ca="1">VLOOKUP(F1544,
    OFFSET(INDIRECT(ADDRESS(MATCH(J1544,'Vehicle numbers'!$A$5:$A$162,0),1,1,1,$L$6)),4,1,COUNTIF('Vehicle numbers'!$A$5:$A$162,J1544),4),
    MATCH(L$8,'Vehicle numbers'!$B$4:$D$4,0))*1000</f>
        <v>1271260.3707829001</v>
      </c>
      <c r="M1544" s="184">
        <f>VLOOKUP(F1544,'Annual distance covered (GB)'!$A$8:$H$33,MATCH(J1544,'Annual distance covered (GB)'!$A$7:$H$7,0))</f>
        <v>5.5</v>
      </c>
      <c r="N1544" s="2">
        <f t="shared" ca="1" si="60"/>
        <v>2074.6832858764346</v>
      </c>
      <c r="O1544" s="180">
        <f t="shared" ca="1" si="61"/>
        <v>1.6319892710875193E-3</v>
      </c>
      <c r="P1544" s="180"/>
      <c r="Q1544" s="180"/>
      <c r="R1544" s="180"/>
      <c r="S1544" s="180"/>
      <c r="T1544" s="180"/>
    </row>
    <row r="1545" spans="1:20" x14ac:dyDescent="0.25">
      <c r="A1545" t="s">
        <v>246</v>
      </c>
      <c r="B1545" t="s">
        <v>237</v>
      </c>
      <c r="C1545" t="s">
        <v>238</v>
      </c>
      <c r="D1545" t="s">
        <v>260</v>
      </c>
      <c r="E1545" t="s">
        <v>228</v>
      </c>
      <c r="F1545">
        <v>2007</v>
      </c>
      <c r="G1545">
        <v>2.9632676056338101E-4</v>
      </c>
      <c r="H1545" t="s">
        <v>240</v>
      </c>
      <c r="I1545" t="s">
        <v>241</v>
      </c>
      <c r="J1545" t="s">
        <v>3</v>
      </c>
      <c r="K1545" s="183">
        <f ca="1">VLOOKUP(F1545,
    OFFSET(INDIRECT(ADDRESS(MATCH(J1545,'Vehicle numbers'!$A$5:$A$162,0),1,1,1,$L$6)),4,1,COUNTIF('Vehicle numbers'!$A$5:$A$162,J1545),4),
    MATCH(K$8,'Vehicle numbers'!$B$4:$D$4,0))*1000</f>
        <v>1248321</v>
      </c>
      <c r="L1545" s="183">
        <f ca="1">VLOOKUP(F1545,
    OFFSET(INDIRECT(ADDRESS(MATCH(J1545,'Vehicle numbers'!$A$5:$A$162,0),1,1,1,$L$6)),4,1,COUNTIF('Vehicle numbers'!$A$5:$A$162,J1545),4),
    MATCH(L$8,'Vehicle numbers'!$B$4:$D$4,0))*1000</f>
        <v>1271260.3707829001</v>
      </c>
      <c r="M1545" s="184">
        <f>VLOOKUP(F1545,'Annual distance covered (GB)'!$A$8:$H$33,MATCH(J1545,'Annual distance covered (GB)'!$A$7:$H$7,0))</f>
        <v>5.5</v>
      </c>
      <c r="N1545" s="2">
        <f t="shared" ca="1" si="60"/>
        <v>1659.7466287011489</v>
      </c>
      <c r="O1545" s="180">
        <f t="shared" ca="1" si="61"/>
        <v>1.3055914168700164E-3</v>
      </c>
      <c r="P1545" s="180"/>
      <c r="Q1545" s="180"/>
      <c r="R1545" s="180"/>
      <c r="S1545" s="180"/>
      <c r="T1545" s="180"/>
    </row>
    <row r="1546" spans="1:20" x14ac:dyDescent="0.25">
      <c r="A1546" t="s">
        <v>236</v>
      </c>
      <c r="B1546" t="s">
        <v>237</v>
      </c>
      <c r="C1546" t="s">
        <v>238</v>
      </c>
      <c r="D1546" t="s">
        <v>261</v>
      </c>
      <c r="E1546" t="s">
        <v>229</v>
      </c>
      <c r="F1546">
        <v>2007</v>
      </c>
      <c r="G1546">
        <v>5.8399999999999997E-3</v>
      </c>
      <c r="H1546" t="s">
        <v>240</v>
      </c>
      <c r="I1546" t="s">
        <v>241</v>
      </c>
      <c r="J1546" t="s">
        <v>3</v>
      </c>
      <c r="K1546" s="183">
        <f ca="1">VLOOKUP(F1546,
    OFFSET(INDIRECT(ADDRESS(MATCH(J1546,'Vehicle numbers'!$A$5:$A$162,0),1,1,1,$L$6)),4,1,COUNTIF('Vehicle numbers'!$A$5:$A$162,J1546),4),
    MATCH(K$8,'Vehicle numbers'!$B$4:$D$4,0))*1000</f>
        <v>1248321</v>
      </c>
      <c r="L1546" s="183">
        <f ca="1">VLOOKUP(F1546,
    OFFSET(INDIRECT(ADDRESS(MATCH(J1546,'Vehicle numbers'!$A$5:$A$162,0),1,1,1,$L$6)),4,1,COUNTIF('Vehicle numbers'!$A$5:$A$162,J1546),4),
    MATCH(L$8,'Vehicle numbers'!$B$4:$D$4,0))*1000</f>
        <v>1271260.3707829001</v>
      </c>
      <c r="M1546" s="184">
        <f>VLOOKUP(F1546,'Annual distance covered (GB)'!$A$8:$H$33,MATCH(J1546,'Annual distance covered (GB)'!$A$7:$H$7,0))</f>
        <v>5.5</v>
      </c>
      <c r="N1546" s="2">
        <f t="shared" ca="1" si="60"/>
        <v>32710.242885881711</v>
      </c>
      <c r="O1546" s="180">
        <f t="shared" ca="1" si="61"/>
        <v>2.5730561289924622E-2</v>
      </c>
      <c r="P1546" s="180"/>
      <c r="Q1546" s="180"/>
      <c r="R1546" s="180"/>
      <c r="S1546" s="180"/>
      <c r="T1546" s="180"/>
    </row>
    <row r="1547" spans="1:20" x14ac:dyDescent="0.25">
      <c r="A1547" t="s">
        <v>243</v>
      </c>
      <c r="B1547" t="s">
        <v>237</v>
      </c>
      <c r="C1547" t="s">
        <v>238</v>
      </c>
      <c r="D1547" t="s">
        <v>261</v>
      </c>
      <c r="E1547" t="s">
        <v>229</v>
      </c>
      <c r="F1547">
        <v>2007</v>
      </c>
      <c r="G1547">
        <v>2.336E-3</v>
      </c>
      <c r="H1547" t="s">
        <v>240</v>
      </c>
      <c r="I1547" t="s">
        <v>241</v>
      </c>
      <c r="J1547" t="s">
        <v>3</v>
      </c>
      <c r="K1547" s="183">
        <f ca="1">VLOOKUP(F1547,
    OFFSET(INDIRECT(ADDRESS(MATCH(J1547,'Vehicle numbers'!$A$5:$A$162,0),1,1,1,$L$6)),4,1,COUNTIF('Vehicle numbers'!$A$5:$A$162,J1547),4),
    MATCH(K$8,'Vehicle numbers'!$B$4:$D$4,0))*1000</f>
        <v>1248321</v>
      </c>
      <c r="L1547" s="183">
        <f ca="1">VLOOKUP(F1547,
    OFFSET(INDIRECT(ADDRESS(MATCH(J1547,'Vehicle numbers'!$A$5:$A$162,0),1,1,1,$L$6)),4,1,COUNTIF('Vehicle numbers'!$A$5:$A$162,J1547),4),
    MATCH(L$8,'Vehicle numbers'!$B$4:$D$4,0))*1000</f>
        <v>1271260.3707829001</v>
      </c>
      <c r="M1547" s="184">
        <f>VLOOKUP(F1547,'Annual distance covered (GB)'!$A$8:$H$33,MATCH(J1547,'Annual distance covered (GB)'!$A$7:$H$7,0))</f>
        <v>5.5</v>
      </c>
      <c r="N1547" s="2">
        <f t="shared" ref="N1547:N1610" ca="1" si="62">M1547*G1547*1000000*(L1547/K1547)</f>
        <v>13084.097154352687</v>
      </c>
      <c r="O1547" s="180">
        <f t="shared" ref="O1547:O1610" ca="1" si="63">N1547/L1547</f>
        <v>1.0292224515969851E-2</v>
      </c>
      <c r="P1547" s="180"/>
      <c r="Q1547" s="180"/>
      <c r="R1547" s="180"/>
      <c r="S1547" s="180"/>
      <c r="T1547" s="180"/>
    </row>
    <row r="1548" spans="1:20" x14ac:dyDescent="0.25">
      <c r="A1548" t="s">
        <v>244</v>
      </c>
      <c r="B1548" t="s">
        <v>237</v>
      </c>
      <c r="C1548" t="s">
        <v>238</v>
      </c>
      <c r="D1548" t="s">
        <v>261</v>
      </c>
      <c r="E1548" t="s">
        <v>229</v>
      </c>
      <c r="F1548">
        <v>2007</v>
      </c>
      <c r="G1548">
        <v>5.8399999999999999E-4</v>
      </c>
      <c r="H1548" t="s">
        <v>240</v>
      </c>
      <c r="I1548" t="s">
        <v>241</v>
      </c>
      <c r="J1548" t="s">
        <v>3</v>
      </c>
      <c r="K1548" s="183">
        <f ca="1">VLOOKUP(F1548,
    OFFSET(INDIRECT(ADDRESS(MATCH(J1548,'Vehicle numbers'!$A$5:$A$162,0),1,1,1,$L$6)),4,1,COUNTIF('Vehicle numbers'!$A$5:$A$162,J1548),4),
    MATCH(K$8,'Vehicle numbers'!$B$4:$D$4,0))*1000</f>
        <v>1248321</v>
      </c>
      <c r="L1548" s="183">
        <f ca="1">VLOOKUP(F1548,
    OFFSET(INDIRECT(ADDRESS(MATCH(J1548,'Vehicle numbers'!$A$5:$A$162,0),1,1,1,$L$6)),4,1,COUNTIF('Vehicle numbers'!$A$5:$A$162,J1548),4),
    MATCH(L$8,'Vehicle numbers'!$B$4:$D$4,0))*1000</f>
        <v>1271260.3707829001</v>
      </c>
      <c r="M1548" s="184">
        <f>VLOOKUP(F1548,'Annual distance covered (GB)'!$A$8:$H$33,MATCH(J1548,'Annual distance covered (GB)'!$A$7:$H$7,0))</f>
        <v>5.5</v>
      </c>
      <c r="N1548" s="2">
        <f t="shared" ca="1" si="62"/>
        <v>3271.0242885881717</v>
      </c>
      <c r="O1548" s="180">
        <f t="shared" ca="1" si="63"/>
        <v>2.5730561289924628E-3</v>
      </c>
      <c r="P1548" s="180"/>
      <c r="Q1548" s="180"/>
      <c r="R1548" s="180"/>
      <c r="S1548" s="180"/>
      <c r="T1548" s="180"/>
    </row>
    <row r="1549" spans="1:20" x14ac:dyDescent="0.25">
      <c r="A1549" t="s">
        <v>246</v>
      </c>
      <c r="B1549" t="s">
        <v>237</v>
      </c>
      <c r="C1549" t="s">
        <v>238</v>
      </c>
      <c r="D1549" t="s">
        <v>261</v>
      </c>
      <c r="E1549" t="s">
        <v>229</v>
      </c>
      <c r="F1549">
        <v>2007</v>
      </c>
      <c r="G1549">
        <v>4.6720000000000003E-4</v>
      </c>
      <c r="H1549" t="s">
        <v>240</v>
      </c>
      <c r="I1549" t="s">
        <v>241</v>
      </c>
      <c r="J1549" t="s">
        <v>3</v>
      </c>
      <c r="K1549" s="183">
        <f ca="1">VLOOKUP(F1549,
    OFFSET(INDIRECT(ADDRESS(MATCH(J1549,'Vehicle numbers'!$A$5:$A$162,0),1,1,1,$L$6)),4,1,COUNTIF('Vehicle numbers'!$A$5:$A$162,J1549),4),
    MATCH(K$8,'Vehicle numbers'!$B$4:$D$4,0))*1000</f>
        <v>1248321</v>
      </c>
      <c r="L1549" s="183">
        <f ca="1">VLOOKUP(F1549,
    OFFSET(INDIRECT(ADDRESS(MATCH(J1549,'Vehicle numbers'!$A$5:$A$162,0),1,1,1,$L$6)),4,1,COUNTIF('Vehicle numbers'!$A$5:$A$162,J1549),4),
    MATCH(L$8,'Vehicle numbers'!$B$4:$D$4,0))*1000</f>
        <v>1271260.3707829001</v>
      </c>
      <c r="M1549" s="184">
        <f>VLOOKUP(F1549,'Annual distance covered (GB)'!$A$8:$H$33,MATCH(J1549,'Annual distance covered (GB)'!$A$7:$H$7,0))</f>
        <v>5.5</v>
      </c>
      <c r="N1549" s="2">
        <f t="shared" ca="1" si="62"/>
        <v>2616.8194308705374</v>
      </c>
      <c r="O1549" s="180">
        <f t="shared" ca="1" si="63"/>
        <v>2.0584449031939701E-3</v>
      </c>
      <c r="P1549" s="180"/>
      <c r="Q1549" s="180"/>
      <c r="R1549" s="180"/>
      <c r="S1549" s="180"/>
      <c r="T1549" s="180"/>
    </row>
    <row r="1550" spans="1:20" x14ac:dyDescent="0.25">
      <c r="A1550" t="s">
        <v>236</v>
      </c>
      <c r="B1550" t="s">
        <v>237</v>
      </c>
      <c r="C1550" t="s">
        <v>238</v>
      </c>
      <c r="D1550" t="s">
        <v>261</v>
      </c>
      <c r="E1550" t="s">
        <v>228</v>
      </c>
      <c r="F1550">
        <v>2007</v>
      </c>
      <c r="G1550">
        <v>3.7569999999999999E-3</v>
      </c>
      <c r="H1550" t="s">
        <v>240</v>
      </c>
      <c r="I1550" t="s">
        <v>241</v>
      </c>
      <c r="J1550" t="s">
        <v>3</v>
      </c>
      <c r="K1550" s="183">
        <f ca="1">VLOOKUP(F1550,
    OFFSET(INDIRECT(ADDRESS(MATCH(J1550,'Vehicle numbers'!$A$5:$A$162,0),1,1,1,$L$6)),4,1,COUNTIF('Vehicle numbers'!$A$5:$A$162,J1550),4),
    MATCH(K$8,'Vehicle numbers'!$B$4:$D$4,0))*1000</f>
        <v>1248321</v>
      </c>
      <c r="L1550" s="183">
        <f ca="1">VLOOKUP(F1550,
    OFFSET(INDIRECT(ADDRESS(MATCH(J1550,'Vehicle numbers'!$A$5:$A$162,0),1,1,1,$L$6)),4,1,COUNTIF('Vehicle numbers'!$A$5:$A$162,J1550),4),
    MATCH(L$8,'Vehicle numbers'!$B$4:$D$4,0))*1000</f>
        <v>1271260.3707829001</v>
      </c>
      <c r="M1550" s="184">
        <f>VLOOKUP(F1550,'Annual distance covered (GB)'!$A$8:$H$33,MATCH(J1550,'Annual distance covered (GB)'!$A$7:$H$7,0))</f>
        <v>5.5</v>
      </c>
      <c r="N1550" s="2">
        <f t="shared" ca="1" si="62"/>
        <v>21043.216185318084</v>
      </c>
      <c r="O1550" s="180">
        <f t="shared" ca="1" si="63"/>
        <v>1.6553034035316237E-2</v>
      </c>
      <c r="P1550" s="180"/>
      <c r="Q1550" s="180"/>
      <c r="R1550" s="180"/>
      <c r="S1550" s="180"/>
      <c r="T1550" s="180"/>
    </row>
    <row r="1551" spans="1:20" x14ac:dyDescent="0.25">
      <c r="A1551" t="s">
        <v>243</v>
      </c>
      <c r="B1551" t="s">
        <v>237</v>
      </c>
      <c r="C1551" t="s">
        <v>238</v>
      </c>
      <c r="D1551" t="s">
        <v>261</v>
      </c>
      <c r="E1551" t="s">
        <v>228</v>
      </c>
      <c r="F1551">
        <v>2007</v>
      </c>
      <c r="G1551">
        <v>2.6299000000000001E-3</v>
      </c>
      <c r="H1551" t="s">
        <v>240</v>
      </c>
      <c r="I1551" t="s">
        <v>241</v>
      </c>
      <c r="J1551" t="s">
        <v>3</v>
      </c>
      <c r="K1551" s="183">
        <f ca="1">VLOOKUP(F1551,
    OFFSET(INDIRECT(ADDRESS(MATCH(J1551,'Vehicle numbers'!$A$5:$A$162,0),1,1,1,$L$6)),4,1,COUNTIF('Vehicle numbers'!$A$5:$A$162,J1551),4),
    MATCH(K$8,'Vehicle numbers'!$B$4:$D$4,0))*1000</f>
        <v>1248321</v>
      </c>
      <c r="L1551" s="183">
        <f ca="1">VLOOKUP(F1551,
    OFFSET(INDIRECT(ADDRESS(MATCH(J1551,'Vehicle numbers'!$A$5:$A$162,0),1,1,1,$L$6)),4,1,COUNTIF('Vehicle numbers'!$A$5:$A$162,J1551),4),
    MATCH(L$8,'Vehicle numbers'!$B$4:$D$4,0))*1000</f>
        <v>1271260.3707829001</v>
      </c>
      <c r="M1551" s="184">
        <f>VLOOKUP(F1551,'Annual distance covered (GB)'!$A$8:$H$33,MATCH(J1551,'Annual distance covered (GB)'!$A$7:$H$7,0))</f>
        <v>5.5</v>
      </c>
      <c r="N1551" s="2">
        <f t="shared" ca="1" si="62"/>
        <v>14730.25132972266</v>
      </c>
      <c r="O1551" s="180">
        <f t="shared" ca="1" si="63"/>
        <v>1.1587123824721365E-2</v>
      </c>
      <c r="P1551" s="180"/>
      <c r="Q1551" s="180"/>
      <c r="R1551" s="180"/>
      <c r="S1551" s="180"/>
      <c r="T1551" s="180"/>
    </row>
    <row r="1552" spans="1:20" x14ac:dyDescent="0.25">
      <c r="A1552" t="s">
        <v>244</v>
      </c>
      <c r="B1552" t="s">
        <v>237</v>
      </c>
      <c r="C1552" t="s">
        <v>238</v>
      </c>
      <c r="D1552" t="s">
        <v>261</v>
      </c>
      <c r="E1552" t="s">
        <v>228</v>
      </c>
      <c r="F1552">
        <v>2007</v>
      </c>
      <c r="G1552">
        <v>3.7040845070422499E-4</v>
      </c>
      <c r="H1552" t="s">
        <v>240</v>
      </c>
      <c r="I1552" t="s">
        <v>241</v>
      </c>
      <c r="J1552" t="s">
        <v>3</v>
      </c>
      <c r="K1552" s="183">
        <f ca="1">VLOOKUP(F1552,
    OFFSET(INDIRECT(ADDRESS(MATCH(J1552,'Vehicle numbers'!$A$5:$A$162,0),1,1,1,$L$6)),4,1,COUNTIF('Vehicle numbers'!$A$5:$A$162,J1552),4),
    MATCH(K$8,'Vehicle numbers'!$B$4:$D$4,0))*1000</f>
        <v>1248321</v>
      </c>
      <c r="L1552" s="183">
        <f ca="1">VLOOKUP(F1552,
    OFFSET(INDIRECT(ADDRESS(MATCH(J1552,'Vehicle numbers'!$A$5:$A$162,0),1,1,1,$L$6)),4,1,COUNTIF('Vehicle numbers'!$A$5:$A$162,J1552),4),
    MATCH(L$8,'Vehicle numbers'!$B$4:$D$4,0))*1000</f>
        <v>1271260.3707829001</v>
      </c>
      <c r="M1552" s="184">
        <f>VLOOKUP(F1552,'Annual distance covered (GB)'!$A$8:$H$33,MATCH(J1552,'Annual distance covered (GB)'!$A$7:$H$7,0))</f>
        <v>5.5</v>
      </c>
      <c r="N1552" s="2">
        <f t="shared" ca="1" si="62"/>
        <v>2074.6832858764287</v>
      </c>
      <c r="O1552" s="180">
        <f t="shared" ca="1" si="63"/>
        <v>1.6319892710875146E-3</v>
      </c>
      <c r="P1552" s="180"/>
      <c r="Q1552" s="180"/>
      <c r="R1552" s="180"/>
      <c r="S1552" s="180"/>
      <c r="T1552" s="180"/>
    </row>
    <row r="1553" spans="1:20" x14ac:dyDescent="0.25">
      <c r="A1553" t="s">
        <v>246</v>
      </c>
      <c r="B1553" t="s">
        <v>237</v>
      </c>
      <c r="C1553" t="s">
        <v>238</v>
      </c>
      <c r="D1553" t="s">
        <v>261</v>
      </c>
      <c r="E1553" t="s">
        <v>228</v>
      </c>
      <c r="F1553">
        <v>2007</v>
      </c>
      <c r="G1553">
        <v>2.9632676056337998E-4</v>
      </c>
      <c r="H1553" t="s">
        <v>240</v>
      </c>
      <c r="I1553" t="s">
        <v>241</v>
      </c>
      <c r="J1553" t="s">
        <v>3</v>
      </c>
      <c r="K1553" s="183">
        <f ca="1">VLOOKUP(F1553,
    OFFSET(INDIRECT(ADDRESS(MATCH(J1553,'Vehicle numbers'!$A$5:$A$162,0),1,1,1,$L$6)),4,1,COUNTIF('Vehicle numbers'!$A$5:$A$162,J1553),4),
    MATCH(K$8,'Vehicle numbers'!$B$4:$D$4,0))*1000</f>
        <v>1248321</v>
      </c>
      <c r="L1553" s="183">
        <f ca="1">VLOOKUP(F1553,
    OFFSET(INDIRECT(ADDRESS(MATCH(J1553,'Vehicle numbers'!$A$5:$A$162,0),1,1,1,$L$6)),4,1,COUNTIF('Vehicle numbers'!$A$5:$A$162,J1553),4),
    MATCH(L$8,'Vehicle numbers'!$B$4:$D$4,0))*1000</f>
        <v>1271260.3707829001</v>
      </c>
      <c r="M1553" s="184">
        <f>VLOOKUP(F1553,'Annual distance covered (GB)'!$A$8:$H$33,MATCH(J1553,'Annual distance covered (GB)'!$A$7:$H$7,0))</f>
        <v>5.5</v>
      </c>
      <c r="N1553" s="2">
        <f t="shared" ca="1" si="62"/>
        <v>1659.746628701143</v>
      </c>
      <c r="O1553" s="180">
        <f t="shared" ca="1" si="63"/>
        <v>1.3055914168700116E-3</v>
      </c>
      <c r="P1553" s="180"/>
      <c r="Q1553" s="180"/>
      <c r="R1553" s="180"/>
      <c r="S1553" s="180"/>
      <c r="T1553" s="180"/>
    </row>
    <row r="1554" spans="1:20" x14ac:dyDescent="0.25">
      <c r="A1554" t="s">
        <v>236</v>
      </c>
      <c r="B1554" t="s">
        <v>237</v>
      </c>
      <c r="C1554" t="s">
        <v>238</v>
      </c>
      <c r="D1554" t="s">
        <v>262</v>
      </c>
      <c r="E1554" t="s">
        <v>229</v>
      </c>
      <c r="F1554">
        <v>2007</v>
      </c>
      <c r="G1554">
        <v>6.8000000000000005E-4</v>
      </c>
      <c r="H1554" t="s">
        <v>240</v>
      </c>
      <c r="I1554" t="s">
        <v>241</v>
      </c>
      <c r="J1554" t="s">
        <v>3</v>
      </c>
      <c r="K1554" s="183">
        <f ca="1">VLOOKUP(F1554,
    OFFSET(INDIRECT(ADDRESS(MATCH(J1554,'Vehicle numbers'!$A$5:$A$162,0),1,1,1,$L$6)),4,1,COUNTIF('Vehicle numbers'!$A$5:$A$162,J1554),4),
    MATCH(K$8,'Vehicle numbers'!$B$4:$D$4,0))*1000</f>
        <v>1248321</v>
      </c>
      <c r="L1554" s="183">
        <f ca="1">VLOOKUP(F1554,
    OFFSET(INDIRECT(ADDRESS(MATCH(J1554,'Vehicle numbers'!$A$5:$A$162,0),1,1,1,$L$6)),4,1,COUNTIF('Vehicle numbers'!$A$5:$A$162,J1554),4),
    MATCH(L$8,'Vehicle numbers'!$B$4:$D$4,0))*1000</f>
        <v>1271260.3707829001</v>
      </c>
      <c r="M1554" s="184">
        <f>VLOOKUP(F1554,'Annual distance covered (GB)'!$A$8:$H$33,MATCH(J1554,'Annual distance covered (GB)'!$A$7:$H$7,0))</f>
        <v>5.5</v>
      </c>
      <c r="N1554" s="2">
        <f t="shared" ca="1" si="62"/>
        <v>3808.7269113697894</v>
      </c>
      <c r="O1554" s="180">
        <f t="shared" ca="1" si="63"/>
        <v>2.9960242597857445E-3</v>
      </c>
      <c r="P1554" s="180"/>
      <c r="Q1554" s="180"/>
      <c r="R1554" s="180"/>
      <c r="S1554" s="180"/>
      <c r="T1554" s="180"/>
    </row>
    <row r="1555" spans="1:20" x14ac:dyDescent="0.25">
      <c r="A1555" t="s">
        <v>243</v>
      </c>
      <c r="B1555" t="s">
        <v>237</v>
      </c>
      <c r="C1555" t="s">
        <v>238</v>
      </c>
      <c r="D1555" t="s">
        <v>262</v>
      </c>
      <c r="E1555" t="s">
        <v>229</v>
      </c>
      <c r="F1555">
        <v>2007</v>
      </c>
      <c r="G1555">
        <v>2.72E-4</v>
      </c>
      <c r="H1555" t="s">
        <v>240</v>
      </c>
      <c r="I1555" t="s">
        <v>241</v>
      </c>
      <c r="J1555" t="s">
        <v>3</v>
      </c>
      <c r="K1555" s="183">
        <f ca="1">VLOOKUP(F1555,
    OFFSET(INDIRECT(ADDRESS(MATCH(J1555,'Vehicle numbers'!$A$5:$A$162,0),1,1,1,$L$6)),4,1,COUNTIF('Vehicle numbers'!$A$5:$A$162,J1555),4),
    MATCH(K$8,'Vehicle numbers'!$B$4:$D$4,0))*1000</f>
        <v>1248321</v>
      </c>
      <c r="L1555" s="183">
        <f ca="1">VLOOKUP(F1555,
    OFFSET(INDIRECT(ADDRESS(MATCH(J1555,'Vehicle numbers'!$A$5:$A$162,0),1,1,1,$L$6)),4,1,COUNTIF('Vehicle numbers'!$A$5:$A$162,J1555),4),
    MATCH(L$8,'Vehicle numbers'!$B$4:$D$4,0))*1000</f>
        <v>1271260.3707829001</v>
      </c>
      <c r="M1555" s="184">
        <f>VLOOKUP(F1555,'Annual distance covered (GB)'!$A$8:$H$33,MATCH(J1555,'Annual distance covered (GB)'!$A$7:$H$7,0))</f>
        <v>5.5</v>
      </c>
      <c r="N1555" s="2">
        <f t="shared" ca="1" si="62"/>
        <v>1523.4907645479157</v>
      </c>
      <c r="O1555" s="180">
        <f t="shared" ca="1" si="63"/>
        <v>1.1984097039142976E-3</v>
      </c>
      <c r="P1555" s="180"/>
      <c r="Q1555" s="180"/>
      <c r="R1555" s="180"/>
      <c r="S1555" s="180"/>
      <c r="T1555" s="180"/>
    </row>
    <row r="1556" spans="1:20" x14ac:dyDescent="0.25">
      <c r="A1556" t="s">
        <v>244</v>
      </c>
      <c r="B1556" t="s">
        <v>237</v>
      </c>
      <c r="C1556" t="s">
        <v>238</v>
      </c>
      <c r="D1556" t="s">
        <v>262</v>
      </c>
      <c r="E1556" t="s">
        <v>229</v>
      </c>
      <c r="F1556">
        <v>2007</v>
      </c>
      <c r="G1556" s="189">
        <v>6.7999999999999999E-5</v>
      </c>
      <c r="H1556" t="s">
        <v>240</v>
      </c>
      <c r="I1556" t="s">
        <v>241</v>
      </c>
      <c r="J1556" t="s">
        <v>3</v>
      </c>
      <c r="K1556" s="183">
        <f ca="1">VLOOKUP(F1556,
    OFFSET(INDIRECT(ADDRESS(MATCH(J1556,'Vehicle numbers'!$A$5:$A$162,0),1,1,1,$L$6)),4,1,COUNTIF('Vehicle numbers'!$A$5:$A$162,J1556),4),
    MATCH(K$8,'Vehicle numbers'!$B$4:$D$4,0))*1000</f>
        <v>1248321</v>
      </c>
      <c r="L1556" s="183">
        <f ca="1">VLOOKUP(F1556,
    OFFSET(INDIRECT(ADDRESS(MATCH(J1556,'Vehicle numbers'!$A$5:$A$162,0),1,1,1,$L$6)),4,1,COUNTIF('Vehicle numbers'!$A$5:$A$162,J1556),4),
    MATCH(L$8,'Vehicle numbers'!$B$4:$D$4,0))*1000</f>
        <v>1271260.3707829001</v>
      </c>
      <c r="M1556" s="184">
        <f>VLOOKUP(F1556,'Annual distance covered (GB)'!$A$8:$H$33,MATCH(J1556,'Annual distance covered (GB)'!$A$7:$H$7,0))</f>
        <v>5.5</v>
      </c>
      <c r="N1556" s="2">
        <f t="shared" ca="1" si="62"/>
        <v>380.87269113697891</v>
      </c>
      <c r="O1556" s="180">
        <f t="shared" ca="1" si="63"/>
        <v>2.996024259785744E-4</v>
      </c>
      <c r="P1556" s="180"/>
      <c r="Q1556" s="180"/>
      <c r="R1556" s="180"/>
      <c r="S1556" s="180"/>
      <c r="T1556" s="180"/>
    </row>
    <row r="1557" spans="1:20" x14ac:dyDescent="0.25">
      <c r="A1557" t="s">
        <v>246</v>
      </c>
      <c r="B1557" t="s">
        <v>237</v>
      </c>
      <c r="C1557" t="s">
        <v>238</v>
      </c>
      <c r="D1557" t="s">
        <v>262</v>
      </c>
      <c r="E1557" t="s">
        <v>229</v>
      </c>
      <c r="F1557">
        <v>2007</v>
      </c>
      <c r="G1557" s="189">
        <v>5.4400000000000001E-5</v>
      </c>
      <c r="H1557" t="s">
        <v>240</v>
      </c>
      <c r="I1557" t="s">
        <v>241</v>
      </c>
      <c r="J1557" t="s">
        <v>3</v>
      </c>
      <c r="K1557" s="183">
        <f ca="1">VLOOKUP(F1557,
    OFFSET(INDIRECT(ADDRESS(MATCH(J1557,'Vehicle numbers'!$A$5:$A$162,0),1,1,1,$L$6)),4,1,COUNTIF('Vehicle numbers'!$A$5:$A$162,J1557),4),
    MATCH(K$8,'Vehicle numbers'!$B$4:$D$4,0))*1000</f>
        <v>1248321</v>
      </c>
      <c r="L1557" s="183">
        <f ca="1">VLOOKUP(F1557,
    OFFSET(INDIRECT(ADDRESS(MATCH(J1557,'Vehicle numbers'!$A$5:$A$162,0),1,1,1,$L$6)),4,1,COUNTIF('Vehicle numbers'!$A$5:$A$162,J1557),4),
    MATCH(L$8,'Vehicle numbers'!$B$4:$D$4,0))*1000</f>
        <v>1271260.3707829001</v>
      </c>
      <c r="M1557" s="184">
        <f>VLOOKUP(F1557,'Annual distance covered (GB)'!$A$8:$H$33,MATCH(J1557,'Annual distance covered (GB)'!$A$7:$H$7,0))</f>
        <v>5.5</v>
      </c>
      <c r="N1557" s="2">
        <f t="shared" ca="1" si="62"/>
        <v>304.69815290958309</v>
      </c>
      <c r="O1557" s="180">
        <f t="shared" ca="1" si="63"/>
        <v>2.3968194078285949E-4</v>
      </c>
      <c r="P1557" s="180"/>
      <c r="Q1557" s="180"/>
      <c r="R1557" s="180"/>
      <c r="S1557" s="180"/>
      <c r="T1557" s="180"/>
    </row>
    <row r="1558" spans="1:20" x14ac:dyDescent="0.25">
      <c r="A1558" t="s">
        <v>236</v>
      </c>
      <c r="B1558" t="s">
        <v>237</v>
      </c>
      <c r="C1558" t="s">
        <v>238</v>
      </c>
      <c r="D1558" t="s">
        <v>262</v>
      </c>
      <c r="E1558" t="s">
        <v>228</v>
      </c>
      <c r="F1558">
        <v>2007</v>
      </c>
      <c r="G1558">
        <v>2.49E-3</v>
      </c>
      <c r="H1558" t="s">
        <v>240</v>
      </c>
      <c r="I1558" t="s">
        <v>241</v>
      </c>
      <c r="J1558" t="s">
        <v>3</v>
      </c>
      <c r="K1558" s="183">
        <f ca="1">VLOOKUP(F1558,
    OFFSET(INDIRECT(ADDRESS(MATCH(J1558,'Vehicle numbers'!$A$5:$A$162,0),1,1,1,$L$6)),4,1,COUNTIF('Vehicle numbers'!$A$5:$A$162,J1558),4),
    MATCH(K$8,'Vehicle numbers'!$B$4:$D$4,0))*1000</f>
        <v>1248321</v>
      </c>
      <c r="L1558" s="183">
        <f ca="1">VLOOKUP(F1558,
    OFFSET(INDIRECT(ADDRESS(MATCH(J1558,'Vehicle numbers'!$A$5:$A$162,0),1,1,1,$L$6)),4,1,COUNTIF('Vehicle numbers'!$A$5:$A$162,J1558),4),
    MATCH(L$8,'Vehicle numbers'!$B$4:$D$4,0))*1000</f>
        <v>1271260.3707829001</v>
      </c>
      <c r="M1558" s="184">
        <f>VLOOKUP(F1558,'Annual distance covered (GB)'!$A$8:$H$33,MATCH(J1558,'Annual distance covered (GB)'!$A$7:$H$7,0))</f>
        <v>5.5</v>
      </c>
      <c r="N1558" s="2">
        <f t="shared" ca="1" si="62"/>
        <v>13946.661778398198</v>
      </c>
      <c r="O1558" s="180">
        <f t="shared" ca="1" si="63"/>
        <v>1.0970735892450741E-2</v>
      </c>
      <c r="P1558" s="180"/>
      <c r="Q1558" s="180"/>
      <c r="R1558" s="180"/>
      <c r="S1558" s="180"/>
      <c r="T1558" s="180"/>
    </row>
    <row r="1559" spans="1:20" x14ac:dyDescent="0.25">
      <c r="A1559" t="s">
        <v>243</v>
      </c>
      <c r="B1559" t="s">
        <v>237</v>
      </c>
      <c r="C1559" t="s">
        <v>238</v>
      </c>
      <c r="D1559" t="s">
        <v>262</v>
      </c>
      <c r="E1559" t="s">
        <v>228</v>
      </c>
      <c r="F1559">
        <v>2007</v>
      </c>
      <c r="G1559">
        <v>1.743E-3</v>
      </c>
      <c r="H1559" t="s">
        <v>240</v>
      </c>
      <c r="I1559" t="s">
        <v>241</v>
      </c>
      <c r="J1559" t="s">
        <v>3</v>
      </c>
      <c r="K1559" s="183">
        <f ca="1">VLOOKUP(F1559,
    OFFSET(INDIRECT(ADDRESS(MATCH(J1559,'Vehicle numbers'!$A$5:$A$162,0),1,1,1,$L$6)),4,1,COUNTIF('Vehicle numbers'!$A$5:$A$162,J1559),4),
    MATCH(K$8,'Vehicle numbers'!$B$4:$D$4,0))*1000</f>
        <v>1248321</v>
      </c>
      <c r="L1559" s="183">
        <f ca="1">VLOOKUP(F1559,
    OFFSET(INDIRECT(ADDRESS(MATCH(J1559,'Vehicle numbers'!$A$5:$A$162,0),1,1,1,$L$6)),4,1,COUNTIF('Vehicle numbers'!$A$5:$A$162,J1559),4),
    MATCH(L$8,'Vehicle numbers'!$B$4:$D$4,0))*1000</f>
        <v>1271260.3707829001</v>
      </c>
      <c r="M1559" s="184">
        <f>VLOOKUP(F1559,'Annual distance covered (GB)'!$A$8:$H$33,MATCH(J1559,'Annual distance covered (GB)'!$A$7:$H$7,0))</f>
        <v>5.5</v>
      </c>
      <c r="N1559" s="2">
        <f t="shared" ca="1" si="62"/>
        <v>9762.6632448787386</v>
      </c>
      <c r="O1559" s="180">
        <f t="shared" ca="1" si="63"/>
        <v>7.6795151247155179E-3</v>
      </c>
      <c r="P1559" s="180"/>
      <c r="Q1559" s="180"/>
      <c r="R1559" s="180"/>
      <c r="S1559" s="180"/>
      <c r="T1559" s="180"/>
    </row>
    <row r="1560" spans="1:20" x14ac:dyDescent="0.25">
      <c r="A1560" t="s">
        <v>244</v>
      </c>
      <c r="B1560" t="s">
        <v>237</v>
      </c>
      <c r="C1560" t="s">
        <v>238</v>
      </c>
      <c r="D1560" t="s">
        <v>262</v>
      </c>
      <c r="E1560" t="s">
        <v>228</v>
      </c>
      <c r="F1560">
        <v>2007</v>
      </c>
      <c r="G1560">
        <v>2.4549295774647798E-4</v>
      </c>
      <c r="H1560" t="s">
        <v>240</v>
      </c>
      <c r="I1560" t="s">
        <v>241</v>
      </c>
      <c r="J1560" t="s">
        <v>3</v>
      </c>
      <c r="K1560" s="183">
        <f ca="1">VLOOKUP(F1560,
    OFFSET(INDIRECT(ADDRESS(MATCH(J1560,'Vehicle numbers'!$A$5:$A$162,0),1,1,1,$L$6)),4,1,COUNTIF('Vehicle numbers'!$A$5:$A$162,J1560),4),
    MATCH(K$8,'Vehicle numbers'!$B$4:$D$4,0))*1000</f>
        <v>1248321</v>
      </c>
      <c r="L1560" s="183">
        <f ca="1">VLOOKUP(F1560,
    OFFSET(INDIRECT(ADDRESS(MATCH(J1560,'Vehicle numbers'!$A$5:$A$162,0),1,1,1,$L$6)),4,1,COUNTIF('Vehicle numbers'!$A$5:$A$162,J1560),4),
    MATCH(L$8,'Vehicle numbers'!$B$4:$D$4,0))*1000</f>
        <v>1271260.3707829001</v>
      </c>
      <c r="M1560" s="184">
        <f>VLOOKUP(F1560,'Annual distance covered (GB)'!$A$8:$H$33,MATCH(J1560,'Annual distance covered (GB)'!$A$7:$H$7,0))</f>
        <v>5.5</v>
      </c>
      <c r="N1560" s="2">
        <f t="shared" ca="1" si="62"/>
        <v>1375.0229922364369</v>
      </c>
      <c r="O1560" s="180">
        <f t="shared" ca="1" si="63"/>
        <v>1.0816218485514774E-3</v>
      </c>
      <c r="P1560" s="180"/>
      <c r="Q1560" s="180"/>
      <c r="R1560" s="180"/>
      <c r="S1560" s="180"/>
      <c r="T1560" s="180"/>
    </row>
    <row r="1561" spans="1:20" x14ac:dyDescent="0.25">
      <c r="A1561" t="s">
        <v>246</v>
      </c>
      <c r="B1561" t="s">
        <v>237</v>
      </c>
      <c r="C1561" t="s">
        <v>238</v>
      </c>
      <c r="D1561" t="s">
        <v>262</v>
      </c>
      <c r="E1561" t="s">
        <v>228</v>
      </c>
      <c r="F1561">
        <v>2007</v>
      </c>
      <c r="G1561">
        <v>1.96394366197183E-4</v>
      </c>
      <c r="H1561" t="s">
        <v>240</v>
      </c>
      <c r="I1561" t="s">
        <v>241</v>
      </c>
      <c r="J1561" t="s">
        <v>3</v>
      </c>
      <c r="K1561" s="183">
        <f ca="1">VLOOKUP(F1561,
    OFFSET(INDIRECT(ADDRESS(MATCH(J1561,'Vehicle numbers'!$A$5:$A$162,0),1,1,1,$L$6)),4,1,COUNTIF('Vehicle numbers'!$A$5:$A$162,J1561),4),
    MATCH(K$8,'Vehicle numbers'!$B$4:$D$4,0))*1000</f>
        <v>1248321</v>
      </c>
      <c r="L1561" s="183">
        <f ca="1">VLOOKUP(F1561,
    OFFSET(INDIRECT(ADDRESS(MATCH(J1561,'Vehicle numbers'!$A$5:$A$162,0),1,1,1,$L$6)),4,1,COUNTIF('Vehicle numbers'!$A$5:$A$162,J1561),4),
    MATCH(L$8,'Vehicle numbers'!$B$4:$D$4,0))*1000</f>
        <v>1271260.3707829001</v>
      </c>
      <c r="M1561" s="184">
        <f>VLOOKUP(F1561,'Annual distance covered (GB)'!$A$8:$H$33,MATCH(J1561,'Annual distance covered (GB)'!$A$7:$H$7,0))</f>
        <v>5.5</v>
      </c>
      <c r="N1561" s="2">
        <f t="shared" ca="1" si="62"/>
        <v>1100.0183937891529</v>
      </c>
      <c r="O1561" s="180">
        <f t="shared" ca="1" si="63"/>
        <v>8.6529747884118448E-4</v>
      </c>
      <c r="P1561" s="180"/>
      <c r="Q1561" s="180"/>
      <c r="R1561" s="180"/>
      <c r="S1561" s="180"/>
      <c r="T1561" s="180"/>
    </row>
    <row r="1562" spans="1:20" x14ac:dyDescent="0.25">
      <c r="A1562" t="s">
        <v>236</v>
      </c>
      <c r="B1562" t="s">
        <v>237</v>
      </c>
      <c r="C1562" t="s">
        <v>238</v>
      </c>
      <c r="D1562" t="s">
        <v>263</v>
      </c>
      <c r="E1562" t="s">
        <v>229</v>
      </c>
      <c r="F1562">
        <v>2007</v>
      </c>
      <c r="G1562">
        <v>2.764E-3</v>
      </c>
      <c r="H1562" t="s">
        <v>240</v>
      </c>
      <c r="I1562" t="s">
        <v>241</v>
      </c>
      <c r="J1562" t="s">
        <v>3</v>
      </c>
      <c r="K1562" s="183">
        <f ca="1">VLOOKUP(F1562,
    OFFSET(INDIRECT(ADDRESS(MATCH(J1562,'Vehicle numbers'!$A$5:$A$162,0),1,1,1,$L$6)),4,1,COUNTIF('Vehicle numbers'!$A$5:$A$162,J1562),4),
    MATCH(K$8,'Vehicle numbers'!$B$4:$D$4,0))*1000</f>
        <v>1248321</v>
      </c>
      <c r="L1562" s="183">
        <f ca="1">VLOOKUP(F1562,
    OFFSET(INDIRECT(ADDRESS(MATCH(J1562,'Vehicle numbers'!$A$5:$A$162,0),1,1,1,$L$6)),4,1,COUNTIF('Vehicle numbers'!$A$5:$A$162,J1562),4),
    MATCH(L$8,'Vehicle numbers'!$B$4:$D$4,0))*1000</f>
        <v>1271260.3707829001</v>
      </c>
      <c r="M1562" s="184">
        <f>VLOOKUP(F1562,'Annual distance covered (GB)'!$A$8:$H$33,MATCH(J1562,'Annual distance covered (GB)'!$A$7:$H$7,0))</f>
        <v>5.5</v>
      </c>
      <c r="N1562" s="2">
        <f t="shared" ca="1" si="62"/>
        <v>15481.354680920731</v>
      </c>
      <c r="O1562" s="180">
        <f t="shared" ca="1" si="63"/>
        <v>1.2177957432423231E-2</v>
      </c>
      <c r="P1562" s="180"/>
      <c r="Q1562" s="180"/>
      <c r="R1562" s="180"/>
      <c r="S1562" s="180"/>
      <c r="T1562" s="180"/>
    </row>
    <row r="1563" spans="1:20" x14ac:dyDescent="0.25">
      <c r="A1563" t="s">
        <v>243</v>
      </c>
      <c r="B1563" t="s">
        <v>237</v>
      </c>
      <c r="C1563" t="s">
        <v>238</v>
      </c>
      <c r="D1563" t="s">
        <v>263</v>
      </c>
      <c r="E1563" t="s">
        <v>229</v>
      </c>
      <c r="F1563">
        <v>2007</v>
      </c>
      <c r="G1563">
        <v>1.1056E-3</v>
      </c>
      <c r="H1563" t="s">
        <v>240</v>
      </c>
      <c r="I1563" t="s">
        <v>241</v>
      </c>
      <c r="J1563" t="s">
        <v>3</v>
      </c>
      <c r="K1563" s="183">
        <f ca="1">VLOOKUP(F1563,
    OFFSET(INDIRECT(ADDRESS(MATCH(J1563,'Vehicle numbers'!$A$5:$A$162,0),1,1,1,$L$6)),4,1,COUNTIF('Vehicle numbers'!$A$5:$A$162,J1563),4),
    MATCH(K$8,'Vehicle numbers'!$B$4:$D$4,0))*1000</f>
        <v>1248321</v>
      </c>
      <c r="L1563" s="183">
        <f ca="1">VLOOKUP(F1563,
    OFFSET(INDIRECT(ADDRESS(MATCH(J1563,'Vehicle numbers'!$A$5:$A$162,0),1,1,1,$L$6)),4,1,COUNTIF('Vehicle numbers'!$A$5:$A$162,J1563),4),
    MATCH(L$8,'Vehicle numbers'!$B$4:$D$4,0))*1000</f>
        <v>1271260.3707829001</v>
      </c>
      <c r="M1563" s="184">
        <f>VLOOKUP(F1563,'Annual distance covered (GB)'!$A$8:$H$33,MATCH(J1563,'Annual distance covered (GB)'!$A$7:$H$7,0))</f>
        <v>5.5</v>
      </c>
      <c r="N1563" s="2">
        <f t="shared" ca="1" si="62"/>
        <v>6192.5418723682924</v>
      </c>
      <c r="O1563" s="180">
        <f t="shared" ca="1" si="63"/>
        <v>4.8711829729692928E-3</v>
      </c>
      <c r="P1563" s="180"/>
      <c r="Q1563" s="180"/>
      <c r="R1563" s="180"/>
      <c r="S1563" s="180"/>
      <c r="T1563" s="180"/>
    </row>
    <row r="1564" spans="1:20" x14ac:dyDescent="0.25">
      <c r="A1564" t="s">
        <v>244</v>
      </c>
      <c r="B1564" t="s">
        <v>237</v>
      </c>
      <c r="C1564" t="s">
        <v>238</v>
      </c>
      <c r="D1564" t="s">
        <v>263</v>
      </c>
      <c r="E1564" t="s">
        <v>229</v>
      </c>
      <c r="F1564">
        <v>2007</v>
      </c>
      <c r="G1564">
        <v>2.764E-4</v>
      </c>
      <c r="H1564" t="s">
        <v>240</v>
      </c>
      <c r="I1564" t="s">
        <v>241</v>
      </c>
      <c r="J1564" t="s">
        <v>3</v>
      </c>
      <c r="K1564" s="183">
        <f ca="1">VLOOKUP(F1564,
    OFFSET(INDIRECT(ADDRESS(MATCH(J1564,'Vehicle numbers'!$A$5:$A$162,0),1,1,1,$L$6)),4,1,COUNTIF('Vehicle numbers'!$A$5:$A$162,J1564),4),
    MATCH(K$8,'Vehicle numbers'!$B$4:$D$4,0))*1000</f>
        <v>1248321</v>
      </c>
      <c r="L1564" s="183">
        <f ca="1">VLOOKUP(F1564,
    OFFSET(INDIRECT(ADDRESS(MATCH(J1564,'Vehicle numbers'!$A$5:$A$162,0),1,1,1,$L$6)),4,1,COUNTIF('Vehicle numbers'!$A$5:$A$162,J1564),4),
    MATCH(L$8,'Vehicle numbers'!$B$4:$D$4,0))*1000</f>
        <v>1271260.3707829001</v>
      </c>
      <c r="M1564" s="184">
        <f>VLOOKUP(F1564,'Annual distance covered (GB)'!$A$8:$H$33,MATCH(J1564,'Annual distance covered (GB)'!$A$7:$H$7,0))</f>
        <v>5.5</v>
      </c>
      <c r="N1564" s="2">
        <f t="shared" ca="1" si="62"/>
        <v>1548.1354680920731</v>
      </c>
      <c r="O1564" s="180">
        <f t="shared" ca="1" si="63"/>
        <v>1.2177957432423232E-3</v>
      </c>
      <c r="P1564" s="180"/>
      <c r="Q1564" s="180"/>
      <c r="R1564" s="180"/>
      <c r="S1564" s="180"/>
      <c r="T1564" s="180"/>
    </row>
    <row r="1565" spans="1:20" x14ac:dyDescent="0.25">
      <c r="A1565" t="s">
        <v>246</v>
      </c>
      <c r="B1565" t="s">
        <v>237</v>
      </c>
      <c r="C1565" t="s">
        <v>238</v>
      </c>
      <c r="D1565" t="s">
        <v>263</v>
      </c>
      <c r="E1565" t="s">
        <v>229</v>
      </c>
      <c r="F1565">
        <v>2007</v>
      </c>
      <c r="G1565">
        <v>2.2112E-4</v>
      </c>
      <c r="H1565" t="s">
        <v>240</v>
      </c>
      <c r="I1565" t="s">
        <v>241</v>
      </c>
      <c r="J1565" t="s">
        <v>3</v>
      </c>
      <c r="K1565" s="183">
        <f ca="1">VLOOKUP(F1565,
    OFFSET(INDIRECT(ADDRESS(MATCH(J1565,'Vehicle numbers'!$A$5:$A$162,0),1,1,1,$L$6)),4,1,COUNTIF('Vehicle numbers'!$A$5:$A$162,J1565),4),
    MATCH(K$8,'Vehicle numbers'!$B$4:$D$4,0))*1000</f>
        <v>1248321</v>
      </c>
      <c r="L1565" s="183">
        <f ca="1">VLOOKUP(F1565,
    OFFSET(INDIRECT(ADDRESS(MATCH(J1565,'Vehicle numbers'!$A$5:$A$162,0),1,1,1,$L$6)),4,1,COUNTIF('Vehicle numbers'!$A$5:$A$162,J1565),4),
    MATCH(L$8,'Vehicle numbers'!$B$4:$D$4,0))*1000</f>
        <v>1271260.3707829001</v>
      </c>
      <c r="M1565" s="184">
        <f>VLOOKUP(F1565,'Annual distance covered (GB)'!$A$8:$H$33,MATCH(J1565,'Annual distance covered (GB)'!$A$7:$H$7,0))</f>
        <v>5.5</v>
      </c>
      <c r="N1565" s="2">
        <f t="shared" ca="1" si="62"/>
        <v>1238.5083744736585</v>
      </c>
      <c r="O1565" s="180">
        <f t="shared" ca="1" si="63"/>
        <v>9.7423659459385848E-4</v>
      </c>
      <c r="P1565" s="180"/>
      <c r="Q1565" s="180"/>
      <c r="R1565" s="180"/>
      <c r="S1565" s="180"/>
      <c r="T1565" s="180"/>
    </row>
    <row r="1566" spans="1:20" x14ac:dyDescent="0.25">
      <c r="A1566" t="s">
        <v>236</v>
      </c>
      <c r="B1566" t="s">
        <v>237</v>
      </c>
      <c r="C1566" t="s">
        <v>238</v>
      </c>
      <c r="D1566" t="s">
        <v>263</v>
      </c>
      <c r="E1566" t="s">
        <v>228</v>
      </c>
      <c r="F1566">
        <v>2007</v>
      </c>
      <c r="G1566">
        <v>2.9239999999999999E-3</v>
      </c>
      <c r="H1566" t="s">
        <v>240</v>
      </c>
      <c r="I1566" t="s">
        <v>241</v>
      </c>
      <c r="J1566" t="s">
        <v>3</v>
      </c>
      <c r="K1566" s="183">
        <f ca="1">VLOOKUP(F1566,
    OFFSET(INDIRECT(ADDRESS(MATCH(J1566,'Vehicle numbers'!$A$5:$A$162,0),1,1,1,$L$6)),4,1,COUNTIF('Vehicle numbers'!$A$5:$A$162,J1566),4),
    MATCH(K$8,'Vehicle numbers'!$B$4:$D$4,0))*1000</f>
        <v>1248321</v>
      </c>
      <c r="L1566" s="183">
        <f ca="1">VLOOKUP(F1566,
    OFFSET(INDIRECT(ADDRESS(MATCH(J1566,'Vehicle numbers'!$A$5:$A$162,0),1,1,1,$L$6)),4,1,COUNTIF('Vehicle numbers'!$A$5:$A$162,J1566),4),
    MATCH(L$8,'Vehicle numbers'!$B$4:$D$4,0))*1000</f>
        <v>1271260.3707829001</v>
      </c>
      <c r="M1566" s="184">
        <f>VLOOKUP(F1566,'Annual distance covered (GB)'!$A$8:$H$33,MATCH(J1566,'Annual distance covered (GB)'!$A$7:$H$7,0))</f>
        <v>5.5</v>
      </c>
      <c r="N1566" s="2">
        <f t="shared" ca="1" si="62"/>
        <v>16377.525718890091</v>
      </c>
      <c r="O1566" s="180">
        <f t="shared" ca="1" si="63"/>
        <v>1.2882904317078697E-2</v>
      </c>
      <c r="P1566" s="180"/>
      <c r="Q1566" s="180"/>
      <c r="R1566" s="180"/>
      <c r="S1566" s="180"/>
      <c r="T1566" s="180"/>
    </row>
    <row r="1567" spans="1:20" x14ac:dyDescent="0.25">
      <c r="A1567" t="s">
        <v>243</v>
      </c>
      <c r="B1567" t="s">
        <v>237</v>
      </c>
      <c r="C1567" t="s">
        <v>238</v>
      </c>
      <c r="D1567" t="s">
        <v>263</v>
      </c>
      <c r="E1567" t="s">
        <v>228</v>
      </c>
      <c r="F1567">
        <v>2007</v>
      </c>
      <c r="G1567">
        <v>2.0468000000000001E-3</v>
      </c>
      <c r="H1567" t="s">
        <v>240</v>
      </c>
      <c r="I1567" t="s">
        <v>241</v>
      </c>
      <c r="J1567" t="s">
        <v>3</v>
      </c>
      <c r="K1567" s="183">
        <f ca="1">VLOOKUP(F1567,
    OFFSET(INDIRECT(ADDRESS(MATCH(J1567,'Vehicle numbers'!$A$5:$A$162,0),1,1,1,$L$6)),4,1,COUNTIF('Vehicle numbers'!$A$5:$A$162,J1567),4),
    MATCH(K$8,'Vehicle numbers'!$B$4:$D$4,0))*1000</f>
        <v>1248321</v>
      </c>
      <c r="L1567" s="183">
        <f ca="1">VLOOKUP(F1567,
    OFFSET(INDIRECT(ADDRESS(MATCH(J1567,'Vehicle numbers'!$A$5:$A$162,0),1,1,1,$L$6)),4,1,COUNTIF('Vehicle numbers'!$A$5:$A$162,J1567),4),
    MATCH(L$8,'Vehicle numbers'!$B$4:$D$4,0))*1000</f>
        <v>1271260.3707829001</v>
      </c>
      <c r="M1567" s="184">
        <f>VLOOKUP(F1567,'Annual distance covered (GB)'!$A$8:$H$33,MATCH(J1567,'Annual distance covered (GB)'!$A$7:$H$7,0))</f>
        <v>5.5</v>
      </c>
      <c r="N1567" s="2">
        <f t="shared" ca="1" si="62"/>
        <v>11464.268003223066</v>
      </c>
      <c r="O1567" s="180">
        <f t="shared" ca="1" si="63"/>
        <v>9.0180330219550905E-3</v>
      </c>
      <c r="P1567" s="180"/>
      <c r="Q1567" s="180"/>
      <c r="R1567" s="180"/>
      <c r="S1567" s="180"/>
      <c r="T1567" s="180"/>
    </row>
    <row r="1568" spans="1:20" x14ac:dyDescent="0.25">
      <c r="A1568" t="s">
        <v>244</v>
      </c>
      <c r="B1568" t="s">
        <v>237</v>
      </c>
      <c r="C1568" t="s">
        <v>238</v>
      </c>
      <c r="D1568" t="s">
        <v>263</v>
      </c>
      <c r="E1568" t="s">
        <v>228</v>
      </c>
      <c r="F1568">
        <v>2007</v>
      </c>
      <c r="G1568">
        <v>2.8828169014084501E-4</v>
      </c>
      <c r="H1568" t="s">
        <v>240</v>
      </c>
      <c r="I1568" t="s">
        <v>241</v>
      </c>
      <c r="J1568" t="s">
        <v>3</v>
      </c>
      <c r="K1568" s="183">
        <f ca="1">VLOOKUP(F1568,
    OFFSET(INDIRECT(ADDRESS(MATCH(J1568,'Vehicle numbers'!$A$5:$A$162,0),1,1,1,$L$6)),4,1,COUNTIF('Vehicle numbers'!$A$5:$A$162,J1568),4),
    MATCH(K$8,'Vehicle numbers'!$B$4:$D$4,0))*1000</f>
        <v>1248321</v>
      </c>
      <c r="L1568" s="183">
        <f ca="1">VLOOKUP(F1568,
    OFFSET(INDIRECT(ADDRESS(MATCH(J1568,'Vehicle numbers'!$A$5:$A$162,0),1,1,1,$L$6)),4,1,COUNTIF('Vehicle numbers'!$A$5:$A$162,J1568),4),
    MATCH(L$8,'Vehicle numbers'!$B$4:$D$4,0))*1000</f>
        <v>1271260.3707829001</v>
      </c>
      <c r="M1568" s="184">
        <f>VLOOKUP(F1568,'Annual distance covered (GB)'!$A$8:$H$33,MATCH(J1568,'Annual distance covered (GB)'!$A$7:$H$7,0))</f>
        <v>5.5</v>
      </c>
      <c r="N1568" s="2">
        <f t="shared" ca="1" si="62"/>
        <v>1614.6856342567694</v>
      </c>
      <c r="O1568" s="180">
        <f t="shared" ca="1" si="63"/>
        <v>1.2701454960500123E-3</v>
      </c>
      <c r="P1568" s="180"/>
      <c r="Q1568" s="180"/>
      <c r="R1568" s="180"/>
      <c r="S1568" s="180"/>
      <c r="T1568" s="180"/>
    </row>
    <row r="1569" spans="1:20" x14ac:dyDescent="0.25">
      <c r="A1569" t="s">
        <v>246</v>
      </c>
      <c r="B1569" t="s">
        <v>237</v>
      </c>
      <c r="C1569" t="s">
        <v>238</v>
      </c>
      <c r="D1569" t="s">
        <v>263</v>
      </c>
      <c r="E1569" t="s">
        <v>228</v>
      </c>
      <c r="F1569">
        <v>2007</v>
      </c>
      <c r="G1569">
        <v>2.3062535211267599E-4</v>
      </c>
      <c r="H1569" t="s">
        <v>240</v>
      </c>
      <c r="I1569" t="s">
        <v>241</v>
      </c>
      <c r="J1569" t="s">
        <v>3</v>
      </c>
      <c r="K1569" s="183">
        <f ca="1">VLOOKUP(F1569,
    OFFSET(INDIRECT(ADDRESS(MATCH(J1569,'Vehicle numbers'!$A$5:$A$162,0),1,1,1,$L$6)),4,1,COUNTIF('Vehicle numbers'!$A$5:$A$162,J1569),4),
    MATCH(K$8,'Vehicle numbers'!$B$4:$D$4,0))*1000</f>
        <v>1248321</v>
      </c>
      <c r="L1569" s="183">
        <f ca="1">VLOOKUP(F1569,
    OFFSET(INDIRECT(ADDRESS(MATCH(J1569,'Vehicle numbers'!$A$5:$A$162,0),1,1,1,$L$6)),4,1,COUNTIF('Vehicle numbers'!$A$5:$A$162,J1569),4),
    MATCH(L$8,'Vehicle numbers'!$B$4:$D$4,0))*1000</f>
        <v>1271260.3707829001</v>
      </c>
      <c r="M1569" s="184">
        <f>VLOOKUP(F1569,'Annual distance covered (GB)'!$A$8:$H$33,MATCH(J1569,'Annual distance covered (GB)'!$A$7:$H$7,0))</f>
        <v>5.5</v>
      </c>
      <c r="N1569" s="2">
        <f t="shared" ca="1" si="62"/>
        <v>1291.7485074054155</v>
      </c>
      <c r="O1569" s="180">
        <f t="shared" ca="1" si="63"/>
        <v>1.0161163968400099E-3</v>
      </c>
      <c r="P1569" s="180"/>
      <c r="Q1569" s="180"/>
      <c r="R1569" s="180"/>
      <c r="S1569" s="180"/>
      <c r="T1569" s="180"/>
    </row>
    <row r="1570" spans="1:20" x14ac:dyDescent="0.25">
      <c r="A1570" t="s">
        <v>236</v>
      </c>
      <c r="B1570" t="s">
        <v>237</v>
      </c>
      <c r="C1570" t="s">
        <v>238</v>
      </c>
      <c r="D1570" t="s">
        <v>264</v>
      </c>
      <c r="E1570" t="s">
        <v>229</v>
      </c>
      <c r="F1570">
        <v>2007</v>
      </c>
      <c r="G1570">
        <v>5.8399999999999902E-3</v>
      </c>
      <c r="H1570" t="s">
        <v>240</v>
      </c>
      <c r="I1570" t="s">
        <v>241</v>
      </c>
      <c r="J1570" t="s">
        <v>3</v>
      </c>
      <c r="K1570" s="183">
        <f ca="1">VLOOKUP(F1570,
    OFFSET(INDIRECT(ADDRESS(MATCH(J1570,'Vehicle numbers'!$A$5:$A$162,0),1,1,1,$L$6)),4,1,COUNTIF('Vehicle numbers'!$A$5:$A$162,J1570),4),
    MATCH(K$8,'Vehicle numbers'!$B$4:$D$4,0))*1000</f>
        <v>1248321</v>
      </c>
      <c r="L1570" s="183">
        <f ca="1">VLOOKUP(F1570,
    OFFSET(INDIRECT(ADDRESS(MATCH(J1570,'Vehicle numbers'!$A$5:$A$162,0),1,1,1,$L$6)),4,1,COUNTIF('Vehicle numbers'!$A$5:$A$162,J1570),4),
    MATCH(L$8,'Vehicle numbers'!$B$4:$D$4,0))*1000</f>
        <v>1271260.3707829001</v>
      </c>
      <c r="M1570" s="184">
        <f>VLOOKUP(F1570,'Annual distance covered (GB)'!$A$8:$H$33,MATCH(J1570,'Annual distance covered (GB)'!$A$7:$H$7,0))</f>
        <v>5.5</v>
      </c>
      <c r="N1570" s="2">
        <f t="shared" ca="1" si="62"/>
        <v>32710.24288588166</v>
      </c>
      <c r="O1570" s="180">
        <f t="shared" ca="1" si="63"/>
        <v>2.573056128992458E-2</v>
      </c>
      <c r="P1570" s="180"/>
      <c r="Q1570" s="180"/>
      <c r="R1570" s="180"/>
      <c r="S1570" s="180"/>
      <c r="T1570" s="180"/>
    </row>
    <row r="1571" spans="1:20" x14ac:dyDescent="0.25">
      <c r="A1571" t="s">
        <v>243</v>
      </c>
      <c r="B1571" t="s">
        <v>237</v>
      </c>
      <c r="C1571" t="s">
        <v>238</v>
      </c>
      <c r="D1571" t="s">
        <v>264</v>
      </c>
      <c r="E1571" t="s">
        <v>229</v>
      </c>
      <c r="F1571">
        <v>2007</v>
      </c>
      <c r="G1571">
        <v>2.336E-3</v>
      </c>
      <c r="H1571" t="s">
        <v>240</v>
      </c>
      <c r="I1571" t="s">
        <v>241</v>
      </c>
      <c r="J1571" t="s">
        <v>3</v>
      </c>
      <c r="K1571" s="183">
        <f ca="1">VLOOKUP(F1571,
    OFFSET(INDIRECT(ADDRESS(MATCH(J1571,'Vehicle numbers'!$A$5:$A$162,0),1,1,1,$L$6)),4,1,COUNTIF('Vehicle numbers'!$A$5:$A$162,J1571),4),
    MATCH(K$8,'Vehicle numbers'!$B$4:$D$4,0))*1000</f>
        <v>1248321</v>
      </c>
      <c r="L1571" s="183">
        <f ca="1">VLOOKUP(F1571,
    OFFSET(INDIRECT(ADDRESS(MATCH(J1571,'Vehicle numbers'!$A$5:$A$162,0),1,1,1,$L$6)),4,1,COUNTIF('Vehicle numbers'!$A$5:$A$162,J1571),4),
    MATCH(L$8,'Vehicle numbers'!$B$4:$D$4,0))*1000</f>
        <v>1271260.3707829001</v>
      </c>
      <c r="M1571" s="184">
        <f>VLOOKUP(F1571,'Annual distance covered (GB)'!$A$8:$H$33,MATCH(J1571,'Annual distance covered (GB)'!$A$7:$H$7,0))</f>
        <v>5.5</v>
      </c>
      <c r="N1571" s="2">
        <f t="shared" ca="1" si="62"/>
        <v>13084.097154352687</v>
      </c>
      <c r="O1571" s="180">
        <f t="shared" ca="1" si="63"/>
        <v>1.0292224515969851E-2</v>
      </c>
      <c r="P1571" s="180"/>
      <c r="Q1571" s="180"/>
      <c r="R1571" s="180"/>
      <c r="S1571" s="180"/>
      <c r="T1571" s="180"/>
    </row>
    <row r="1572" spans="1:20" x14ac:dyDescent="0.25">
      <c r="A1572" t="s">
        <v>244</v>
      </c>
      <c r="B1572" t="s">
        <v>237</v>
      </c>
      <c r="C1572" t="s">
        <v>238</v>
      </c>
      <c r="D1572" t="s">
        <v>264</v>
      </c>
      <c r="E1572" t="s">
        <v>229</v>
      </c>
      <c r="F1572">
        <v>2007</v>
      </c>
      <c r="G1572">
        <v>5.8399999999999999E-4</v>
      </c>
      <c r="H1572" t="s">
        <v>240</v>
      </c>
      <c r="I1572" t="s">
        <v>241</v>
      </c>
      <c r="J1572" t="s">
        <v>3</v>
      </c>
      <c r="K1572" s="183">
        <f ca="1">VLOOKUP(F1572,
    OFFSET(INDIRECT(ADDRESS(MATCH(J1572,'Vehicle numbers'!$A$5:$A$162,0),1,1,1,$L$6)),4,1,COUNTIF('Vehicle numbers'!$A$5:$A$162,J1572),4),
    MATCH(K$8,'Vehicle numbers'!$B$4:$D$4,0))*1000</f>
        <v>1248321</v>
      </c>
      <c r="L1572" s="183">
        <f ca="1">VLOOKUP(F1572,
    OFFSET(INDIRECT(ADDRESS(MATCH(J1572,'Vehicle numbers'!$A$5:$A$162,0),1,1,1,$L$6)),4,1,COUNTIF('Vehicle numbers'!$A$5:$A$162,J1572),4),
    MATCH(L$8,'Vehicle numbers'!$B$4:$D$4,0))*1000</f>
        <v>1271260.3707829001</v>
      </c>
      <c r="M1572" s="184">
        <f>VLOOKUP(F1572,'Annual distance covered (GB)'!$A$8:$H$33,MATCH(J1572,'Annual distance covered (GB)'!$A$7:$H$7,0))</f>
        <v>5.5</v>
      </c>
      <c r="N1572" s="2">
        <f t="shared" ca="1" si="62"/>
        <v>3271.0242885881717</v>
      </c>
      <c r="O1572" s="180">
        <f t="shared" ca="1" si="63"/>
        <v>2.5730561289924628E-3</v>
      </c>
      <c r="P1572" s="180"/>
      <c r="Q1572" s="180"/>
      <c r="R1572" s="180"/>
      <c r="S1572" s="180"/>
      <c r="T1572" s="180"/>
    </row>
    <row r="1573" spans="1:20" x14ac:dyDescent="0.25">
      <c r="A1573" t="s">
        <v>246</v>
      </c>
      <c r="B1573" t="s">
        <v>237</v>
      </c>
      <c r="C1573" t="s">
        <v>238</v>
      </c>
      <c r="D1573" t="s">
        <v>264</v>
      </c>
      <c r="E1573" t="s">
        <v>229</v>
      </c>
      <c r="F1573">
        <v>2007</v>
      </c>
      <c r="G1573">
        <v>4.6720000000000003E-4</v>
      </c>
      <c r="H1573" t="s">
        <v>240</v>
      </c>
      <c r="I1573" t="s">
        <v>241</v>
      </c>
      <c r="J1573" t="s">
        <v>3</v>
      </c>
      <c r="K1573" s="183">
        <f ca="1">VLOOKUP(F1573,
    OFFSET(INDIRECT(ADDRESS(MATCH(J1573,'Vehicle numbers'!$A$5:$A$162,0),1,1,1,$L$6)),4,1,COUNTIF('Vehicle numbers'!$A$5:$A$162,J1573),4),
    MATCH(K$8,'Vehicle numbers'!$B$4:$D$4,0))*1000</f>
        <v>1248321</v>
      </c>
      <c r="L1573" s="183">
        <f ca="1">VLOOKUP(F1573,
    OFFSET(INDIRECT(ADDRESS(MATCH(J1573,'Vehicle numbers'!$A$5:$A$162,0),1,1,1,$L$6)),4,1,COUNTIF('Vehicle numbers'!$A$5:$A$162,J1573),4),
    MATCH(L$8,'Vehicle numbers'!$B$4:$D$4,0))*1000</f>
        <v>1271260.3707829001</v>
      </c>
      <c r="M1573" s="184">
        <f>VLOOKUP(F1573,'Annual distance covered (GB)'!$A$8:$H$33,MATCH(J1573,'Annual distance covered (GB)'!$A$7:$H$7,0))</f>
        <v>5.5</v>
      </c>
      <c r="N1573" s="2">
        <f t="shared" ca="1" si="62"/>
        <v>2616.8194308705374</v>
      </c>
      <c r="O1573" s="180">
        <f t="shared" ca="1" si="63"/>
        <v>2.0584449031939701E-3</v>
      </c>
      <c r="P1573" s="180"/>
      <c r="Q1573" s="180"/>
      <c r="R1573" s="180"/>
      <c r="S1573" s="180"/>
      <c r="T1573" s="180"/>
    </row>
    <row r="1574" spans="1:20" x14ac:dyDescent="0.25">
      <c r="A1574" t="s">
        <v>236</v>
      </c>
      <c r="B1574" t="s">
        <v>237</v>
      </c>
      <c r="C1574" t="s">
        <v>238</v>
      </c>
      <c r="D1574" t="s">
        <v>264</v>
      </c>
      <c r="E1574" t="s">
        <v>228</v>
      </c>
      <c r="F1574">
        <v>2007</v>
      </c>
      <c r="G1574">
        <v>3.7569999999999999E-3</v>
      </c>
      <c r="H1574" t="s">
        <v>240</v>
      </c>
      <c r="I1574" t="s">
        <v>241</v>
      </c>
      <c r="J1574" t="s">
        <v>3</v>
      </c>
      <c r="K1574" s="183">
        <f ca="1">VLOOKUP(F1574,
    OFFSET(INDIRECT(ADDRESS(MATCH(J1574,'Vehicle numbers'!$A$5:$A$162,0),1,1,1,$L$6)),4,1,COUNTIF('Vehicle numbers'!$A$5:$A$162,J1574),4),
    MATCH(K$8,'Vehicle numbers'!$B$4:$D$4,0))*1000</f>
        <v>1248321</v>
      </c>
      <c r="L1574" s="183">
        <f ca="1">VLOOKUP(F1574,
    OFFSET(INDIRECT(ADDRESS(MATCH(J1574,'Vehicle numbers'!$A$5:$A$162,0),1,1,1,$L$6)),4,1,COUNTIF('Vehicle numbers'!$A$5:$A$162,J1574),4),
    MATCH(L$8,'Vehicle numbers'!$B$4:$D$4,0))*1000</f>
        <v>1271260.3707829001</v>
      </c>
      <c r="M1574" s="184">
        <f>VLOOKUP(F1574,'Annual distance covered (GB)'!$A$8:$H$33,MATCH(J1574,'Annual distance covered (GB)'!$A$7:$H$7,0))</f>
        <v>5.5</v>
      </c>
      <c r="N1574" s="2">
        <f t="shared" ca="1" si="62"/>
        <v>21043.216185318084</v>
      </c>
      <c r="O1574" s="180">
        <f t="shared" ca="1" si="63"/>
        <v>1.6553034035316237E-2</v>
      </c>
      <c r="P1574" s="180"/>
      <c r="Q1574" s="180"/>
      <c r="R1574" s="180"/>
      <c r="S1574" s="180"/>
      <c r="T1574" s="180"/>
    </row>
    <row r="1575" spans="1:20" x14ac:dyDescent="0.25">
      <c r="A1575" t="s">
        <v>243</v>
      </c>
      <c r="B1575" t="s">
        <v>237</v>
      </c>
      <c r="C1575" t="s">
        <v>238</v>
      </c>
      <c r="D1575" t="s">
        <v>264</v>
      </c>
      <c r="E1575" t="s">
        <v>228</v>
      </c>
      <c r="F1575">
        <v>2007</v>
      </c>
      <c r="G1575">
        <v>2.6299000000000001E-3</v>
      </c>
      <c r="H1575" t="s">
        <v>240</v>
      </c>
      <c r="I1575" t="s">
        <v>241</v>
      </c>
      <c r="J1575" t="s">
        <v>3</v>
      </c>
      <c r="K1575" s="183">
        <f ca="1">VLOOKUP(F1575,
    OFFSET(INDIRECT(ADDRESS(MATCH(J1575,'Vehicle numbers'!$A$5:$A$162,0),1,1,1,$L$6)),4,1,COUNTIF('Vehicle numbers'!$A$5:$A$162,J1575),4),
    MATCH(K$8,'Vehicle numbers'!$B$4:$D$4,0))*1000</f>
        <v>1248321</v>
      </c>
      <c r="L1575" s="183">
        <f ca="1">VLOOKUP(F1575,
    OFFSET(INDIRECT(ADDRESS(MATCH(J1575,'Vehicle numbers'!$A$5:$A$162,0),1,1,1,$L$6)),4,1,COUNTIF('Vehicle numbers'!$A$5:$A$162,J1575),4),
    MATCH(L$8,'Vehicle numbers'!$B$4:$D$4,0))*1000</f>
        <v>1271260.3707829001</v>
      </c>
      <c r="M1575" s="184">
        <f>VLOOKUP(F1575,'Annual distance covered (GB)'!$A$8:$H$33,MATCH(J1575,'Annual distance covered (GB)'!$A$7:$H$7,0))</f>
        <v>5.5</v>
      </c>
      <c r="N1575" s="2">
        <f t="shared" ca="1" si="62"/>
        <v>14730.25132972266</v>
      </c>
      <c r="O1575" s="180">
        <f t="shared" ca="1" si="63"/>
        <v>1.1587123824721365E-2</v>
      </c>
      <c r="P1575" s="180"/>
      <c r="Q1575" s="180"/>
      <c r="R1575" s="180"/>
      <c r="S1575" s="180"/>
      <c r="T1575" s="180"/>
    </row>
    <row r="1576" spans="1:20" x14ac:dyDescent="0.25">
      <c r="A1576" t="s">
        <v>244</v>
      </c>
      <c r="B1576" t="s">
        <v>237</v>
      </c>
      <c r="C1576" t="s">
        <v>238</v>
      </c>
      <c r="D1576" t="s">
        <v>264</v>
      </c>
      <c r="E1576" t="s">
        <v>228</v>
      </c>
      <c r="F1576">
        <v>2007</v>
      </c>
      <c r="G1576">
        <v>3.7040845070422499E-4</v>
      </c>
      <c r="H1576" t="s">
        <v>240</v>
      </c>
      <c r="I1576" t="s">
        <v>241</v>
      </c>
      <c r="J1576" t="s">
        <v>3</v>
      </c>
      <c r="K1576" s="183">
        <f ca="1">VLOOKUP(F1576,
    OFFSET(INDIRECT(ADDRESS(MATCH(J1576,'Vehicle numbers'!$A$5:$A$162,0),1,1,1,$L$6)),4,1,COUNTIF('Vehicle numbers'!$A$5:$A$162,J1576),4),
    MATCH(K$8,'Vehicle numbers'!$B$4:$D$4,0))*1000</f>
        <v>1248321</v>
      </c>
      <c r="L1576" s="183">
        <f ca="1">VLOOKUP(F1576,
    OFFSET(INDIRECT(ADDRESS(MATCH(J1576,'Vehicle numbers'!$A$5:$A$162,0),1,1,1,$L$6)),4,1,COUNTIF('Vehicle numbers'!$A$5:$A$162,J1576),4),
    MATCH(L$8,'Vehicle numbers'!$B$4:$D$4,0))*1000</f>
        <v>1271260.3707829001</v>
      </c>
      <c r="M1576" s="184">
        <f>VLOOKUP(F1576,'Annual distance covered (GB)'!$A$8:$H$33,MATCH(J1576,'Annual distance covered (GB)'!$A$7:$H$7,0))</f>
        <v>5.5</v>
      </c>
      <c r="N1576" s="2">
        <f t="shared" ca="1" si="62"/>
        <v>2074.6832858764287</v>
      </c>
      <c r="O1576" s="180">
        <f t="shared" ca="1" si="63"/>
        <v>1.6319892710875146E-3</v>
      </c>
      <c r="P1576" s="180"/>
      <c r="Q1576" s="180"/>
      <c r="R1576" s="180"/>
      <c r="S1576" s="180"/>
      <c r="T1576" s="180"/>
    </row>
    <row r="1577" spans="1:20" x14ac:dyDescent="0.25">
      <c r="A1577" t="s">
        <v>246</v>
      </c>
      <c r="B1577" t="s">
        <v>237</v>
      </c>
      <c r="C1577" t="s">
        <v>238</v>
      </c>
      <c r="D1577" t="s">
        <v>264</v>
      </c>
      <c r="E1577" t="s">
        <v>228</v>
      </c>
      <c r="F1577">
        <v>2007</v>
      </c>
      <c r="G1577">
        <v>2.9632676056337998E-4</v>
      </c>
      <c r="H1577" t="s">
        <v>240</v>
      </c>
      <c r="I1577" t="s">
        <v>241</v>
      </c>
      <c r="J1577" t="s">
        <v>3</v>
      </c>
      <c r="K1577" s="183">
        <f ca="1">VLOOKUP(F1577,
    OFFSET(INDIRECT(ADDRESS(MATCH(J1577,'Vehicle numbers'!$A$5:$A$162,0),1,1,1,$L$6)),4,1,COUNTIF('Vehicle numbers'!$A$5:$A$162,J1577),4),
    MATCH(K$8,'Vehicle numbers'!$B$4:$D$4,0))*1000</f>
        <v>1248321</v>
      </c>
      <c r="L1577" s="183">
        <f ca="1">VLOOKUP(F1577,
    OFFSET(INDIRECT(ADDRESS(MATCH(J1577,'Vehicle numbers'!$A$5:$A$162,0),1,1,1,$L$6)),4,1,COUNTIF('Vehicle numbers'!$A$5:$A$162,J1577),4),
    MATCH(L$8,'Vehicle numbers'!$B$4:$D$4,0))*1000</f>
        <v>1271260.3707829001</v>
      </c>
      <c r="M1577" s="184">
        <f>VLOOKUP(F1577,'Annual distance covered (GB)'!$A$8:$H$33,MATCH(J1577,'Annual distance covered (GB)'!$A$7:$H$7,0))</f>
        <v>5.5</v>
      </c>
      <c r="N1577" s="2">
        <f t="shared" ca="1" si="62"/>
        <v>1659.746628701143</v>
      </c>
      <c r="O1577" s="180">
        <f t="shared" ca="1" si="63"/>
        <v>1.3055914168700116E-3</v>
      </c>
      <c r="P1577" s="180"/>
      <c r="Q1577" s="180"/>
      <c r="R1577" s="180"/>
      <c r="S1577" s="180"/>
      <c r="T1577" s="180"/>
    </row>
    <row r="1578" spans="1:20" x14ac:dyDescent="0.25">
      <c r="A1578" t="s">
        <v>236</v>
      </c>
      <c r="B1578" t="s">
        <v>237</v>
      </c>
      <c r="C1578" t="s">
        <v>238</v>
      </c>
      <c r="D1578" t="s">
        <v>239</v>
      </c>
      <c r="E1578" t="s">
        <v>229</v>
      </c>
      <c r="F1578">
        <v>2008</v>
      </c>
      <c r="G1578">
        <v>8.4409999999999902E-3</v>
      </c>
      <c r="H1578" t="s">
        <v>240</v>
      </c>
      <c r="I1578" t="s">
        <v>241</v>
      </c>
      <c r="J1578" t="s">
        <v>242</v>
      </c>
      <c r="K1578" s="183">
        <f ca="1">VLOOKUP(F1578,
    OFFSET(INDIRECT(ADDRESS(MATCH(J1578,'Vehicle numbers'!$A$5:$A$162,0),1,1,1,$L$6)),4,1,COUNTIF('Vehicle numbers'!$A$5:$A$162,J1578),4),
    MATCH(K$8,'Vehicle numbers'!$B$4:$D$4,0))*1000</f>
        <v>175454</v>
      </c>
      <c r="L1578" s="183">
        <f ca="1">VLOOKUP(F1578,
    OFFSET(INDIRECT(ADDRESS(MATCH(J1578,'Vehicle numbers'!$A$5:$A$162,0),1,1,1,$L$6)),4,1,COUNTIF('Vehicle numbers'!$A$5:$A$162,J1578),4),
    MATCH(L$8,'Vehicle numbers'!$B$4:$D$4,0))*1000</f>
        <v>181584.29895774182</v>
      </c>
      <c r="M1578" s="184">
        <f>VLOOKUP(F1578,'Annual distance covered (GB)'!$A$8:$H$33,MATCH(J1578,'Annual distance covered (GB)'!$A$7:$H$7,0))</f>
        <v>5</v>
      </c>
      <c r="N1578" s="2">
        <f t="shared" ca="1" si="62"/>
        <v>43679.627352533906</v>
      </c>
      <c r="O1578" s="180">
        <f t="shared" ca="1" si="63"/>
        <v>0.24054737994004097</v>
      </c>
      <c r="P1578" s="180"/>
      <c r="Q1578" s="180"/>
      <c r="R1578" s="180"/>
      <c r="S1578" s="180"/>
      <c r="T1578" s="180"/>
    </row>
    <row r="1579" spans="1:20" x14ac:dyDescent="0.25">
      <c r="A1579" t="s">
        <v>243</v>
      </c>
      <c r="B1579" t="s">
        <v>237</v>
      </c>
      <c r="C1579" t="s">
        <v>238</v>
      </c>
      <c r="D1579" t="s">
        <v>239</v>
      </c>
      <c r="E1579" t="s">
        <v>229</v>
      </c>
      <c r="F1579">
        <v>2008</v>
      </c>
      <c r="G1579">
        <v>3.3763999999999999E-3</v>
      </c>
      <c r="H1579" t="s">
        <v>240</v>
      </c>
      <c r="I1579" t="s">
        <v>241</v>
      </c>
      <c r="J1579" t="s">
        <v>242</v>
      </c>
      <c r="K1579" s="183">
        <f ca="1">VLOOKUP(F1579,
    OFFSET(INDIRECT(ADDRESS(MATCH(J1579,'Vehicle numbers'!$A$5:$A$162,0),1,1,1,$L$6)),4,1,COUNTIF('Vehicle numbers'!$A$5:$A$162,J1579),4),
    MATCH(K$8,'Vehicle numbers'!$B$4:$D$4,0))*1000</f>
        <v>175454</v>
      </c>
      <c r="L1579" s="183">
        <f ca="1">VLOOKUP(F1579,
    OFFSET(INDIRECT(ADDRESS(MATCH(J1579,'Vehicle numbers'!$A$5:$A$162,0),1,1,1,$L$6)),4,1,COUNTIF('Vehicle numbers'!$A$5:$A$162,J1579),4),
    MATCH(L$8,'Vehicle numbers'!$B$4:$D$4,0))*1000</f>
        <v>181584.29895774182</v>
      </c>
      <c r="M1579" s="184">
        <f>VLOOKUP(F1579,'Annual distance covered (GB)'!$A$8:$H$33,MATCH(J1579,'Annual distance covered (GB)'!$A$7:$H$7,0))</f>
        <v>5</v>
      </c>
      <c r="N1579" s="2">
        <f t="shared" ca="1" si="62"/>
        <v>17471.850941013581</v>
      </c>
      <c r="O1579" s="180">
        <f t="shared" ca="1" si="63"/>
        <v>9.6218951976016487E-2</v>
      </c>
      <c r="P1579" s="180"/>
      <c r="Q1579" s="180"/>
      <c r="R1579" s="180"/>
      <c r="S1579" s="180"/>
      <c r="T1579" s="180"/>
    </row>
    <row r="1580" spans="1:20" x14ac:dyDescent="0.25">
      <c r="A1580" t="s">
        <v>244</v>
      </c>
      <c r="B1580" t="s">
        <v>237</v>
      </c>
      <c r="C1580" t="s">
        <v>238</v>
      </c>
      <c r="D1580" t="s">
        <v>239</v>
      </c>
      <c r="E1580" t="s">
        <v>229</v>
      </c>
      <c r="F1580">
        <v>2008</v>
      </c>
      <c r="G1580">
        <v>8.4409999999999997E-4</v>
      </c>
      <c r="H1580" t="s">
        <v>240</v>
      </c>
      <c r="I1580" t="s">
        <v>241</v>
      </c>
      <c r="J1580" t="s">
        <v>242</v>
      </c>
      <c r="K1580" s="183">
        <f ca="1">VLOOKUP(F1580,
    OFFSET(INDIRECT(ADDRESS(MATCH(J1580,'Vehicle numbers'!$A$5:$A$162,0),1,1,1,$L$6)),4,1,COUNTIF('Vehicle numbers'!$A$5:$A$162,J1580),4),
    MATCH(K$8,'Vehicle numbers'!$B$4:$D$4,0))*1000</f>
        <v>175454</v>
      </c>
      <c r="L1580" s="183">
        <f ca="1">VLOOKUP(F1580,
    OFFSET(INDIRECT(ADDRESS(MATCH(J1580,'Vehicle numbers'!$A$5:$A$162,0),1,1,1,$L$6)),4,1,COUNTIF('Vehicle numbers'!$A$5:$A$162,J1580),4),
    MATCH(L$8,'Vehicle numbers'!$B$4:$D$4,0))*1000</f>
        <v>181584.29895774182</v>
      </c>
      <c r="M1580" s="184">
        <f>VLOOKUP(F1580,'Annual distance covered (GB)'!$A$8:$H$33,MATCH(J1580,'Annual distance covered (GB)'!$A$7:$H$7,0))</f>
        <v>5</v>
      </c>
      <c r="N1580" s="2">
        <f t="shared" ca="1" si="62"/>
        <v>4367.9627352533953</v>
      </c>
      <c r="O1580" s="180">
        <f t="shared" ca="1" si="63"/>
        <v>2.4054737994004122E-2</v>
      </c>
      <c r="P1580" s="180"/>
      <c r="Q1580" s="180"/>
      <c r="R1580" s="180"/>
      <c r="S1580" s="180"/>
      <c r="T1580" s="180"/>
    </row>
    <row r="1581" spans="1:20" x14ac:dyDescent="0.25">
      <c r="A1581" t="s">
        <v>246</v>
      </c>
      <c r="B1581" t="s">
        <v>237</v>
      </c>
      <c r="C1581" t="s">
        <v>238</v>
      </c>
      <c r="D1581" t="s">
        <v>239</v>
      </c>
      <c r="E1581" t="s">
        <v>229</v>
      </c>
      <c r="F1581">
        <v>2008</v>
      </c>
      <c r="G1581">
        <v>6.7528E-4</v>
      </c>
      <c r="H1581" t="s">
        <v>240</v>
      </c>
      <c r="I1581" t="s">
        <v>241</v>
      </c>
      <c r="J1581" t="s">
        <v>242</v>
      </c>
      <c r="K1581" s="183">
        <f ca="1">VLOOKUP(F1581,
    OFFSET(INDIRECT(ADDRESS(MATCH(J1581,'Vehicle numbers'!$A$5:$A$162,0),1,1,1,$L$6)),4,1,COUNTIF('Vehicle numbers'!$A$5:$A$162,J1581),4),
    MATCH(K$8,'Vehicle numbers'!$B$4:$D$4,0))*1000</f>
        <v>175454</v>
      </c>
      <c r="L1581" s="183">
        <f ca="1">VLOOKUP(F1581,
    OFFSET(INDIRECT(ADDRESS(MATCH(J1581,'Vehicle numbers'!$A$5:$A$162,0),1,1,1,$L$6)),4,1,COUNTIF('Vehicle numbers'!$A$5:$A$162,J1581),4),
    MATCH(L$8,'Vehicle numbers'!$B$4:$D$4,0))*1000</f>
        <v>181584.29895774182</v>
      </c>
      <c r="M1581" s="184">
        <f>VLOOKUP(F1581,'Annual distance covered (GB)'!$A$8:$H$33,MATCH(J1581,'Annual distance covered (GB)'!$A$7:$H$7,0))</f>
        <v>5</v>
      </c>
      <c r="N1581" s="2">
        <f t="shared" ca="1" si="62"/>
        <v>3494.3701882027167</v>
      </c>
      <c r="O1581" s="180">
        <f t="shared" ca="1" si="63"/>
        <v>1.9243790395203301E-2</v>
      </c>
      <c r="P1581" s="180"/>
      <c r="Q1581" s="180"/>
      <c r="R1581" s="180"/>
      <c r="S1581" s="180"/>
      <c r="T1581" s="180"/>
    </row>
    <row r="1582" spans="1:20" x14ac:dyDescent="0.25">
      <c r="A1582" t="s">
        <v>236</v>
      </c>
      <c r="B1582" t="s">
        <v>237</v>
      </c>
      <c r="C1582" t="s">
        <v>238</v>
      </c>
      <c r="D1582" t="s">
        <v>239</v>
      </c>
      <c r="E1582" t="s">
        <v>228</v>
      </c>
      <c r="F1582">
        <v>2008</v>
      </c>
      <c r="G1582">
        <v>1.3984E-2</v>
      </c>
      <c r="H1582" t="s">
        <v>240</v>
      </c>
      <c r="I1582" t="s">
        <v>241</v>
      </c>
      <c r="J1582" t="s">
        <v>242</v>
      </c>
      <c r="K1582" s="183">
        <f ca="1">VLOOKUP(F1582,
    OFFSET(INDIRECT(ADDRESS(MATCH(J1582,'Vehicle numbers'!$A$5:$A$162,0),1,1,1,$L$6)),4,1,COUNTIF('Vehicle numbers'!$A$5:$A$162,J1582),4),
    MATCH(K$8,'Vehicle numbers'!$B$4:$D$4,0))*1000</f>
        <v>175454</v>
      </c>
      <c r="L1582" s="183">
        <f ca="1">VLOOKUP(F1582,
    OFFSET(INDIRECT(ADDRESS(MATCH(J1582,'Vehicle numbers'!$A$5:$A$162,0),1,1,1,$L$6)),4,1,COUNTIF('Vehicle numbers'!$A$5:$A$162,J1582),4),
    MATCH(L$8,'Vehicle numbers'!$B$4:$D$4,0))*1000</f>
        <v>181584.29895774182</v>
      </c>
      <c r="M1582" s="184">
        <f>VLOOKUP(F1582,'Annual distance covered (GB)'!$A$8:$H$33,MATCH(J1582,'Annual distance covered (GB)'!$A$7:$H$7,0))</f>
        <v>5</v>
      </c>
      <c r="N1582" s="2">
        <f t="shared" ca="1" si="62"/>
        <v>72362.979374225193</v>
      </c>
      <c r="O1582" s="180">
        <f t="shared" ca="1" si="63"/>
        <v>0.39850901090884217</v>
      </c>
      <c r="P1582" s="180"/>
      <c r="Q1582" s="180"/>
      <c r="R1582" s="180"/>
      <c r="S1582" s="180"/>
      <c r="T1582" s="180"/>
    </row>
    <row r="1583" spans="1:20" x14ac:dyDescent="0.25">
      <c r="A1583" t="s">
        <v>243</v>
      </c>
      <c r="B1583" t="s">
        <v>237</v>
      </c>
      <c r="C1583" t="s">
        <v>238</v>
      </c>
      <c r="D1583" t="s">
        <v>239</v>
      </c>
      <c r="E1583" t="s">
        <v>228</v>
      </c>
      <c r="F1583">
        <v>2008</v>
      </c>
      <c r="G1583">
        <v>9.7888000000000003E-3</v>
      </c>
      <c r="H1583" t="s">
        <v>240</v>
      </c>
      <c r="I1583" t="s">
        <v>241</v>
      </c>
      <c r="J1583" t="s">
        <v>242</v>
      </c>
      <c r="K1583" s="183">
        <f ca="1">VLOOKUP(F1583,
    OFFSET(INDIRECT(ADDRESS(MATCH(J1583,'Vehicle numbers'!$A$5:$A$162,0),1,1,1,$L$6)),4,1,COUNTIF('Vehicle numbers'!$A$5:$A$162,J1583),4),
    MATCH(K$8,'Vehicle numbers'!$B$4:$D$4,0))*1000</f>
        <v>175454</v>
      </c>
      <c r="L1583" s="183">
        <f ca="1">VLOOKUP(F1583,
    OFFSET(INDIRECT(ADDRESS(MATCH(J1583,'Vehicle numbers'!$A$5:$A$162,0),1,1,1,$L$6)),4,1,COUNTIF('Vehicle numbers'!$A$5:$A$162,J1583),4),
    MATCH(L$8,'Vehicle numbers'!$B$4:$D$4,0))*1000</f>
        <v>181584.29895774182</v>
      </c>
      <c r="M1583" s="184">
        <f>VLOOKUP(F1583,'Annual distance covered (GB)'!$A$8:$H$33,MATCH(J1583,'Annual distance covered (GB)'!$A$7:$H$7,0))</f>
        <v>5</v>
      </c>
      <c r="N1583" s="2">
        <f t="shared" ca="1" si="62"/>
        <v>50654.085561957632</v>
      </c>
      <c r="O1583" s="180">
        <f t="shared" ca="1" si="63"/>
        <v>0.2789563076361895</v>
      </c>
      <c r="P1583" s="180"/>
      <c r="Q1583" s="180"/>
      <c r="R1583" s="180"/>
      <c r="S1583" s="180"/>
      <c r="T1583" s="180"/>
    </row>
    <row r="1584" spans="1:20" x14ac:dyDescent="0.25">
      <c r="A1584" t="s">
        <v>244</v>
      </c>
      <c r="B1584" t="s">
        <v>237</v>
      </c>
      <c r="C1584" t="s">
        <v>238</v>
      </c>
      <c r="D1584" t="s">
        <v>239</v>
      </c>
      <c r="E1584" t="s">
        <v>228</v>
      </c>
      <c r="F1584">
        <v>2008</v>
      </c>
      <c r="G1584">
        <v>1.3787042253521099E-3</v>
      </c>
      <c r="H1584" t="s">
        <v>240</v>
      </c>
      <c r="I1584" t="s">
        <v>241</v>
      </c>
      <c r="J1584" t="s">
        <v>242</v>
      </c>
      <c r="K1584" s="183">
        <f ca="1">VLOOKUP(F1584,
    OFFSET(INDIRECT(ADDRESS(MATCH(J1584,'Vehicle numbers'!$A$5:$A$162,0),1,1,1,$L$6)),4,1,COUNTIF('Vehicle numbers'!$A$5:$A$162,J1584),4),
    MATCH(K$8,'Vehicle numbers'!$B$4:$D$4,0))*1000</f>
        <v>175454</v>
      </c>
      <c r="L1584" s="183">
        <f ca="1">VLOOKUP(F1584,
    OFFSET(INDIRECT(ADDRESS(MATCH(J1584,'Vehicle numbers'!$A$5:$A$162,0),1,1,1,$L$6)),4,1,COUNTIF('Vehicle numbers'!$A$5:$A$162,J1584),4),
    MATCH(L$8,'Vehicle numbers'!$B$4:$D$4,0))*1000</f>
        <v>181584.29895774182</v>
      </c>
      <c r="M1584" s="184">
        <f>VLOOKUP(F1584,'Annual distance covered (GB)'!$A$8:$H$33,MATCH(J1584,'Annual distance covered (GB)'!$A$7:$H$7,0))</f>
        <v>5</v>
      </c>
      <c r="N1584" s="2">
        <f t="shared" ca="1" si="62"/>
        <v>7134.3782481630333</v>
      </c>
      <c r="O1584" s="180">
        <f t="shared" ca="1" si="63"/>
        <v>3.928962079382943E-2</v>
      </c>
      <c r="P1584" s="180"/>
      <c r="Q1584" s="180"/>
      <c r="R1584" s="180"/>
      <c r="S1584" s="180"/>
      <c r="T1584" s="180"/>
    </row>
    <row r="1585" spans="1:20" x14ac:dyDescent="0.25">
      <c r="A1585" t="s">
        <v>246</v>
      </c>
      <c r="B1585" t="s">
        <v>237</v>
      </c>
      <c r="C1585" t="s">
        <v>238</v>
      </c>
      <c r="D1585" t="s">
        <v>239</v>
      </c>
      <c r="E1585" t="s">
        <v>228</v>
      </c>
      <c r="F1585">
        <v>2008</v>
      </c>
      <c r="G1585">
        <v>1.10296338028169E-3</v>
      </c>
      <c r="H1585" t="s">
        <v>240</v>
      </c>
      <c r="I1585" t="s">
        <v>241</v>
      </c>
      <c r="J1585" t="s">
        <v>242</v>
      </c>
      <c r="K1585" s="183">
        <f ca="1">VLOOKUP(F1585,
    OFFSET(INDIRECT(ADDRESS(MATCH(J1585,'Vehicle numbers'!$A$5:$A$162,0),1,1,1,$L$6)),4,1,COUNTIF('Vehicle numbers'!$A$5:$A$162,J1585),4),
    MATCH(K$8,'Vehicle numbers'!$B$4:$D$4,0))*1000</f>
        <v>175454</v>
      </c>
      <c r="L1585" s="183">
        <f ca="1">VLOOKUP(F1585,
    OFFSET(INDIRECT(ADDRESS(MATCH(J1585,'Vehicle numbers'!$A$5:$A$162,0),1,1,1,$L$6)),4,1,COUNTIF('Vehicle numbers'!$A$5:$A$162,J1585),4),
    MATCH(L$8,'Vehicle numbers'!$B$4:$D$4,0))*1000</f>
        <v>181584.29895774182</v>
      </c>
      <c r="M1585" s="184">
        <f>VLOOKUP(F1585,'Annual distance covered (GB)'!$A$8:$H$33,MATCH(J1585,'Annual distance covered (GB)'!$A$7:$H$7,0))</f>
        <v>5</v>
      </c>
      <c r="N1585" s="2">
        <f t="shared" ca="1" si="62"/>
        <v>5707.5025985304374</v>
      </c>
      <c r="O1585" s="180">
        <f t="shared" ca="1" si="63"/>
        <v>3.1431696635063608E-2</v>
      </c>
      <c r="P1585" s="180"/>
      <c r="Q1585" s="180"/>
      <c r="R1585" s="180"/>
      <c r="S1585" s="180"/>
      <c r="T1585" s="180"/>
    </row>
    <row r="1586" spans="1:20" x14ac:dyDescent="0.25">
      <c r="A1586" t="s">
        <v>236</v>
      </c>
      <c r="B1586" t="s">
        <v>237</v>
      </c>
      <c r="C1586" t="s">
        <v>238</v>
      </c>
      <c r="D1586" t="s">
        <v>248</v>
      </c>
      <c r="E1586" t="s">
        <v>229</v>
      </c>
      <c r="F1586">
        <v>2008</v>
      </c>
      <c r="G1586">
        <v>2.7143E-2</v>
      </c>
      <c r="H1586" t="s">
        <v>240</v>
      </c>
      <c r="I1586" t="s">
        <v>241</v>
      </c>
      <c r="J1586" t="s">
        <v>242</v>
      </c>
      <c r="K1586" s="183">
        <f ca="1">VLOOKUP(F1586,
    OFFSET(INDIRECT(ADDRESS(MATCH(J1586,'Vehicle numbers'!$A$5:$A$162,0),1,1,1,$L$6)),4,1,COUNTIF('Vehicle numbers'!$A$5:$A$162,J1586),4),
    MATCH(K$8,'Vehicle numbers'!$B$4:$D$4,0))*1000</f>
        <v>175454</v>
      </c>
      <c r="L1586" s="183">
        <f ca="1">VLOOKUP(F1586,
    OFFSET(INDIRECT(ADDRESS(MATCH(J1586,'Vehicle numbers'!$A$5:$A$162,0),1,1,1,$L$6)),4,1,COUNTIF('Vehicle numbers'!$A$5:$A$162,J1586),4),
    MATCH(L$8,'Vehicle numbers'!$B$4:$D$4,0))*1000</f>
        <v>181584.29895774182</v>
      </c>
      <c r="M1586" s="184">
        <f>VLOOKUP(F1586,'Annual distance covered (GB)'!$A$8:$H$33,MATCH(J1586,'Annual distance covered (GB)'!$A$7:$H$7,0))</f>
        <v>5</v>
      </c>
      <c r="N1586" s="2">
        <f t="shared" ca="1" si="62"/>
        <v>140456.83274846929</v>
      </c>
      <c r="O1586" s="180">
        <f t="shared" ca="1" si="63"/>
        <v>0.7735075860339462</v>
      </c>
      <c r="P1586" s="180"/>
      <c r="Q1586" s="180"/>
      <c r="R1586" s="180"/>
      <c r="S1586" s="180"/>
      <c r="T1586" s="180"/>
    </row>
    <row r="1587" spans="1:20" x14ac:dyDescent="0.25">
      <c r="A1587" t="s">
        <v>243</v>
      </c>
      <c r="B1587" t="s">
        <v>237</v>
      </c>
      <c r="C1587" t="s">
        <v>238</v>
      </c>
      <c r="D1587" t="s">
        <v>248</v>
      </c>
      <c r="E1587" t="s">
        <v>229</v>
      </c>
      <c r="F1587">
        <v>2008</v>
      </c>
      <c r="G1587">
        <v>1.0857199999999999E-2</v>
      </c>
      <c r="H1587" t="s">
        <v>240</v>
      </c>
      <c r="I1587" t="s">
        <v>241</v>
      </c>
      <c r="J1587" t="s">
        <v>242</v>
      </c>
      <c r="K1587" s="183">
        <f ca="1">VLOOKUP(F1587,
    OFFSET(INDIRECT(ADDRESS(MATCH(J1587,'Vehicle numbers'!$A$5:$A$162,0),1,1,1,$L$6)),4,1,COUNTIF('Vehicle numbers'!$A$5:$A$162,J1587),4),
    MATCH(K$8,'Vehicle numbers'!$B$4:$D$4,0))*1000</f>
        <v>175454</v>
      </c>
      <c r="L1587" s="183">
        <f ca="1">VLOOKUP(F1587,
    OFFSET(INDIRECT(ADDRESS(MATCH(J1587,'Vehicle numbers'!$A$5:$A$162,0),1,1,1,$L$6)),4,1,COUNTIF('Vehicle numbers'!$A$5:$A$162,J1587),4),
    MATCH(L$8,'Vehicle numbers'!$B$4:$D$4,0))*1000</f>
        <v>181584.29895774182</v>
      </c>
      <c r="M1587" s="184">
        <f>VLOOKUP(F1587,'Annual distance covered (GB)'!$A$8:$H$33,MATCH(J1587,'Annual distance covered (GB)'!$A$7:$H$7,0))</f>
        <v>5</v>
      </c>
      <c r="N1587" s="2">
        <f t="shared" ca="1" si="62"/>
        <v>56182.733099387704</v>
      </c>
      <c r="O1587" s="180">
        <f t="shared" ca="1" si="63"/>
        <v>0.30940303441357841</v>
      </c>
      <c r="P1587" s="180"/>
      <c r="Q1587" s="180"/>
      <c r="R1587" s="180"/>
      <c r="S1587" s="180"/>
      <c r="T1587" s="180"/>
    </row>
    <row r="1588" spans="1:20" x14ac:dyDescent="0.25">
      <c r="A1588" t="s">
        <v>244</v>
      </c>
      <c r="B1588" t="s">
        <v>237</v>
      </c>
      <c r="C1588" t="s">
        <v>238</v>
      </c>
      <c r="D1588" t="s">
        <v>248</v>
      </c>
      <c r="E1588" t="s">
        <v>229</v>
      </c>
      <c r="F1588">
        <v>2008</v>
      </c>
      <c r="G1588">
        <v>2.7142999999999998E-3</v>
      </c>
      <c r="H1588" t="s">
        <v>240</v>
      </c>
      <c r="I1588" t="s">
        <v>241</v>
      </c>
      <c r="J1588" t="s">
        <v>242</v>
      </c>
      <c r="K1588" s="183">
        <f ca="1">VLOOKUP(F1588,
    OFFSET(INDIRECT(ADDRESS(MATCH(J1588,'Vehicle numbers'!$A$5:$A$162,0),1,1,1,$L$6)),4,1,COUNTIF('Vehicle numbers'!$A$5:$A$162,J1588),4),
    MATCH(K$8,'Vehicle numbers'!$B$4:$D$4,0))*1000</f>
        <v>175454</v>
      </c>
      <c r="L1588" s="183">
        <f ca="1">VLOOKUP(F1588,
    OFFSET(INDIRECT(ADDRESS(MATCH(J1588,'Vehicle numbers'!$A$5:$A$162,0),1,1,1,$L$6)),4,1,COUNTIF('Vehicle numbers'!$A$5:$A$162,J1588),4),
    MATCH(L$8,'Vehicle numbers'!$B$4:$D$4,0))*1000</f>
        <v>181584.29895774182</v>
      </c>
      <c r="M1588" s="184">
        <f>VLOOKUP(F1588,'Annual distance covered (GB)'!$A$8:$H$33,MATCH(J1588,'Annual distance covered (GB)'!$A$7:$H$7,0))</f>
        <v>5</v>
      </c>
      <c r="N1588" s="2">
        <f t="shared" ca="1" si="62"/>
        <v>14045.683274846926</v>
      </c>
      <c r="O1588" s="180">
        <f t="shared" ca="1" si="63"/>
        <v>7.7350758603394604E-2</v>
      </c>
      <c r="P1588" s="180"/>
      <c r="Q1588" s="180"/>
      <c r="R1588" s="180"/>
      <c r="S1588" s="180"/>
      <c r="T1588" s="180"/>
    </row>
    <row r="1589" spans="1:20" x14ac:dyDescent="0.25">
      <c r="A1589" t="s">
        <v>246</v>
      </c>
      <c r="B1589" t="s">
        <v>237</v>
      </c>
      <c r="C1589" t="s">
        <v>238</v>
      </c>
      <c r="D1589" t="s">
        <v>248</v>
      </c>
      <c r="E1589" t="s">
        <v>229</v>
      </c>
      <c r="F1589">
        <v>2008</v>
      </c>
      <c r="G1589">
        <v>2.1714400000000002E-3</v>
      </c>
      <c r="H1589" t="s">
        <v>240</v>
      </c>
      <c r="I1589" t="s">
        <v>241</v>
      </c>
      <c r="J1589" t="s">
        <v>242</v>
      </c>
      <c r="K1589" s="183">
        <f ca="1">VLOOKUP(F1589,
    OFFSET(INDIRECT(ADDRESS(MATCH(J1589,'Vehicle numbers'!$A$5:$A$162,0),1,1,1,$L$6)),4,1,COUNTIF('Vehicle numbers'!$A$5:$A$162,J1589),4),
    MATCH(K$8,'Vehicle numbers'!$B$4:$D$4,0))*1000</f>
        <v>175454</v>
      </c>
      <c r="L1589" s="183">
        <f ca="1">VLOOKUP(F1589,
    OFFSET(INDIRECT(ADDRESS(MATCH(J1589,'Vehicle numbers'!$A$5:$A$162,0),1,1,1,$L$6)),4,1,COUNTIF('Vehicle numbers'!$A$5:$A$162,J1589),4),
    MATCH(L$8,'Vehicle numbers'!$B$4:$D$4,0))*1000</f>
        <v>181584.29895774182</v>
      </c>
      <c r="M1589" s="184">
        <f>VLOOKUP(F1589,'Annual distance covered (GB)'!$A$8:$H$33,MATCH(J1589,'Annual distance covered (GB)'!$A$7:$H$7,0))</f>
        <v>5</v>
      </c>
      <c r="N1589" s="2">
        <f t="shared" ca="1" si="62"/>
        <v>11236.546619877543</v>
      </c>
      <c r="O1589" s="180">
        <f t="shared" ca="1" si="63"/>
        <v>6.1880606882715697E-2</v>
      </c>
      <c r="P1589" s="180"/>
      <c r="Q1589" s="180"/>
      <c r="R1589" s="180"/>
      <c r="S1589" s="180"/>
      <c r="T1589" s="180"/>
    </row>
    <row r="1590" spans="1:20" x14ac:dyDescent="0.25">
      <c r="A1590" t="s">
        <v>236</v>
      </c>
      <c r="B1590" t="s">
        <v>237</v>
      </c>
      <c r="C1590" t="s">
        <v>238</v>
      </c>
      <c r="D1590" t="s">
        <v>248</v>
      </c>
      <c r="E1590" t="s">
        <v>228</v>
      </c>
      <c r="F1590">
        <v>2008</v>
      </c>
      <c r="G1590">
        <v>1.68578987779569E-2</v>
      </c>
      <c r="H1590" t="s">
        <v>240</v>
      </c>
      <c r="I1590" t="s">
        <v>241</v>
      </c>
      <c r="J1590" t="s">
        <v>242</v>
      </c>
      <c r="K1590" s="183">
        <f ca="1">VLOOKUP(F1590,
    OFFSET(INDIRECT(ADDRESS(MATCH(J1590,'Vehicle numbers'!$A$5:$A$162,0),1,1,1,$L$6)),4,1,COUNTIF('Vehicle numbers'!$A$5:$A$162,J1590),4),
    MATCH(K$8,'Vehicle numbers'!$B$4:$D$4,0))*1000</f>
        <v>175454</v>
      </c>
      <c r="L1590" s="183">
        <f ca="1">VLOOKUP(F1590,
    OFFSET(INDIRECT(ADDRESS(MATCH(J1590,'Vehicle numbers'!$A$5:$A$162,0),1,1,1,$L$6)),4,1,COUNTIF('Vehicle numbers'!$A$5:$A$162,J1590),4),
    MATCH(L$8,'Vehicle numbers'!$B$4:$D$4,0))*1000</f>
        <v>181584.29895774182</v>
      </c>
      <c r="M1590" s="184">
        <f>VLOOKUP(F1590,'Annual distance covered (GB)'!$A$8:$H$33,MATCH(J1590,'Annual distance covered (GB)'!$A$7:$H$7,0))</f>
        <v>5</v>
      </c>
      <c r="N1590" s="2">
        <f t="shared" ca="1" si="62"/>
        <v>87234.538155182439</v>
      </c>
      <c r="O1590" s="180">
        <f t="shared" ca="1" si="63"/>
        <v>0.48040793535504744</v>
      </c>
      <c r="P1590" s="180"/>
      <c r="Q1590" s="180"/>
      <c r="R1590" s="180"/>
      <c r="S1590" s="180"/>
      <c r="T1590" s="180"/>
    </row>
    <row r="1591" spans="1:20" x14ac:dyDescent="0.25">
      <c r="A1591" t="s">
        <v>243</v>
      </c>
      <c r="B1591" t="s">
        <v>237</v>
      </c>
      <c r="C1591" t="s">
        <v>238</v>
      </c>
      <c r="D1591" t="s">
        <v>248</v>
      </c>
      <c r="E1591" t="s">
        <v>228</v>
      </c>
      <c r="F1591">
        <v>2008</v>
      </c>
      <c r="G1591">
        <v>1.1800529144569799E-2</v>
      </c>
      <c r="H1591" t="s">
        <v>240</v>
      </c>
      <c r="I1591" t="s">
        <v>241</v>
      </c>
      <c r="J1591" t="s">
        <v>242</v>
      </c>
      <c r="K1591" s="183">
        <f ca="1">VLOOKUP(F1591,
    OFFSET(INDIRECT(ADDRESS(MATCH(J1591,'Vehicle numbers'!$A$5:$A$162,0),1,1,1,$L$6)),4,1,COUNTIF('Vehicle numbers'!$A$5:$A$162,J1591),4),
    MATCH(K$8,'Vehicle numbers'!$B$4:$D$4,0))*1000</f>
        <v>175454</v>
      </c>
      <c r="L1591" s="183">
        <f ca="1">VLOOKUP(F1591,
    OFFSET(INDIRECT(ADDRESS(MATCH(J1591,'Vehicle numbers'!$A$5:$A$162,0),1,1,1,$L$6)),4,1,COUNTIF('Vehicle numbers'!$A$5:$A$162,J1591),4),
    MATCH(L$8,'Vehicle numbers'!$B$4:$D$4,0))*1000</f>
        <v>181584.29895774182</v>
      </c>
      <c r="M1591" s="184">
        <f>VLOOKUP(F1591,'Annual distance covered (GB)'!$A$8:$H$33,MATCH(J1591,'Annual distance covered (GB)'!$A$7:$H$7,0))</f>
        <v>5</v>
      </c>
      <c r="N1591" s="2">
        <f t="shared" ca="1" si="62"/>
        <v>61064.17670862755</v>
      </c>
      <c r="O1591" s="180">
        <f t="shared" ca="1" si="63"/>
        <v>0.33628555474853233</v>
      </c>
      <c r="P1591" s="180"/>
      <c r="Q1591" s="180"/>
      <c r="R1591" s="180"/>
      <c r="S1591" s="180"/>
      <c r="T1591" s="180"/>
    </row>
    <row r="1592" spans="1:20" x14ac:dyDescent="0.25">
      <c r="A1592" t="s">
        <v>244</v>
      </c>
      <c r="B1592" t="s">
        <v>237</v>
      </c>
      <c r="C1592" t="s">
        <v>238</v>
      </c>
      <c r="D1592" t="s">
        <v>248</v>
      </c>
      <c r="E1592" t="s">
        <v>228</v>
      </c>
      <c r="F1592">
        <v>2008</v>
      </c>
      <c r="G1592">
        <v>1.66204635839011E-3</v>
      </c>
      <c r="H1592" t="s">
        <v>240</v>
      </c>
      <c r="I1592" t="s">
        <v>241</v>
      </c>
      <c r="J1592" t="s">
        <v>242</v>
      </c>
      <c r="K1592" s="183">
        <f ca="1">VLOOKUP(F1592,
    OFFSET(INDIRECT(ADDRESS(MATCH(J1592,'Vehicle numbers'!$A$5:$A$162,0),1,1,1,$L$6)),4,1,COUNTIF('Vehicle numbers'!$A$5:$A$162,J1592),4),
    MATCH(K$8,'Vehicle numbers'!$B$4:$D$4,0))*1000</f>
        <v>175454</v>
      </c>
      <c r="L1592" s="183">
        <f ca="1">VLOOKUP(F1592,
    OFFSET(INDIRECT(ADDRESS(MATCH(J1592,'Vehicle numbers'!$A$5:$A$162,0),1,1,1,$L$6)),4,1,COUNTIF('Vehicle numbers'!$A$5:$A$162,J1592),4),
    MATCH(L$8,'Vehicle numbers'!$B$4:$D$4,0))*1000</f>
        <v>181584.29895774182</v>
      </c>
      <c r="M1592" s="184">
        <f>VLOOKUP(F1592,'Annual distance covered (GB)'!$A$8:$H$33,MATCH(J1592,'Annual distance covered (GB)'!$A$7:$H$7,0))</f>
        <v>5</v>
      </c>
      <c r="N1592" s="2">
        <f t="shared" ca="1" si="62"/>
        <v>8600.5882688207676</v>
      </c>
      <c r="O1592" s="180">
        <f t="shared" ca="1" si="63"/>
        <v>4.736416264063828E-2</v>
      </c>
      <c r="P1592" s="180"/>
      <c r="Q1592" s="180"/>
      <c r="R1592" s="180"/>
      <c r="S1592" s="180"/>
      <c r="T1592" s="180"/>
    </row>
    <row r="1593" spans="1:20" x14ac:dyDescent="0.25">
      <c r="A1593" t="s">
        <v>246</v>
      </c>
      <c r="B1593" t="s">
        <v>237</v>
      </c>
      <c r="C1593" t="s">
        <v>238</v>
      </c>
      <c r="D1593" t="s">
        <v>248</v>
      </c>
      <c r="E1593" t="s">
        <v>228</v>
      </c>
      <c r="F1593">
        <v>2008</v>
      </c>
      <c r="G1593">
        <v>1.32963708671209E-3</v>
      </c>
      <c r="H1593" t="s">
        <v>240</v>
      </c>
      <c r="I1593" t="s">
        <v>241</v>
      </c>
      <c r="J1593" t="s">
        <v>242</v>
      </c>
      <c r="K1593" s="183">
        <f ca="1">VLOOKUP(F1593,
    OFFSET(INDIRECT(ADDRESS(MATCH(J1593,'Vehicle numbers'!$A$5:$A$162,0),1,1,1,$L$6)),4,1,COUNTIF('Vehicle numbers'!$A$5:$A$162,J1593),4),
    MATCH(K$8,'Vehicle numbers'!$B$4:$D$4,0))*1000</f>
        <v>175454</v>
      </c>
      <c r="L1593" s="183">
        <f ca="1">VLOOKUP(F1593,
    OFFSET(INDIRECT(ADDRESS(MATCH(J1593,'Vehicle numbers'!$A$5:$A$162,0),1,1,1,$L$6)),4,1,COUNTIF('Vehicle numbers'!$A$5:$A$162,J1593),4),
    MATCH(L$8,'Vehicle numbers'!$B$4:$D$4,0))*1000</f>
        <v>181584.29895774182</v>
      </c>
      <c r="M1593" s="184">
        <f>VLOOKUP(F1593,'Annual distance covered (GB)'!$A$8:$H$33,MATCH(J1593,'Annual distance covered (GB)'!$A$7:$H$7,0))</f>
        <v>5</v>
      </c>
      <c r="N1593" s="2">
        <f t="shared" ca="1" si="62"/>
        <v>6880.4706150566253</v>
      </c>
      <c r="O1593" s="180">
        <f t="shared" ca="1" si="63"/>
        <v>3.7891330112510689E-2</v>
      </c>
      <c r="P1593" s="180"/>
      <c r="Q1593" s="180"/>
      <c r="R1593" s="180"/>
      <c r="S1593" s="180"/>
      <c r="T1593" s="180"/>
    </row>
    <row r="1594" spans="1:20" x14ac:dyDescent="0.25">
      <c r="A1594" t="s">
        <v>236</v>
      </c>
      <c r="B1594" t="s">
        <v>237</v>
      </c>
      <c r="C1594" t="s">
        <v>238</v>
      </c>
      <c r="D1594" t="s">
        <v>249</v>
      </c>
      <c r="E1594" t="s">
        <v>229</v>
      </c>
      <c r="F1594">
        <v>2008</v>
      </c>
      <c r="G1594">
        <v>5.3595000000000101E-2</v>
      </c>
      <c r="H1594" t="s">
        <v>240</v>
      </c>
      <c r="I1594" t="s">
        <v>241</v>
      </c>
      <c r="J1594" t="s">
        <v>242</v>
      </c>
      <c r="K1594" s="183">
        <f ca="1">VLOOKUP(F1594,
    OFFSET(INDIRECT(ADDRESS(MATCH(J1594,'Vehicle numbers'!$A$5:$A$162,0),1,1,1,$L$6)),4,1,COUNTIF('Vehicle numbers'!$A$5:$A$162,J1594),4),
    MATCH(K$8,'Vehicle numbers'!$B$4:$D$4,0))*1000</f>
        <v>175454</v>
      </c>
      <c r="L1594" s="183">
        <f ca="1">VLOOKUP(F1594,
    OFFSET(INDIRECT(ADDRESS(MATCH(J1594,'Vehicle numbers'!$A$5:$A$162,0),1,1,1,$L$6)),4,1,COUNTIF('Vehicle numbers'!$A$5:$A$162,J1594),4),
    MATCH(L$8,'Vehicle numbers'!$B$4:$D$4,0))*1000</f>
        <v>181584.29895774182</v>
      </c>
      <c r="M1594" s="184">
        <f>VLOOKUP(F1594,'Annual distance covered (GB)'!$A$8:$H$33,MATCH(J1594,'Annual distance covered (GB)'!$A$7:$H$7,0))</f>
        <v>5</v>
      </c>
      <c r="N1594" s="2">
        <f t="shared" ca="1" si="62"/>
        <v>277337.94905331853</v>
      </c>
      <c r="O1594" s="180">
        <f t="shared" ca="1" si="63"/>
        <v>1.5273234010053944</v>
      </c>
      <c r="P1594" s="180"/>
      <c r="Q1594" s="180"/>
      <c r="R1594" s="180"/>
      <c r="S1594" s="180"/>
      <c r="T1594" s="180"/>
    </row>
    <row r="1595" spans="1:20" x14ac:dyDescent="0.25">
      <c r="A1595" t="s">
        <v>243</v>
      </c>
      <c r="B1595" t="s">
        <v>237</v>
      </c>
      <c r="C1595" t="s">
        <v>238</v>
      </c>
      <c r="D1595" t="s">
        <v>249</v>
      </c>
      <c r="E1595" t="s">
        <v>229</v>
      </c>
      <c r="F1595">
        <v>2008</v>
      </c>
      <c r="G1595">
        <v>2.1437999999999999E-2</v>
      </c>
      <c r="H1595" t="s">
        <v>240</v>
      </c>
      <c r="I1595" t="s">
        <v>241</v>
      </c>
      <c r="J1595" t="s">
        <v>242</v>
      </c>
      <c r="K1595" s="183">
        <f ca="1">VLOOKUP(F1595,
    OFFSET(INDIRECT(ADDRESS(MATCH(J1595,'Vehicle numbers'!$A$5:$A$162,0),1,1,1,$L$6)),4,1,COUNTIF('Vehicle numbers'!$A$5:$A$162,J1595),4),
    MATCH(K$8,'Vehicle numbers'!$B$4:$D$4,0))*1000</f>
        <v>175454</v>
      </c>
      <c r="L1595" s="183">
        <f ca="1">VLOOKUP(F1595,
    OFFSET(INDIRECT(ADDRESS(MATCH(J1595,'Vehicle numbers'!$A$5:$A$162,0),1,1,1,$L$6)),4,1,COUNTIF('Vehicle numbers'!$A$5:$A$162,J1595),4),
    MATCH(L$8,'Vehicle numbers'!$B$4:$D$4,0))*1000</f>
        <v>181584.29895774182</v>
      </c>
      <c r="M1595" s="184">
        <f>VLOOKUP(F1595,'Annual distance covered (GB)'!$A$8:$H$33,MATCH(J1595,'Annual distance covered (GB)'!$A$7:$H$7,0))</f>
        <v>5</v>
      </c>
      <c r="N1595" s="2">
        <f t="shared" ca="1" si="62"/>
        <v>110935.1796213272</v>
      </c>
      <c r="O1595" s="180">
        <f t="shared" ca="1" si="63"/>
        <v>0.61092936040215662</v>
      </c>
      <c r="P1595" s="180"/>
      <c r="Q1595" s="180"/>
      <c r="R1595" s="180"/>
      <c r="S1595" s="180"/>
      <c r="T1595" s="180"/>
    </row>
    <row r="1596" spans="1:20" x14ac:dyDescent="0.25">
      <c r="A1596" t="s">
        <v>244</v>
      </c>
      <c r="B1596" t="s">
        <v>237</v>
      </c>
      <c r="C1596" t="s">
        <v>238</v>
      </c>
      <c r="D1596" t="s">
        <v>249</v>
      </c>
      <c r="E1596" t="s">
        <v>229</v>
      </c>
      <c r="F1596">
        <v>2008</v>
      </c>
      <c r="G1596">
        <v>5.3594999999999997E-3</v>
      </c>
      <c r="H1596" t="s">
        <v>240</v>
      </c>
      <c r="I1596" t="s">
        <v>241</v>
      </c>
      <c r="J1596" t="s">
        <v>242</v>
      </c>
      <c r="K1596" s="183">
        <f ca="1">VLOOKUP(F1596,
    OFFSET(INDIRECT(ADDRESS(MATCH(J1596,'Vehicle numbers'!$A$5:$A$162,0),1,1,1,$L$6)),4,1,COUNTIF('Vehicle numbers'!$A$5:$A$162,J1596),4),
    MATCH(K$8,'Vehicle numbers'!$B$4:$D$4,0))*1000</f>
        <v>175454</v>
      </c>
      <c r="L1596" s="183">
        <f ca="1">VLOOKUP(F1596,
    OFFSET(INDIRECT(ADDRESS(MATCH(J1596,'Vehicle numbers'!$A$5:$A$162,0),1,1,1,$L$6)),4,1,COUNTIF('Vehicle numbers'!$A$5:$A$162,J1596),4),
    MATCH(L$8,'Vehicle numbers'!$B$4:$D$4,0))*1000</f>
        <v>181584.29895774182</v>
      </c>
      <c r="M1596" s="184">
        <f>VLOOKUP(F1596,'Annual distance covered (GB)'!$A$8:$H$33,MATCH(J1596,'Annual distance covered (GB)'!$A$7:$H$7,0))</f>
        <v>5</v>
      </c>
      <c r="N1596" s="2">
        <f t="shared" ca="1" si="62"/>
        <v>27733.794905331801</v>
      </c>
      <c r="O1596" s="180">
        <f t="shared" ca="1" si="63"/>
        <v>0.15273234010053915</v>
      </c>
      <c r="P1596" s="180"/>
      <c r="Q1596" s="180"/>
      <c r="R1596" s="180"/>
      <c r="S1596" s="180"/>
      <c r="T1596" s="180"/>
    </row>
    <row r="1597" spans="1:20" x14ac:dyDescent="0.25">
      <c r="A1597" t="s">
        <v>246</v>
      </c>
      <c r="B1597" t="s">
        <v>237</v>
      </c>
      <c r="C1597" t="s">
        <v>238</v>
      </c>
      <c r="D1597" t="s">
        <v>249</v>
      </c>
      <c r="E1597" t="s">
        <v>229</v>
      </c>
      <c r="F1597">
        <v>2008</v>
      </c>
      <c r="G1597">
        <v>4.2875999999999999E-3</v>
      </c>
      <c r="H1597" t="s">
        <v>240</v>
      </c>
      <c r="I1597" t="s">
        <v>241</v>
      </c>
      <c r="J1597" t="s">
        <v>242</v>
      </c>
      <c r="K1597" s="183">
        <f ca="1">VLOOKUP(F1597,
    OFFSET(INDIRECT(ADDRESS(MATCH(J1597,'Vehicle numbers'!$A$5:$A$162,0),1,1,1,$L$6)),4,1,COUNTIF('Vehicle numbers'!$A$5:$A$162,J1597),4),
    MATCH(K$8,'Vehicle numbers'!$B$4:$D$4,0))*1000</f>
        <v>175454</v>
      </c>
      <c r="L1597" s="183">
        <f ca="1">VLOOKUP(F1597,
    OFFSET(INDIRECT(ADDRESS(MATCH(J1597,'Vehicle numbers'!$A$5:$A$162,0),1,1,1,$L$6)),4,1,COUNTIF('Vehicle numbers'!$A$5:$A$162,J1597),4),
    MATCH(L$8,'Vehicle numbers'!$B$4:$D$4,0))*1000</f>
        <v>181584.29895774182</v>
      </c>
      <c r="M1597" s="184">
        <f>VLOOKUP(F1597,'Annual distance covered (GB)'!$A$8:$H$33,MATCH(J1597,'Annual distance covered (GB)'!$A$7:$H$7,0))</f>
        <v>5</v>
      </c>
      <c r="N1597" s="2">
        <f t="shared" ca="1" si="62"/>
        <v>22187.035924265441</v>
      </c>
      <c r="O1597" s="180">
        <f t="shared" ca="1" si="63"/>
        <v>0.12218587208043133</v>
      </c>
      <c r="P1597" s="180"/>
      <c r="Q1597" s="180"/>
      <c r="R1597" s="180"/>
      <c r="S1597" s="180"/>
      <c r="T1597" s="180"/>
    </row>
    <row r="1598" spans="1:20" x14ac:dyDescent="0.25">
      <c r="A1598" t="s">
        <v>236</v>
      </c>
      <c r="B1598" t="s">
        <v>237</v>
      </c>
      <c r="C1598" t="s">
        <v>238</v>
      </c>
      <c r="D1598" t="s">
        <v>249</v>
      </c>
      <c r="E1598" t="s">
        <v>228</v>
      </c>
      <c r="F1598">
        <v>2008</v>
      </c>
      <c r="G1598">
        <v>2.1389294392159201E-2</v>
      </c>
      <c r="H1598" t="s">
        <v>240</v>
      </c>
      <c r="I1598" t="s">
        <v>241</v>
      </c>
      <c r="J1598" t="s">
        <v>242</v>
      </c>
      <c r="K1598" s="183">
        <f ca="1">VLOOKUP(F1598,
    OFFSET(INDIRECT(ADDRESS(MATCH(J1598,'Vehicle numbers'!$A$5:$A$162,0),1,1,1,$L$6)),4,1,COUNTIF('Vehicle numbers'!$A$5:$A$162,J1598),4),
    MATCH(K$8,'Vehicle numbers'!$B$4:$D$4,0))*1000</f>
        <v>175454</v>
      </c>
      <c r="L1598" s="183">
        <f ca="1">VLOOKUP(F1598,
    OFFSET(INDIRECT(ADDRESS(MATCH(J1598,'Vehicle numbers'!$A$5:$A$162,0),1,1,1,$L$6)),4,1,COUNTIF('Vehicle numbers'!$A$5:$A$162,J1598),4),
    MATCH(L$8,'Vehicle numbers'!$B$4:$D$4,0))*1000</f>
        <v>181584.29895774182</v>
      </c>
      <c r="M1598" s="184">
        <f>VLOOKUP(F1598,'Annual distance covered (GB)'!$A$8:$H$33,MATCH(J1598,'Annual distance covered (GB)'!$A$7:$H$7,0))</f>
        <v>5</v>
      </c>
      <c r="N1598" s="2">
        <f t="shared" ca="1" si="62"/>
        <v>110683.14280099019</v>
      </c>
      <c r="O1598" s="180">
        <f t="shared" ca="1" si="63"/>
        <v>0.60954137244403661</v>
      </c>
      <c r="P1598" s="180"/>
      <c r="Q1598" s="180"/>
      <c r="R1598" s="180"/>
      <c r="S1598" s="180"/>
      <c r="T1598" s="180"/>
    </row>
    <row r="1599" spans="1:20" x14ac:dyDescent="0.25">
      <c r="A1599" t="s">
        <v>243</v>
      </c>
      <c r="B1599" t="s">
        <v>237</v>
      </c>
      <c r="C1599" t="s">
        <v>238</v>
      </c>
      <c r="D1599" t="s">
        <v>249</v>
      </c>
      <c r="E1599" t="s">
        <v>228</v>
      </c>
      <c r="F1599">
        <v>2008</v>
      </c>
      <c r="G1599">
        <v>1.4972506074511401E-2</v>
      </c>
      <c r="H1599" t="s">
        <v>240</v>
      </c>
      <c r="I1599" t="s">
        <v>241</v>
      </c>
      <c r="J1599" t="s">
        <v>242</v>
      </c>
      <c r="K1599" s="183">
        <f ca="1">VLOOKUP(F1599,
    OFFSET(INDIRECT(ADDRESS(MATCH(J1599,'Vehicle numbers'!$A$5:$A$162,0),1,1,1,$L$6)),4,1,COUNTIF('Vehicle numbers'!$A$5:$A$162,J1599),4),
    MATCH(K$8,'Vehicle numbers'!$B$4:$D$4,0))*1000</f>
        <v>175454</v>
      </c>
      <c r="L1599" s="183">
        <f ca="1">VLOOKUP(F1599,
    OFFSET(INDIRECT(ADDRESS(MATCH(J1599,'Vehicle numbers'!$A$5:$A$162,0),1,1,1,$L$6)),4,1,COUNTIF('Vehicle numbers'!$A$5:$A$162,J1599),4),
    MATCH(L$8,'Vehicle numbers'!$B$4:$D$4,0))*1000</f>
        <v>181584.29895774182</v>
      </c>
      <c r="M1599" s="184">
        <f>VLOOKUP(F1599,'Annual distance covered (GB)'!$A$8:$H$33,MATCH(J1599,'Annual distance covered (GB)'!$A$7:$H$7,0))</f>
        <v>5</v>
      </c>
      <c r="N1599" s="2">
        <f t="shared" ca="1" si="62"/>
        <v>77478.199960692917</v>
      </c>
      <c r="O1599" s="180">
        <f t="shared" ca="1" si="63"/>
        <v>0.4266789607108244</v>
      </c>
      <c r="P1599" s="180"/>
      <c r="Q1599" s="180"/>
      <c r="R1599" s="180"/>
      <c r="S1599" s="180"/>
      <c r="T1599" s="180"/>
    </row>
    <row r="1600" spans="1:20" x14ac:dyDescent="0.25">
      <c r="A1600" t="s">
        <v>244</v>
      </c>
      <c r="B1600" t="s">
        <v>237</v>
      </c>
      <c r="C1600" t="s">
        <v>238</v>
      </c>
      <c r="D1600" t="s">
        <v>249</v>
      </c>
      <c r="E1600" t="s">
        <v>228</v>
      </c>
      <c r="F1600">
        <v>2008</v>
      </c>
      <c r="G1600">
        <v>2.1088036724663901E-3</v>
      </c>
      <c r="H1600" t="s">
        <v>240</v>
      </c>
      <c r="I1600" t="s">
        <v>241</v>
      </c>
      <c r="J1600" t="s">
        <v>242</v>
      </c>
      <c r="K1600" s="183">
        <f ca="1">VLOOKUP(F1600,
    OFFSET(INDIRECT(ADDRESS(MATCH(J1600,'Vehicle numbers'!$A$5:$A$162,0),1,1,1,$L$6)),4,1,COUNTIF('Vehicle numbers'!$A$5:$A$162,J1600),4),
    MATCH(K$8,'Vehicle numbers'!$B$4:$D$4,0))*1000</f>
        <v>175454</v>
      </c>
      <c r="L1600" s="183">
        <f ca="1">VLOOKUP(F1600,
    OFFSET(INDIRECT(ADDRESS(MATCH(J1600,'Vehicle numbers'!$A$5:$A$162,0),1,1,1,$L$6)),4,1,COUNTIF('Vehicle numbers'!$A$5:$A$162,J1600),4),
    MATCH(L$8,'Vehicle numbers'!$B$4:$D$4,0))*1000</f>
        <v>181584.29895774182</v>
      </c>
      <c r="M1600" s="184">
        <f>VLOOKUP(F1600,'Annual distance covered (GB)'!$A$8:$H$33,MATCH(J1600,'Annual distance covered (GB)'!$A$7:$H$7,0))</f>
        <v>5</v>
      </c>
      <c r="N1600" s="2">
        <f t="shared" ca="1" si="62"/>
        <v>10912.422529675039</v>
      </c>
      <c r="O1600" s="180">
        <f t="shared" ca="1" si="63"/>
        <v>6.0095628269130091E-2</v>
      </c>
      <c r="P1600" s="180"/>
      <c r="Q1600" s="180"/>
      <c r="R1600" s="180"/>
      <c r="S1600" s="180"/>
      <c r="T1600" s="180"/>
    </row>
    <row r="1601" spans="1:20" x14ac:dyDescent="0.25">
      <c r="A1601" t="s">
        <v>246</v>
      </c>
      <c r="B1601" t="s">
        <v>237</v>
      </c>
      <c r="C1601" t="s">
        <v>238</v>
      </c>
      <c r="D1601" t="s">
        <v>249</v>
      </c>
      <c r="E1601" t="s">
        <v>228</v>
      </c>
      <c r="F1601">
        <v>2008</v>
      </c>
      <c r="G1601">
        <v>1.6870429379731099E-3</v>
      </c>
      <c r="H1601" t="s">
        <v>240</v>
      </c>
      <c r="I1601" t="s">
        <v>241</v>
      </c>
      <c r="J1601" t="s">
        <v>242</v>
      </c>
      <c r="K1601" s="183">
        <f ca="1">VLOOKUP(F1601,
    OFFSET(INDIRECT(ADDRESS(MATCH(J1601,'Vehicle numbers'!$A$5:$A$162,0),1,1,1,$L$6)),4,1,COUNTIF('Vehicle numbers'!$A$5:$A$162,J1601),4),
    MATCH(K$8,'Vehicle numbers'!$B$4:$D$4,0))*1000</f>
        <v>175454</v>
      </c>
      <c r="L1601" s="183">
        <f ca="1">VLOOKUP(F1601,
    OFFSET(INDIRECT(ADDRESS(MATCH(J1601,'Vehicle numbers'!$A$5:$A$162,0),1,1,1,$L$6)),4,1,COUNTIF('Vehicle numbers'!$A$5:$A$162,J1601),4),
    MATCH(L$8,'Vehicle numbers'!$B$4:$D$4,0))*1000</f>
        <v>181584.29895774182</v>
      </c>
      <c r="M1601" s="184">
        <f>VLOOKUP(F1601,'Annual distance covered (GB)'!$A$8:$H$33,MATCH(J1601,'Annual distance covered (GB)'!$A$7:$H$7,0))</f>
        <v>5</v>
      </c>
      <c r="N1601" s="2">
        <f t="shared" ca="1" si="62"/>
        <v>8729.9380237400201</v>
      </c>
      <c r="O1601" s="180">
        <f t="shared" ca="1" si="63"/>
        <v>4.8076502615304009E-2</v>
      </c>
      <c r="P1601" s="180"/>
      <c r="Q1601" s="180"/>
      <c r="R1601" s="180"/>
      <c r="S1601" s="180"/>
      <c r="T1601" s="180"/>
    </row>
    <row r="1602" spans="1:20" x14ac:dyDescent="0.25">
      <c r="A1602" t="s">
        <v>236</v>
      </c>
      <c r="B1602" t="s">
        <v>237</v>
      </c>
      <c r="C1602" t="s">
        <v>238</v>
      </c>
      <c r="D1602" t="s">
        <v>250</v>
      </c>
      <c r="E1602" t="s">
        <v>229</v>
      </c>
      <c r="F1602">
        <v>2008</v>
      </c>
      <c r="G1602">
        <v>1.3600000000000001E-3</v>
      </c>
      <c r="H1602" t="s">
        <v>240</v>
      </c>
      <c r="I1602" t="s">
        <v>241</v>
      </c>
      <c r="J1602" t="s">
        <v>2</v>
      </c>
      <c r="K1602" s="183">
        <f ca="1">VLOOKUP(F1602,
    OFFSET(INDIRECT(ADDRESS(MATCH(J1602,'Vehicle numbers'!$A$5:$A$162,0),1,1,1,$L$6)),4,1,COUNTIF('Vehicle numbers'!$A$5:$A$162,J1602),4),
    MATCH(K$8,'Vehicle numbers'!$B$4:$D$4,0))*1000</f>
        <v>28160702</v>
      </c>
      <c r="L1602" s="183">
        <f ca="1">VLOOKUP(F1602,
    OFFSET(INDIRECT(ADDRESS(MATCH(J1602,'Vehicle numbers'!$A$5:$A$162,0),1,1,1,$L$6)),4,1,COUNTIF('Vehicle numbers'!$A$5:$A$162,J1602),4),
    MATCH(L$8,'Vehicle numbers'!$B$4:$D$4,0))*1000</f>
        <v>29026150.734002996</v>
      </c>
      <c r="M1602" s="184">
        <f>VLOOKUP(F1602,'Annual distance covered (GB)'!$A$8:$H$33,MATCH(J1602,'Annual distance covered (GB)'!$A$7:$H$7,0))</f>
        <v>395</v>
      </c>
      <c r="N1602" s="2">
        <f t="shared" ca="1" si="62"/>
        <v>553709.49823290657</v>
      </c>
      <c r="O1602" s="180">
        <f t="shared" ca="1" si="63"/>
        <v>1.9076228994575489E-2</v>
      </c>
      <c r="P1602" s="180"/>
      <c r="Q1602" s="180"/>
      <c r="R1602" s="180"/>
      <c r="S1602" s="180"/>
      <c r="T1602" s="180"/>
    </row>
    <row r="1603" spans="1:20" x14ac:dyDescent="0.25">
      <c r="A1603" t="s">
        <v>243</v>
      </c>
      <c r="B1603" t="s">
        <v>237</v>
      </c>
      <c r="C1603" t="s">
        <v>238</v>
      </c>
      <c r="D1603" t="s">
        <v>250</v>
      </c>
      <c r="E1603" t="s">
        <v>229</v>
      </c>
      <c r="F1603">
        <v>2008</v>
      </c>
      <c r="G1603">
        <v>5.44E-4</v>
      </c>
      <c r="H1603" t="s">
        <v>240</v>
      </c>
      <c r="I1603" t="s">
        <v>241</v>
      </c>
      <c r="J1603" t="s">
        <v>2</v>
      </c>
      <c r="K1603" s="183">
        <f ca="1">VLOOKUP(F1603,
    OFFSET(INDIRECT(ADDRESS(MATCH(J1603,'Vehicle numbers'!$A$5:$A$162,0),1,1,1,$L$6)),4,1,COUNTIF('Vehicle numbers'!$A$5:$A$162,J1603),4),
    MATCH(K$8,'Vehicle numbers'!$B$4:$D$4,0))*1000</f>
        <v>28160702</v>
      </c>
      <c r="L1603" s="183">
        <f ca="1">VLOOKUP(F1603,
    OFFSET(INDIRECT(ADDRESS(MATCH(J1603,'Vehicle numbers'!$A$5:$A$162,0),1,1,1,$L$6)),4,1,COUNTIF('Vehicle numbers'!$A$5:$A$162,J1603),4),
    MATCH(L$8,'Vehicle numbers'!$B$4:$D$4,0))*1000</f>
        <v>29026150.734002996</v>
      </c>
      <c r="M1603" s="184">
        <f>VLOOKUP(F1603,'Annual distance covered (GB)'!$A$8:$H$33,MATCH(J1603,'Annual distance covered (GB)'!$A$7:$H$7,0))</f>
        <v>395</v>
      </c>
      <c r="N1603" s="2">
        <f t="shared" ca="1" si="62"/>
        <v>221483.79929316265</v>
      </c>
      <c r="O1603" s="180">
        <f t="shared" ca="1" si="63"/>
        <v>7.6304915978301965E-3</v>
      </c>
      <c r="P1603" s="180"/>
      <c r="Q1603" s="180"/>
      <c r="R1603" s="180"/>
      <c r="S1603" s="180"/>
      <c r="T1603" s="180"/>
    </row>
    <row r="1604" spans="1:20" x14ac:dyDescent="0.25">
      <c r="A1604" t="s">
        <v>244</v>
      </c>
      <c r="B1604" t="s">
        <v>237</v>
      </c>
      <c r="C1604" t="s">
        <v>238</v>
      </c>
      <c r="D1604" t="s">
        <v>250</v>
      </c>
      <c r="E1604" t="s">
        <v>229</v>
      </c>
      <c r="F1604">
        <v>2008</v>
      </c>
      <c r="G1604">
        <v>1.36E-4</v>
      </c>
      <c r="H1604" t="s">
        <v>240</v>
      </c>
      <c r="I1604" t="s">
        <v>241</v>
      </c>
      <c r="J1604" t="s">
        <v>2</v>
      </c>
      <c r="K1604" s="183">
        <f ca="1">VLOOKUP(F1604,
    OFFSET(INDIRECT(ADDRESS(MATCH(J1604,'Vehicle numbers'!$A$5:$A$162,0),1,1,1,$L$6)),4,1,COUNTIF('Vehicle numbers'!$A$5:$A$162,J1604),4),
    MATCH(K$8,'Vehicle numbers'!$B$4:$D$4,0))*1000</f>
        <v>28160702</v>
      </c>
      <c r="L1604" s="183">
        <f ca="1">VLOOKUP(F1604,
    OFFSET(INDIRECT(ADDRESS(MATCH(J1604,'Vehicle numbers'!$A$5:$A$162,0),1,1,1,$L$6)),4,1,COUNTIF('Vehicle numbers'!$A$5:$A$162,J1604),4),
    MATCH(L$8,'Vehicle numbers'!$B$4:$D$4,0))*1000</f>
        <v>29026150.734002996</v>
      </c>
      <c r="M1604" s="184">
        <f>VLOOKUP(F1604,'Annual distance covered (GB)'!$A$8:$H$33,MATCH(J1604,'Annual distance covered (GB)'!$A$7:$H$7,0))</f>
        <v>395</v>
      </c>
      <c r="N1604" s="2">
        <f t="shared" ca="1" si="62"/>
        <v>55370.949823290663</v>
      </c>
      <c r="O1604" s="180">
        <f t="shared" ca="1" si="63"/>
        <v>1.9076228994575491E-3</v>
      </c>
      <c r="P1604" s="180"/>
      <c r="Q1604" s="180"/>
      <c r="R1604" s="180"/>
      <c r="S1604" s="180"/>
      <c r="T1604" s="180"/>
    </row>
    <row r="1605" spans="1:20" x14ac:dyDescent="0.25">
      <c r="A1605" t="s">
        <v>246</v>
      </c>
      <c r="B1605" t="s">
        <v>237</v>
      </c>
      <c r="C1605" t="s">
        <v>238</v>
      </c>
      <c r="D1605" t="s">
        <v>250</v>
      </c>
      <c r="E1605" t="s">
        <v>229</v>
      </c>
      <c r="F1605">
        <v>2008</v>
      </c>
      <c r="G1605">
        <v>1.088E-4</v>
      </c>
      <c r="H1605" t="s">
        <v>240</v>
      </c>
      <c r="I1605" t="s">
        <v>241</v>
      </c>
      <c r="J1605" t="s">
        <v>2</v>
      </c>
      <c r="K1605" s="183">
        <f ca="1">VLOOKUP(F1605,
    OFFSET(INDIRECT(ADDRESS(MATCH(J1605,'Vehicle numbers'!$A$5:$A$162,0),1,1,1,$L$6)),4,1,COUNTIF('Vehicle numbers'!$A$5:$A$162,J1605),4),
    MATCH(K$8,'Vehicle numbers'!$B$4:$D$4,0))*1000</f>
        <v>28160702</v>
      </c>
      <c r="L1605" s="183">
        <f ca="1">VLOOKUP(F1605,
    OFFSET(INDIRECT(ADDRESS(MATCH(J1605,'Vehicle numbers'!$A$5:$A$162,0),1,1,1,$L$6)),4,1,COUNTIF('Vehicle numbers'!$A$5:$A$162,J1605),4),
    MATCH(L$8,'Vehicle numbers'!$B$4:$D$4,0))*1000</f>
        <v>29026150.734002996</v>
      </c>
      <c r="M1605" s="184">
        <f>VLOOKUP(F1605,'Annual distance covered (GB)'!$A$8:$H$33,MATCH(J1605,'Annual distance covered (GB)'!$A$7:$H$7,0))</f>
        <v>395</v>
      </c>
      <c r="N1605" s="2">
        <f t="shared" ca="1" si="62"/>
        <v>44296.759858632526</v>
      </c>
      <c r="O1605" s="180">
        <f t="shared" ca="1" si="63"/>
        <v>1.526098319566039E-3</v>
      </c>
      <c r="P1605" s="180"/>
      <c r="Q1605" s="180"/>
      <c r="R1605" s="180"/>
      <c r="S1605" s="180"/>
      <c r="T1605" s="180"/>
    </row>
    <row r="1606" spans="1:20" x14ac:dyDescent="0.25">
      <c r="A1606" t="s">
        <v>236</v>
      </c>
      <c r="B1606" t="s">
        <v>237</v>
      </c>
      <c r="C1606" t="s">
        <v>238</v>
      </c>
      <c r="D1606" t="s">
        <v>250</v>
      </c>
      <c r="E1606" t="s">
        <v>228</v>
      </c>
      <c r="F1606">
        <v>2008</v>
      </c>
      <c r="G1606">
        <v>5.7910000000000001E-3</v>
      </c>
      <c r="H1606" t="s">
        <v>240</v>
      </c>
      <c r="I1606" t="s">
        <v>241</v>
      </c>
      <c r="J1606" t="s">
        <v>2</v>
      </c>
      <c r="K1606" s="183">
        <f ca="1">VLOOKUP(F1606,
    OFFSET(INDIRECT(ADDRESS(MATCH(J1606,'Vehicle numbers'!$A$5:$A$162,0),1,1,1,$L$6)),4,1,COUNTIF('Vehicle numbers'!$A$5:$A$162,J1606),4),
    MATCH(K$8,'Vehicle numbers'!$B$4:$D$4,0))*1000</f>
        <v>28160702</v>
      </c>
      <c r="L1606" s="183">
        <f ca="1">VLOOKUP(F1606,
    OFFSET(INDIRECT(ADDRESS(MATCH(J1606,'Vehicle numbers'!$A$5:$A$162,0),1,1,1,$L$6)),4,1,COUNTIF('Vehicle numbers'!$A$5:$A$162,J1606),4),
    MATCH(L$8,'Vehicle numbers'!$B$4:$D$4,0))*1000</f>
        <v>29026150.734002996</v>
      </c>
      <c r="M1606" s="184">
        <f>VLOOKUP(F1606,'Annual distance covered (GB)'!$A$8:$H$33,MATCH(J1606,'Annual distance covered (GB)'!$A$7:$H$7,0))</f>
        <v>395</v>
      </c>
      <c r="N1606" s="2">
        <f t="shared" ca="1" si="62"/>
        <v>2357743.9001961485</v>
      </c>
      <c r="O1606" s="180">
        <f t="shared" ca="1" si="63"/>
        <v>8.1228266255578427E-2</v>
      </c>
      <c r="P1606" s="180"/>
      <c r="Q1606" s="180"/>
      <c r="R1606" s="180"/>
      <c r="S1606" s="180"/>
      <c r="T1606" s="180"/>
    </row>
    <row r="1607" spans="1:20" x14ac:dyDescent="0.25">
      <c r="A1607" t="s">
        <v>243</v>
      </c>
      <c r="B1607" t="s">
        <v>237</v>
      </c>
      <c r="C1607" t="s">
        <v>238</v>
      </c>
      <c r="D1607" t="s">
        <v>250</v>
      </c>
      <c r="E1607" t="s">
        <v>228</v>
      </c>
      <c r="F1607">
        <v>2008</v>
      </c>
      <c r="G1607">
        <v>4.0537000000000004E-3</v>
      </c>
      <c r="H1607" t="s">
        <v>240</v>
      </c>
      <c r="I1607" t="s">
        <v>241</v>
      </c>
      <c r="J1607" t="s">
        <v>2</v>
      </c>
      <c r="K1607" s="183">
        <f ca="1">VLOOKUP(F1607,
    OFFSET(INDIRECT(ADDRESS(MATCH(J1607,'Vehicle numbers'!$A$5:$A$162,0),1,1,1,$L$6)),4,1,COUNTIF('Vehicle numbers'!$A$5:$A$162,J1607),4),
    MATCH(K$8,'Vehicle numbers'!$B$4:$D$4,0))*1000</f>
        <v>28160702</v>
      </c>
      <c r="L1607" s="183">
        <f ca="1">VLOOKUP(F1607,
    OFFSET(INDIRECT(ADDRESS(MATCH(J1607,'Vehicle numbers'!$A$5:$A$162,0),1,1,1,$L$6)),4,1,COUNTIF('Vehicle numbers'!$A$5:$A$162,J1607),4),
    MATCH(L$8,'Vehicle numbers'!$B$4:$D$4,0))*1000</f>
        <v>29026150.734002996</v>
      </c>
      <c r="M1607" s="184">
        <f>VLOOKUP(F1607,'Annual distance covered (GB)'!$A$8:$H$33,MATCH(J1607,'Annual distance covered (GB)'!$A$7:$H$7,0))</f>
        <v>395</v>
      </c>
      <c r="N1607" s="2">
        <f t="shared" ca="1" si="62"/>
        <v>1650420.7301373044</v>
      </c>
      <c r="O1607" s="180">
        <f t="shared" ca="1" si="63"/>
        <v>5.685978637890491E-2</v>
      </c>
      <c r="P1607" s="180"/>
      <c r="Q1607" s="180"/>
      <c r="R1607" s="180"/>
      <c r="S1607" s="180"/>
      <c r="T1607" s="180"/>
    </row>
    <row r="1608" spans="1:20" x14ac:dyDescent="0.25">
      <c r="A1608" t="s">
        <v>244</v>
      </c>
      <c r="B1608" t="s">
        <v>237</v>
      </c>
      <c r="C1608" t="s">
        <v>238</v>
      </c>
      <c r="D1608" t="s">
        <v>250</v>
      </c>
      <c r="E1608" t="s">
        <v>228</v>
      </c>
      <c r="F1608">
        <v>2008</v>
      </c>
      <c r="G1608">
        <v>5.7094366197182997E-4</v>
      </c>
      <c r="H1608" t="s">
        <v>240</v>
      </c>
      <c r="I1608" t="s">
        <v>241</v>
      </c>
      <c r="J1608" t="s">
        <v>2</v>
      </c>
      <c r="K1608" s="183">
        <f ca="1">VLOOKUP(F1608,
    OFFSET(INDIRECT(ADDRESS(MATCH(J1608,'Vehicle numbers'!$A$5:$A$162,0),1,1,1,$L$6)),4,1,COUNTIF('Vehicle numbers'!$A$5:$A$162,J1608),4),
    MATCH(K$8,'Vehicle numbers'!$B$4:$D$4,0))*1000</f>
        <v>28160702</v>
      </c>
      <c r="L1608" s="183">
        <f ca="1">VLOOKUP(F1608,
    OFFSET(INDIRECT(ADDRESS(MATCH(J1608,'Vehicle numbers'!$A$5:$A$162,0),1,1,1,$L$6)),4,1,COUNTIF('Vehicle numbers'!$A$5:$A$162,J1608),4),
    MATCH(L$8,'Vehicle numbers'!$B$4:$D$4,0))*1000</f>
        <v>29026150.734002996</v>
      </c>
      <c r="M1608" s="184">
        <f>VLOOKUP(F1608,'Annual distance covered (GB)'!$A$8:$H$33,MATCH(J1608,'Annual distance covered (GB)'!$A$7:$H$7,0))</f>
        <v>395</v>
      </c>
      <c r="N1608" s="2">
        <f t="shared" ca="1" si="62"/>
        <v>232453.62396300017</v>
      </c>
      <c r="O1608" s="180">
        <f t="shared" ca="1" si="63"/>
        <v>8.0084206167471556E-3</v>
      </c>
      <c r="P1608" s="180"/>
      <c r="Q1608" s="180"/>
      <c r="R1608" s="180"/>
      <c r="S1608" s="180"/>
      <c r="T1608" s="180"/>
    </row>
    <row r="1609" spans="1:20" x14ac:dyDescent="0.25">
      <c r="A1609" t="s">
        <v>246</v>
      </c>
      <c r="B1609" t="s">
        <v>237</v>
      </c>
      <c r="C1609" t="s">
        <v>238</v>
      </c>
      <c r="D1609" t="s">
        <v>250</v>
      </c>
      <c r="E1609" t="s">
        <v>228</v>
      </c>
      <c r="F1609">
        <v>2008</v>
      </c>
      <c r="G1609">
        <v>4.5675492957746402E-4</v>
      </c>
      <c r="H1609" t="s">
        <v>240</v>
      </c>
      <c r="I1609" t="s">
        <v>241</v>
      </c>
      <c r="J1609" t="s">
        <v>2</v>
      </c>
      <c r="K1609" s="183">
        <f ca="1">VLOOKUP(F1609,
    OFFSET(INDIRECT(ADDRESS(MATCH(J1609,'Vehicle numbers'!$A$5:$A$162,0),1,1,1,$L$6)),4,1,COUNTIF('Vehicle numbers'!$A$5:$A$162,J1609),4),
    MATCH(K$8,'Vehicle numbers'!$B$4:$D$4,0))*1000</f>
        <v>28160702</v>
      </c>
      <c r="L1609" s="183">
        <f ca="1">VLOOKUP(F1609,
    OFFSET(INDIRECT(ADDRESS(MATCH(J1609,'Vehicle numbers'!$A$5:$A$162,0),1,1,1,$L$6)),4,1,COUNTIF('Vehicle numbers'!$A$5:$A$162,J1609),4),
    MATCH(L$8,'Vehicle numbers'!$B$4:$D$4,0))*1000</f>
        <v>29026150.734002996</v>
      </c>
      <c r="M1609" s="184">
        <f>VLOOKUP(F1609,'Annual distance covered (GB)'!$A$8:$H$33,MATCH(J1609,'Annual distance covered (GB)'!$A$7:$H$7,0))</f>
        <v>395</v>
      </c>
      <c r="N1609" s="2">
        <f t="shared" ca="1" si="62"/>
        <v>185962.89917040014</v>
      </c>
      <c r="O1609" s="180">
        <f t="shared" ca="1" si="63"/>
        <v>6.4067364933977243E-3</v>
      </c>
      <c r="P1609" s="180"/>
      <c r="Q1609" s="180"/>
      <c r="R1609" s="180"/>
      <c r="S1609" s="180"/>
      <c r="T1609" s="180"/>
    </row>
    <row r="1610" spans="1:20" x14ac:dyDescent="0.25">
      <c r="A1610" t="s">
        <v>236</v>
      </c>
      <c r="B1610" t="s">
        <v>237</v>
      </c>
      <c r="C1610" t="s">
        <v>238</v>
      </c>
      <c r="D1610" t="s">
        <v>255</v>
      </c>
      <c r="E1610" t="s">
        <v>229</v>
      </c>
      <c r="F1610">
        <v>2008</v>
      </c>
      <c r="G1610">
        <v>5.5269999999999903E-3</v>
      </c>
      <c r="H1610" t="s">
        <v>240</v>
      </c>
      <c r="I1610" t="s">
        <v>241</v>
      </c>
      <c r="J1610" t="s">
        <v>2</v>
      </c>
      <c r="K1610" s="183">
        <f ca="1">VLOOKUP(F1610,
    OFFSET(INDIRECT(ADDRESS(MATCH(J1610,'Vehicle numbers'!$A$5:$A$162,0),1,1,1,$L$6)),4,1,COUNTIF('Vehicle numbers'!$A$5:$A$162,J1610),4),
    MATCH(K$8,'Vehicle numbers'!$B$4:$D$4,0))*1000</f>
        <v>28160702</v>
      </c>
      <c r="L1610" s="183">
        <f ca="1">VLOOKUP(F1610,
    OFFSET(INDIRECT(ADDRESS(MATCH(J1610,'Vehicle numbers'!$A$5:$A$162,0),1,1,1,$L$6)),4,1,COUNTIF('Vehicle numbers'!$A$5:$A$162,J1610),4),
    MATCH(L$8,'Vehicle numbers'!$B$4:$D$4,0))*1000</f>
        <v>29026150.734002996</v>
      </c>
      <c r="M1610" s="184">
        <f>VLOOKUP(F1610,'Annual distance covered (GB)'!$A$8:$H$33,MATCH(J1610,'Annual distance covered (GB)'!$A$7:$H$7,0))</f>
        <v>395</v>
      </c>
      <c r="N1610" s="2">
        <f t="shared" ca="1" si="62"/>
        <v>2250259.1152450512</v>
      </c>
      <c r="O1610" s="180">
        <f t="shared" ca="1" si="63"/>
        <v>7.7525233568395996E-2</v>
      </c>
      <c r="P1610" s="180"/>
      <c r="Q1610" s="180"/>
      <c r="R1610" s="180"/>
      <c r="S1610" s="180"/>
      <c r="T1610" s="180"/>
    </row>
    <row r="1611" spans="1:20" x14ac:dyDescent="0.25">
      <c r="A1611" t="s">
        <v>243</v>
      </c>
      <c r="B1611" t="s">
        <v>237</v>
      </c>
      <c r="C1611" t="s">
        <v>238</v>
      </c>
      <c r="D1611" t="s">
        <v>255</v>
      </c>
      <c r="E1611" t="s">
        <v>229</v>
      </c>
      <c r="F1611">
        <v>2008</v>
      </c>
      <c r="G1611">
        <v>2.2108000000000002E-3</v>
      </c>
      <c r="H1611" t="s">
        <v>240</v>
      </c>
      <c r="I1611" t="s">
        <v>241</v>
      </c>
      <c r="J1611" t="s">
        <v>2</v>
      </c>
      <c r="K1611" s="183">
        <f ca="1">VLOOKUP(F1611,
    OFFSET(INDIRECT(ADDRESS(MATCH(J1611,'Vehicle numbers'!$A$5:$A$162,0),1,1,1,$L$6)),4,1,COUNTIF('Vehicle numbers'!$A$5:$A$162,J1611),4),
    MATCH(K$8,'Vehicle numbers'!$B$4:$D$4,0))*1000</f>
        <v>28160702</v>
      </c>
      <c r="L1611" s="183">
        <f ca="1">VLOOKUP(F1611,
    OFFSET(INDIRECT(ADDRESS(MATCH(J1611,'Vehicle numbers'!$A$5:$A$162,0),1,1,1,$L$6)),4,1,COUNTIF('Vehicle numbers'!$A$5:$A$162,J1611),4),
    MATCH(L$8,'Vehicle numbers'!$B$4:$D$4,0))*1000</f>
        <v>29026150.734002996</v>
      </c>
      <c r="M1611" s="184">
        <f>VLOOKUP(F1611,'Annual distance covered (GB)'!$A$8:$H$33,MATCH(J1611,'Annual distance covered (GB)'!$A$7:$H$7,0))</f>
        <v>395</v>
      </c>
      <c r="N1611" s="2">
        <f t="shared" ref="N1611:N1674" ca="1" si="64">M1611*G1611*1000000*(L1611/K1611)</f>
        <v>900103.64609802212</v>
      </c>
      <c r="O1611" s="180">
        <f t="shared" ref="O1611:O1674" ca="1" si="65">N1611/L1611</f>
        <v>3.1010093427358457E-2</v>
      </c>
      <c r="P1611" s="180"/>
      <c r="Q1611" s="180"/>
      <c r="R1611" s="180"/>
      <c r="S1611" s="180"/>
      <c r="T1611" s="180"/>
    </row>
    <row r="1612" spans="1:20" x14ac:dyDescent="0.25">
      <c r="A1612" t="s">
        <v>244</v>
      </c>
      <c r="B1612" t="s">
        <v>237</v>
      </c>
      <c r="C1612" t="s">
        <v>238</v>
      </c>
      <c r="D1612" t="s">
        <v>255</v>
      </c>
      <c r="E1612" t="s">
        <v>229</v>
      </c>
      <c r="F1612">
        <v>2008</v>
      </c>
      <c r="G1612">
        <v>5.5270000000000004E-4</v>
      </c>
      <c r="H1612" t="s">
        <v>240</v>
      </c>
      <c r="I1612" t="s">
        <v>241</v>
      </c>
      <c r="J1612" t="s">
        <v>2</v>
      </c>
      <c r="K1612" s="183">
        <f ca="1">VLOOKUP(F1612,
    OFFSET(INDIRECT(ADDRESS(MATCH(J1612,'Vehicle numbers'!$A$5:$A$162,0),1,1,1,$L$6)),4,1,COUNTIF('Vehicle numbers'!$A$5:$A$162,J1612),4),
    MATCH(K$8,'Vehicle numbers'!$B$4:$D$4,0))*1000</f>
        <v>28160702</v>
      </c>
      <c r="L1612" s="183">
        <f ca="1">VLOOKUP(F1612,
    OFFSET(INDIRECT(ADDRESS(MATCH(J1612,'Vehicle numbers'!$A$5:$A$162,0),1,1,1,$L$6)),4,1,COUNTIF('Vehicle numbers'!$A$5:$A$162,J1612),4),
    MATCH(L$8,'Vehicle numbers'!$B$4:$D$4,0))*1000</f>
        <v>29026150.734002996</v>
      </c>
      <c r="M1612" s="184">
        <f>VLOOKUP(F1612,'Annual distance covered (GB)'!$A$8:$H$33,MATCH(J1612,'Annual distance covered (GB)'!$A$7:$H$7,0))</f>
        <v>395</v>
      </c>
      <c r="N1612" s="2">
        <f t="shared" ca="1" si="64"/>
        <v>225025.91152450553</v>
      </c>
      <c r="O1612" s="180">
        <f t="shared" ca="1" si="65"/>
        <v>7.7525233568396142E-3</v>
      </c>
      <c r="P1612" s="180"/>
      <c r="Q1612" s="180"/>
      <c r="R1612" s="180"/>
      <c r="S1612" s="180"/>
      <c r="T1612" s="180"/>
    </row>
    <row r="1613" spans="1:20" x14ac:dyDescent="0.25">
      <c r="A1613" t="s">
        <v>246</v>
      </c>
      <c r="B1613" t="s">
        <v>237</v>
      </c>
      <c r="C1613" t="s">
        <v>238</v>
      </c>
      <c r="D1613" t="s">
        <v>255</v>
      </c>
      <c r="E1613" t="s">
        <v>229</v>
      </c>
      <c r="F1613">
        <v>2008</v>
      </c>
      <c r="G1613">
        <v>4.4215999999999998E-4</v>
      </c>
      <c r="H1613" t="s">
        <v>240</v>
      </c>
      <c r="I1613" t="s">
        <v>241</v>
      </c>
      <c r="J1613" t="s">
        <v>2</v>
      </c>
      <c r="K1613" s="183">
        <f ca="1">VLOOKUP(F1613,
    OFFSET(INDIRECT(ADDRESS(MATCH(J1613,'Vehicle numbers'!$A$5:$A$162,0),1,1,1,$L$6)),4,1,COUNTIF('Vehicle numbers'!$A$5:$A$162,J1613),4),
    MATCH(K$8,'Vehicle numbers'!$B$4:$D$4,0))*1000</f>
        <v>28160702</v>
      </c>
      <c r="L1613" s="183">
        <f ca="1">VLOOKUP(F1613,
    OFFSET(INDIRECT(ADDRESS(MATCH(J1613,'Vehicle numbers'!$A$5:$A$162,0),1,1,1,$L$6)),4,1,COUNTIF('Vehicle numbers'!$A$5:$A$162,J1613),4),
    MATCH(L$8,'Vehicle numbers'!$B$4:$D$4,0))*1000</f>
        <v>29026150.734002996</v>
      </c>
      <c r="M1613" s="184">
        <f>VLOOKUP(F1613,'Annual distance covered (GB)'!$A$8:$H$33,MATCH(J1613,'Annual distance covered (GB)'!$A$7:$H$7,0))</f>
        <v>395</v>
      </c>
      <c r="N1613" s="2">
        <f t="shared" ca="1" si="64"/>
        <v>180020.72921960437</v>
      </c>
      <c r="O1613" s="180">
        <f t="shared" ca="1" si="65"/>
        <v>6.2020186854716891E-3</v>
      </c>
      <c r="P1613" s="180"/>
      <c r="Q1613" s="180"/>
      <c r="R1613" s="180"/>
      <c r="S1613" s="180"/>
      <c r="T1613" s="180"/>
    </row>
    <row r="1614" spans="1:20" x14ac:dyDescent="0.25">
      <c r="A1614" t="s">
        <v>236</v>
      </c>
      <c r="B1614" t="s">
        <v>237</v>
      </c>
      <c r="C1614" t="s">
        <v>238</v>
      </c>
      <c r="D1614" t="s">
        <v>255</v>
      </c>
      <c r="E1614" t="s">
        <v>228</v>
      </c>
      <c r="F1614">
        <v>2008</v>
      </c>
      <c r="G1614">
        <v>6.7999999999999901E-3</v>
      </c>
      <c r="H1614" t="s">
        <v>240</v>
      </c>
      <c r="I1614" t="s">
        <v>241</v>
      </c>
      <c r="J1614" t="s">
        <v>2</v>
      </c>
      <c r="K1614" s="183">
        <f ca="1">VLOOKUP(F1614,
    OFFSET(INDIRECT(ADDRESS(MATCH(J1614,'Vehicle numbers'!$A$5:$A$162,0),1,1,1,$L$6)),4,1,COUNTIF('Vehicle numbers'!$A$5:$A$162,J1614),4),
    MATCH(K$8,'Vehicle numbers'!$B$4:$D$4,0))*1000</f>
        <v>28160702</v>
      </c>
      <c r="L1614" s="183">
        <f ca="1">VLOOKUP(F1614,
    OFFSET(INDIRECT(ADDRESS(MATCH(J1614,'Vehicle numbers'!$A$5:$A$162,0),1,1,1,$L$6)),4,1,COUNTIF('Vehicle numbers'!$A$5:$A$162,J1614),4),
    MATCH(L$8,'Vehicle numbers'!$B$4:$D$4,0))*1000</f>
        <v>29026150.734002996</v>
      </c>
      <c r="M1614" s="184">
        <f>VLOOKUP(F1614,'Annual distance covered (GB)'!$A$8:$H$33,MATCH(J1614,'Annual distance covered (GB)'!$A$7:$H$7,0))</f>
        <v>395</v>
      </c>
      <c r="N1614" s="2">
        <f t="shared" ca="1" si="64"/>
        <v>2768547.4911645288</v>
      </c>
      <c r="O1614" s="180">
        <f t="shared" ca="1" si="65"/>
        <v>9.5381144972877308E-2</v>
      </c>
      <c r="P1614" s="180"/>
      <c r="Q1614" s="180"/>
      <c r="R1614" s="180"/>
      <c r="S1614" s="180"/>
      <c r="T1614" s="180"/>
    </row>
    <row r="1615" spans="1:20" x14ac:dyDescent="0.25">
      <c r="A1615" t="s">
        <v>243</v>
      </c>
      <c r="B1615" t="s">
        <v>237</v>
      </c>
      <c r="C1615" t="s">
        <v>238</v>
      </c>
      <c r="D1615" t="s">
        <v>255</v>
      </c>
      <c r="E1615" t="s">
        <v>228</v>
      </c>
      <c r="F1615">
        <v>2008</v>
      </c>
      <c r="G1615">
        <v>4.7599999999999899E-3</v>
      </c>
      <c r="H1615" t="s">
        <v>240</v>
      </c>
      <c r="I1615" t="s">
        <v>241</v>
      </c>
      <c r="J1615" t="s">
        <v>2</v>
      </c>
      <c r="K1615" s="183">
        <f ca="1">VLOOKUP(F1615,
    OFFSET(INDIRECT(ADDRESS(MATCH(J1615,'Vehicle numbers'!$A$5:$A$162,0),1,1,1,$L$6)),4,1,COUNTIF('Vehicle numbers'!$A$5:$A$162,J1615),4),
    MATCH(K$8,'Vehicle numbers'!$B$4:$D$4,0))*1000</f>
        <v>28160702</v>
      </c>
      <c r="L1615" s="183">
        <f ca="1">VLOOKUP(F1615,
    OFFSET(INDIRECT(ADDRESS(MATCH(J1615,'Vehicle numbers'!$A$5:$A$162,0),1,1,1,$L$6)),4,1,COUNTIF('Vehicle numbers'!$A$5:$A$162,J1615),4),
    MATCH(L$8,'Vehicle numbers'!$B$4:$D$4,0))*1000</f>
        <v>29026150.734002996</v>
      </c>
      <c r="M1615" s="184">
        <f>VLOOKUP(F1615,'Annual distance covered (GB)'!$A$8:$H$33,MATCH(J1615,'Annual distance covered (GB)'!$A$7:$H$7,0))</f>
        <v>395</v>
      </c>
      <c r="N1615" s="2">
        <f t="shared" ca="1" si="64"/>
        <v>1937983.243815169</v>
      </c>
      <c r="O1615" s="180">
        <f t="shared" ca="1" si="65"/>
        <v>6.6766801481014076E-2</v>
      </c>
      <c r="P1615" s="180"/>
      <c r="Q1615" s="180"/>
      <c r="R1615" s="180"/>
      <c r="S1615" s="180"/>
      <c r="T1615" s="180"/>
    </row>
    <row r="1616" spans="1:20" x14ac:dyDescent="0.25">
      <c r="A1616" t="s">
        <v>244</v>
      </c>
      <c r="B1616" t="s">
        <v>237</v>
      </c>
      <c r="C1616" t="s">
        <v>238</v>
      </c>
      <c r="D1616" t="s">
        <v>255</v>
      </c>
      <c r="E1616" t="s">
        <v>228</v>
      </c>
      <c r="F1616">
        <v>2008</v>
      </c>
      <c r="G1616">
        <v>6.7042253521126501E-4</v>
      </c>
      <c r="H1616" t="s">
        <v>240</v>
      </c>
      <c r="I1616" t="s">
        <v>241</v>
      </c>
      <c r="J1616" t="s">
        <v>2</v>
      </c>
      <c r="K1616" s="183">
        <f ca="1">VLOOKUP(F1616,
    OFFSET(INDIRECT(ADDRESS(MATCH(J1616,'Vehicle numbers'!$A$5:$A$162,0),1,1,1,$L$6)),4,1,COUNTIF('Vehicle numbers'!$A$5:$A$162,J1616),4),
    MATCH(K$8,'Vehicle numbers'!$B$4:$D$4,0))*1000</f>
        <v>28160702</v>
      </c>
      <c r="L1616" s="183">
        <f ca="1">VLOOKUP(F1616,
    OFFSET(INDIRECT(ADDRESS(MATCH(J1616,'Vehicle numbers'!$A$5:$A$162,0),1,1,1,$L$6)),4,1,COUNTIF('Vehicle numbers'!$A$5:$A$162,J1616),4),
    MATCH(L$8,'Vehicle numbers'!$B$4:$D$4,0))*1000</f>
        <v>29026150.734002996</v>
      </c>
      <c r="M1616" s="184">
        <f>VLOOKUP(F1616,'Annual distance covered (GB)'!$A$8:$H$33,MATCH(J1616,'Annual distance covered (GB)'!$A$7:$H$7,0))</f>
        <v>395</v>
      </c>
      <c r="N1616" s="2">
        <f t="shared" ca="1" si="64"/>
        <v>272955.38645284018</v>
      </c>
      <c r="O1616" s="180">
        <f t="shared" ca="1" si="65"/>
        <v>9.4037748564808378E-3</v>
      </c>
      <c r="P1616" s="180"/>
      <c r="Q1616" s="180"/>
      <c r="R1616" s="180"/>
      <c r="S1616" s="180"/>
      <c r="T1616" s="180"/>
    </row>
    <row r="1617" spans="1:20" x14ac:dyDescent="0.25">
      <c r="A1617" t="s">
        <v>246</v>
      </c>
      <c r="B1617" t="s">
        <v>237</v>
      </c>
      <c r="C1617" t="s">
        <v>238</v>
      </c>
      <c r="D1617" t="s">
        <v>255</v>
      </c>
      <c r="E1617" t="s">
        <v>228</v>
      </c>
      <c r="F1617">
        <v>2008</v>
      </c>
      <c r="G1617">
        <v>5.3633802816901196E-4</v>
      </c>
      <c r="H1617" t="s">
        <v>240</v>
      </c>
      <c r="I1617" t="s">
        <v>241</v>
      </c>
      <c r="J1617" t="s">
        <v>2</v>
      </c>
      <c r="K1617" s="183">
        <f ca="1">VLOOKUP(F1617,
    OFFSET(INDIRECT(ADDRESS(MATCH(J1617,'Vehicle numbers'!$A$5:$A$162,0),1,1,1,$L$6)),4,1,COUNTIF('Vehicle numbers'!$A$5:$A$162,J1617),4),
    MATCH(K$8,'Vehicle numbers'!$B$4:$D$4,0))*1000</f>
        <v>28160702</v>
      </c>
      <c r="L1617" s="183">
        <f ca="1">VLOOKUP(F1617,
    OFFSET(INDIRECT(ADDRESS(MATCH(J1617,'Vehicle numbers'!$A$5:$A$162,0),1,1,1,$L$6)),4,1,COUNTIF('Vehicle numbers'!$A$5:$A$162,J1617),4),
    MATCH(L$8,'Vehicle numbers'!$B$4:$D$4,0))*1000</f>
        <v>29026150.734002996</v>
      </c>
      <c r="M1617" s="184">
        <f>VLOOKUP(F1617,'Annual distance covered (GB)'!$A$8:$H$33,MATCH(J1617,'Annual distance covered (GB)'!$A$7:$H$7,0))</f>
        <v>395</v>
      </c>
      <c r="N1617" s="2">
        <f t="shared" ca="1" si="64"/>
        <v>218364.30916227217</v>
      </c>
      <c r="O1617" s="180">
        <f t="shared" ca="1" si="65"/>
        <v>7.5230198851846709E-3</v>
      </c>
      <c r="P1617" s="180"/>
      <c r="Q1617" s="180"/>
      <c r="R1617" s="180"/>
      <c r="S1617" s="180"/>
      <c r="T1617" s="180"/>
    </row>
    <row r="1618" spans="1:20" x14ac:dyDescent="0.25">
      <c r="A1618" t="s">
        <v>236</v>
      </c>
      <c r="B1618" t="s">
        <v>237</v>
      </c>
      <c r="C1618" t="s">
        <v>238</v>
      </c>
      <c r="D1618" t="s">
        <v>256</v>
      </c>
      <c r="E1618" t="s">
        <v>229</v>
      </c>
      <c r="F1618">
        <v>2008</v>
      </c>
      <c r="G1618">
        <v>1.1724578097228501E-2</v>
      </c>
      <c r="H1618" t="s">
        <v>240</v>
      </c>
      <c r="I1618" t="s">
        <v>241</v>
      </c>
      <c r="J1618" t="s">
        <v>2</v>
      </c>
      <c r="K1618" s="183">
        <f ca="1">VLOOKUP(F1618,
    OFFSET(INDIRECT(ADDRESS(MATCH(J1618,'Vehicle numbers'!$A$5:$A$162,0),1,1,1,$L$6)),4,1,COUNTIF('Vehicle numbers'!$A$5:$A$162,J1618),4),
    MATCH(K$8,'Vehicle numbers'!$B$4:$D$4,0))*1000</f>
        <v>28160702</v>
      </c>
      <c r="L1618" s="183">
        <f ca="1">VLOOKUP(F1618,
    OFFSET(INDIRECT(ADDRESS(MATCH(J1618,'Vehicle numbers'!$A$5:$A$162,0),1,1,1,$L$6)),4,1,COUNTIF('Vehicle numbers'!$A$5:$A$162,J1618),4),
    MATCH(L$8,'Vehicle numbers'!$B$4:$D$4,0))*1000</f>
        <v>29026150.734002996</v>
      </c>
      <c r="M1618" s="184">
        <f>VLOOKUP(F1618,'Annual distance covered (GB)'!$A$8:$H$33,MATCH(J1618,'Annual distance covered (GB)'!$A$7:$H$7,0))</f>
        <v>395</v>
      </c>
      <c r="N1618" s="2">
        <f t="shared" ca="1" si="64"/>
        <v>4773536.9523595003</v>
      </c>
      <c r="O1618" s="180">
        <f t="shared" ca="1" si="65"/>
        <v>0.16445642400552579</v>
      </c>
      <c r="P1618" s="180"/>
      <c r="Q1618" s="180"/>
      <c r="R1618" s="180"/>
      <c r="S1618" s="180"/>
      <c r="T1618" s="180"/>
    </row>
    <row r="1619" spans="1:20" x14ac:dyDescent="0.25">
      <c r="A1619" t="s">
        <v>243</v>
      </c>
      <c r="B1619" t="s">
        <v>237</v>
      </c>
      <c r="C1619" t="s">
        <v>238</v>
      </c>
      <c r="D1619" t="s">
        <v>256</v>
      </c>
      <c r="E1619" t="s">
        <v>229</v>
      </c>
      <c r="F1619">
        <v>2008</v>
      </c>
      <c r="G1619">
        <v>4.6898312388913999E-3</v>
      </c>
      <c r="H1619" t="s">
        <v>240</v>
      </c>
      <c r="I1619" t="s">
        <v>241</v>
      </c>
      <c r="J1619" t="s">
        <v>2</v>
      </c>
      <c r="K1619" s="183">
        <f ca="1">VLOOKUP(F1619,
    OFFSET(INDIRECT(ADDRESS(MATCH(J1619,'Vehicle numbers'!$A$5:$A$162,0),1,1,1,$L$6)),4,1,COUNTIF('Vehicle numbers'!$A$5:$A$162,J1619),4),
    MATCH(K$8,'Vehicle numbers'!$B$4:$D$4,0))*1000</f>
        <v>28160702</v>
      </c>
      <c r="L1619" s="183">
        <f ca="1">VLOOKUP(F1619,
    OFFSET(INDIRECT(ADDRESS(MATCH(J1619,'Vehicle numbers'!$A$5:$A$162,0),1,1,1,$L$6)),4,1,COUNTIF('Vehicle numbers'!$A$5:$A$162,J1619),4),
    MATCH(L$8,'Vehicle numbers'!$B$4:$D$4,0))*1000</f>
        <v>29026150.734002996</v>
      </c>
      <c r="M1619" s="184">
        <f>VLOOKUP(F1619,'Annual distance covered (GB)'!$A$8:$H$33,MATCH(J1619,'Annual distance covered (GB)'!$A$7:$H$7,0))</f>
        <v>395</v>
      </c>
      <c r="N1619" s="2">
        <f t="shared" ca="1" si="64"/>
        <v>1909414.7809438</v>
      </c>
      <c r="O1619" s="180">
        <f t="shared" ca="1" si="65"/>
        <v>6.5782569602210308E-2</v>
      </c>
      <c r="P1619" s="180"/>
      <c r="Q1619" s="180"/>
      <c r="R1619" s="180"/>
      <c r="S1619" s="180"/>
      <c r="T1619" s="180"/>
    </row>
    <row r="1620" spans="1:20" x14ac:dyDescent="0.25">
      <c r="A1620" t="s">
        <v>244</v>
      </c>
      <c r="B1620" t="s">
        <v>237</v>
      </c>
      <c r="C1620" t="s">
        <v>238</v>
      </c>
      <c r="D1620" t="s">
        <v>256</v>
      </c>
      <c r="E1620" t="s">
        <v>229</v>
      </c>
      <c r="F1620">
        <v>2008</v>
      </c>
      <c r="G1620">
        <v>1.17245780972285E-3</v>
      </c>
      <c r="H1620" t="s">
        <v>240</v>
      </c>
      <c r="I1620" t="s">
        <v>241</v>
      </c>
      <c r="J1620" t="s">
        <v>2</v>
      </c>
      <c r="K1620" s="183">
        <f ca="1">VLOOKUP(F1620,
    OFFSET(INDIRECT(ADDRESS(MATCH(J1620,'Vehicle numbers'!$A$5:$A$162,0),1,1,1,$L$6)),4,1,COUNTIF('Vehicle numbers'!$A$5:$A$162,J1620),4),
    MATCH(K$8,'Vehicle numbers'!$B$4:$D$4,0))*1000</f>
        <v>28160702</v>
      </c>
      <c r="L1620" s="183">
        <f ca="1">VLOOKUP(F1620,
    OFFSET(INDIRECT(ADDRESS(MATCH(J1620,'Vehicle numbers'!$A$5:$A$162,0),1,1,1,$L$6)),4,1,COUNTIF('Vehicle numbers'!$A$5:$A$162,J1620),4),
    MATCH(L$8,'Vehicle numbers'!$B$4:$D$4,0))*1000</f>
        <v>29026150.734002996</v>
      </c>
      <c r="M1620" s="184">
        <f>VLOOKUP(F1620,'Annual distance covered (GB)'!$A$8:$H$33,MATCH(J1620,'Annual distance covered (GB)'!$A$7:$H$7,0))</f>
        <v>395</v>
      </c>
      <c r="N1620" s="2">
        <f t="shared" ca="1" si="64"/>
        <v>477353.69523595</v>
      </c>
      <c r="O1620" s="180">
        <f t="shared" ca="1" si="65"/>
        <v>1.6445642400552577E-2</v>
      </c>
      <c r="P1620" s="180"/>
      <c r="Q1620" s="180"/>
      <c r="R1620" s="180"/>
      <c r="S1620" s="180"/>
      <c r="T1620" s="180"/>
    </row>
    <row r="1621" spans="1:20" x14ac:dyDescent="0.25">
      <c r="A1621" t="s">
        <v>246</v>
      </c>
      <c r="B1621" t="s">
        <v>237</v>
      </c>
      <c r="C1621" t="s">
        <v>238</v>
      </c>
      <c r="D1621" t="s">
        <v>256</v>
      </c>
      <c r="E1621" t="s">
        <v>229</v>
      </c>
      <c r="F1621">
        <v>2008</v>
      </c>
      <c r="G1621">
        <v>9.3796624777828003E-4</v>
      </c>
      <c r="H1621" t="s">
        <v>240</v>
      </c>
      <c r="I1621" t="s">
        <v>241</v>
      </c>
      <c r="J1621" t="s">
        <v>2</v>
      </c>
      <c r="K1621" s="183">
        <f ca="1">VLOOKUP(F1621,
    OFFSET(INDIRECT(ADDRESS(MATCH(J1621,'Vehicle numbers'!$A$5:$A$162,0),1,1,1,$L$6)),4,1,COUNTIF('Vehicle numbers'!$A$5:$A$162,J1621),4),
    MATCH(K$8,'Vehicle numbers'!$B$4:$D$4,0))*1000</f>
        <v>28160702</v>
      </c>
      <c r="L1621" s="183">
        <f ca="1">VLOOKUP(F1621,
    OFFSET(INDIRECT(ADDRESS(MATCH(J1621,'Vehicle numbers'!$A$5:$A$162,0),1,1,1,$L$6)),4,1,COUNTIF('Vehicle numbers'!$A$5:$A$162,J1621),4),
    MATCH(L$8,'Vehicle numbers'!$B$4:$D$4,0))*1000</f>
        <v>29026150.734002996</v>
      </c>
      <c r="M1621" s="184">
        <f>VLOOKUP(F1621,'Annual distance covered (GB)'!$A$8:$H$33,MATCH(J1621,'Annual distance covered (GB)'!$A$7:$H$7,0))</f>
        <v>395</v>
      </c>
      <c r="N1621" s="2">
        <f t="shared" ca="1" si="64"/>
        <v>381882.95618876</v>
      </c>
      <c r="O1621" s="180">
        <f t="shared" ca="1" si="65"/>
        <v>1.3156513920442063E-2</v>
      </c>
      <c r="P1621" s="180"/>
      <c r="Q1621" s="180"/>
      <c r="R1621" s="180"/>
      <c r="S1621" s="180"/>
      <c r="T1621" s="180"/>
    </row>
    <row r="1622" spans="1:20" x14ac:dyDescent="0.25">
      <c r="A1622" t="s">
        <v>236</v>
      </c>
      <c r="B1622" t="s">
        <v>237</v>
      </c>
      <c r="C1622" t="s">
        <v>238</v>
      </c>
      <c r="D1622" t="s">
        <v>256</v>
      </c>
      <c r="E1622" t="s">
        <v>228</v>
      </c>
      <c r="F1622">
        <v>2008</v>
      </c>
      <c r="G1622">
        <v>8.7742846951480193E-3</v>
      </c>
      <c r="H1622" t="s">
        <v>240</v>
      </c>
      <c r="I1622" t="s">
        <v>241</v>
      </c>
      <c r="J1622" t="s">
        <v>2</v>
      </c>
      <c r="K1622" s="183">
        <f ca="1">VLOOKUP(F1622,
    OFFSET(INDIRECT(ADDRESS(MATCH(J1622,'Vehicle numbers'!$A$5:$A$162,0),1,1,1,$L$6)),4,1,COUNTIF('Vehicle numbers'!$A$5:$A$162,J1622),4),
    MATCH(K$8,'Vehicle numbers'!$B$4:$D$4,0))*1000</f>
        <v>28160702</v>
      </c>
      <c r="L1622" s="183">
        <f ca="1">VLOOKUP(F1622,
    OFFSET(INDIRECT(ADDRESS(MATCH(J1622,'Vehicle numbers'!$A$5:$A$162,0),1,1,1,$L$6)),4,1,COUNTIF('Vehicle numbers'!$A$5:$A$162,J1622),4),
    MATCH(L$8,'Vehicle numbers'!$B$4:$D$4,0))*1000</f>
        <v>29026150.734002996</v>
      </c>
      <c r="M1622" s="184">
        <f>VLOOKUP(F1622,'Annual distance covered (GB)'!$A$8:$H$33,MATCH(J1622,'Annual distance covered (GB)'!$A$7:$H$7,0))</f>
        <v>395</v>
      </c>
      <c r="N1622" s="2">
        <f t="shared" ca="1" si="64"/>
        <v>3572356.4528699126</v>
      </c>
      <c r="O1622" s="180">
        <f t="shared" ca="1" si="65"/>
        <v>0.12307372360900191</v>
      </c>
      <c r="P1622" s="180"/>
      <c r="Q1622" s="180"/>
      <c r="R1622" s="180"/>
      <c r="S1622" s="180"/>
      <c r="T1622" s="180"/>
    </row>
    <row r="1623" spans="1:20" x14ac:dyDescent="0.25">
      <c r="A1623" t="s">
        <v>243</v>
      </c>
      <c r="B1623" t="s">
        <v>237</v>
      </c>
      <c r="C1623" t="s">
        <v>238</v>
      </c>
      <c r="D1623" t="s">
        <v>256</v>
      </c>
      <c r="E1623" t="s">
        <v>228</v>
      </c>
      <c r="F1623">
        <v>2008</v>
      </c>
      <c r="G1623">
        <v>6.1419992866036102E-3</v>
      </c>
      <c r="H1623" t="s">
        <v>240</v>
      </c>
      <c r="I1623" t="s">
        <v>241</v>
      </c>
      <c r="J1623" t="s">
        <v>2</v>
      </c>
      <c r="K1623" s="183">
        <f ca="1">VLOOKUP(F1623,
    OFFSET(INDIRECT(ADDRESS(MATCH(J1623,'Vehicle numbers'!$A$5:$A$162,0),1,1,1,$L$6)),4,1,COUNTIF('Vehicle numbers'!$A$5:$A$162,J1623),4),
    MATCH(K$8,'Vehicle numbers'!$B$4:$D$4,0))*1000</f>
        <v>28160702</v>
      </c>
      <c r="L1623" s="183">
        <f ca="1">VLOOKUP(F1623,
    OFFSET(INDIRECT(ADDRESS(MATCH(J1623,'Vehicle numbers'!$A$5:$A$162,0),1,1,1,$L$6)),4,1,COUNTIF('Vehicle numbers'!$A$5:$A$162,J1623),4),
    MATCH(L$8,'Vehicle numbers'!$B$4:$D$4,0))*1000</f>
        <v>29026150.734002996</v>
      </c>
      <c r="M1623" s="184">
        <f>VLOOKUP(F1623,'Annual distance covered (GB)'!$A$8:$H$33,MATCH(J1623,'Annual distance covered (GB)'!$A$7:$H$7,0))</f>
        <v>395</v>
      </c>
      <c r="N1623" s="2">
        <f t="shared" ca="1" si="64"/>
        <v>2500649.5170089379</v>
      </c>
      <c r="O1623" s="180">
        <f t="shared" ca="1" si="65"/>
        <v>8.61516065263013E-2</v>
      </c>
      <c r="P1623" s="180"/>
      <c r="Q1623" s="180"/>
      <c r="R1623" s="180"/>
      <c r="S1623" s="180"/>
      <c r="T1623" s="180"/>
    </row>
    <row r="1624" spans="1:20" x14ac:dyDescent="0.25">
      <c r="A1624" t="s">
        <v>244</v>
      </c>
      <c r="B1624" t="s">
        <v>237</v>
      </c>
      <c r="C1624" t="s">
        <v>238</v>
      </c>
      <c r="D1624" t="s">
        <v>256</v>
      </c>
      <c r="E1624" t="s">
        <v>228</v>
      </c>
      <c r="F1624">
        <v>2008</v>
      </c>
      <c r="G1624">
        <v>8.6507032205684496E-4</v>
      </c>
      <c r="H1624" t="s">
        <v>240</v>
      </c>
      <c r="I1624" t="s">
        <v>241</v>
      </c>
      <c r="J1624" t="s">
        <v>2</v>
      </c>
      <c r="K1624" s="183">
        <f ca="1">VLOOKUP(F1624,
    OFFSET(INDIRECT(ADDRESS(MATCH(J1624,'Vehicle numbers'!$A$5:$A$162,0),1,1,1,$L$6)),4,1,COUNTIF('Vehicle numbers'!$A$5:$A$162,J1624),4),
    MATCH(K$8,'Vehicle numbers'!$B$4:$D$4,0))*1000</f>
        <v>28160702</v>
      </c>
      <c r="L1624" s="183">
        <f ca="1">VLOOKUP(F1624,
    OFFSET(INDIRECT(ADDRESS(MATCH(J1624,'Vehicle numbers'!$A$5:$A$162,0),1,1,1,$L$6)),4,1,COUNTIF('Vehicle numbers'!$A$5:$A$162,J1624),4),
    MATCH(L$8,'Vehicle numbers'!$B$4:$D$4,0))*1000</f>
        <v>29026150.734002996</v>
      </c>
      <c r="M1624" s="184">
        <f>VLOOKUP(F1624,'Annual distance covered (GB)'!$A$8:$H$33,MATCH(J1624,'Annual distance covered (GB)'!$A$7:$H$7,0))</f>
        <v>395</v>
      </c>
      <c r="N1624" s="2">
        <f t="shared" ca="1" si="64"/>
        <v>352204.15732520184</v>
      </c>
      <c r="O1624" s="180">
        <f t="shared" ca="1" si="65"/>
        <v>1.2134029088211427E-2</v>
      </c>
      <c r="P1624" s="180"/>
      <c r="Q1624" s="180"/>
      <c r="R1624" s="180"/>
      <c r="S1624" s="180"/>
      <c r="T1624" s="180"/>
    </row>
    <row r="1625" spans="1:20" x14ac:dyDescent="0.25">
      <c r="A1625" t="s">
        <v>246</v>
      </c>
      <c r="B1625" t="s">
        <v>237</v>
      </c>
      <c r="C1625" t="s">
        <v>238</v>
      </c>
      <c r="D1625" t="s">
        <v>256</v>
      </c>
      <c r="E1625" t="s">
        <v>228</v>
      </c>
      <c r="F1625">
        <v>2008</v>
      </c>
      <c r="G1625">
        <v>6.9205625764547595E-4</v>
      </c>
      <c r="H1625" t="s">
        <v>240</v>
      </c>
      <c r="I1625" t="s">
        <v>241</v>
      </c>
      <c r="J1625" t="s">
        <v>2</v>
      </c>
      <c r="K1625" s="183">
        <f ca="1">VLOOKUP(F1625,
    OFFSET(INDIRECT(ADDRESS(MATCH(J1625,'Vehicle numbers'!$A$5:$A$162,0),1,1,1,$L$6)),4,1,COUNTIF('Vehicle numbers'!$A$5:$A$162,J1625),4),
    MATCH(K$8,'Vehicle numbers'!$B$4:$D$4,0))*1000</f>
        <v>28160702</v>
      </c>
      <c r="L1625" s="183">
        <f ca="1">VLOOKUP(F1625,
    OFFSET(INDIRECT(ADDRESS(MATCH(J1625,'Vehicle numbers'!$A$5:$A$162,0),1,1,1,$L$6)),4,1,COUNTIF('Vehicle numbers'!$A$5:$A$162,J1625),4),
    MATCH(L$8,'Vehicle numbers'!$B$4:$D$4,0))*1000</f>
        <v>29026150.734002996</v>
      </c>
      <c r="M1625" s="184">
        <f>VLOOKUP(F1625,'Annual distance covered (GB)'!$A$8:$H$33,MATCH(J1625,'Annual distance covered (GB)'!$A$7:$H$7,0))</f>
        <v>395</v>
      </c>
      <c r="N1625" s="2">
        <f t="shared" ca="1" si="64"/>
        <v>281763.32586016145</v>
      </c>
      <c r="O1625" s="180">
        <f t="shared" ca="1" si="65"/>
        <v>9.7072232705691409E-3</v>
      </c>
      <c r="P1625" s="180"/>
      <c r="Q1625" s="180"/>
      <c r="R1625" s="180"/>
      <c r="S1625" s="180"/>
      <c r="T1625" s="180"/>
    </row>
    <row r="1626" spans="1:20" x14ac:dyDescent="0.25">
      <c r="A1626" t="s">
        <v>236</v>
      </c>
      <c r="B1626" t="s">
        <v>237</v>
      </c>
      <c r="C1626" t="s">
        <v>238</v>
      </c>
      <c r="D1626" t="s">
        <v>257</v>
      </c>
      <c r="E1626" t="s">
        <v>229</v>
      </c>
      <c r="F1626">
        <v>2008</v>
      </c>
      <c r="G1626">
        <v>2.1210000000000001E-3</v>
      </c>
      <c r="H1626" t="s">
        <v>240</v>
      </c>
      <c r="I1626" t="s">
        <v>241</v>
      </c>
      <c r="J1626" t="s">
        <v>188</v>
      </c>
      <c r="K1626" s="183">
        <f ca="1">VLOOKUP(F1626,
    OFFSET(INDIRECT(ADDRESS(MATCH(J1626,'Vehicle numbers'!$A$5:$A$162,0),1,1,1,$L$6)),4,1,COUNTIF('Vehicle numbers'!$A$5:$A$162,J1626),4),
    MATCH(K$8,'Vehicle numbers'!$B$4:$D$4,0))*1000</f>
        <v>3191403</v>
      </c>
      <c r="L1626" s="183">
        <f ca="1">VLOOKUP(F1626,
    OFFSET(INDIRECT(ADDRESS(MATCH(J1626,'Vehicle numbers'!$A$5:$A$162,0),1,1,1,$L$6)),4,1,COUNTIF('Vehicle numbers'!$A$5:$A$162,J1626),4),
    MATCH(L$8,'Vehicle numbers'!$B$4:$D$4,0))*1000</f>
        <v>3282982.1727932463</v>
      </c>
      <c r="M1626" s="184">
        <f>VLOOKUP(F1626,'Annual distance covered (GB)'!$A$8:$H$33,MATCH(J1626,'Annual distance covered (GB)'!$A$7:$H$7,0))</f>
        <v>66.900000000000006</v>
      </c>
      <c r="N1626" s="2">
        <f t="shared" ca="1" si="64"/>
        <v>145966.65701896016</v>
      </c>
      <c r="O1626" s="180">
        <f t="shared" ca="1" si="65"/>
        <v>4.4461605131034858E-2</v>
      </c>
      <c r="P1626" s="180"/>
      <c r="Q1626" s="180"/>
      <c r="R1626" s="180"/>
      <c r="S1626" s="180"/>
      <c r="T1626" s="180"/>
    </row>
    <row r="1627" spans="1:20" x14ac:dyDescent="0.25">
      <c r="A1627" t="s">
        <v>243</v>
      </c>
      <c r="B1627" t="s">
        <v>237</v>
      </c>
      <c r="C1627" t="s">
        <v>238</v>
      </c>
      <c r="D1627" t="s">
        <v>257</v>
      </c>
      <c r="E1627" t="s">
        <v>229</v>
      </c>
      <c r="F1627">
        <v>2008</v>
      </c>
      <c r="G1627">
        <v>8.4840000000000002E-4</v>
      </c>
      <c r="H1627" t="s">
        <v>240</v>
      </c>
      <c r="I1627" t="s">
        <v>241</v>
      </c>
      <c r="J1627" t="s">
        <v>188</v>
      </c>
      <c r="K1627" s="183">
        <f ca="1">VLOOKUP(F1627,
    OFFSET(INDIRECT(ADDRESS(MATCH(J1627,'Vehicle numbers'!$A$5:$A$162,0),1,1,1,$L$6)),4,1,COUNTIF('Vehicle numbers'!$A$5:$A$162,J1627),4),
    MATCH(K$8,'Vehicle numbers'!$B$4:$D$4,0))*1000</f>
        <v>3191403</v>
      </c>
      <c r="L1627" s="183">
        <f ca="1">VLOOKUP(F1627,
    OFFSET(INDIRECT(ADDRESS(MATCH(J1627,'Vehicle numbers'!$A$5:$A$162,0),1,1,1,$L$6)),4,1,COUNTIF('Vehicle numbers'!$A$5:$A$162,J1627),4),
    MATCH(L$8,'Vehicle numbers'!$B$4:$D$4,0))*1000</f>
        <v>3282982.1727932463</v>
      </c>
      <c r="M1627" s="184">
        <f>VLOOKUP(F1627,'Annual distance covered (GB)'!$A$8:$H$33,MATCH(J1627,'Annual distance covered (GB)'!$A$7:$H$7,0))</f>
        <v>66.900000000000006</v>
      </c>
      <c r="N1627" s="2">
        <f t="shared" ca="1" si="64"/>
        <v>58386.662807584056</v>
      </c>
      <c r="O1627" s="180">
        <f t="shared" ca="1" si="65"/>
        <v>1.7784642052413941E-2</v>
      </c>
      <c r="P1627" s="180"/>
      <c r="Q1627" s="180"/>
      <c r="R1627" s="180"/>
      <c r="S1627" s="180"/>
      <c r="T1627" s="180"/>
    </row>
    <row r="1628" spans="1:20" x14ac:dyDescent="0.25">
      <c r="A1628" t="s">
        <v>244</v>
      </c>
      <c r="B1628" t="s">
        <v>237</v>
      </c>
      <c r="C1628" t="s">
        <v>238</v>
      </c>
      <c r="D1628" t="s">
        <v>257</v>
      </c>
      <c r="E1628" t="s">
        <v>229</v>
      </c>
      <c r="F1628">
        <v>2008</v>
      </c>
      <c r="G1628">
        <v>2.1210000000000001E-4</v>
      </c>
      <c r="H1628" t="s">
        <v>240</v>
      </c>
      <c r="I1628" t="s">
        <v>241</v>
      </c>
      <c r="J1628" t="s">
        <v>188</v>
      </c>
      <c r="K1628" s="183">
        <f ca="1">VLOOKUP(F1628,
    OFFSET(INDIRECT(ADDRESS(MATCH(J1628,'Vehicle numbers'!$A$5:$A$162,0),1,1,1,$L$6)),4,1,COUNTIF('Vehicle numbers'!$A$5:$A$162,J1628),4),
    MATCH(K$8,'Vehicle numbers'!$B$4:$D$4,0))*1000</f>
        <v>3191403</v>
      </c>
      <c r="L1628" s="183">
        <f ca="1">VLOOKUP(F1628,
    OFFSET(INDIRECT(ADDRESS(MATCH(J1628,'Vehicle numbers'!$A$5:$A$162,0),1,1,1,$L$6)),4,1,COUNTIF('Vehicle numbers'!$A$5:$A$162,J1628),4),
    MATCH(L$8,'Vehicle numbers'!$B$4:$D$4,0))*1000</f>
        <v>3282982.1727932463</v>
      </c>
      <c r="M1628" s="184">
        <f>VLOOKUP(F1628,'Annual distance covered (GB)'!$A$8:$H$33,MATCH(J1628,'Annual distance covered (GB)'!$A$7:$H$7,0))</f>
        <v>66.900000000000006</v>
      </c>
      <c r="N1628" s="2">
        <f t="shared" ca="1" si="64"/>
        <v>14596.665701896014</v>
      </c>
      <c r="O1628" s="180">
        <f t="shared" ca="1" si="65"/>
        <v>4.4461605131034853E-3</v>
      </c>
      <c r="P1628" s="180"/>
      <c r="Q1628" s="180"/>
      <c r="R1628" s="180"/>
      <c r="S1628" s="180"/>
      <c r="T1628" s="180"/>
    </row>
    <row r="1629" spans="1:20" x14ac:dyDescent="0.25">
      <c r="A1629" t="s">
        <v>246</v>
      </c>
      <c r="B1629" t="s">
        <v>237</v>
      </c>
      <c r="C1629" t="s">
        <v>238</v>
      </c>
      <c r="D1629" t="s">
        <v>257</v>
      </c>
      <c r="E1629" t="s">
        <v>229</v>
      </c>
      <c r="F1629">
        <v>2008</v>
      </c>
      <c r="G1629">
        <v>1.6967999999999999E-4</v>
      </c>
      <c r="H1629" t="s">
        <v>240</v>
      </c>
      <c r="I1629" t="s">
        <v>241</v>
      </c>
      <c r="J1629" t="s">
        <v>188</v>
      </c>
      <c r="K1629" s="183">
        <f ca="1">VLOOKUP(F1629,
    OFFSET(INDIRECT(ADDRESS(MATCH(J1629,'Vehicle numbers'!$A$5:$A$162,0),1,1,1,$L$6)),4,1,COUNTIF('Vehicle numbers'!$A$5:$A$162,J1629),4),
    MATCH(K$8,'Vehicle numbers'!$B$4:$D$4,0))*1000</f>
        <v>3191403</v>
      </c>
      <c r="L1629" s="183">
        <f ca="1">VLOOKUP(F1629,
    OFFSET(INDIRECT(ADDRESS(MATCH(J1629,'Vehicle numbers'!$A$5:$A$162,0),1,1,1,$L$6)),4,1,COUNTIF('Vehicle numbers'!$A$5:$A$162,J1629),4),
    MATCH(L$8,'Vehicle numbers'!$B$4:$D$4,0))*1000</f>
        <v>3282982.1727932463</v>
      </c>
      <c r="M1629" s="184">
        <f>VLOOKUP(F1629,'Annual distance covered (GB)'!$A$8:$H$33,MATCH(J1629,'Annual distance covered (GB)'!$A$7:$H$7,0))</f>
        <v>66.900000000000006</v>
      </c>
      <c r="N1629" s="2">
        <f t="shared" ca="1" si="64"/>
        <v>11677.332561516811</v>
      </c>
      <c r="O1629" s="180">
        <f t="shared" ca="1" si="65"/>
        <v>3.556928410482788E-3</v>
      </c>
      <c r="P1629" s="180"/>
      <c r="Q1629" s="180"/>
      <c r="R1629" s="180"/>
      <c r="S1629" s="180"/>
      <c r="T1629" s="180"/>
    </row>
    <row r="1630" spans="1:20" x14ac:dyDescent="0.25">
      <c r="A1630" t="s">
        <v>236</v>
      </c>
      <c r="B1630" t="s">
        <v>237</v>
      </c>
      <c r="C1630" t="s">
        <v>238</v>
      </c>
      <c r="D1630" t="s">
        <v>257</v>
      </c>
      <c r="E1630" t="s">
        <v>228</v>
      </c>
      <c r="F1630">
        <v>2008</v>
      </c>
      <c r="G1630">
        <v>9.14600000000001E-3</v>
      </c>
      <c r="H1630" t="s">
        <v>240</v>
      </c>
      <c r="I1630" t="s">
        <v>241</v>
      </c>
      <c r="J1630" t="s">
        <v>188</v>
      </c>
      <c r="K1630" s="183">
        <f ca="1">VLOOKUP(F1630,
    OFFSET(INDIRECT(ADDRESS(MATCH(J1630,'Vehicle numbers'!$A$5:$A$162,0),1,1,1,$L$6)),4,1,COUNTIF('Vehicle numbers'!$A$5:$A$162,J1630),4),
    MATCH(K$8,'Vehicle numbers'!$B$4:$D$4,0))*1000</f>
        <v>3191403</v>
      </c>
      <c r="L1630" s="183">
        <f ca="1">VLOOKUP(F1630,
    OFFSET(INDIRECT(ADDRESS(MATCH(J1630,'Vehicle numbers'!$A$5:$A$162,0),1,1,1,$L$6)),4,1,COUNTIF('Vehicle numbers'!$A$5:$A$162,J1630),4),
    MATCH(L$8,'Vehicle numbers'!$B$4:$D$4,0))*1000</f>
        <v>3282982.1727932463</v>
      </c>
      <c r="M1630" s="184">
        <f>VLOOKUP(F1630,'Annual distance covered (GB)'!$A$8:$H$33,MATCH(J1630,'Annual distance covered (GB)'!$A$7:$H$7,0))</f>
        <v>66.900000000000006</v>
      </c>
      <c r="N1630" s="2">
        <f t="shared" ca="1" si="64"/>
        <v>629425.29235992976</v>
      </c>
      <c r="O1630" s="180">
        <f t="shared" ca="1" si="65"/>
        <v>0.19172364004169978</v>
      </c>
      <c r="P1630" s="180"/>
      <c r="Q1630" s="180"/>
      <c r="R1630" s="180"/>
      <c r="S1630" s="180"/>
      <c r="T1630" s="180"/>
    </row>
    <row r="1631" spans="1:20" x14ac:dyDescent="0.25">
      <c r="A1631" t="s">
        <v>243</v>
      </c>
      <c r="B1631" t="s">
        <v>237</v>
      </c>
      <c r="C1631" t="s">
        <v>238</v>
      </c>
      <c r="D1631" t="s">
        <v>257</v>
      </c>
      <c r="E1631" t="s">
        <v>228</v>
      </c>
      <c r="F1631">
        <v>2008</v>
      </c>
      <c r="G1631">
        <v>6.4022000000000098E-3</v>
      </c>
      <c r="H1631" t="s">
        <v>240</v>
      </c>
      <c r="I1631" t="s">
        <v>241</v>
      </c>
      <c r="J1631" t="s">
        <v>188</v>
      </c>
      <c r="K1631" s="183">
        <f ca="1">VLOOKUP(F1631,
    OFFSET(INDIRECT(ADDRESS(MATCH(J1631,'Vehicle numbers'!$A$5:$A$162,0),1,1,1,$L$6)),4,1,COUNTIF('Vehicle numbers'!$A$5:$A$162,J1631),4),
    MATCH(K$8,'Vehicle numbers'!$B$4:$D$4,0))*1000</f>
        <v>3191403</v>
      </c>
      <c r="L1631" s="183">
        <f ca="1">VLOOKUP(F1631,
    OFFSET(INDIRECT(ADDRESS(MATCH(J1631,'Vehicle numbers'!$A$5:$A$162,0),1,1,1,$L$6)),4,1,COUNTIF('Vehicle numbers'!$A$5:$A$162,J1631),4),
    MATCH(L$8,'Vehicle numbers'!$B$4:$D$4,0))*1000</f>
        <v>3282982.1727932463</v>
      </c>
      <c r="M1631" s="184">
        <f>VLOOKUP(F1631,'Annual distance covered (GB)'!$A$8:$H$33,MATCH(J1631,'Annual distance covered (GB)'!$A$7:$H$7,0))</f>
        <v>66.900000000000006</v>
      </c>
      <c r="N1631" s="2">
        <f t="shared" ca="1" si="64"/>
        <v>440597.70465195097</v>
      </c>
      <c r="O1631" s="180">
        <f t="shared" ca="1" si="65"/>
        <v>0.13420654802918988</v>
      </c>
      <c r="P1631" s="180"/>
      <c r="Q1631" s="180"/>
      <c r="R1631" s="180"/>
      <c r="S1631" s="180"/>
      <c r="T1631" s="180"/>
    </row>
    <row r="1632" spans="1:20" x14ac:dyDescent="0.25">
      <c r="A1632" t="s">
        <v>244</v>
      </c>
      <c r="B1632" t="s">
        <v>237</v>
      </c>
      <c r="C1632" t="s">
        <v>238</v>
      </c>
      <c r="D1632" t="s">
        <v>257</v>
      </c>
      <c r="E1632" t="s">
        <v>228</v>
      </c>
      <c r="F1632">
        <v>2008</v>
      </c>
      <c r="G1632">
        <v>9.0171830985915497E-4</v>
      </c>
      <c r="H1632" t="s">
        <v>240</v>
      </c>
      <c r="I1632" t="s">
        <v>241</v>
      </c>
      <c r="J1632" t="s">
        <v>188</v>
      </c>
      <c r="K1632" s="183">
        <f ca="1">VLOOKUP(F1632,
    OFFSET(INDIRECT(ADDRESS(MATCH(J1632,'Vehicle numbers'!$A$5:$A$162,0),1,1,1,$L$6)),4,1,COUNTIF('Vehicle numbers'!$A$5:$A$162,J1632),4),
    MATCH(K$8,'Vehicle numbers'!$B$4:$D$4,0))*1000</f>
        <v>3191403</v>
      </c>
      <c r="L1632" s="183">
        <f ca="1">VLOOKUP(F1632,
    OFFSET(INDIRECT(ADDRESS(MATCH(J1632,'Vehicle numbers'!$A$5:$A$162,0),1,1,1,$L$6)),4,1,COUNTIF('Vehicle numbers'!$A$5:$A$162,J1632),4),
    MATCH(L$8,'Vehicle numbers'!$B$4:$D$4,0))*1000</f>
        <v>3282982.1727932463</v>
      </c>
      <c r="M1632" s="184">
        <f>VLOOKUP(F1632,'Annual distance covered (GB)'!$A$8:$H$33,MATCH(J1632,'Annual distance covered (GB)'!$A$7:$H$7,0))</f>
        <v>66.900000000000006</v>
      </c>
      <c r="N1632" s="2">
        <f t="shared" ca="1" si="64"/>
        <v>62056.014739711311</v>
      </c>
      <c r="O1632" s="180">
        <f t="shared" ca="1" si="65"/>
        <v>1.8902330708336575E-2</v>
      </c>
      <c r="P1632" s="180"/>
      <c r="Q1632" s="180"/>
      <c r="R1632" s="180"/>
      <c r="S1632" s="180"/>
      <c r="T1632" s="180"/>
    </row>
    <row r="1633" spans="1:20" x14ac:dyDescent="0.25">
      <c r="A1633" t="s">
        <v>246</v>
      </c>
      <c r="B1633" t="s">
        <v>237</v>
      </c>
      <c r="C1633" t="s">
        <v>238</v>
      </c>
      <c r="D1633" t="s">
        <v>257</v>
      </c>
      <c r="E1633" t="s">
        <v>228</v>
      </c>
      <c r="F1633">
        <v>2008</v>
      </c>
      <c r="G1633">
        <v>7.2137464788732397E-4</v>
      </c>
      <c r="H1633" t="s">
        <v>240</v>
      </c>
      <c r="I1633" t="s">
        <v>241</v>
      </c>
      <c r="J1633" t="s">
        <v>188</v>
      </c>
      <c r="K1633" s="183">
        <f ca="1">VLOOKUP(F1633,
    OFFSET(INDIRECT(ADDRESS(MATCH(J1633,'Vehicle numbers'!$A$5:$A$162,0),1,1,1,$L$6)),4,1,COUNTIF('Vehicle numbers'!$A$5:$A$162,J1633),4),
    MATCH(K$8,'Vehicle numbers'!$B$4:$D$4,0))*1000</f>
        <v>3191403</v>
      </c>
      <c r="L1633" s="183">
        <f ca="1">VLOOKUP(F1633,
    OFFSET(INDIRECT(ADDRESS(MATCH(J1633,'Vehicle numbers'!$A$5:$A$162,0),1,1,1,$L$6)),4,1,COUNTIF('Vehicle numbers'!$A$5:$A$162,J1633),4),
    MATCH(L$8,'Vehicle numbers'!$B$4:$D$4,0))*1000</f>
        <v>3282982.1727932463</v>
      </c>
      <c r="M1633" s="184">
        <f>VLOOKUP(F1633,'Annual distance covered (GB)'!$A$8:$H$33,MATCH(J1633,'Annual distance covered (GB)'!$A$7:$H$7,0))</f>
        <v>66.900000000000006</v>
      </c>
      <c r="N1633" s="2">
        <f t="shared" ca="1" si="64"/>
        <v>49644.811791769054</v>
      </c>
      <c r="O1633" s="180">
        <f t="shared" ca="1" si="65"/>
        <v>1.5121864566669261E-2</v>
      </c>
      <c r="P1633" s="180"/>
      <c r="Q1633" s="180"/>
      <c r="R1633" s="180"/>
      <c r="S1633" s="180"/>
      <c r="T1633" s="180"/>
    </row>
    <row r="1634" spans="1:20" x14ac:dyDescent="0.25">
      <c r="A1634" t="s">
        <v>236</v>
      </c>
      <c r="B1634" t="s">
        <v>237</v>
      </c>
      <c r="C1634" t="s">
        <v>238</v>
      </c>
      <c r="D1634" t="s">
        <v>258</v>
      </c>
      <c r="E1634" t="s">
        <v>229</v>
      </c>
      <c r="F1634">
        <v>2008</v>
      </c>
      <c r="G1634">
        <v>8.6219999999999908E-3</v>
      </c>
      <c r="H1634" t="s">
        <v>240</v>
      </c>
      <c r="I1634" t="s">
        <v>241</v>
      </c>
      <c r="J1634" t="s">
        <v>188</v>
      </c>
      <c r="K1634" s="183">
        <f ca="1">VLOOKUP(F1634,
    OFFSET(INDIRECT(ADDRESS(MATCH(J1634,'Vehicle numbers'!$A$5:$A$162,0),1,1,1,$L$6)),4,1,COUNTIF('Vehicle numbers'!$A$5:$A$162,J1634),4),
    MATCH(K$8,'Vehicle numbers'!$B$4:$D$4,0))*1000</f>
        <v>3191403</v>
      </c>
      <c r="L1634" s="183">
        <f ca="1">VLOOKUP(F1634,
    OFFSET(INDIRECT(ADDRESS(MATCH(J1634,'Vehicle numbers'!$A$5:$A$162,0),1,1,1,$L$6)),4,1,COUNTIF('Vehicle numbers'!$A$5:$A$162,J1634),4),
    MATCH(L$8,'Vehicle numbers'!$B$4:$D$4,0))*1000</f>
        <v>3282982.1727932463</v>
      </c>
      <c r="M1634" s="184">
        <f>VLOOKUP(F1634,'Annual distance covered (GB)'!$A$8:$H$33,MATCH(J1634,'Annual distance covered (GB)'!$A$7:$H$7,0))</f>
        <v>66.900000000000006</v>
      </c>
      <c r="N1634" s="2">
        <f t="shared" ca="1" si="64"/>
        <v>593363.75144623907</v>
      </c>
      <c r="O1634" s="180">
        <f t="shared" ca="1" si="65"/>
        <v>0.18073925480423483</v>
      </c>
      <c r="P1634" s="180"/>
      <c r="Q1634" s="180"/>
      <c r="R1634" s="180"/>
      <c r="S1634" s="180"/>
      <c r="T1634" s="180"/>
    </row>
    <row r="1635" spans="1:20" x14ac:dyDescent="0.25">
      <c r="A1635" t="s">
        <v>243</v>
      </c>
      <c r="B1635" t="s">
        <v>237</v>
      </c>
      <c r="C1635" t="s">
        <v>238</v>
      </c>
      <c r="D1635" t="s">
        <v>258</v>
      </c>
      <c r="E1635" t="s">
        <v>229</v>
      </c>
      <c r="F1635">
        <v>2008</v>
      </c>
      <c r="G1635">
        <v>3.4488000000000001E-3</v>
      </c>
      <c r="H1635" t="s">
        <v>240</v>
      </c>
      <c r="I1635" t="s">
        <v>241</v>
      </c>
      <c r="J1635" t="s">
        <v>188</v>
      </c>
      <c r="K1635" s="183">
        <f ca="1">VLOOKUP(F1635,
    OFFSET(INDIRECT(ADDRESS(MATCH(J1635,'Vehicle numbers'!$A$5:$A$162,0),1,1,1,$L$6)),4,1,COUNTIF('Vehicle numbers'!$A$5:$A$162,J1635),4),
    MATCH(K$8,'Vehicle numbers'!$B$4:$D$4,0))*1000</f>
        <v>3191403</v>
      </c>
      <c r="L1635" s="183">
        <f ca="1">VLOOKUP(F1635,
    OFFSET(INDIRECT(ADDRESS(MATCH(J1635,'Vehicle numbers'!$A$5:$A$162,0),1,1,1,$L$6)),4,1,COUNTIF('Vehicle numbers'!$A$5:$A$162,J1635),4),
    MATCH(L$8,'Vehicle numbers'!$B$4:$D$4,0))*1000</f>
        <v>3282982.1727932463</v>
      </c>
      <c r="M1635" s="184">
        <f>VLOOKUP(F1635,'Annual distance covered (GB)'!$A$8:$H$33,MATCH(J1635,'Annual distance covered (GB)'!$A$7:$H$7,0))</f>
        <v>66.900000000000006</v>
      </c>
      <c r="N1635" s="2">
        <f t="shared" ca="1" si="64"/>
        <v>237345.50057849588</v>
      </c>
      <c r="O1635" s="180">
        <f t="shared" ca="1" si="65"/>
        <v>7.2295701921694017E-2</v>
      </c>
      <c r="P1635" s="180"/>
      <c r="Q1635" s="180"/>
      <c r="R1635" s="180"/>
      <c r="S1635" s="180"/>
      <c r="T1635" s="180"/>
    </row>
    <row r="1636" spans="1:20" x14ac:dyDescent="0.25">
      <c r="A1636" t="s">
        <v>244</v>
      </c>
      <c r="B1636" t="s">
        <v>237</v>
      </c>
      <c r="C1636" t="s">
        <v>238</v>
      </c>
      <c r="D1636" t="s">
        <v>258</v>
      </c>
      <c r="E1636" t="s">
        <v>229</v>
      </c>
      <c r="F1636">
        <v>2008</v>
      </c>
      <c r="G1636">
        <v>8.6220000000000003E-4</v>
      </c>
      <c r="H1636" t="s">
        <v>240</v>
      </c>
      <c r="I1636" t="s">
        <v>241</v>
      </c>
      <c r="J1636" t="s">
        <v>188</v>
      </c>
      <c r="K1636" s="183">
        <f ca="1">VLOOKUP(F1636,
    OFFSET(INDIRECT(ADDRESS(MATCH(J1636,'Vehicle numbers'!$A$5:$A$162,0),1,1,1,$L$6)),4,1,COUNTIF('Vehicle numbers'!$A$5:$A$162,J1636),4),
    MATCH(K$8,'Vehicle numbers'!$B$4:$D$4,0))*1000</f>
        <v>3191403</v>
      </c>
      <c r="L1636" s="183">
        <f ca="1">VLOOKUP(F1636,
    OFFSET(INDIRECT(ADDRESS(MATCH(J1636,'Vehicle numbers'!$A$5:$A$162,0),1,1,1,$L$6)),4,1,COUNTIF('Vehicle numbers'!$A$5:$A$162,J1636),4),
    MATCH(L$8,'Vehicle numbers'!$B$4:$D$4,0))*1000</f>
        <v>3282982.1727932463</v>
      </c>
      <c r="M1636" s="184">
        <f>VLOOKUP(F1636,'Annual distance covered (GB)'!$A$8:$H$33,MATCH(J1636,'Annual distance covered (GB)'!$A$7:$H$7,0))</f>
        <v>66.900000000000006</v>
      </c>
      <c r="N1636" s="2">
        <f t="shared" ca="1" si="64"/>
        <v>59336.375144623969</v>
      </c>
      <c r="O1636" s="180">
        <f t="shared" ca="1" si="65"/>
        <v>1.8073925480423504E-2</v>
      </c>
      <c r="P1636" s="180"/>
      <c r="Q1636" s="180"/>
      <c r="R1636" s="180"/>
      <c r="S1636" s="180"/>
      <c r="T1636" s="180"/>
    </row>
    <row r="1637" spans="1:20" x14ac:dyDescent="0.25">
      <c r="A1637" t="s">
        <v>246</v>
      </c>
      <c r="B1637" t="s">
        <v>237</v>
      </c>
      <c r="C1637" t="s">
        <v>238</v>
      </c>
      <c r="D1637" t="s">
        <v>258</v>
      </c>
      <c r="E1637" t="s">
        <v>229</v>
      </c>
      <c r="F1637">
        <v>2008</v>
      </c>
      <c r="G1637">
        <v>6.8975999999999998E-4</v>
      </c>
      <c r="H1637" t="s">
        <v>240</v>
      </c>
      <c r="I1637" t="s">
        <v>241</v>
      </c>
      <c r="J1637" t="s">
        <v>188</v>
      </c>
      <c r="K1637" s="183">
        <f ca="1">VLOOKUP(F1637,
    OFFSET(INDIRECT(ADDRESS(MATCH(J1637,'Vehicle numbers'!$A$5:$A$162,0),1,1,1,$L$6)),4,1,COUNTIF('Vehicle numbers'!$A$5:$A$162,J1637),4),
    MATCH(K$8,'Vehicle numbers'!$B$4:$D$4,0))*1000</f>
        <v>3191403</v>
      </c>
      <c r="L1637" s="183">
        <f ca="1">VLOOKUP(F1637,
    OFFSET(INDIRECT(ADDRESS(MATCH(J1637,'Vehicle numbers'!$A$5:$A$162,0),1,1,1,$L$6)),4,1,COUNTIF('Vehicle numbers'!$A$5:$A$162,J1637),4),
    MATCH(L$8,'Vehicle numbers'!$B$4:$D$4,0))*1000</f>
        <v>3282982.1727932463</v>
      </c>
      <c r="M1637" s="184">
        <f>VLOOKUP(F1637,'Annual distance covered (GB)'!$A$8:$H$33,MATCH(J1637,'Annual distance covered (GB)'!$A$7:$H$7,0))</f>
        <v>66.900000000000006</v>
      </c>
      <c r="N1637" s="2">
        <f t="shared" ca="1" si="64"/>
        <v>47469.100115699177</v>
      </c>
      <c r="O1637" s="180">
        <f t="shared" ca="1" si="65"/>
        <v>1.4459140384338803E-2</v>
      </c>
      <c r="P1637" s="180"/>
      <c r="Q1637" s="180"/>
      <c r="R1637" s="180"/>
      <c r="S1637" s="180"/>
      <c r="T1637" s="180"/>
    </row>
    <row r="1638" spans="1:20" x14ac:dyDescent="0.25">
      <c r="A1638" t="s">
        <v>236</v>
      </c>
      <c r="B1638" t="s">
        <v>237</v>
      </c>
      <c r="C1638" t="s">
        <v>238</v>
      </c>
      <c r="D1638" t="s">
        <v>258</v>
      </c>
      <c r="E1638" t="s">
        <v>228</v>
      </c>
      <c r="F1638">
        <v>2008</v>
      </c>
      <c r="G1638">
        <v>1.0741000000000001E-2</v>
      </c>
      <c r="H1638" t="s">
        <v>240</v>
      </c>
      <c r="I1638" t="s">
        <v>241</v>
      </c>
      <c r="J1638" t="s">
        <v>188</v>
      </c>
      <c r="K1638" s="183">
        <f ca="1">VLOOKUP(F1638,
    OFFSET(INDIRECT(ADDRESS(MATCH(J1638,'Vehicle numbers'!$A$5:$A$162,0),1,1,1,$L$6)),4,1,COUNTIF('Vehicle numbers'!$A$5:$A$162,J1638),4),
    MATCH(K$8,'Vehicle numbers'!$B$4:$D$4,0))*1000</f>
        <v>3191403</v>
      </c>
      <c r="L1638" s="183">
        <f ca="1">VLOOKUP(F1638,
    OFFSET(INDIRECT(ADDRESS(MATCH(J1638,'Vehicle numbers'!$A$5:$A$162,0),1,1,1,$L$6)),4,1,COUNTIF('Vehicle numbers'!$A$5:$A$162,J1638),4),
    MATCH(L$8,'Vehicle numbers'!$B$4:$D$4,0))*1000</f>
        <v>3282982.1727932463</v>
      </c>
      <c r="M1638" s="184">
        <f>VLOOKUP(F1638,'Annual distance covered (GB)'!$A$8:$H$33,MATCH(J1638,'Annual distance covered (GB)'!$A$7:$H$7,0))</f>
        <v>66.900000000000006</v>
      </c>
      <c r="N1638" s="2">
        <f t="shared" ca="1" si="64"/>
        <v>739192.76899606362</v>
      </c>
      <c r="O1638" s="180">
        <f t="shared" ca="1" si="65"/>
        <v>0.22515893480077573</v>
      </c>
      <c r="P1638" s="180"/>
      <c r="Q1638" s="180"/>
      <c r="R1638" s="180"/>
      <c r="S1638" s="180"/>
      <c r="T1638" s="180"/>
    </row>
    <row r="1639" spans="1:20" x14ac:dyDescent="0.25">
      <c r="A1639" t="s">
        <v>243</v>
      </c>
      <c r="B1639" t="s">
        <v>237</v>
      </c>
      <c r="C1639" t="s">
        <v>238</v>
      </c>
      <c r="D1639" t="s">
        <v>258</v>
      </c>
      <c r="E1639" t="s">
        <v>228</v>
      </c>
      <c r="F1639">
        <v>2008</v>
      </c>
      <c r="G1639">
        <v>7.5186999999999997E-3</v>
      </c>
      <c r="H1639" t="s">
        <v>240</v>
      </c>
      <c r="I1639" t="s">
        <v>241</v>
      </c>
      <c r="J1639" t="s">
        <v>188</v>
      </c>
      <c r="K1639" s="183">
        <f ca="1">VLOOKUP(F1639,
    OFFSET(INDIRECT(ADDRESS(MATCH(J1639,'Vehicle numbers'!$A$5:$A$162,0),1,1,1,$L$6)),4,1,COUNTIF('Vehicle numbers'!$A$5:$A$162,J1639),4),
    MATCH(K$8,'Vehicle numbers'!$B$4:$D$4,0))*1000</f>
        <v>3191403</v>
      </c>
      <c r="L1639" s="183">
        <f ca="1">VLOOKUP(F1639,
    OFFSET(INDIRECT(ADDRESS(MATCH(J1639,'Vehicle numbers'!$A$5:$A$162,0),1,1,1,$L$6)),4,1,COUNTIF('Vehicle numbers'!$A$5:$A$162,J1639),4),
    MATCH(L$8,'Vehicle numbers'!$B$4:$D$4,0))*1000</f>
        <v>3282982.1727932463</v>
      </c>
      <c r="M1639" s="184">
        <f>VLOOKUP(F1639,'Annual distance covered (GB)'!$A$8:$H$33,MATCH(J1639,'Annual distance covered (GB)'!$A$7:$H$7,0))</f>
        <v>66.900000000000006</v>
      </c>
      <c r="N1639" s="2">
        <f t="shared" ca="1" si="64"/>
        <v>517434.93829724455</v>
      </c>
      <c r="O1639" s="180">
        <f t="shared" ca="1" si="65"/>
        <v>0.15761125436054302</v>
      </c>
      <c r="P1639" s="180"/>
      <c r="Q1639" s="180"/>
      <c r="R1639" s="180"/>
      <c r="S1639" s="180"/>
      <c r="T1639" s="180"/>
    </row>
    <row r="1640" spans="1:20" x14ac:dyDescent="0.25">
      <c r="A1640" t="s">
        <v>244</v>
      </c>
      <c r="B1640" t="s">
        <v>237</v>
      </c>
      <c r="C1640" t="s">
        <v>238</v>
      </c>
      <c r="D1640" t="s">
        <v>258</v>
      </c>
      <c r="E1640" t="s">
        <v>228</v>
      </c>
      <c r="F1640">
        <v>2008</v>
      </c>
      <c r="G1640">
        <v>1.05897183098591E-3</v>
      </c>
      <c r="H1640" t="s">
        <v>240</v>
      </c>
      <c r="I1640" t="s">
        <v>241</v>
      </c>
      <c r="J1640" t="s">
        <v>188</v>
      </c>
      <c r="K1640" s="183">
        <f ca="1">VLOOKUP(F1640,
    OFFSET(INDIRECT(ADDRESS(MATCH(J1640,'Vehicle numbers'!$A$5:$A$162,0),1,1,1,$L$6)),4,1,COUNTIF('Vehicle numbers'!$A$5:$A$162,J1640),4),
    MATCH(K$8,'Vehicle numbers'!$B$4:$D$4,0))*1000</f>
        <v>3191403</v>
      </c>
      <c r="L1640" s="183">
        <f ca="1">VLOOKUP(F1640,
    OFFSET(INDIRECT(ADDRESS(MATCH(J1640,'Vehicle numbers'!$A$5:$A$162,0),1,1,1,$L$6)),4,1,COUNTIF('Vehicle numbers'!$A$5:$A$162,J1640),4),
    MATCH(L$8,'Vehicle numbers'!$B$4:$D$4,0))*1000</f>
        <v>3282982.1727932463</v>
      </c>
      <c r="M1640" s="184">
        <f>VLOOKUP(F1640,'Annual distance covered (GB)'!$A$8:$H$33,MATCH(J1640,'Annual distance covered (GB)'!$A$7:$H$7,0))</f>
        <v>66.900000000000006</v>
      </c>
      <c r="N1640" s="2">
        <f t="shared" ca="1" si="64"/>
        <v>72878.160323555188</v>
      </c>
      <c r="O1640" s="180">
        <f t="shared" ca="1" si="65"/>
        <v>2.2198768219794676E-2</v>
      </c>
      <c r="P1640" s="180"/>
      <c r="Q1640" s="180"/>
      <c r="R1640" s="180"/>
      <c r="S1640" s="180"/>
      <c r="T1640" s="180"/>
    </row>
    <row r="1641" spans="1:20" x14ac:dyDescent="0.25">
      <c r="A1641" t="s">
        <v>246</v>
      </c>
      <c r="B1641" t="s">
        <v>237</v>
      </c>
      <c r="C1641" t="s">
        <v>238</v>
      </c>
      <c r="D1641" t="s">
        <v>258</v>
      </c>
      <c r="E1641" t="s">
        <v>228</v>
      </c>
      <c r="F1641">
        <v>2008</v>
      </c>
      <c r="G1641">
        <v>8.47177464788731E-4</v>
      </c>
      <c r="H1641" t="s">
        <v>240</v>
      </c>
      <c r="I1641" t="s">
        <v>241</v>
      </c>
      <c r="J1641" t="s">
        <v>188</v>
      </c>
      <c r="K1641" s="183">
        <f ca="1">VLOOKUP(F1641,
    OFFSET(INDIRECT(ADDRESS(MATCH(J1641,'Vehicle numbers'!$A$5:$A$162,0),1,1,1,$L$6)),4,1,COUNTIF('Vehicle numbers'!$A$5:$A$162,J1641),4),
    MATCH(K$8,'Vehicle numbers'!$B$4:$D$4,0))*1000</f>
        <v>3191403</v>
      </c>
      <c r="L1641" s="183">
        <f ca="1">VLOOKUP(F1641,
    OFFSET(INDIRECT(ADDRESS(MATCH(J1641,'Vehicle numbers'!$A$5:$A$162,0),1,1,1,$L$6)),4,1,COUNTIF('Vehicle numbers'!$A$5:$A$162,J1641),4),
    MATCH(L$8,'Vehicle numbers'!$B$4:$D$4,0))*1000</f>
        <v>3282982.1727932463</v>
      </c>
      <c r="M1641" s="184">
        <f>VLOOKUP(F1641,'Annual distance covered (GB)'!$A$8:$H$33,MATCH(J1641,'Annual distance covered (GB)'!$A$7:$H$7,0))</f>
        <v>66.900000000000006</v>
      </c>
      <c r="N1641" s="2">
        <f t="shared" ca="1" si="64"/>
        <v>58302.528258844352</v>
      </c>
      <c r="O1641" s="180">
        <f t="shared" ca="1" si="65"/>
        <v>1.7759014575835803E-2</v>
      </c>
      <c r="P1641" s="180"/>
      <c r="Q1641" s="180"/>
      <c r="R1641" s="180"/>
      <c r="S1641" s="180"/>
      <c r="T1641" s="180"/>
    </row>
    <row r="1642" spans="1:20" x14ac:dyDescent="0.25">
      <c r="A1642" t="s">
        <v>236</v>
      </c>
      <c r="B1642" t="s">
        <v>237</v>
      </c>
      <c r="C1642" t="s">
        <v>238</v>
      </c>
      <c r="D1642" t="s">
        <v>259</v>
      </c>
      <c r="E1642" t="s">
        <v>229</v>
      </c>
      <c r="F1642">
        <v>2008</v>
      </c>
      <c r="G1642">
        <v>1.8218999999999999E-2</v>
      </c>
      <c r="H1642" t="s">
        <v>240</v>
      </c>
      <c r="I1642" t="s">
        <v>241</v>
      </c>
      <c r="J1642" t="s">
        <v>188</v>
      </c>
      <c r="K1642" s="183">
        <f ca="1">VLOOKUP(F1642,
    OFFSET(INDIRECT(ADDRESS(MATCH(J1642,'Vehicle numbers'!$A$5:$A$162,0),1,1,1,$L$6)),4,1,COUNTIF('Vehicle numbers'!$A$5:$A$162,J1642),4),
    MATCH(K$8,'Vehicle numbers'!$B$4:$D$4,0))*1000</f>
        <v>3191403</v>
      </c>
      <c r="L1642" s="183">
        <f ca="1">VLOOKUP(F1642,
    OFFSET(INDIRECT(ADDRESS(MATCH(J1642,'Vehicle numbers'!$A$5:$A$162,0),1,1,1,$L$6)),4,1,COUNTIF('Vehicle numbers'!$A$5:$A$162,J1642),4),
    MATCH(L$8,'Vehicle numbers'!$B$4:$D$4,0))*1000</f>
        <v>3282982.1727932463</v>
      </c>
      <c r="M1642" s="184">
        <f>VLOOKUP(F1642,'Annual distance covered (GB)'!$A$8:$H$33,MATCH(J1642,'Annual distance covered (GB)'!$A$7:$H$7,0))</f>
        <v>66.900000000000006</v>
      </c>
      <c r="N1642" s="2">
        <f t="shared" ca="1" si="64"/>
        <v>1253826.7440963858</v>
      </c>
      <c r="O1642" s="180">
        <f t="shared" ca="1" si="65"/>
        <v>0.3819170126743629</v>
      </c>
      <c r="P1642" s="180"/>
      <c r="Q1642" s="180"/>
      <c r="R1642" s="180"/>
      <c r="S1642" s="180"/>
      <c r="T1642" s="180"/>
    </row>
    <row r="1643" spans="1:20" x14ac:dyDescent="0.25">
      <c r="A1643" t="s">
        <v>243</v>
      </c>
      <c r="B1643" t="s">
        <v>237</v>
      </c>
      <c r="C1643" t="s">
        <v>238</v>
      </c>
      <c r="D1643" t="s">
        <v>259</v>
      </c>
      <c r="E1643" t="s">
        <v>229</v>
      </c>
      <c r="F1643">
        <v>2008</v>
      </c>
      <c r="G1643">
        <v>7.2876E-3</v>
      </c>
      <c r="H1643" t="s">
        <v>240</v>
      </c>
      <c r="I1643" t="s">
        <v>241</v>
      </c>
      <c r="J1643" t="s">
        <v>188</v>
      </c>
      <c r="K1643" s="183">
        <f ca="1">VLOOKUP(F1643,
    OFFSET(INDIRECT(ADDRESS(MATCH(J1643,'Vehicle numbers'!$A$5:$A$162,0),1,1,1,$L$6)),4,1,COUNTIF('Vehicle numbers'!$A$5:$A$162,J1643),4),
    MATCH(K$8,'Vehicle numbers'!$B$4:$D$4,0))*1000</f>
        <v>3191403</v>
      </c>
      <c r="L1643" s="183">
        <f ca="1">VLOOKUP(F1643,
    OFFSET(INDIRECT(ADDRESS(MATCH(J1643,'Vehicle numbers'!$A$5:$A$162,0),1,1,1,$L$6)),4,1,COUNTIF('Vehicle numbers'!$A$5:$A$162,J1643),4),
    MATCH(L$8,'Vehicle numbers'!$B$4:$D$4,0))*1000</f>
        <v>3282982.1727932463</v>
      </c>
      <c r="M1643" s="184">
        <f>VLOOKUP(F1643,'Annual distance covered (GB)'!$A$8:$H$33,MATCH(J1643,'Annual distance covered (GB)'!$A$7:$H$7,0))</f>
        <v>66.900000000000006</v>
      </c>
      <c r="N1643" s="2">
        <f t="shared" ca="1" si="64"/>
        <v>501530.69763855438</v>
      </c>
      <c r="O1643" s="180">
        <f t="shared" ca="1" si="65"/>
        <v>0.15276680506974519</v>
      </c>
      <c r="P1643" s="180"/>
      <c r="Q1643" s="180"/>
      <c r="R1643" s="180"/>
      <c r="S1643" s="180"/>
      <c r="T1643" s="180"/>
    </row>
    <row r="1644" spans="1:20" x14ac:dyDescent="0.25">
      <c r="A1644" t="s">
        <v>244</v>
      </c>
      <c r="B1644" t="s">
        <v>237</v>
      </c>
      <c r="C1644" t="s">
        <v>238</v>
      </c>
      <c r="D1644" t="s">
        <v>259</v>
      </c>
      <c r="E1644" t="s">
        <v>229</v>
      </c>
      <c r="F1644">
        <v>2008</v>
      </c>
      <c r="G1644">
        <v>1.8219E-3</v>
      </c>
      <c r="H1644" t="s">
        <v>240</v>
      </c>
      <c r="I1644" t="s">
        <v>241</v>
      </c>
      <c r="J1644" t="s">
        <v>188</v>
      </c>
      <c r="K1644" s="183">
        <f ca="1">VLOOKUP(F1644,
    OFFSET(INDIRECT(ADDRESS(MATCH(J1644,'Vehicle numbers'!$A$5:$A$162,0),1,1,1,$L$6)),4,1,COUNTIF('Vehicle numbers'!$A$5:$A$162,J1644),4),
    MATCH(K$8,'Vehicle numbers'!$B$4:$D$4,0))*1000</f>
        <v>3191403</v>
      </c>
      <c r="L1644" s="183">
        <f ca="1">VLOOKUP(F1644,
    OFFSET(INDIRECT(ADDRESS(MATCH(J1644,'Vehicle numbers'!$A$5:$A$162,0),1,1,1,$L$6)),4,1,COUNTIF('Vehicle numbers'!$A$5:$A$162,J1644),4),
    MATCH(L$8,'Vehicle numbers'!$B$4:$D$4,0))*1000</f>
        <v>3282982.1727932463</v>
      </c>
      <c r="M1644" s="184">
        <f>VLOOKUP(F1644,'Annual distance covered (GB)'!$A$8:$H$33,MATCH(J1644,'Annual distance covered (GB)'!$A$7:$H$7,0))</f>
        <v>66.900000000000006</v>
      </c>
      <c r="N1644" s="2">
        <f t="shared" ca="1" si="64"/>
        <v>125382.6744096386</v>
      </c>
      <c r="O1644" s="180">
        <f t="shared" ca="1" si="65"/>
        <v>3.8191701267436297E-2</v>
      </c>
      <c r="P1644" s="180"/>
      <c r="Q1644" s="180"/>
      <c r="R1644" s="180"/>
      <c r="S1644" s="180"/>
      <c r="T1644" s="180"/>
    </row>
    <row r="1645" spans="1:20" x14ac:dyDescent="0.25">
      <c r="A1645" t="s">
        <v>246</v>
      </c>
      <c r="B1645" t="s">
        <v>237</v>
      </c>
      <c r="C1645" t="s">
        <v>238</v>
      </c>
      <c r="D1645" t="s">
        <v>259</v>
      </c>
      <c r="E1645" t="s">
        <v>229</v>
      </c>
      <c r="F1645">
        <v>2008</v>
      </c>
      <c r="G1645">
        <v>1.4575199999999999E-3</v>
      </c>
      <c r="H1645" t="s">
        <v>240</v>
      </c>
      <c r="I1645" t="s">
        <v>241</v>
      </c>
      <c r="J1645" t="s">
        <v>188</v>
      </c>
      <c r="K1645" s="183">
        <f ca="1">VLOOKUP(F1645,
    OFFSET(INDIRECT(ADDRESS(MATCH(J1645,'Vehicle numbers'!$A$5:$A$162,0),1,1,1,$L$6)),4,1,COUNTIF('Vehicle numbers'!$A$5:$A$162,J1645),4),
    MATCH(K$8,'Vehicle numbers'!$B$4:$D$4,0))*1000</f>
        <v>3191403</v>
      </c>
      <c r="L1645" s="183">
        <f ca="1">VLOOKUP(F1645,
    OFFSET(INDIRECT(ADDRESS(MATCH(J1645,'Vehicle numbers'!$A$5:$A$162,0),1,1,1,$L$6)),4,1,COUNTIF('Vehicle numbers'!$A$5:$A$162,J1645),4),
    MATCH(L$8,'Vehicle numbers'!$B$4:$D$4,0))*1000</f>
        <v>3282982.1727932463</v>
      </c>
      <c r="M1645" s="184">
        <f>VLOOKUP(F1645,'Annual distance covered (GB)'!$A$8:$H$33,MATCH(J1645,'Annual distance covered (GB)'!$A$7:$H$7,0))</f>
        <v>66.900000000000006</v>
      </c>
      <c r="N1645" s="2">
        <f t="shared" ca="1" si="64"/>
        <v>100306.13952771088</v>
      </c>
      <c r="O1645" s="180">
        <f t="shared" ca="1" si="65"/>
        <v>3.0553361013949041E-2</v>
      </c>
      <c r="P1645" s="180"/>
      <c r="Q1645" s="180"/>
      <c r="R1645" s="180"/>
      <c r="S1645" s="180"/>
      <c r="T1645" s="180"/>
    </row>
    <row r="1646" spans="1:20" x14ac:dyDescent="0.25">
      <c r="A1646" t="s">
        <v>236</v>
      </c>
      <c r="B1646" t="s">
        <v>237</v>
      </c>
      <c r="C1646" t="s">
        <v>238</v>
      </c>
      <c r="D1646" t="s">
        <v>259</v>
      </c>
      <c r="E1646" t="s">
        <v>228</v>
      </c>
      <c r="F1646">
        <v>2008</v>
      </c>
      <c r="G1646">
        <v>1.3802E-2</v>
      </c>
      <c r="H1646" t="s">
        <v>240</v>
      </c>
      <c r="I1646" t="s">
        <v>241</v>
      </c>
      <c r="J1646" t="s">
        <v>188</v>
      </c>
      <c r="K1646" s="183">
        <f ca="1">VLOOKUP(F1646,
    OFFSET(INDIRECT(ADDRESS(MATCH(J1646,'Vehicle numbers'!$A$5:$A$162,0),1,1,1,$L$6)),4,1,COUNTIF('Vehicle numbers'!$A$5:$A$162,J1646),4),
    MATCH(K$8,'Vehicle numbers'!$B$4:$D$4,0))*1000</f>
        <v>3191403</v>
      </c>
      <c r="L1646" s="183">
        <f ca="1">VLOOKUP(F1646,
    OFFSET(INDIRECT(ADDRESS(MATCH(J1646,'Vehicle numbers'!$A$5:$A$162,0),1,1,1,$L$6)),4,1,COUNTIF('Vehicle numbers'!$A$5:$A$162,J1646),4),
    MATCH(L$8,'Vehicle numbers'!$B$4:$D$4,0))*1000</f>
        <v>3282982.1727932463</v>
      </c>
      <c r="M1646" s="184">
        <f>VLOOKUP(F1646,'Annual distance covered (GB)'!$A$8:$H$33,MATCH(J1646,'Annual distance covered (GB)'!$A$7:$H$7,0))</f>
        <v>66.900000000000006</v>
      </c>
      <c r="N1646" s="2">
        <f t="shared" ca="1" si="64"/>
        <v>949849.97650904674</v>
      </c>
      <c r="O1646" s="180">
        <f t="shared" ca="1" si="65"/>
        <v>0.28932535314405616</v>
      </c>
      <c r="P1646" s="180"/>
      <c r="Q1646" s="180"/>
      <c r="R1646" s="180"/>
      <c r="S1646" s="180"/>
      <c r="T1646" s="180"/>
    </row>
    <row r="1647" spans="1:20" x14ac:dyDescent="0.25">
      <c r="A1647" t="s">
        <v>243</v>
      </c>
      <c r="B1647" t="s">
        <v>237</v>
      </c>
      <c r="C1647" t="s">
        <v>238</v>
      </c>
      <c r="D1647" t="s">
        <v>259</v>
      </c>
      <c r="E1647" t="s">
        <v>228</v>
      </c>
      <c r="F1647">
        <v>2008</v>
      </c>
      <c r="G1647">
        <v>9.6614000000000005E-3</v>
      </c>
      <c r="H1647" t="s">
        <v>240</v>
      </c>
      <c r="I1647" t="s">
        <v>241</v>
      </c>
      <c r="J1647" t="s">
        <v>188</v>
      </c>
      <c r="K1647" s="183">
        <f ca="1">VLOOKUP(F1647,
    OFFSET(INDIRECT(ADDRESS(MATCH(J1647,'Vehicle numbers'!$A$5:$A$162,0),1,1,1,$L$6)),4,1,COUNTIF('Vehicle numbers'!$A$5:$A$162,J1647),4),
    MATCH(K$8,'Vehicle numbers'!$B$4:$D$4,0))*1000</f>
        <v>3191403</v>
      </c>
      <c r="L1647" s="183">
        <f ca="1">VLOOKUP(F1647,
    OFFSET(INDIRECT(ADDRESS(MATCH(J1647,'Vehicle numbers'!$A$5:$A$162,0),1,1,1,$L$6)),4,1,COUNTIF('Vehicle numbers'!$A$5:$A$162,J1647),4),
    MATCH(L$8,'Vehicle numbers'!$B$4:$D$4,0))*1000</f>
        <v>3282982.1727932463</v>
      </c>
      <c r="M1647" s="184">
        <f>VLOOKUP(F1647,'Annual distance covered (GB)'!$A$8:$H$33,MATCH(J1647,'Annual distance covered (GB)'!$A$7:$H$7,0))</f>
        <v>66.900000000000006</v>
      </c>
      <c r="N1647" s="2">
        <f t="shared" ca="1" si="64"/>
        <v>664894.98355633277</v>
      </c>
      <c r="O1647" s="180">
        <f t="shared" ca="1" si="65"/>
        <v>0.20252774720083933</v>
      </c>
      <c r="P1647" s="180"/>
      <c r="Q1647" s="180"/>
      <c r="R1647" s="180"/>
      <c r="S1647" s="180"/>
      <c r="T1647" s="180"/>
    </row>
    <row r="1648" spans="1:20" x14ac:dyDescent="0.25">
      <c r="A1648" t="s">
        <v>244</v>
      </c>
      <c r="B1648" t="s">
        <v>237</v>
      </c>
      <c r="C1648" t="s">
        <v>238</v>
      </c>
      <c r="D1648" t="s">
        <v>259</v>
      </c>
      <c r="E1648" t="s">
        <v>228</v>
      </c>
      <c r="F1648">
        <v>2008</v>
      </c>
      <c r="G1648">
        <v>1.3607605633802801E-3</v>
      </c>
      <c r="H1648" t="s">
        <v>240</v>
      </c>
      <c r="I1648" t="s">
        <v>241</v>
      </c>
      <c r="J1648" t="s">
        <v>188</v>
      </c>
      <c r="K1648" s="183">
        <f ca="1">VLOOKUP(F1648,
    OFFSET(INDIRECT(ADDRESS(MATCH(J1648,'Vehicle numbers'!$A$5:$A$162,0),1,1,1,$L$6)),4,1,COUNTIF('Vehicle numbers'!$A$5:$A$162,J1648),4),
    MATCH(K$8,'Vehicle numbers'!$B$4:$D$4,0))*1000</f>
        <v>3191403</v>
      </c>
      <c r="L1648" s="183">
        <f ca="1">VLOOKUP(F1648,
    OFFSET(INDIRECT(ADDRESS(MATCH(J1648,'Vehicle numbers'!$A$5:$A$162,0),1,1,1,$L$6)),4,1,COUNTIF('Vehicle numbers'!$A$5:$A$162,J1648),4),
    MATCH(L$8,'Vehicle numbers'!$B$4:$D$4,0))*1000</f>
        <v>3282982.1727932463</v>
      </c>
      <c r="M1648" s="184">
        <f>VLOOKUP(F1648,'Annual distance covered (GB)'!$A$8:$H$33,MATCH(J1648,'Annual distance covered (GB)'!$A$7:$H$7,0))</f>
        <v>66.900000000000006</v>
      </c>
      <c r="N1648" s="2">
        <f t="shared" ca="1" si="64"/>
        <v>93647.180782581956</v>
      </c>
      <c r="O1648" s="180">
        <f t="shared" ca="1" si="65"/>
        <v>2.8525034817019585E-2</v>
      </c>
      <c r="P1648" s="180"/>
      <c r="Q1648" s="180"/>
      <c r="R1648" s="180"/>
      <c r="S1648" s="180"/>
      <c r="T1648" s="180"/>
    </row>
    <row r="1649" spans="1:20" x14ac:dyDescent="0.25">
      <c r="A1649" t="s">
        <v>246</v>
      </c>
      <c r="B1649" t="s">
        <v>237</v>
      </c>
      <c r="C1649" t="s">
        <v>238</v>
      </c>
      <c r="D1649" t="s">
        <v>259</v>
      </c>
      <c r="E1649" t="s">
        <v>228</v>
      </c>
      <c r="F1649">
        <v>2008</v>
      </c>
      <c r="G1649">
        <v>1.0886084507042201E-3</v>
      </c>
      <c r="H1649" t="s">
        <v>240</v>
      </c>
      <c r="I1649" t="s">
        <v>241</v>
      </c>
      <c r="J1649" t="s">
        <v>188</v>
      </c>
      <c r="K1649" s="183">
        <f ca="1">VLOOKUP(F1649,
    OFFSET(INDIRECT(ADDRESS(MATCH(J1649,'Vehicle numbers'!$A$5:$A$162,0),1,1,1,$L$6)),4,1,COUNTIF('Vehicle numbers'!$A$5:$A$162,J1649),4),
    MATCH(K$8,'Vehicle numbers'!$B$4:$D$4,0))*1000</f>
        <v>3191403</v>
      </c>
      <c r="L1649" s="183">
        <f ca="1">VLOOKUP(F1649,
    OFFSET(INDIRECT(ADDRESS(MATCH(J1649,'Vehicle numbers'!$A$5:$A$162,0),1,1,1,$L$6)),4,1,COUNTIF('Vehicle numbers'!$A$5:$A$162,J1649),4),
    MATCH(L$8,'Vehicle numbers'!$B$4:$D$4,0))*1000</f>
        <v>3282982.1727932463</v>
      </c>
      <c r="M1649" s="184">
        <f>VLOOKUP(F1649,'Annual distance covered (GB)'!$A$8:$H$33,MATCH(J1649,'Annual distance covered (GB)'!$A$7:$H$7,0))</f>
        <v>66.900000000000006</v>
      </c>
      <c r="N1649" s="2">
        <f t="shared" ca="1" si="64"/>
        <v>74917.74462606528</v>
      </c>
      <c r="O1649" s="180">
        <f t="shared" ca="1" si="65"/>
        <v>2.2820027853615581E-2</v>
      </c>
      <c r="P1649" s="180"/>
      <c r="Q1649" s="180"/>
      <c r="R1649" s="180"/>
      <c r="S1649" s="180"/>
      <c r="T1649" s="180"/>
    </row>
    <row r="1650" spans="1:20" x14ac:dyDescent="0.25">
      <c r="A1650" t="s">
        <v>236</v>
      </c>
      <c r="B1650" t="s">
        <v>237</v>
      </c>
      <c r="C1650" t="s">
        <v>238</v>
      </c>
      <c r="D1650" t="s">
        <v>260</v>
      </c>
      <c r="E1650" t="s">
        <v>229</v>
      </c>
      <c r="F1650">
        <v>2008</v>
      </c>
      <c r="G1650">
        <v>5.8399999999999902E-3</v>
      </c>
      <c r="H1650" t="s">
        <v>240</v>
      </c>
      <c r="I1650" t="s">
        <v>241</v>
      </c>
      <c r="J1650" t="s">
        <v>3</v>
      </c>
      <c r="K1650" s="183">
        <f ca="1">VLOOKUP(F1650,
    OFFSET(INDIRECT(ADDRESS(MATCH(J1650,'Vehicle numbers'!$A$5:$A$162,0),1,1,1,$L$6)),4,1,COUNTIF('Vehicle numbers'!$A$5:$A$162,J1650),4),
    MATCH(K$8,'Vehicle numbers'!$B$4:$D$4,0))*1000</f>
        <v>1274568</v>
      </c>
      <c r="L1650" s="183">
        <f ca="1">VLOOKUP(F1650,
    OFFSET(INDIRECT(ADDRESS(MATCH(J1650,'Vehicle numbers'!$A$5:$A$162,0),1,1,1,$L$6)),4,1,COUNTIF('Vehicle numbers'!$A$5:$A$162,J1650),4),
    MATCH(L$8,'Vehicle numbers'!$B$4:$D$4,0))*1000</f>
        <v>1297989.6903665159</v>
      </c>
      <c r="M1650" s="184">
        <f>VLOOKUP(F1650,'Annual distance covered (GB)'!$A$8:$H$33,MATCH(J1650,'Annual distance covered (GB)'!$A$7:$H$7,0))</f>
        <v>5</v>
      </c>
      <c r="N1650" s="2">
        <f t="shared" ca="1" si="64"/>
        <v>29736.584441710602</v>
      </c>
      <c r="O1650" s="180">
        <f t="shared" ca="1" si="65"/>
        <v>2.2909723137565001E-2</v>
      </c>
      <c r="P1650" s="180"/>
      <c r="Q1650" s="180"/>
      <c r="R1650" s="180"/>
      <c r="S1650" s="180"/>
      <c r="T1650" s="180"/>
    </row>
    <row r="1651" spans="1:20" x14ac:dyDescent="0.25">
      <c r="A1651" t="s">
        <v>243</v>
      </c>
      <c r="B1651" t="s">
        <v>237</v>
      </c>
      <c r="C1651" t="s">
        <v>238</v>
      </c>
      <c r="D1651" t="s">
        <v>260</v>
      </c>
      <c r="E1651" t="s">
        <v>229</v>
      </c>
      <c r="F1651">
        <v>2008</v>
      </c>
      <c r="G1651">
        <v>2.336E-3</v>
      </c>
      <c r="H1651" t="s">
        <v>240</v>
      </c>
      <c r="I1651" t="s">
        <v>241</v>
      </c>
      <c r="J1651" t="s">
        <v>3</v>
      </c>
      <c r="K1651" s="183">
        <f ca="1">VLOOKUP(F1651,
    OFFSET(INDIRECT(ADDRESS(MATCH(J1651,'Vehicle numbers'!$A$5:$A$162,0),1,1,1,$L$6)),4,1,COUNTIF('Vehicle numbers'!$A$5:$A$162,J1651),4),
    MATCH(K$8,'Vehicle numbers'!$B$4:$D$4,0))*1000</f>
        <v>1274568</v>
      </c>
      <c r="L1651" s="183">
        <f ca="1">VLOOKUP(F1651,
    OFFSET(INDIRECT(ADDRESS(MATCH(J1651,'Vehicle numbers'!$A$5:$A$162,0),1,1,1,$L$6)),4,1,COUNTIF('Vehicle numbers'!$A$5:$A$162,J1651),4),
    MATCH(L$8,'Vehicle numbers'!$B$4:$D$4,0))*1000</f>
        <v>1297989.6903665159</v>
      </c>
      <c r="M1651" s="184">
        <f>VLOOKUP(F1651,'Annual distance covered (GB)'!$A$8:$H$33,MATCH(J1651,'Annual distance covered (GB)'!$A$7:$H$7,0))</f>
        <v>5</v>
      </c>
      <c r="N1651" s="2">
        <f t="shared" ca="1" si="64"/>
        <v>11894.633776684261</v>
      </c>
      <c r="O1651" s="180">
        <f t="shared" ca="1" si="65"/>
        <v>9.1638892550260156E-3</v>
      </c>
      <c r="P1651" s="180"/>
      <c r="Q1651" s="180"/>
      <c r="R1651" s="180"/>
      <c r="S1651" s="180"/>
      <c r="T1651" s="180"/>
    </row>
    <row r="1652" spans="1:20" x14ac:dyDescent="0.25">
      <c r="A1652" t="s">
        <v>244</v>
      </c>
      <c r="B1652" t="s">
        <v>237</v>
      </c>
      <c r="C1652" t="s">
        <v>238</v>
      </c>
      <c r="D1652" t="s">
        <v>260</v>
      </c>
      <c r="E1652" t="s">
        <v>229</v>
      </c>
      <c r="F1652">
        <v>2008</v>
      </c>
      <c r="G1652">
        <v>5.8399999999999999E-4</v>
      </c>
      <c r="H1652" t="s">
        <v>240</v>
      </c>
      <c r="I1652" t="s">
        <v>241</v>
      </c>
      <c r="J1652" t="s">
        <v>3</v>
      </c>
      <c r="K1652" s="183">
        <f ca="1">VLOOKUP(F1652,
    OFFSET(INDIRECT(ADDRESS(MATCH(J1652,'Vehicle numbers'!$A$5:$A$162,0),1,1,1,$L$6)),4,1,COUNTIF('Vehicle numbers'!$A$5:$A$162,J1652),4),
    MATCH(K$8,'Vehicle numbers'!$B$4:$D$4,0))*1000</f>
        <v>1274568</v>
      </c>
      <c r="L1652" s="183">
        <f ca="1">VLOOKUP(F1652,
    OFFSET(INDIRECT(ADDRESS(MATCH(J1652,'Vehicle numbers'!$A$5:$A$162,0),1,1,1,$L$6)),4,1,COUNTIF('Vehicle numbers'!$A$5:$A$162,J1652),4),
    MATCH(L$8,'Vehicle numbers'!$B$4:$D$4,0))*1000</f>
        <v>1297989.6903665159</v>
      </c>
      <c r="M1652" s="184">
        <f>VLOOKUP(F1652,'Annual distance covered (GB)'!$A$8:$H$33,MATCH(J1652,'Annual distance covered (GB)'!$A$7:$H$7,0))</f>
        <v>5</v>
      </c>
      <c r="N1652" s="2">
        <f t="shared" ca="1" si="64"/>
        <v>2973.6584441710652</v>
      </c>
      <c r="O1652" s="180">
        <f t="shared" ca="1" si="65"/>
        <v>2.2909723137565039E-3</v>
      </c>
      <c r="P1652" s="180"/>
      <c r="Q1652" s="180"/>
      <c r="R1652" s="180"/>
      <c r="S1652" s="180"/>
      <c r="T1652" s="180"/>
    </row>
    <row r="1653" spans="1:20" x14ac:dyDescent="0.25">
      <c r="A1653" t="s">
        <v>246</v>
      </c>
      <c r="B1653" t="s">
        <v>237</v>
      </c>
      <c r="C1653" t="s">
        <v>238</v>
      </c>
      <c r="D1653" t="s">
        <v>260</v>
      </c>
      <c r="E1653" t="s">
        <v>229</v>
      </c>
      <c r="F1653">
        <v>2008</v>
      </c>
      <c r="G1653">
        <v>4.6720000000000003E-4</v>
      </c>
      <c r="H1653" t="s">
        <v>240</v>
      </c>
      <c r="I1653" t="s">
        <v>241</v>
      </c>
      <c r="J1653" t="s">
        <v>3</v>
      </c>
      <c r="K1653" s="183">
        <f ca="1">VLOOKUP(F1653,
    OFFSET(INDIRECT(ADDRESS(MATCH(J1653,'Vehicle numbers'!$A$5:$A$162,0),1,1,1,$L$6)),4,1,COUNTIF('Vehicle numbers'!$A$5:$A$162,J1653),4),
    MATCH(K$8,'Vehicle numbers'!$B$4:$D$4,0))*1000</f>
        <v>1274568</v>
      </c>
      <c r="L1653" s="183">
        <f ca="1">VLOOKUP(F1653,
    OFFSET(INDIRECT(ADDRESS(MATCH(J1653,'Vehicle numbers'!$A$5:$A$162,0),1,1,1,$L$6)),4,1,COUNTIF('Vehicle numbers'!$A$5:$A$162,J1653),4),
    MATCH(L$8,'Vehicle numbers'!$B$4:$D$4,0))*1000</f>
        <v>1297989.6903665159</v>
      </c>
      <c r="M1653" s="184">
        <f>VLOOKUP(F1653,'Annual distance covered (GB)'!$A$8:$H$33,MATCH(J1653,'Annual distance covered (GB)'!$A$7:$H$7,0))</f>
        <v>5</v>
      </c>
      <c r="N1653" s="2">
        <f t="shared" ca="1" si="64"/>
        <v>2378.9267553368522</v>
      </c>
      <c r="O1653" s="180">
        <f t="shared" ca="1" si="65"/>
        <v>1.8327778510052032E-3</v>
      </c>
      <c r="P1653" s="180"/>
      <c r="Q1653" s="180"/>
      <c r="R1653" s="180"/>
      <c r="S1653" s="180"/>
      <c r="T1653" s="180"/>
    </row>
    <row r="1654" spans="1:20" x14ac:dyDescent="0.25">
      <c r="A1654" t="s">
        <v>236</v>
      </c>
      <c r="B1654" t="s">
        <v>237</v>
      </c>
      <c r="C1654" t="s">
        <v>238</v>
      </c>
      <c r="D1654" t="s">
        <v>260</v>
      </c>
      <c r="E1654" t="s">
        <v>228</v>
      </c>
      <c r="F1654">
        <v>2008</v>
      </c>
      <c r="G1654">
        <v>3.7569999999999999E-3</v>
      </c>
      <c r="H1654" t="s">
        <v>240</v>
      </c>
      <c r="I1654" t="s">
        <v>241</v>
      </c>
      <c r="J1654" t="s">
        <v>3</v>
      </c>
      <c r="K1654" s="183">
        <f ca="1">VLOOKUP(F1654,
    OFFSET(INDIRECT(ADDRESS(MATCH(J1654,'Vehicle numbers'!$A$5:$A$162,0),1,1,1,$L$6)),4,1,COUNTIF('Vehicle numbers'!$A$5:$A$162,J1654),4),
    MATCH(K$8,'Vehicle numbers'!$B$4:$D$4,0))*1000</f>
        <v>1274568</v>
      </c>
      <c r="L1654" s="183">
        <f ca="1">VLOOKUP(F1654,
    OFFSET(INDIRECT(ADDRESS(MATCH(J1654,'Vehicle numbers'!$A$5:$A$162,0),1,1,1,$L$6)),4,1,COUNTIF('Vehicle numbers'!$A$5:$A$162,J1654),4),
    MATCH(L$8,'Vehicle numbers'!$B$4:$D$4,0))*1000</f>
        <v>1297989.6903665159</v>
      </c>
      <c r="M1654" s="184">
        <f>VLOOKUP(F1654,'Annual distance covered (GB)'!$A$8:$H$33,MATCH(J1654,'Annual distance covered (GB)'!$A$7:$H$7,0))</f>
        <v>5</v>
      </c>
      <c r="N1654" s="2">
        <f t="shared" ca="1" si="64"/>
        <v>19130.196532107348</v>
      </c>
      <c r="O1654" s="180">
        <f t="shared" ca="1" si="65"/>
        <v>1.4738327025313674E-2</v>
      </c>
      <c r="P1654" s="180"/>
      <c r="Q1654" s="180"/>
      <c r="R1654" s="180"/>
      <c r="S1654" s="180"/>
      <c r="T1654" s="180"/>
    </row>
    <row r="1655" spans="1:20" x14ac:dyDescent="0.25">
      <c r="A1655" t="s">
        <v>243</v>
      </c>
      <c r="B1655" t="s">
        <v>237</v>
      </c>
      <c r="C1655" t="s">
        <v>238</v>
      </c>
      <c r="D1655" t="s">
        <v>260</v>
      </c>
      <c r="E1655" t="s">
        <v>228</v>
      </c>
      <c r="F1655">
        <v>2008</v>
      </c>
      <c r="G1655">
        <v>2.6299000000000001E-3</v>
      </c>
      <c r="H1655" t="s">
        <v>240</v>
      </c>
      <c r="I1655" t="s">
        <v>241</v>
      </c>
      <c r="J1655" t="s">
        <v>3</v>
      </c>
      <c r="K1655" s="183">
        <f ca="1">VLOOKUP(F1655,
    OFFSET(INDIRECT(ADDRESS(MATCH(J1655,'Vehicle numbers'!$A$5:$A$162,0),1,1,1,$L$6)),4,1,COUNTIF('Vehicle numbers'!$A$5:$A$162,J1655),4),
    MATCH(K$8,'Vehicle numbers'!$B$4:$D$4,0))*1000</f>
        <v>1274568</v>
      </c>
      <c r="L1655" s="183">
        <f ca="1">VLOOKUP(F1655,
    OFFSET(INDIRECT(ADDRESS(MATCH(J1655,'Vehicle numbers'!$A$5:$A$162,0),1,1,1,$L$6)),4,1,COUNTIF('Vehicle numbers'!$A$5:$A$162,J1655),4),
    MATCH(L$8,'Vehicle numbers'!$B$4:$D$4,0))*1000</f>
        <v>1297989.6903665159</v>
      </c>
      <c r="M1655" s="184">
        <f>VLOOKUP(F1655,'Annual distance covered (GB)'!$A$8:$H$33,MATCH(J1655,'Annual distance covered (GB)'!$A$7:$H$7,0))</f>
        <v>5</v>
      </c>
      <c r="N1655" s="2">
        <f t="shared" ca="1" si="64"/>
        <v>13391.137572475145</v>
      </c>
      <c r="O1655" s="180">
        <f t="shared" ca="1" si="65"/>
        <v>1.0316828917719572E-2</v>
      </c>
      <c r="P1655" s="180"/>
      <c r="Q1655" s="180"/>
      <c r="R1655" s="180"/>
      <c r="S1655" s="180"/>
      <c r="T1655" s="180"/>
    </row>
    <row r="1656" spans="1:20" x14ac:dyDescent="0.25">
      <c r="A1656" t="s">
        <v>244</v>
      </c>
      <c r="B1656" t="s">
        <v>237</v>
      </c>
      <c r="C1656" t="s">
        <v>238</v>
      </c>
      <c r="D1656" t="s">
        <v>260</v>
      </c>
      <c r="E1656" t="s">
        <v>228</v>
      </c>
      <c r="F1656">
        <v>2008</v>
      </c>
      <c r="G1656">
        <v>3.7040845070422499E-4</v>
      </c>
      <c r="H1656" t="s">
        <v>240</v>
      </c>
      <c r="I1656" t="s">
        <v>241</v>
      </c>
      <c r="J1656" t="s">
        <v>3</v>
      </c>
      <c r="K1656" s="183">
        <f ca="1">VLOOKUP(F1656,
    OFFSET(INDIRECT(ADDRESS(MATCH(J1656,'Vehicle numbers'!$A$5:$A$162,0),1,1,1,$L$6)),4,1,COUNTIF('Vehicle numbers'!$A$5:$A$162,J1656),4),
    MATCH(K$8,'Vehicle numbers'!$B$4:$D$4,0))*1000</f>
        <v>1274568</v>
      </c>
      <c r="L1656" s="183">
        <f ca="1">VLOOKUP(F1656,
    OFFSET(INDIRECT(ADDRESS(MATCH(J1656,'Vehicle numbers'!$A$5:$A$162,0),1,1,1,$L$6)),4,1,COUNTIF('Vehicle numbers'!$A$5:$A$162,J1656),4),
    MATCH(L$8,'Vehicle numbers'!$B$4:$D$4,0))*1000</f>
        <v>1297989.6903665159</v>
      </c>
      <c r="M1656" s="184">
        <f>VLOOKUP(F1656,'Annual distance covered (GB)'!$A$8:$H$33,MATCH(J1656,'Annual distance covered (GB)'!$A$7:$H$7,0))</f>
        <v>5</v>
      </c>
      <c r="N1656" s="2">
        <f t="shared" ca="1" si="64"/>
        <v>1886.0757144331171</v>
      </c>
      <c r="O1656" s="180">
        <f t="shared" ca="1" si="65"/>
        <v>1.4530744954534595E-3</v>
      </c>
      <c r="P1656" s="180"/>
      <c r="Q1656" s="180"/>
      <c r="R1656" s="180"/>
      <c r="S1656" s="180"/>
      <c r="T1656" s="180"/>
    </row>
    <row r="1657" spans="1:20" x14ac:dyDescent="0.25">
      <c r="A1657" t="s">
        <v>246</v>
      </c>
      <c r="B1657" t="s">
        <v>237</v>
      </c>
      <c r="C1657" t="s">
        <v>238</v>
      </c>
      <c r="D1657" t="s">
        <v>260</v>
      </c>
      <c r="E1657" t="s">
        <v>228</v>
      </c>
      <c r="F1657">
        <v>2008</v>
      </c>
      <c r="G1657">
        <v>2.9632676056337998E-4</v>
      </c>
      <c r="H1657" t="s">
        <v>240</v>
      </c>
      <c r="I1657" t="s">
        <v>241</v>
      </c>
      <c r="J1657" t="s">
        <v>3</v>
      </c>
      <c r="K1657" s="183">
        <f ca="1">VLOOKUP(F1657,
    OFFSET(INDIRECT(ADDRESS(MATCH(J1657,'Vehicle numbers'!$A$5:$A$162,0),1,1,1,$L$6)),4,1,COUNTIF('Vehicle numbers'!$A$5:$A$162,J1657),4),
    MATCH(K$8,'Vehicle numbers'!$B$4:$D$4,0))*1000</f>
        <v>1274568</v>
      </c>
      <c r="L1657" s="183">
        <f ca="1">VLOOKUP(F1657,
    OFFSET(INDIRECT(ADDRESS(MATCH(J1657,'Vehicle numbers'!$A$5:$A$162,0),1,1,1,$L$6)),4,1,COUNTIF('Vehicle numbers'!$A$5:$A$162,J1657),4),
    MATCH(L$8,'Vehicle numbers'!$B$4:$D$4,0))*1000</f>
        <v>1297989.6903665159</v>
      </c>
      <c r="M1657" s="184">
        <f>VLOOKUP(F1657,'Annual distance covered (GB)'!$A$8:$H$33,MATCH(J1657,'Annual distance covered (GB)'!$A$7:$H$7,0))</f>
        <v>5</v>
      </c>
      <c r="N1657" s="2">
        <f t="shared" ca="1" si="64"/>
        <v>1508.8605715464937</v>
      </c>
      <c r="O1657" s="180">
        <f t="shared" ca="1" si="65"/>
        <v>1.1624595963627676E-3</v>
      </c>
      <c r="P1657" s="180"/>
      <c r="Q1657" s="180"/>
      <c r="R1657" s="180"/>
      <c r="S1657" s="180"/>
      <c r="T1657" s="180"/>
    </row>
    <row r="1658" spans="1:20" x14ac:dyDescent="0.25">
      <c r="A1658" t="s">
        <v>236</v>
      </c>
      <c r="B1658" t="s">
        <v>237</v>
      </c>
      <c r="C1658" t="s">
        <v>238</v>
      </c>
      <c r="D1658" t="s">
        <v>261</v>
      </c>
      <c r="E1658" t="s">
        <v>229</v>
      </c>
      <c r="F1658">
        <v>2008</v>
      </c>
      <c r="G1658">
        <v>5.8399999999999997E-3</v>
      </c>
      <c r="H1658" t="s">
        <v>240</v>
      </c>
      <c r="I1658" t="s">
        <v>241</v>
      </c>
      <c r="J1658" t="s">
        <v>3</v>
      </c>
      <c r="K1658" s="183">
        <f ca="1">VLOOKUP(F1658,
    OFFSET(INDIRECT(ADDRESS(MATCH(J1658,'Vehicle numbers'!$A$5:$A$162,0),1,1,1,$L$6)),4,1,COUNTIF('Vehicle numbers'!$A$5:$A$162,J1658),4),
    MATCH(K$8,'Vehicle numbers'!$B$4:$D$4,0))*1000</f>
        <v>1274568</v>
      </c>
      <c r="L1658" s="183">
        <f ca="1">VLOOKUP(F1658,
    OFFSET(INDIRECT(ADDRESS(MATCH(J1658,'Vehicle numbers'!$A$5:$A$162,0),1,1,1,$L$6)),4,1,COUNTIF('Vehicle numbers'!$A$5:$A$162,J1658),4),
    MATCH(L$8,'Vehicle numbers'!$B$4:$D$4,0))*1000</f>
        <v>1297989.6903665159</v>
      </c>
      <c r="M1658" s="184">
        <f>VLOOKUP(F1658,'Annual distance covered (GB)'!$A$8:$H$33,MATCH(J1658,'Annual distance covered (GB)'!$A$7:$H$7,0))</f>
        <v>5</v>
      </c>
      <c r="N1658" s="2">
        <f t="shared" ca="1" si="64"/>
        <v>29736.584441710649</v>
      </c>
      <c r="O1658" s="180">
        <f t="shared" ca="1" si="65"/>
        <v>2.2909723137565039E-2</v>
      </c>
      <c r="P1658" s="180"/>
      <c r="Q1658" s="180"/>
      <c r="R1658" s="180"/>
      <c r="S1658" s="180"/>
      <c r="T1658" s="180"/>
    </row>
    <row r="1659" spans="1:20" x14ac:dyDescent="0.25">
      <c r="A1659" t="s">
        <v>243</v>
      </c>
      <c r="B1659" t="s">
        <v>237</v>
      </c>
      <c r="C1659" t="s">
        <v>238</v>
      </c>
      <c r="D1659" t="s">
        <v>261</v>
      </c>
      <c r="E1659" t="s">
        <v>229</v>
      </c>
      <c r="F1659">
        <v>2008</v>
      </c>
      <c r="G1659">
        <v>2.336E-3</v>
      </c>
      <c r="H1659" t="s">
        <v>240</v>
      </c>
      <c r="I1659" t="s">
        <v>241</v>
      </c>
      <c r="J1659" t="s">
        <v>3</v>
      </c>
      <c r="K1659" s="183">
        <f ca="1">VLOOKUP(F1659,
    OFFSET(INDIRECT(ADDRESS(MATCH(J1659,'Vehicle numbers'!$A$5:$A$162,0),1,1,1,$L$6)),4,1,COUNTIF('Vehicle numbers'!$A$5:$A$162,J1659),4),
    MATCH(K$8,'Vehicle numbers'!$B$4:$D$4,0))*1000</f>
        <v>1274568</v>
      </c>
      <c r="L1659" s="183">
        <f ca="1">VLOOKUP(F1659,
    OFFSET(INDIRECT(ADDRESS(MATCH(J1659,'Vehicle numbers'!$A$5:$A$162,0),1,1,1,$L$6)),4,1,COUNTIF('Vehicle numbers'!$A$5:$A$162,J1659),4),
    MATCH(L$8,'Vehicle numbers'!$B$4:$D$4,0))*1000</f>
        <v>1297989.6903665159</v>
      </c>
      <c r="M1659" s="184">
        <f>VLOOKUP(F1659,'Annual distance covered (GB)'!$A$8:$H$33,MATCH(J1659,'Annual distance covered (GB)'!$A$7:$H$7,0))</f>
        <v>5</v>
      </c>
      <c r="N1659" s="2">
        <f t="shared" ca="1" si="64"/>
        <v>11894.633776684261</v>
      </c>
      <c r="O1659" s="180">
        <f t="shared" ca="1" si="65"/>
        <v>9.1638892550260156E-3</v>
      </c>
      <c r="P1659" s="180"/>
      <c r="Q1659" s="180"/>
      <c r="R1659" s="180"/>
      <c r="S1659" s="180"/>
      <c r="T1659" s="180"/>
    </row>
    <row r="1660" spans="1:20" x14ac:dyDescent="0.25">
      <c r="A1660" t="s">
        <v>244</v>
      </c>
      <c r="B1660" t="s">
        <v>237</v>
      </c>
      <c r="C1660" t="s">
        <v>238</v>
      </c>
      <c r="D1660" t="s">
        <v>261</v>
      </c>
      <c r="E1660" t="s">
        <v>229</v>
      </c>
      <c r="F1660">
        <v>2008</v>
      </c>
      <c r="G1660">
        <v>5.8399999999999999E-4</v>
      </c>
      <c r="H1660" t="s">
        <v>240</v>
      </c>
      <c r="I1660" t="s">
        <v>241</v>
      </c>
      <c r="J1660" t="s">
        <v>3</v>
      </c>
      <c r="K1660" s="183">
        <f ca="1">VLOOKUP(F1660,
    OFFSET(INDIRECT(ADDRESS(MATCH(J1660,'Vehicle numbers'!$A$5:$A$162,0),1,1,1,$L$6)),4,1,COUNTIF('Vehicle numbers'!$A$5:$A$162,J1660),4),
    MATCH(K$8,'Vehicle numbers'!$B$4:$D$4,0))*1000</f>
        <v>1274568</v>
      </c>
      <c r="L1660" s="183">
        <f ca="1">VLOOKUP(F1660,
    OFFSET(INDIRECT(ADDRESS(MATCH(J1660,'Vehicle numbers'!$A$5:$A$162,0),1,1,1,$L$6)),4,1,COUNTIF('Vehicle numbers'!$A$5:$A$162,J1660),4),
    MATCH(L$8,'Vehicle numbers'!$B$4:$D$4,0))*1000</f>
        <v>1297989.6903665159</v>
      </c>
      <c r="M1660" s="184">
        <f>VLOOKUP(F1660,'Annual distance covered (GB)'!$A$8:$H$33,MATCH(J1660,'Annual distance covered (GB)'!$A$7:$H$7,0))</f>
        <v>5</v>
      </c>
      <c r="N1660" s="2">
        <f t="shared" ca="1" si="64"/>
        <v>2973.6584441710652</v>
      </c>
      <c r="O1660" s="180">
        <f t="shared" ca="1" si="65"/>
        <v>2.2909723137565039E-3</v>
      </c>
      <c r="P1660" s="180"/>
      <c r="Q1660" s="180"/>
      <c r="R1660" s="180"/>
      <c r="S1660" s="180"/>
      <c r="T1660" s="180"/>
    </row>
    <row r="1661" spans="1:20" x14ac:dyDescent="0.25">
      <c r="A1661" t="s">
        <v>246</v>
      </c>
      <c r="B1661" t="s">
        <v>237</v>
      </c>
      <c r="C1661" t="s">
        <v>238</v>
      </c>
      <c r="D1661" t="s">
        <v>261</v>
      </c>
      <c r="E1661" t="s">
        <v>229</v>
      </c>
      <c r="F1661">
        <v>2008</v>
      </c>
      <c r="G1661">
        <v>4.6720000000000003E-4</v>
      </c>
      <c r="H1661" t="s">
        <v>240</v>
      </c>
      <c r="I1661" t="s">
        <v>241</v>
      </c>
      <c r="J1661" t="s">
        <v>3</v>
      </c>
      <c r="K1661" s="183">
        <f ca="1">VLOOKUP(F1661,
    OFFSET(INDIRECT(ADDRESS(MATCH(J1661,'Vehicle numbers'!$A$5:$A$162,0),1,1,1,$L$6)),4,1,COUNTIF('Vehicle numbers'!$A$5:$A$162,J1661),4),
    MATCH(K$8,'Vehicle numbers'!$B$4:$D$4,0))*1000</f>
        <v>1274568</v>
      </c>
      <c r="L1661" s="183">
        <f ca="1">VLOOKUP(F1661,
    OFFSET(INDIRECT(ADDRESS(MATCH(J1661,'Vehicle numbers'!$A$5:$A$162,0),1,1,1,$L$6)),4,1,COUNTIF('Vehicle numbers'!$A$5:$A$162,J1661),4),
    MATCH(L$8,'Vehicle numbers'!$B$4:$D$4,0))*1000</f>
        <v>1297989.6903665159</v>
      </c>
      <c r="M1661" s="184">
        <f>VLOOKUP(F1661,'Annual distance covered (GB)'!$A$8:$H$33,MATCH(J1661,'Annual distance covered (GB)'!$A$7:$H$7,0))</f>
        <v>5</v>
      </c>
      <c r="N1661" s="2">
        <f t="shared" ca="1" si="64"/>
        <v>2378.9267553368522</v>
      </c>
      <c r="O1661" s="180">
        <f t="shared" ca="1" si="65"/>
        <v>1.8327778510052032E-3</v>
      </c>
      <c r="P1661" s="180"/>
      <c r="Q1661" s="180"/>
      <c r="R1661" s="180"/>
      <c r="S1661" s="180"/>
      <c r="T1661" s="180"/>
    </row>
    <row r="1662" spans="1:20" x14ac:dyDescent="0.25">
      <c r="A1662" t="s">
        <v>236</v>
      </c>
      <c r="B1662" t="s">
        <v>237</v>
      </c>
      <c r="C1662" t="s">
        <v>238</v>
      </c>
      <c r="D1662" t="s">
        <v>261</v>
      </c>
      <c r="E1662" t="s">
        <v>228</v>
      </c>
      <c r="F1662">
        <v>2008</v>
      </c>
      <c r="G1662">
        <v>3.7569999999999999E-3</v>
      </c>
      <c r="H1662" t="s">
        <v>240</v>
      </c>
      <c r="I1662" t="s">
        <v>241</v>
      </c>
      <c r="J1662" t="s">
        <v>3</v>
      </c>
      <c r="K1662" s="183">
        <f ca="1">VLOOKUP(F1662,
    OFFSET(INDIRECT(ADDRESS(MATCH(J1662,'Vehicle numbers'!$A$5:$A$162,0),1,1,1,$L$6)),4,1,COUNTIF('Vehicle numbers'!$A$5:$A$162,J1662),4),
    MATCH(K$8,'Vehicle numbers'!$B$4:$D$4,0))*1000</f>
        <v>1274568</v>
      </c>
      <c r="L1662" s="183">
        <f ca="1">VLOOKUP(F1662,
    OFFSET(INDIRECT(ADDRESS(MATCH(J1662,'Vehicle numbers'!$A$5:$A$162,0),1,1,1,$L$6)),4,1,COUNTIF('Vehicle numbers'!$A$5:$A$162,J1662),4),
    MATCH(L$8,'Vehicle numbers'!$B$4:$D$4,0))*1000</f>
        <v>1297989.6903665159</v>
      </c>
      <c r="M1662" s="184">
        <f>VLOOKUP(F1662,'Annual distance covered (GB)'!$A$8:$H$33,MATCH(J1662,'Annual distance covered (GB)'!$A$7:$H$7,0))</f>
        <v>5</v>
      </c>
      <c r="N1662" s="2">
        <f t="shared" ca="1" si="64"/>
        <v>19130.196532107348</v>
      </c>
      <c r="O1662" s="180">
        <f t="shared" ca="1" si="65"/>
        <v>1.4738327025313674E-2</v>
      </c>
      <c r="P1662" s="180"/>
      <c r="Q1662" s="180"/>
      <c r="R1662" s="180"/>
      <c r="S1662" s="180"/>
      <c r="T1662" s="180"/>
    </row>
    <row r="1663" spans="1:20" x14ac:dyDescent="0.25">
      <c r="A1663" t="s">
        <v>243</v>
      </c>
      <c r="B1663" t="s">
        <v>237</v>
      </c>
      <c r="C1663" t="s">
        <v>238</v>
      </c>
      <c r="D1663" t="s">
        <v>261</v>
      </c>
      <c r="E1663" t="s">
        <v>228</v>
      </c>
      <c r="F1663">
        <v>2008</v>
      </c>
      <c r="G1663">
        <v>2.6299000000000001E-3</v>
      </c>
      <c r="H1663" t="s">
        <v>240</v>
      </c>
      <c r="I1663" t="s">
        <v>241</v>
      </c>
      <c r="J1663" t="s">
        <v>3</v>
      </c>
      <c r="K1663" s="183">
        <f ca="1">VLOOKUP(F1663,
    OFFSET(INDIRECT(ADDRESS(MATCH(J1663,'Vehicle numbers'!$A$5:$A$162,0),1,1,1,$L$6)),4,1,COUNTIF('Vehicle numbers'!$A$5:$A$162,J1663),4),
    MATCH(K$8,'Vehicle numbers'!$B$4:$D$4,0))*1000</f>
        <v>1274568</v>
      </c>
      <c r="L1663" s="183">
        <f ca="1">VLOOKUP(F1663,
    OFFSET(INDIRECT(ADDRESS(MATCH(J1663,'Vehicle numbers'!$A$5:$A$162,0),1,1,1,$L$6)),4,1,COUNTIF('Vehicle numbers'!$A$5:$A$162,J1663),4),
    MATCH(L$8,'Vehicle numbers'!$B$4:$D$4,0))*1000</f>
        <v>1297989.6903665159</v>
      </c>
      <c r="M1663" s="184">
        <f>VLOOKUP(F1663,'Annual distance covered (GB)'!$A$8:$H$33,MATCH(J1663,'Annual distance covered (GB)'!$A$7:$H$7,0))</f>
        <v>5</v>
      </c>
      <c r="N1663" s="2">
        <f t="shared" ca="1" si="64"/>
        <v>13391.137572475145</v>
      </c>
      <c r="O1663" s="180">
        <f t="shared" ca="1" si="65"/>
        <v>1.0316828917719572E-2</v>
      </c>
      <c r="P1663" s="180"/>
      <c r="Q1663" s="180"/>
      <c r="R1663" s="180"/>
      <c r="S1663" s="180"/>
      <c r="T1663" s="180"/>
    </row>
    <row r="1664" spans="1:20" x14ac:dyDescent="0.25">
      <c r="A1664" t="s">
        <v>244</v>
      </c>
      <c r="B1664" t="s">
        <v>237</v>
      </c>
      <c r="C1664" t="s">
        <v>238</v>
      </c>
      <c r="D1664" t="s">
        <v>261</v>
      </c>
      <c r="E1664" t="s">
        <v>228</v>
      </c>
      <c r="F1664">
        <v>2008</v>
      </c>
      <c r="G1664">
        <v>3.7040845070422499E-4</v>
      </c>
      <c r="H1664" t="s">
        <v>240</v>
      </c>
      <c r="I1664" t="s">
        <v>241</v>
      </c>
      <c r="J1664" t="s">
        <v>3</v>
      </c>
      <c r="K1664" s="183">
        <f ca="1">VLOOKUP(F1664,
    OFFSET(INDIRECT(ADDRESS(MATCH(J1664,'Vehicle numbers'!$A$5:$A$162,0),1,1,1,$L$6)),4,1,COUNTIF('Vehicle numbers'!$A$5:$A$162,J1664),4),
    MATCH(K$8,'Vehicle numbers'!$B$4:$D$4,0))*1000</f>
        <v>1274568</v>
      </c>
      <c r="L1664" s="183">
        <f ca="1">VLOOKUP(F1664,
    OFFSET(INDIRECT(ADDRESS(MATCH(J1664,'Vehicle numbers'!$A$5:$A$162,0),1,1,1,$L$6)),4,1,COUNTIF('Vehicle numbers'!$A$5:$A$162,J1664),4),
    MATCH(L$8,'Vehicle numbers'!$B$4:$D$4,0))*1000</f>
        <v>1297989.6903665159</v>
      </c>
      <c r="M1664" s="184">
        <f>VLOOKUP(F1664,'Annual distance covered (GB)'!$A$8:$H$33,MATCH(J1664,'Annual distance covered (GB)'!$A$7:$H$7,0))</f>
        <v>5</v>
      </c>
      <c r="N1664" s="2">
        <f t="shared" ca="1" si="64"/>
        <v>1886.0757144331171</v>
      </c>
      <c r="O1664" s="180">
        <f t="shared" ca="1" si="65"/>
        <v>1.4530744954534595E-3</v>
      </c>
      <c r="P1664" s="180"/>
      <c r="Q1664" s="180"/>
      <c r="R1664" s="180"/>
      <c r="S1664" s="180"/>
      <c r="T1664" s="180"/>
    </row>
    <row r="1665" spans="1:20" x14ac:dyDescent="0.25">
      <c r="A1665" t="s">
        <v>246</v>
      </c>
      <c r="B1665" t="s">
        <v>237</v>
      </c>
      <c r="C1665" t="s">
        <v>238</v>
      </c>
      <c r="D1665" t="s">
        <v>261</v>
      </c>
      <c r="E1665" t="s">
        <v>228</v>
      </c>
      <c r="F1665">
        <v>2008</v>
      </c>
      <c r="G1665">
        <v>2.9632676056337998E-4</v>
      </c>
      <c r="H1665" t="s">
        <v>240</v>
      </c>
      <c r="I1665" t="s">
        <v>241</v>
      </c>
      <c r="J1665" t="s">
        <v>3</v>
      </c>
      <c r="K1665" s="183">
        <f ca="1">VLOOKUP(F1665,
    OFFSET(INDIRECT(ADDRESS(MATCH(J1665,'Vehicle numbers'!$A$5:$A$162,0),1,1,1,$L$6)),4,1,COUNTIF('Vehicle numbers'!$A$5:$A$162,J1665),4),
    MATCH(K$8,'Vehicle numbers'!$B$4:$D$4,0))*1000</f>
        <v>1274568</v>
      </c>
      <c r="L1665" s="183">
        <f ca="1">VLOOKUP(F1665,
    OFFSET(INDIRECT(ADDRESS(MATCH(J1665,'Vehicle numbers'!$A$5:$A$162,0),1,1,1,$L$6)),4,1,COUNTIF('Vehicle numbers'!$A$5:$A$162,J1665),4),
    MATCH(L$8,'Vehicle numbers'!$B$4:$D$4,0))*1000</f>
        <v>1297989.6903665159</v>
      </c>
      <c r="M1665" s="184">
        <f>VLOOKUP(F1665,'Annual distance covered (GB)'!$A$8:$H$33,MATCH(J1665,'Annual distance covered (GB)'!$A$7:$H$7,0))</f>
        <v>5</v>
      </c>
      <c r="N1665" s="2">
        <f t="shared" ca="1" si="64"/>
        <v>1508.8605715464937</v>
      </c>
      <c r="O1665" s="180">
        <f t="shared" ca="1" si="65"/>
        <v>1.1624595963627676E-3</v>
      </c>
      <c r="P1665" s="180"/>
      <c r="Q1665" s="180"/>
      <c r="R1665" s="180"/>
      <c r="S1665" s="180"/>
      <c r="T1665" s="180"/>
    </row>
    <row r="1666" spans="1:20" x14ac:dyDescent="0.25">
      <c r="A1666" t="s">
        <v>236</v>
      </c>
      <c r="B1666" t="s">
        <v>237</v>
      </c>
      <c r="C1666" t="s">
        <v>238</v>
      </c>
      <c r="D1666" t="s">
        <v>262</v>
      </c>
      <c r="E1666" t="s">
        <v>229</v>
      </c>
      <c r="F1666">
        <v>2008</v>
      </c>
      <c r="G1666">
        <v>6.8000000000000005E-4</v>
      </c>
      <c r="H1666" t="s">
        <v>240</v>
      </c>
      <c r="I1666" t="s">
        <v>241</v>
      </c>
      <c r="J1666" t="s">
        <v>3</v>
      </c>
      <c r="K1666" s="183">
        <f ca="1">VLOOKUP(F1666,
    OFFSET(INDIRECT(ADDRESS(MATCH(J1666,'Vehicle numbers'!$A$5:$A$162,0),1,1,1,$L$6)),4,1,COUNTIF('Vehicle numbers'!$A$5:$A$162,J1666),4),
    MATCH(K$8,'Vehicle numbers'!$B$4:$D$4,0))*1000</f>
        <v>1274568</v>
      </c>
      <c r="L1666" s="183">
        <f ca="1">VLOOKUP(F1666,
    OFFSET(INDIRECT(ADDRESS(MATCH(J1666,'Vehicle numbers'!$A$5:$A$162,0),1,1,1,$L$6)),4,1,COUNTIF('Vehicle numbers'!$A$5:$A$162,J1666),4),
    MATCH(L$8,'Vehicle numbers'!$B$4:$D$4,0))*1000</f>
        <v>1297989.6903665159</v>
      </c>
      <c r="M1666" s="184">
        <f>VLOOKUP(F1666,'Annual distance covered (GB)'!$A$8:$H$33,MATCH(J1666,'Annual distance covered (GB)'!$A$7:$H$7,0))</f>
        <v>5</v>
      </c>
      <c r="N1666" s="2">
        <f t="shared" ca="1" si="64"/>
        <v>3462.479010336172</v>
      </c>
      <c r="O1666" s="180">
        <f t="shared" ca="1" si="65"/>
        <v>2.6675705023192172E-3</v>
      </c>
      <c r="P1666" s="180"/>
      <c r="Q1666" s="180"/>
      <c r="R1666" s="180"/>
      <c r="S1666" s="180"/>
      <c r="T1666" s="180"/>
    </row>
    <row r="1667" spans="1:20" x14ac:dyDescent="0.25">
      <c r="A1667" t="s">
        <v>243</v>
      </c>
      <c r="B1667" t="s">
        <v>237</v>
      </c>
      <c r="C1667" t="s">
        <v>238</v>
      </c>
      <c r="D1667" t="s">
        <v>262</v>
      </c>
      <c r="E1667" t="s">
        <v>229</v>
      </c>
      <c r="F1667">
        <v>2008</v>
      </c>
      <c r="G1667">
        <v>2.72E-4</v>
      </c>
      <c r="H1667" t="s">
        <v>240</v>
      </c>
      <c r="I1667" t="s">
        <v>241</v>
      </c>
      <c r="J1667" t="s">
        <v>3</v>
      </c>
      <c r="K1667" s="183">
        <f ca="1">VLOOKUP(F1667,
    OFFSET(INDIRECT(ADDRESS(MATCH(J1667,'Vehicle numbers'!$A$5:$A$162,0),1,1,1,$L$6)),4,1,COUNTIF('Vehicle numbers'!$A$5:$A$162,J1667),4),
    MATCH(K$8,'Vehicle numbers'!$B$4:$D$4,0))*1000</f>
        <v>1274568</v>
      </c>
      <c r="L1667" s="183">
        <f ca="1">VLOOKUP(F1667,
    OFFSET(INDIRECT(ADDRESS(MATCH(J1667,'Vehicle numbers'!$A$5:$A$162,0),1,1,1,$L$6)),4,1,COUNTIF('Vehicle numbers'!$A$5:$A$162,J1667),4),
    MATCH(L$8,'Vehicle numbers'!$B$4:$D$4,0))*1000</f>
        <v>1297989.6903665159</v>
      </c>
      <c r="M1667" s="184">
        <f>VLOOKUP(F1667,'Annual distance covered (GB)'!$A$8:$H$33,MATCH(J1667,'Annual distance covered (GB)'!$A$7:$H$7,0))</f>
        <v>5</v>
      </c>
      <c r="N1667" s="2">
        <f t="shared" ca="1" si="64"/>
        <v>1384.9916041344686</v>
      </c>
      <c r="O1667" s="180">
        <f t="shared" ca="1" si="65"/>
        <v>1.0670282009276868E-3</v>
      </c>
      <c r="P1667" s="180"/>
      <c r="Q1667" s="180"/>
      <c r="R1667" s="180"/>
      <c r="S1667" s="180"/>
      <c r="T1667" s="180"/>
    </row>
    <row r="1668" spans="1:20" x14ac:dyDescent="0.25">
      <c r="A1668" t="s">
        <v>244</v>
      </c>
      <c r="B1668" t="s">
        <v>237</v>
      </c>
      <c r="C1668" t="s">
        <v>238</v>
      </c>
      <c r="D1668" t="s">
        <v>262</v>
      </c>
      <c r="E1668" t="s">
        <v>229</v>
      </c>
      <c r="F1668">
        <v>2008</v>
      </c>
      <c r="G1668" s="189">
        <v>6.7999999999999999E-5</v>
      </c>
      <c r="H1668" t="s">
        <v>240</v>
      </c>
      <c r="I1668" t="s">
        <v>241</v>
      </c>
      <c r="J1668" t="s">
        <v>3</v>
      </c>
      <c r="K1668" s="183">
        <f ca="1">VLOOKUP(F1668,
    OFFSET(INDIRECT(ADDRESS(MATCH(J1668,'Vehicle numbers'!$A$5:$A$162,0),1,1,1,$L$6)),4,1,COUNTIF('Vehicle numbers'!$A$5:$A$162,J1668),4),
    MATCH(K$8,'Vehicle numbers'!$B$4:$D$4,0))*1000</f>
        <v>1274568</v>
      </c>
      <c r="L1668" s="183">
        <f ca="1">VLOOKUP(F1668,
    OFFSET(INDIRECT(ADDRESS(MATCH(J1668,'Vehicle numbers'!$A$5:$A$162,0),1,1,1,$L$6)),4,1,COUNTIF('Vehicle numbers'!$A$5:$A$162,J1668),4),
    MATCH(L$8,'Vehicle numbers'!$B$4:$D$4,0))*1000</f>
        <v>1297989.6903665159</v>
      </c>
      <c r="M1668" s="184">
        <f>VLOOKUP(F1668,'Annual distance covered (GB)'!$A$8:$H$33,MATCH(J1668,'Annual distance covered (GB)'!$A$7:$H$7,0))</f>
        <v>5</v>
      </c>
      <c r="N1668" s="2">
        <f t="shared" ca="1" si="64"/>
        <v>346.24790103361715</v>
      </c>
      <c r="O1668" s="180">
        <f t="shared" ca="1" si="65"/>
        <v>2.6675705023192171E-4</v>
      </c>
      <c r="P1668" s="180"/>
      <c r="Q1668" s="180"/>
      <c r="R1668" s="180"/>
      <c r="S1668" s="180"/>
      <c r="T1668" s="180"/>
    </row>
    <row r="1669" spans="1:20" x14ac:dyDescent="0.25">
      <c r="A1669" t="s">
        <v>246</v>
      </c>
      <c r="B1669" t="s">
        <v>237</v>
      </c>
      <c r="C1669" t="s">
        <v>238</v>
      </c>
      <c r="D1669" t="s">
        <v>262</v>
      </c>
      <c r="E1669" t="s">
        <v>229</v>
      </c>
      <c r="F1669">
        <v>2008</v>
      </c>
      <c r="G1669" s="189">
        <v>5.4400000000000001E-5</v>
      </c>
      <c r="H1669" t="s">
        <v>240</v>
      </c>
      <c r="I1669" t="s">
        <v>241</v>
      </c>
      <c r="J1669" t="s">
        <v>3</v>
      </c>
      <c r="K1669" s="183">
        <f ca="1">VLOOKUP(F1669,
    OFFSET(INDIRECT(ADDRESS(MATCH(J1669,'Vehicle numbers'!$A$5:$A$162,0),1,1,1,$L$6)),4,1,COUNTIF('Vehicle numbers'!$A$5:$A$162,J1669),4),
    MATCH(K$8,'Vehicle numbers'!$B$4:$D$4,0))*1000</f>
        <v>1274568</v>
      </c>
      <c r="L1669" s="183">
        <f ca="1">VLOOKUP(F1669,
    OFFSET(INDIRECT(ADDRESS(MATCH(J1669,'Vehicle numbers'!$A$5:$A$162,0),1,1,1,$L$6)),4,1,COUNTIF('Vehicle numbers'!$A$5:$A$162,J1669),4),
    MATCH(L$8,'Vehicle numbers'!$B$4:$D$4,0))*1000</f>
        <v>1297989.6903665159</v>
      </c>
      <c r="M1669" s="184">
        <f>VLOOKUP(F1669,'Annual distance covered (GB)'!$A$8:$H$33,MATCH(J1669,'Annual distance covered (GB)'!$A$7:$H$7,0))</f>
        <v>5</v>
      </c>
      <c r="N1669" s="2">
        <f t="shared" ca="1" si="64"/>
        <v>276.99832082689375</v>
      </c>
      <c r="O1669" s="180">
        <f t="shared" ca="1" si="65"/>
        <v>2.1340564018553737E-4</v>
      </c>
      <c r="P1669" s="180"/>
      <c r="Q1669" s="180"/>
      <c r="R1669" s="180"/>
      <c r="S1669" s="180"/>
      <c r="T1669" s="180"/>
    </row>
    <row r="1670" spans="1:20" x14ac:dyDescent="0.25">
      <c r="A1670" t="s">
        <v>236</v>
      </c>
      <c r="B1670" t="s">
        <v>237</v>
      </c>
      <c r="C1670" t="s">
        <v>238</v>
      </c>
      <c r="D1670" t="s">
        <v>262</v>
      </c>
      <c r="E1670" t="s">
        <v>228</v>
      </c>
      <c r="F1670">
        <v>2008</v>
      </c>
      <c r="G1670">
        <v>2.49E-3</v>
      </c>
      <c r="H1670" t="s">
        <v>240</v>
      </c>
      <c r="I1670" t="s">
        <v>241</v>
      </c>
      <c r="J1670" t="s">
        <v>3</v>
      </c>
      <c r="K1670" s="183">
        <f ca="1">VLOOKUP(F1670,
    OFFSET(INDIRECT(ADDRESS(MATCH(J1670,'Vehicle numbers'!$A$5:$A$162,0),1,1,1,$L$6)),4,1,COUNTIF('Vehicle numbers'!$A$5:$A$162,J1670),4),
    MATCH(K$8,'Vehicle numbers'!$B$4:$D$4,0))*1000</f>
        <v>1274568</v>
      </c>
      <c r="L1670" s="183">
        <f ca="1">VLOOKUP(F1670,
    OFFSET(INDIRECT(ADDRESS(MATCH(J1670,'Vehicle numbers'!$A$5:$A$162,0),1,1,1,$L$6)),4,1,COUNTIF('Vehicle numbers'!$A$5:$A$162,J1670),4),
    MATCH(L$8,'Vehicle numbers'!$B$4:$D$4,0))*1000</f>
        <v>1297989.6903665159</v>
      </c>
      <c r="M1670" s="184">
        <f>VLOOKUP(F1670,'Annual distance covered (GB)'!$A$8:$H$33,MATCH(J1670,'Annual distance covered (GB)'!$A$7:$H$7,0))</f>
        <v>5</v>
      </c>
      <c r="N1670" s="2">
        <f t="shared" ca="1" si="64"/>
        <v>12678.783434907453</v>
      </c>
      <c r="O1670" s="180">
        <f t="shared" ca="1" si="65"/>
        <v>9.7680155158453678E-3</v>
      </c>
      <c r="P1670" s="180"/>
      <c r="Q1670" s="180"/>
      <c r="R1670" s="180"/>
      <c r="S1670" s="180"/>
      <c r="T1670" s="180"/>
    </row>
    <row r="1671" spans="1:20" x14ac:dyDescent="0.25">
      <c r="A1671" t="s">
        <v>243</v>
      </c>
      <c r="B1671" t="s">
        <v>237</v>
      </c>
      <c r="C1671" t="s">
        <v>238</v>
      </c>
      <c r="D1671" t="s">
        <v>262</v>
      </c>
      <c r="E1671" t="s">
        <v>228</v>
      </c>
      <c r="F1671">
        <v>2008</v>
      </c>
      <c r="G1671">
        <v>1.743E-3</v>
      </c>
      <c r="H1671" t="s">
        <v>240</v>
      </c>
      <c r="I1671" t="s">
        <v>241</v>
      </c>
      <c r="J1671" t="s">
        <v>3</v>
      </c>
      <c r="K1671" s="183">
        <f ca="1">VLOOKUP(F1671,
    OFFSET(INDIRECT(ADDRESS(MATCH(J1671,'Vehicle numbers'!$A$5:$A$162,0),1,1,1,$L$6)),4,1,COUNTIF('Vehicle numbers'!$A$5:$A$162,J1671),4),
    MATCH(K$8,'Vehicle numbers'!$B$4:$D$4,0))*1000</f>
        <v>1274568</v>
      </c>
      <c r="L1671" s="183">
        <f ca="1">VLOOKUP(F1671,
    OFFSET(INDIRECT(ADDRESS(MATCH(J1671,'Vehicle numbers'!$A$5:$A$162,0),1,1,1,$L$6)),4,1,COUNTIF('Vehicle numbers'!$A$5:$A$162,J1671),4),
    MATCH(L$8,'Vehicle numbers'!$B$4:$D$4,0))*1000</f>
        <v>1297989.6903665159</v>
      </c>
      <c r="M1671" s="184">
        <f>VLOOKUP(F1671,'Annual distance covered (GB)'!$A$8:$H$33,MATCH(J1671,'Annual distance covered (GB)'!$A$7:$H$7,0))</f>
        <v>5</v>
      </c>
      <c r="N1671" s="2">
        <f t="shared" ca="1" si="64"/>
        <v>8875.1484044352164</v>
      </c>
      <c r="O1671" s="180">
        <f t="shared" ca="1" si="65"/>
        <v>6.8376108610917578E-3</v>
      </c>
      <c r="P1671" s="180"/>
      <c r="Q1671" s="180"/>
      <c r="R1671" s="180"/>
      <c r="S1671" s="180"/>
      <c r="T1671" s="180"/>
    </row>
    <row r="1672" spans="1:20" x14ac:dyDescent="0.25">
      <c r="A1672" t="s">
        <v>244</v>
      </c>
      <c r="B1672" t="s">
        <v>237</v>
      </c>
      <c r="C1672" t="s">
        <v>238</v>
      </c>
      <c r="D1672" t="s">
        <v>262</v>
      </c>
      <c r="E1672" t="s">
        <v>228</v>
      </c>
      <c r="F1672">
        <v>2008</v>
      </c>
      <c r="G1672">
        <v>2.4549295774647798E-4</v>
      </c>
      <c r="H1672" t="s">
        <v>240</v>
      </c>
      <c r="I1672" t="s">
        <v>241</v>
      </c>
      <c r="J1672" t="s">
        <v>3</v>
      </c>
      <c r="K1672" s="183">
        <f ca="1">VLOOKUP(F1672,
    OFFSET(INDIRECT(ADDRESS(MATCH(J1672,'Vehicle numbers'!$A$5:$A$162,0),1,1,1,$L$6)),4,1,COUNTIF('Vehicle numbers'!$A$5:$A$162,J1672),4),
    MATCH(K$8,'Vehicle numbers'!$B$4:$D$4,0))*1000</f>
        <v>1274568</v>
      </c>
      <c r="L1672" s="183">
        <f ca="1">VLOOKUP(F1672,
    OFFSET(INDIRECT(ADDRESS(MATCH(J1672,'Vehicle numbers'!$A$5:$A$162,0),1,1,1,$L$6)),4,1,COUNTIF('Vehicle numbers'!$A$5:$A$162,J1672),4),
    MATCH(L$8,'Vehicle numbers'!$B$4:$D$4,0))*1000</f>
        <v>1297989.6903665159</v>
      </c>
      <c r="M1672" s="184">
        <f>VLOOKUP(F1672,'Annual distance covered (GB)'!$A$8:$H$33,MATCH(J1672,'Annual distance covered (GB)'!$A$7:$H$7,0))</f>
        <v>5</v>
      </c>
      <c r="N1672" s="2">
        <f t="shared" ca="1" si="64"/>
        <v>1250.0209020331247</v>
      </c>
      <c r="O1672" s="180">
        <f t="shared" ca="1" si="65"/>
        <v>9.6304378325235687E-4</v>
      </c>
      <c r="P1672" s="180"/>
      <c r="Q1672" s="180"/>
      <c r="R1672" s="180"/>
      <c r="S1672" s="180"/>
      <c r="T1672" s="180"/>
    </row>
    <row r="1673" spans="1:20" x14ac:dyDescent="0.25">
      <c r="A1673" t="s">
        <v>246</v>
      </c>
      <c r="B1673" t="s">
        <v>237</v>
      </c>
      <c r="C1673" t="s">
        <v>238</v>
      </c>
      <c r="D1673" t="s">
        <v>262</v>
      </c>
      <c r="E1673" t="s">
        <v>228</v>
      </c>
      <c r="F1673">
        <v>2008</v>
      </c>
      <c r="G1673">
        <v>1.96394366197183E-4</v>
      </c>
      <c r="H1673" t="s">
        <v>240</v>
      </c>
      <c r="I1673" t="s">
        <v>241</v>
      </c>
      <c r="J1673" t="s">
        <v>3</v>
      </c>
      <c r="K1673" s="183">
        <f ca="1">VLOOKUP(F1673,
    OFFSET(INDIRECT(ADDRESS(MATCH(J1673,'Vehicle numbers'!$A$5:$A$162,0),1,1,1,$L$6)),4,1,COUNTIF('Vehicle numbers'!$A$5:$A$162,J1673),4),
    MATCH(K$8,'Vehicle numbers'!$B$4:$D$4,0))*1000</f>
        <v>1274568</v>
      </c>
      <c r="L1673" s="183">
        <f ca="1">VLOOKUP(F1673,
    OFFSET(INDIRECT(ADDRESS(MATCH(J1673,'Vehicle numbers'!$A$5:$A$162,0),1,1,1,$L$6)),4,1,COUNTIF('Vehicle numbers'!$A$5:$A$162,J1673),4),
    MATCH(L$8,'Vehicle numbers'!$B$4:$D$4,0))*1000</f>
        <v>1297989.6903665159</v>
      </c>
      <c r="M1673" s="184">
        <f>VLOOKUP(F1673,'Annual distance covered (GB)'!$A$8:$H$33,MATCH(J1673,'Annual distance covered (GB)'!$A$7:$H$7,0))</f>
        <v>5</v>
      </c>
      <c r="N1673" s="2">
        <f t="shared" ca="1" si="64"/>
        <v>1000.0167216265028</v>
      </c>
      <c r="O1673" s="180">
        <f t="shared" ca="1" si="65"/>
        <v>7.7043502660188777E-4</v>
      </c>
      <c r="P1673" s="180"/>
      <c r="Q1673" s="180"/>
      <c r="R1673" s="180"/>
      <c r="S1673" s="180"/>
      <c r="T1673" s="180"/>
    </row>
    <row r="1674" spans="1:20" x14ac:dyDescent="0.25">
      <c r="A1674" t="s">
        <v>236</v>
      </c>
      <c r="B1674" t="s">
        <v>237</v>
      </c>
      <c r="C1674" t="s">
        <v>238</v>
      </c>
      <c r="D1674" t="s">
        <v>263</v>
      </c>
      <c r="E1674" t="s">
        <v>229</v>
      </c>
      <c r="F1674">
        <v>2008</v>
      </c>
      <c r="G1674">
        <v>2.764E-3</v>
      </c>
      <c r="H1674" t="s">
        <v>240</v>
      </c>
      <c r="I1674" t="s">
        <v>241</v>
      </c>
      <c r="J1674" t="s">
        <v>3</v>
      </c>
      <c r="K1674" s="183">
        <f ca="1">VLOOKUP(F1674,
    OFFSET(INDIRECT(ADDRESS(MATCH(J1674,'Vehicle numbers'!$A$5:$A$162,0),1,1,1,$L$6)),4,1,COUNTIF('Vehicle numbers'!$A$5:$A$162,J1674),4),
    MATCH(K$8,'Vehicle numbers'!$B$4:$D$4,0))*1000</f>
        <v>1274568</v>
      </c>
      <c r="L1674" s="183">
        <f ca="1">VLOOKUP(F1674,
    OFFSET(INDIRECT(ADDRESS(MATCH(J1674,'Vehicle numbers'!$A$5:$A$162,0),1,1,1,$L$6)),4,1,COUNTIF('Vehicle numbers'!$A$5:$A$162,J1674),4),
    MATCH(L$8,'Vehicle numbers'!$B$4:$D$4,0))*1000</f>
        <v>1297989.6903665159</v>
      </c>
      <c r="M1674" s="184">
        <f>VLOOKUP(F1674,'Annual distance covered (GB)'!$A$8:$H$33,MATCH(J1674,'Annual distance covered (GB)'!$A$7:$H$7,0))</f>
        <v>5</v>
      </c>
      <c r="N1674" s="2">
        <f t="shared" ca="1" si="64"/>
        <v>14073.958800837027</v>
      </c>
      <c r="O1674" s="180">
        <f t="shared" ca="1" si="65"/>
        <v>1.0842889512368111E-2</v>
      </c>
      <c r="P1674" s="180"/>
      <c r="Q1674" s="180"/>
      <c r="R1674" s="180"/>
      <c r="S1674" s="180"/>
      <c r="T1674" s="180"/>
    </row>
    <row r="1675" spans="1:20" x14ac:dyDescent="0.25">
      <c r="A1675" t="s">
        <v>243</v>
      </c>
      <c r="B1675" t="s">
        <v>237</v>
      </c>
      <c r="C1675" t="s">
        <v>238</v>
      </c>
      <c r="D1675" t="s">
        <v>263</v>
      </c>
      <c r="E1675" t="s">
        <v>229</v>
      </c>
      <c r="F1675">
        <v>2008</v>
      </c>
      <c r="G1675">
        <v>1.1056E-3</v>
      </c>
      <c r="H1675" t="s">
        <v>240</v>
      </c>
      <c r="I1675" t="s">
        <v>241</v>
      </c>
      <c r="J1675" t="s">
        <v>3</v>
      </c>
      <c r="K1675" s="183">
        <f ca="1">VLOOKUP(F1675,
    OFFSET(INDIRECT(ADDRESS(MATCH(J1675,'Vehicle numbers'!$A$5:$A$162,0),1,1,1,$L$6)),4,1,COUNTIF('Vehicle numbers'!$A$5:$A$162,J1675),4),
    MATCH(K$8,'Vehicle numbers'!$B$4:$D$4,0))*1000</f>
        <v>1274568</v>
      </c>
      <c r="L1675" s="183">
        <f ca="1">VLOOKUP(F1675,
    OFFSET(INDIRECT(ADDRESS(MATCH(J1675,'Vehicle numbers'!$A$5:$A$162,0),1,1,1,$L$6)),4,1,COUNTIF('Vehicle numbers'!$A$5:$A$162,J1675),4),
    MATCH(L$8,'Vehicle numbers'!$B$4:$D$4,0))*1000</f>
        <v>1297989.6903665159</v>
      </c>
      <c r="M1675" s="184">
        <f>VLOOKUP(F1675,'Annual distance covered (GB)'!$A$8:$H$33,MATCH(J1675,'Annual distance covered (GB)'!$A$7:$H$7,0))</f>
        <v>5</v>
      </c>
      <c r="N1675" s="2">
        <f t="shared" ref="N1675:N1738" ca="1" si="66">M1675*G1675*1000000*(L1675/K1675)</f>
        <v>5629.5835203348106</v>
      </c>
      <c r="O1675" s="180">
        <f t="shared" ref="O1675:O1738" ca="1" si="67">N1675/L1675</f>
        <v>4.3371558049472439E-3</v>
      </c>
      <c r="P1675" s="180"/>
      <c r="Q1675" s="180"/>
      <c r="R1675" s="180"/>
      <c r="S1675" s="180"/>
      <c r="T1675" s="180"/>
    </row>
    <row r="1676" spans="1:20" x14ac:dyDescent="0.25">
      <c r="A1676" t="s">
        <v>244</v>
      </c>
      <c r="B1676" t="s">
        <v>237</v>
      </c>
      <c r="C1676" t="s">
        <v>238</v>
      </c>
      <c r="D1676" t="s">
        <v>263</v>
      </c>
      <c r="E1676" t="s">
        <v>229</v>
      </c>
      <c r="F1676">
        <v>2008</v>
      </c>
      <c r="G1676">
        <v>2.764E-4</v>
      </c>
      <c r="H1676" t="s">
        <v>240</v>
      </c>
      <c r="I1676" t="s">
        <v>241</v>
      </c>
      <c r="J1676" t="s">
        <v>3</v>
      </c>
      <c r="K1676" s="183">
        <f ca="1">VLOOKUP(F1676,
    OFFSET(INDIRECT(ADDRESS(MATCH(J1676,'Vehicle numbers'!$A$5:$A$162,0),1,1,1,$L$6)),4,1,COUNTIF('Vehicle numbers'!$A$5:$A$162,J1676),4),
    MATCH(K$8,'Vehicle numbers'!$B$4:$D$4,0))*1000</f>
        <v>1274568</v>
      </c>
      <c r="L1676" s="183">
        <f ca="1">VLOOKUP(F1676,
    OFFSET(INDIRECT(ADDRESS(MATCH(J1676,'Vehicle numbers'!$A$5:$A$162,0),1,1,1,$L$6)),4,1,COUNTIF('Vehicle numbers'!$A$5:$A$162,J1676),4),
    MATCH(L$8,'Vehicle numbers'!$B$4:$D$4,0))*1000</f>
        <v>1297989.6903665159</v>
      </c>
      <c r="M1676" s="184">
        <f>VLOOKUP(F1676,'Annual distance covered (GB)'!$A$8:$H$33,MATCH(J1676,'Annual distance covered (GB)'!$A$7:$H$7,0))</f>
        <v>5</v>
      </c>
      <c r="N1676" s="2">
        <f t="shared" ca="1" si="66"/>
        <v>1407.3958800837027</v>
      </c>
      <c r="O1676" s="180">
        <f t="shared" ca="1" si="67"/>
        <v>1.084288951236811E-3</v>
      </c>
      <c r="P1676" s="180"/>
      <c r="Q1676" s="180"/>
      <c r="R1676" s="180"/>
      <c r="S1676" s="180"/>
      <c r="T1676" s="180"/>
    </row>
    <row r="1677" spans="1:20" x14ac:dyDescent="0.25">
      <c r="A1677" t="s">
        <v>246</v>
      </c>
      <c r="B1677" t="s">
        <v>237</v>
      </c>
      <c r="C1677" t="s">
        <v>238</v>
      </c>
      <c r="D1677" t="s">
        <v>263</v>
      </c>
      <c r="E1677" t="s">
        <v>229</v>
      </c>
      <c r="F1677">
        <v>2008</v>
      </c>
      <c r="G1677">
        <v>2.2112E-4</v>
      </c>
      <c r="H1677" t="s">
        <v>240</v>
      </c>
      <c r="I1677" t="s">
        <v>241</v>
      </c>
      <c r="J1677" t="s">
        <v>3</v>
      </c>
      <c r="K1677" s="183">
        <f ca="1">VLOOKUP(F1677,
    OFFSET(INDIRECT(ADDRESS(MATCH(J1677,'Vehicle numbers'!$A$5:$A$162,0),1,1,1,$L$6)),4,1,COUNTIF('Vehicle numbers'!$A$5:$A$162,J1677),4),
    MATCH(K$8,'Vehicle numbers'!$B$4:$D$4,0))*1000</f>
        <v>1274568</v>
      </c>
      <c r="L1677" s="183">
        <f ca="1">VLOOKUP(F1677,
    OFFSET(INDIRECT(ADDRESS(MATCH(J1677,'Vehicle numbers'!$A$5:$A$162,0),1,1,1,$L$6)),4,1,COUNTIF('Vehicle numbers'!$A$5:$A$162,J1677),4),
    MATCH(L$8,'Vehicle numbers'!$B$4:$D$4,0))*1000</f>
        <v>1297989.6903665159</v>
      </c>
      <c r="M1677" s="184">
        <f>VLOOKUP(F1677,'Annual distance covered (GB)'!$A$8:$H$33,MATCH(J1677,'Annual distance covered (GB)'!$A$7:$H$7,0))</f>
        <v>5</v>
      </c>
      <c r="N1677" s="2">
        <f t="shared" ca="1" si="66"/>
        <v>1125.9167040669622</v>
      </c>
      <c r="O1677" s="180">
        <f t="shared" ca="1" si="67"/>
        <v>8.6743116098944898E-4</v>
      </c>
      <c r="P1677" s="180"/>
      <c r="Q1677" s="180"/>
      <c r="R1677" s="180"/>
      <c r="S1677" s="180"/>
      <c r="T1677" s="180"/>
    </row>
    <row r="1678" spans="1:20" x14ac:dyDescent="0.25">
      <c r="A1678" t="s">
        <v>236</v>
      </c>
      <c r="B1678" t="s">
        <v>237</v>
      </c>
      <c r="C1678" t="s">
        <v>238</v>
      </c>
      <c r="D1678" t="s">
        <v>263</v>
      </c>
      <c r="E1678" t="s">
        <v>228</v>
      </c>
      <c r="F1678">
        <v>2008</v>
      </c>
      <c r="G1678">
        <v>2.9239999999999999E-3</v>
      </c>
      <c r="H1678" t="s">
        <v>240</v>
      </c>
      <c r="I1678" t="s">
        <v>241</v>
      </c>
      <c r="J1678" t="s">
        <v>3</v>
      </c>
      <c r="K1678" s="183">
        <f ca="1">VLOOKUP(F1678,
    OFFSET(INDIRECT(ADDRESS(MATCH(J1678,'Vehicle numbers'!$A$5:$A$162,0),1,1,1,$L$6)),4,1,COUNTIF('Vehicle numbers'!$A$5:$A$162,J1678),4),
    MATCH(K$8,'Vehicle numbers'!$B$4:$D$4,0))*1000</f>
        <v>1274568</v>
      </c>
      <c r="L1678" s="183">
        <f ca="1">VLOOKUP(F1678,
    OFFSET(INDIRECT(ADDRESS(MATCH(J1678,'Vehicle numbers'!$A$5:$A$162,0),1,1,1,$L$6)),4,1,COUNTIF('Vehicle numbers'!$A$5:$A$162,J1678),4),
    MATCH(L$8,'Vehicle numbers'!$B$4:$D$4,0))*1000</f>
        <v>1297989.6903665159</v>
      </c>
      <c r="M1678" s="184">
        <f>VLOOKUP(F1678,'Annual distance covered (GB)'!$A$8:$H$33,MATCH(J1678,'Annual distance covered (GB)'!$A$7:$H$7,0))</f>
        <v>5</v>
      </c>
      <c r="N1678" s="2">
        <f t="shared" ca="1" si="66"/>
        <v>14888.659744445538</v>
      </c>
      <c r="O1678" s="180">
        <f t="shared" ca="1" si="67"/>
        <v>1.1470553159972634E-2</v>
      </c>
      <c r="P1678" s="180"/>
      <c r="Q1678" s="180"/>
      <c r="R1678" s="180"/>
      <c r="S1678" s="180"/>
      <c r="T1678" s="180"/>
    </row>
    <row r="1679" spans="1:20" x14ac:dyDescent="0.25">
      <c r="A1679" t="s">
        <v>243</v>
      </c>
      <c r="B1679" t="s">
        <v>237</v>
      </c>
      <c r="C1679" t="s">
        <v>238</v>
      </c>
      <c r="D1679" t="s">
        <v>263</v>
      </c>
      <c r="E1679" t="s">
        <v>228</v>
      </c>
      <c r="F1679">
        <v>2008</v>
      </c>
      <c r="G1679">
        <v>2.0468000000000001E-3</v>
      </c>
      <c r="H1679" t="s">
        <v>240</v>
      </c>
      <c r="I1679" t="s">
        <v>241</v>
      </c>
      <c r="J1679" t="s">
        <v>3</v>
      </c>
      <c r="K1679" s="183">
        <f ca="1">VLOOKUP(F1679,
    OFFSET(INDIRECT(ADDRESS(MATCH(J1679,'Vehicle numbers'!$A$5:$A$162,0),1,1,1,$L$6)),4,1,COUNTIF('Vehicle numbers'!$A$5:$A$162,J1679),4),
    MATCH(K$8,'Vehicle numbers'!$B$4:$D$4,0))*1000</f>
        <v>1274568</v>
      </c>
      <c r="L1679" s="183">
        <f ca="1">VLOOKUP(F1679,
    OFFSET(INDIRECT(ADDRESS(MATCH(J1679,'Vehicle numbers'!$A$5:$A$162,0),1,1,1,$L$6)),4,1,COUNTIF('Vehicle numbers'!$A$5:$A$162,J1679),4),
    MATCH(L$8,'Vehicle numbers'!$B$4:$D$4,0))*1000</f>
        <v>1297989.6903665159</v>
      </c>
      <c r="M1679" s="184">
        <f>VLOOKUP(F1679,'Annual distance covered (GB)'!$A$8:$H$33,MATCH(J1679,'Annual distance covered (GB)'!$A$7:$H$7,0))</f>
        <v>5</v>
      </c>
      <c r="N1679" s="2">
        <f t="shared" ca="1" si="66"/>
        <v>10422.061821111876</v>
      </c>
      <c r="O1679" s="180">
        <f t="shared" ca="1" si="67"/>
        <v>8.0293872119808433E-3</v>
      </c>
      <c r="P1679" s="180"/>
      <c r="Q1679" s="180"/>
      <c r="R1679" s="180"/>
      <c r="S1679" s="180"/>
      <c r="T1679" s="180"/>
    </row>
    <row r="1680" spans="1:20" x14ac:dyDescent="0.25">
      <c r="A1680" t="s">
        <v>244</v>
      </c>
      <c r="B1680" t="s">
        <v>237</v>
      </c>
      <c r="C1680" t="s">
        <v>238</v>
      </c>
      <c r="D1680" t="s">
        <v>263</v>
      </c>
      <c r="E1680" t="s">
        <v>228</v>
      </c>
      <c r="F1680">
        <v>2008</v>
      </c>
      <c r="G1680">
        <v>2.8828169014084501E-4</v>
      </c>
      <c r="H1680" t="s">
        <v>240</v>
      </c>
      <c r="I1680" t="s">
        <v>241</v>
      </c>
      <c r="J1680" t="s">
        <v>3</v>
      </c>
      <c r="K1680" s="183">
        <f ca="1">VLOOKUP(F1680,
    OFFSET(INDIRECT(ADDRESS(MATCH(J1680,'Vehicle numbers'!$A$5:$A$162,0),1,1,1,$L$6)),4,1,COUNTIF('Vehicle numbers'!$A$5:$A$162,J1680),4),
    MATCH(K$8,'Vehicle numbers'!$B$4:$D$4,0))*1000</f>
        <v>1274568</v>
      </c>
      <c r="L1680" s="183">
        <f ca="1">VLOOKUP(F1680,
    OFFSET(INDIRECT(ADDRESS(MATCH(J1680,'Vehicle numbers'!$A$5:$A$162,0),1,1,1,$L$6)),4,1,COUNTIF('Vehicle numbers'!$A$5:$A$162,J1680),4),
    MATCH(L$8,'Vehicle numbers'!$B$4:$D$4,0))*1000</f>
        <v>1297989.6903665159</v>
      </c>
      <c r="M1680" s="184">
        <f>VLOOKUP(F1680,'Annual distance covered (GB)'!$A$8:$H$33,MATCH(J1680,'Annual distance covered (GB)'!$A$7:$H$7,0))</f>
        <v>5</v>
      </c>
      <c r="N1680" s="2">
        <f t="shared" ca="1" si="66"/>
        <v>1467.8960311425176</v>
      </c>
      <c r="O1680" s="180">
        <f t="shared" ca="1" si="67"/>
        <v>1.1308996073212453E-3</v>
      </c>
      <c r="P1680" s="180"/>
      <c r="Q1680" s="180"/>
      <c r="R1680" s="180"/>
      <c r="S1680" s="180"/>
      <c r="T1680" s="180"/>
    </row>
    <row r="1681" spans="1:20" x14ac:dyDescent="0.25">
      <c r="A1681" t="s">
        <v>246</v>
      </c>
      <c r="B1681" t="s">
        <v>237</v>
      </c>
      <c r="C1681" t="s">
        <v>238</v>
      </c>
      <c r="D1681" t="s">
        <v>263</v>
      </c>
      <c r="E1681" t="s">
        <v>228</v>
      </c>
      <c r="F1681">
        <v>2008</v>
      </c>
      <c r="G1681">
        <v>2.3062535211267599E-4</v>
      </c>
      <c r="H1681" t="s">
        <v>240</v>
      </c>
      <c r="I1681" t="s">
        <v>241</v>
      </c>
      <c r="J1681" t="s">
        <v>3</v>
      </c>
      <c r="K1681" s="183">
        <f ca="1">VLOOKUP(F1681,
    OFFSET(INDIRECT(ADDRESS(MATCH(J1681,'Vehicle numbers'!$A$5:$A$162,0),1,1,1,$L$6)),4,1,COUNTIF('Vehicle numbers'!$A$5:$A$162,J1681),4),
    MATCH(K$8,'Vehicle numbers'!$B$4:$D$4,0))*1000</f>
        <v>1274568</v>
      </c>
      <c r="L1681" s="183">
        <f ca="1">VLOOKUP(F1681,
    OFFSET(INDIRECT(ADDRESS(MATCH(J1681,'Vehicle numbers'!$A$5:$A$162,0),1,1,1,$L$6)),4,1,COUNTIF('Vehicle numbers'!$A$5:$A$162,J1681),4),
    MATCH(L$8,'Vehicle numbers'!$B$4:$D$4,0))*1000</f>
        <v>1297989.6903665159</v>
      </c>
      <c r="M1681" s="184">
        <f>VLOOKUP(F1681,'Annual distance covered (GB)'!$A$8:$H$33,MATCH(J1681,'Annual distance covered (GB)'!$A$7:$H$7,0))</f>
        <v>5</v>
      </c>
      <c r="N1681" s="2">
        <f t="shared" ca="1" si="66"/>
        <v>1174.316824914014</v>
      </c>
      <c r="O1681" s="180">
        <f t="shared" ca="1" si="67"/>
        <v>9.0471968585699621E-4</v>
      </c>
      <c r="P1681" s="180"/>
      <c r="Q1681" s="180"/>
      <c r="R1681" s="180"/>
      <c r="S1681" s="180"/>
      <c r="T1681" s="180"/>
    </row>
    <row r="1682" spans="1:20" x14ac:dyDescent="0.25">
      <c r="A1682" t="s">
        <v>236</v>
      </c>
      <c r="B1682" t="s">
        <v>237</v>
      </c>
      <c r="C1682" t="s">
        <v>238</v>
      </c>
      <c r="D1682" t="s">
        <v>264</v>
      </c>
      <c r="E1682" t="s">
        <v>229</v>
      </c>
      <c r="F1682">
        <v>2008</v>
      </c>
      <c r="G1682">
        <v>5.8399999999999997E-3</v>
      </c>
      <c r="H1682" t="s">
        <v>240</v>
      </c>
      <c r="I1682" t="s">
        <v>241</v>
      </c>
      <c r="J1682" t="s">
        <v>3</v>
      </c>
      <c r="K1682" s="183">
        <f ca="1">VLOOKUP(F1682,
    OFFSET(INDIRECT(ADDRESS(MATCH(J1682,'Vehicle numbers'!$A$5:$A$162,0),1,1,1,$L$6)),4,1,COUNTIF('Vehicle numbers'!$A$5:$A$162,J1682),4),
    MATCH(K$8,'Vehicle numbers'!$B$4:$D$4,0))*1000</f>
        <v>1274568</v>
      </c>
      <c r="L1682" s="183">
        <f ca="1">VLOOKUP(F1682,
    OFFSET(INDIRECT(ADDRESS(MATCH(J1682,'Vehicle numbers'!$A$5:$A$162,0),1,1,1,$L$6)),4,1,COUNTIF('Vehicle numbers'!$A$5:$A$162,J1682),4),
    MATCH(L$8,'Vehicle numbers'!$B$4:$D$4,0))*1000</f>
        <v>1297989.6903665159</v>
      </c>
      <c r="M1682" s="184">
        <f>VLOOKUP(F1682,'Annual distance covered (GB)'!$A$8:$H$33,MATCH(J1682,'Annual distance covered (GB)'!$A$7:$H$7,0))</f>
        <v>5</v>
      </c>
      <c r="N1682" s="2">
        <f t="shared" ca="1" si="66"/>
        <v>29736.584441710649</v>
      </c>
      <c r="O1682" s="180">
        <f t="shared" ca="1" si="67"/>
        <v>2.2909723137565039E-2</v>
      </c>
      <c r="P1682" s="180"/>
      <c r="Q1682" s="180"/>
      <c r="R1682" s="180"/>
      <c r="S1682" s="180"/>
      <c r="T1682" s="180"/>
    </row>
    <row r="1683" spans="1:20" x14ac:dyDescent="0.25">
      <c r="A1683" t="s">
        <v>243</v>
      </c>
      <c r="B1683" t="s">
        <v>237</v>
      </c>
      <c r="C1683" t="s">
        <v>238</v>
      </c>
      <c r="D1683" t="s">
        <v>264</v>
      </c>
      <c r="E1683" t="s">
        <v>229</v>
      </c>
      <c r="F1683">
        <v>2008</v>
      </c>
      <c r="G1683">
        <v>2.336E-3</v>
      </c>
      <c r="H1683" t="s">
        <v>240</v>
      </c>
      <c r="I1683" t="s">
        <v>241</v>
      </c>
      <c r="J1683" t="s">
        <v>3</v>
      </c>
      <c r="K1683" s="183">
        <f ca="1">VLOOKUP(F1683,
    OFFSET(INDIRECT(ADDRESS(MATCH(J1683,'Vehicle numbers'!$A$5:$A$162,0),1,1,1,$L$6)),4,1,COUNTIF('Vehicle numbers'!$A$5:$A$162,J1683),4),
    MATCH(K$8,'Vehicle numbers'!$B$4:$D$4,0))*1000</f>
        <v>1274568</v>
      </c>
      <c r="L1683" s="183">
        <f ca="1">VLOOKUP(F1683,
    OFFSET(INDIRECT(ADDRESS(MATCH(J1683,'Vehicle numbers'!$A$5:$A$162,0),1,1,1,$L$6)),4,1,COUNTIF('Vehicle numbers'!$A$5:$A$162,J1683),4),
    MATCH(L$8,'Vehicle numbers'!$B$4:$D$4,0))*1000</f>
        <v>1297989.6903665159</v>
      </c>
      <c r="M1683" s="184">
        <f>VLOOKUP(F1683,'Annual distance covered (GB)'!$A$8:$H$33,MATCH(J1683,'Annual distance covered (GB)'!$A$7:$H$7,0))</f>
        <v>5</v>
      </c>
      <c r="N1683" s="2">
        <f t="shared" ca="1" si="66"/>
        <v>11894.633776684261</v>
      </c>
      <c r="O1683" s="180">
        <f t="shared" ca="1" si="67"/>
        <v>9.1638892550260156E-3</v>
      </c>
      <c r="P1683" s="180"/>
      <c r="Q1683" s="180"/>
      <c r="R1683" s="180"/>
      <c r="S1683" s="180"/>
      <c r="T1683" s="180"/>
    </row>
    <row r="1684" spans="1:20" x14ac:dyDescent="0.25">
      <c r="A1684" t="s">
        <v>244</v>
      </c>
      <c r="B1684" t="s">
        <v>237</v>
      </c>
      <c r="C1684" t="s">
        <v>238</v>
      </c>
      <c r="D1684" t="s">
        <v>264</v>
      </c>
      <c r="E1684" t="s">
        <v>229</v>
      </c>
      <c r="F1684">
        <v>2008</v>
      </c>
      <c r="G1684">
        <v>5.8399999999999999E-4</v>
      </c>
      <c r="H1684" t="s">
        <v>240</v>
      </c>
      <c r="I1684" t="s">
        <v>241</v>
      </c>
      <c r="J1684" t="s">
        <v>3</v>
      </c>
      <c r="K1684" s="183">
        <f ca="1">VLOOKUP(F1684,
    OFFSET(INDIRECT(ADDRESS(MATCH(J1684,'Vehicle numbers'!$A$5:$A$162,0),1,1,1,$L$6)),4,1,COUNTIF('Vehicle numbers'!$A$5:$A$162,J1684),4),
    MATCH(K$8,'Vehicle numbers'!$B$4:$D$4,0))*1000</f>
        <v>1274568</v>
      </c>
      <c r="L1684" s="183">
        <f ca="1">VLOOKUP(F1684,
    OFFSET(INDIRECT(ADDRESS(MATCH(J1684,'Vehicle numbers'!$A$5:$A$162,0),1,1,1,$L$6)),4,1,COUNTIF('Vehicle numbers'!$A$5:$A$162,J1684),4),
    MATCH(L$8,'Vehicle numbers'!$B$4:$D$4,0))*1000</f>
        <v>1297989.6903665159</v>
      </c>
      <c r="M1684" s="184">
        <f>VLOOKUP(F1684,'Annual distance covered (GB)'!$A$8:$H$33,MATCH(J1684,'Annual distance covered (GB)'!$A$7:$H$7,0))</f>
        <v>5</v>
      </c>
      <c r="N1684" s="2">
        <f t="shared" ca="1" si="66"/>
        <v>2973.6584441710652</v>
      </c>
      <c r="O1684" s="180">
        <f t="shared" ca="1" si="67"/>
        <v>2.2909723137565039E-3</v>
      </c>
      <c r="P1684" s="180"/>
      <c r="Q1684" s="180"/>
      <c r="R1684" s="180"/>
      <c r="S1684" s="180"/>
      <c r="T1684" s="180"/>
    </row>
    <row r="1685" spans="1:20" x14ac:dyDescent="0.25">
      <c r="A1685" t="s">
        <v>246</v>
      </c>
      <c r="B1685" t="s">
        <v>237</v>
      </c>
      <c r="C1685" t="s">
        <v>238</v>
      </c>
      <c r="D1685" t="s">
        <v>264</v>
      </c>
      <c r="E1685" t="s">
        <v>229</v>
      </c>
      <c r="F1685">
        <v>2008</v>
      </c>
      <c r="G1685">
        <v>4.6720000000000003E-4</v>
      </c>
      <c r="H1685" t="s">
        <v>240</v>
      </c>
      <c r="I1685" t="s">
        <v>241</v>
      </c>
      <c r="J1685" t="s">
        <v>3</v>
      </c>
      <c r="K1685" s="183">
        <f ca="1">VLOOKUP(F1685,
    OFFSET(INDIRECT(ADDRESS(MATCH(J1685,'Vehicle numbers'!$A$5:$A$162,0),1,1,1,$L$6)),4,1,COUNTIF('Vehicle numbers'!$A$5:$A$162,J1685),4),
    MATCH(K$8,'Vehicle numbers'!$B$4:$D$4,0))*1000</f>
        <v>1274568</v>
      </c>
      <c r="L1685" s="183">
        <f ca="1">VLOOKUP(F1685,
    OFFSET(INDIRECT(ADDRESS(MATCH(J1685,'Vehicle numbers'!$A$5:$A$162,0),1,1,1,$L$6)),4,1,COUNTIF('Vehicle numbers'!$A$5:$A$162,J1685),4),
    MATCH(L$8,'Vehicle numbers'!$B$4:$D$4,0))*1000</f>
        <v>1297989.6903665159</v>
      </c>
      <c r="M1685" s="184">
        <f>VLOOKUP(F1685,'Annual distance covered (GB)'!$A$8:$H$33,MATCH(J1685,'Annual distance covered (GB)'!$A$7:$H$7,0))</f>
        <v>5</v>
      </c>
      <c r="N1685" s="2">
        <f t="shared" ca="1" si="66"/>
        <v>2378.9267553368522</v>
      </c>
      <c r="O1685" s="180">
        <f t="shared" ca="1" si="67"/>
        <v>1.8327778510052032E-3</v>
      </c>
      <c r="P1685" s="180"/>
      <c r="Q1685" s="180"/>
      <c r="R1685" s="180"/>
      <c r="S1685" s="180"/>
      <c r="T1685" s="180"/>
    </row>
    <row r="1686" spans="1:20" x14ac:dyDescent="0.25">
      <c r="A1686" t="s">
        <v>236</v>
      </c>
      <c r="B1686" t="s">
        <v>237</v>
      </c>
      <c r="C1686" t="s">
        <v>238</v>
      </c>
      <c r="D1686" t="s">
        <v>264</v>
      </c>
      <c r="E1686" t="s">
        <v>228</v>
      </c>
      <c r="F1686">
        <v>2008</v>
      </c>
      <c r="G1686">
        <v>3.7569999999999999E-3</v>
      </c>
      <c r="H1686" t="s">
        <v>240</v>
      </c>
      <c r="I1686" t="s">
        <v>241</v>
      </c>
      <c r="J1686" t="s">
        <v>3</v>
      </c>
      <c r="K1686" s="183">
        <f ca="1">VLOOKUP(F1686,
    OFFSET(INDIRECT(ADDRESS(MATCH(J1686,'Vehicle numbers'!$A$5:$A$162,0),1,1,1,$L$6)),4,1,COUNTIF('Vehicle numbers'!$A$5:$A$162,J1686),4),
    MATCH(K$8,'Vehicle numbers'!$B$4:$D$4,0))*1000</f>
        <v>1274568</v>
      </c>
      <c r="L1686" s="183">
        <f ca="1">VLOOKUP(F1686,
    OFFSET(INDIRECT(ADDRESS(MATCH(J1686,'Vehicle numbers'!$A$5:$A$162,0),1,1,1,$L$6)),4,1,COUNTIF('Vehicle numbers'!$A$5:$A$162,J1686),4),
    MATCH(L$8,'Vehicle numbers'!$B$4:$D$4,0))*1000</f>
        <v>1297989.6903665159</v>
      </c>
      <c r="M1686" s="184">
        <f>VLOOKUP(F1686,'Annual distance covered (GB)'!$A$8:$H$33,MATCH(J1686,'Annual distance covered (GB)'!$A$7:$H$7,0))</f>
        <v>5</v>
      </c>
      <c r="N1686" s="2">
        <f t="shared" ca="1" si="66"/>
        <v>19130.196532107348</v>
      </c>
      <c r="O1686" s="180">
        <f t="shared" ca="1" si="67"/>
        <v>1.4738327025313674E-2</v>
      </c>
      <c r="P1686" s="180"/>
      <c r="Q1686" s="180"/>
      <c r="R1686" s="180"/>
      <c r="S1686" s="180"/>
      <c r="T1686" s="180"/>
    </row>
    <row r="1687" spans="1:20" x14ac:dyDescent="0.25">
      <c r="A1687" t="s">
        <v>243</v>
      </c>
      <c r="B1687" t="s">
        <v>237</v>
      </c>
      <c r="C1687" t="s">
        <v>238</v>
      </c>
      <c r="D1687" t="s">
        <v>264</v>
      </c>
      <c r="E1687" t="s">
        <v>228</v>
      </c>
      <c r="F1687">
        <v>2008</v>
      </c>
      <c r="G1687">
        <v>2.6299000000000001E-3</v>
      </c>
      <c r="H1687" t="s">
        <v>240</v>
      </c>
      <c r="I1687" t="s">
        <v>241</v>
      </c>
      <c r="J1687" t="s">
        <v>3</v>
      </c>
      <c r="K1687" s="183">
        <f ca="1">VLOOKUP(F1687,
    OFFSET(INDIRECT(ADDRESS(MATCH(J1687,'Vehicle numbers'!$A$5:$A$162,0),1,1,1,$L$6)),4,1,COUNTIF('Vehicle numbers'!$A$5:$A$162,J1687),4),
    MATCH(K$8,'Vehicle numbers'!$B$4:$D$4,0))*1000</f>
        <v>1274568</v>
      </c>
      <c r="L1687" s="183">
        <f ca="1">VLOOKUP(F1687,
    OFFSET(INDIRECT(ADDRESS(MATCH(J1687,'Vehicle numbers'!$A$5:$A$162,0),1,1,1,$L$6)),4,1,COUNTIF('Vehicle numbers'!$A$5:$A$162,J1687),4),
    MATCH(L$8,'Vehicle numbers'!$B$4:$D$4,0))*1000</f>
        <v>1297989.6903665159</v>
      </c>
      <c r="M1687" s="184">
        <f>VLOOKUP(F1687,'Annual distance covered (GB)'!$A$8:$H$33,MATCH(J1687,'Annual distance covered (GB)'!$A$7:$H$7,0))</f>
        <v>5</v>
      </c>
      <c r="N1687" s="2">
        <f t="shared" ca="1" si="66"/>
        <v>13391.137572475145</v>
      </c>
      <c r="O1687" s="180">
        <f t="shared" ca="1" si="67"/>
        <v>1.0316828917719572E-2</v>
      </c>
      <c r="P1687" s="180"/>
      <c r="Q1687" s="180"/>
      <c r="R1687" s="180"/>
      <c r="S1687" s="180"/>
      <c r="T1687" s="180"/>
    </row>
    <row r="1688" spans="1:20" x14ac:dyDescent="0.25">
      <c r="A1688" t="s">
        <v>244</v>
      </c>
      <c r="B1688" t="s">
        <v>237</v>
      </c>
      <c r="C1688" t="s">
        <v>238</v>
      </c>
      <c r="D1688" t="s">
        <v>264</v>
      </c>
      <c r="E1688" t="s">
        <v>228</v>
      </c>
      <c r="F1688">
        <v>2008</v>
      </c>
      <c r="G1688">
        <v>3.7040845070422499E-4</v>
      </c>
      <c r="H1688" t="s">
        <v>240</v>
      </c>
      <c r="I1688" t="s">
        <v>241</v>
      </c>
      <c r="J1688" t="s">
        <v>3</v>
      </c>
      <c r="K1688" s="183">
        <f ca="1">VLOOKUP(F1688,
    OFFSET(INDIRECT(ADDRESS(MATCH(J1688,'Vehicle numbers'!$A$5:$A$162,0),1,1,1,$L$6)),4,1,COUNTIF('Vehicle numbers'!$A$5:$A$162,J1688),4),
    MATCH(K$8,'Vehicle numbers'!$B$4:$D$4,0))*1000</f>
        <v>1274568</v>
      </c>
      <c r="L1688" s="183">
        <f ca="1">VLOOKUP(F1688,
    OFFSET(INDIRECT(ADDRESS(MATCH(J1688,'Vehicle numbers'!$A$5:$A$162,0),1,1,1,$L$6)),4,1,COUNTIF('Vehicle numbers'!$A$5:$A$162,J1688),4),
    MATCH(L$8,'Vehicle numbers'!$B$4:$D$4,0))*1000</f>
        <v>1297989.6903665159</v>
      </c>
      <c r="M1688" s="184">
        <f>VLOOKUP(F1688,'Annual distance covered (GB)'!$A$8:$H$33,MATCH(J1688,'Annual distance covered (GB)'!$A$7:$H$7,0))</f>
        <v>5</v>
      </c>
      <c r="N1688" s="2">
        <f t="shared" ca="1" si="66"/>
        <v>1886.0757144331171</v>
      </c>
      <c r="O1688" s="180">
        <f t="shared" ca="1" si="67"/>
        <v>1.4530744954534595E-3</v>
      </c>
      <c r="P1688" s="180"/>
      <c r="Q1688" s="180"/>
      <c r="R1688" s="180"/>
      <c r="S1688" s="180"/>
      <c r="T1688" s="180"/>
    </row>
    <row r="1689" spans="1:20" x14ac:dyDescent="0.25">
      <c r="A1689" t="s">
        <v>246</v>
      </c>
      <c r="B1689" t="s">
        <v>237</v>
      </c>
      <c r="C1689" t="s">
        <v>238</v>
      </c>
      <c r="D1689" t="s">
        <v>264</v>
      </c>
      <c r="E1689" t="s">
        <v>228</v>
      </c>
      <c r="F1689">
        <v>2008</v>
      </c>
      <c r="G1689">
        <v>2.9632676056337998E-4</v>
      </c>
      <c r="H1689" t="s">
        <v>240</v>
      </c>
      <c r="I1689" t="s">
        <v>241</v>
      </c>
      <c r="J1689" t="s">
        <v>3</v>
      </c>
      <c r="K1689" s="183">
        <f ca="1">VLOOKUP(F1689,
    OFFSET(INDIRECT(ADDRESS(MATCH(J1689,'Vehicle numbers'!$A$5:$A$162,0),1,1,1,$L$6)),4,1,COUNTIF('Vehicle numbers'!$A$5:$A$162,J1689),4),
    MATCH(K$8,'Vehicle numbers'!$B$4:$D$4,0))*1000</f>
        <v>1274568</v>
      </c>
      <c r="L1689" s="183">
        <f ca="1">VLOOKUP(F1689,
    OFFSET(INDIRECT(ADDRESS(MATCH(J1689,'Vehicle numbers'!$A$5:$A$162,0),1,1,1,$L$6)),4,1,COUNTIF('Vehicle numbers'!$A$5:$A$162,J1689),4),
    MATCH(L$8,'Vehicle numbers'!$B$4:$D$4,0))*1000</f>
        <v>1297989.6903665159</v>
      </c>
      <c r="M1689" s="184">
        <f>VLOOKUP(F1689,'Annual distance covered (GB)'!$A$8:$H$33,MATCH(J1689,'Annual distance covered (GB)'!$A$7:$H$7,0))</f>
        <v>5</v>
      </c>
      <c r="N1689" s="2">
        <f t="shared" ca="1" si="66"/>
        <v>1508.8605715464937</v>
      </c>
      <c r="O1689" s="180">
        <f t="shared" ca="1" si="67"/>
        <v>1.1624595963627676E-3</v>
      </c>
      <c r="P1689" s="180"/>
      <c r="Q1689" s="180"/>
      <c r="R1689" s="180"/>
      <c r="S1689" s="180"/>
      <c r="T1689" s="180"/>
    </row>
    <row r="1690" spans="1:20" x14ac:dyDescent="0.25">
      <c r="A1690" t="s">
        <v>236</v>
      </c>
      <c r="B1690" t="s">
        <v>237</v>
      </c>
      <c r="C1690" t="s">
        <v>238</v>
      </c>
      <c r="D1690" t="s">
        <v>239</v>
      </c>
      <c r="E1690" t="s">
        <v>229</v>
      </c>
      <c r="F1690">
        <v>2009</v>
      </c>
      <c r="G1690">
        <v>8.4410000000000093E-3</v>
      </c>
      <c r="H1690" t="s">
        <v>240</v>
      </c>
      <c r="I1690" t="s">
        <v>241</v>
      </c>
      <c r="J1690" t="s">
        <v>242</v>
      </c>
      <c r="K1690" s="183">
        <f ca="1">VLOOKUP(F1690,
    OFFSET(INDIRECT(ADDRESS(MATCH(J1690,'Vehicle numbers'!$A$5:$A$162,0),1,1,1,$L$6)),4,1,COUNTIF('Vehicle numbers'!$A$5:$A$162,J1690),4),
    MATCH(K$8,'Vehicle numbers'!$B$4:$D$4,0))*1000</f>
        <v>173727.99999999997</v>
      </c>
      <c r="L1690" s="183">
        <f ca="1">VLOOKUP(F1690,
    OFFSET(INDIRECT(ADDRESS(MATCH(J1690,'Vehicle numbers'!$A$5:$A$162,0),1,1,1,$L$6)),4,1,COUNTIF('Vehicle numbers'!$A$5:$A$162,J1690),4),
    MATCH(L$8,'Vehicle numbers'!$B$4:$D$4,0))*1000</f>
        <v>179797.99314538605</v>
      </c>
      <c r="M1690" s="184">
        <f>VLOOKUP(F1690,'Annual distance covered (GB)'!$A$8:$H$33,MATCH(J1690,'Annual distance covered (GB)'!$A$7:$H$7,0))</f>
        <v>5</v>
      </c>
      <c r="N1690" s="2">
        <f t="shared" ca="1" si="66"/>
        <v>43679.627352534008</v>
      </c>
      <c r="O1690" s="180">
        <f t="shared" ca="1" si="67"/>
        <v>0.24293723521827257</v>
      </c>
      <c r="P1690" s="180"/>
      <c r="Q1690" s="180"/>
      <c r="R1690" s="180"/>
      <c r="S1690" s="180"/>
      <c r="T1690" s="180"/>
    </row>
    <row r="1691" spans="1:20" x14ac:dyDescent="0.25">
      <c r="A1691" t="s">
        <v>243</v>
      </c>
      <c r="B1691" t="s">
        <v>237</v>
      </c>
      <c r="C1691" t="s">
        <v>238</v>
      </c>
      <c r="D1691" t="s">
        <v>239</v>
      </c>
      <c r="E1691" t="s">
        <v>229</v>
      </c>
      <c r="F1691">
        <v>2009</v>
      </c>
      <c r="G1691">
        <v>3.3763999999999999E-3</v>
      </c>
      <c r="H1691" t="s">
        <v>240</v>
      </c>
      <c r="I1691" t="s">
        <v>241</v>
      </c>
      <c r="J1691" t="s">
        <v>242</v>
      </c>
      <c r="K1691" s="183">
        <f ca="1">VLOOKUP(F1691,
    OFFSET(INDIRECT(ADDRESS(MATCH(J1691,'Vehicle numbers'!$A$5:$A$162,0),1,1,1,$L$6)),4,1,COUNTIF('Vehicle numbers'!$A$5:$A$162,J1691),4),
    MATCH(K$8,'Vehicle numbers'!$B$4:$D$4,0))*1000</f>
        <v>173727.99999999997</v>
      </c>
      <c r="L1691" s="183">
        <f ca="1">VLOOKUP(F1691,
    OFFSET(INDIRECT(ADDRESS(MATCH(J1691,'Vehicle numbers'!$A$5:$A$162,0),1,1,1,$L$6)),4,1,COUNTIF('Vehicle numbers'!$A$5:$A$162,J1691),4),
    MATCH(L$8,'Vehicle numbers'!$B$4:$D$4,0))*1000</f>
        <v>179797.99314538605</v>
      </c>
      <c r="M1691" s="184">
        <f>VLOOKUP(F1691,'Annual distance covered (GB)'!$A$8:$H$33,MATCH(J1691,'Annual distance covered (GB)'!$A$7:$H$7,0))</f>
        <v>5</v>
      </c>
      <c r="N1691" s="2">
        <f t="shared" ca="1" si="66"/>
        <v>17471.850941013581</v>
      </c>
      <c r="O1691" s="180">
        <f t="shared" ca="1" si="67"/>
        <v>9.7174894087308908E-2</v>
      </c>
      <c r="P1691" s="180"/>
      <c r="Q1691" s="180"/>
      <c r="R1691" s="180"/>
      <c r="S1691" s="180"/>
      <c r="T1691" s="180"/>
    </row>
    <row r="1692" spans="1:20" x14ac:dyDescent="0.25">
      <c r="A1692" t="s">
        <v>244</v>
      </c>
      <c r="B1692" t="s">
        <v>237</v>
      </c>
      <c r="C1692" t="s">
        <v>238</v>
      </c>
      <c r="D1692" t="s">
        <v>239</v>
      </c>
      <c r="E1692" t="s">
        <v>229</v>
      </c>
      <c r="F1692">
        <v>2009</v>
      </c>
      <c r="G1692">
        <v>8.4409999999999997E-4</v>
      </c>
      <c r="H1692" t="s">
        <v>240</v>
      </c>
      <c r="I1692" t="s">
        <v>241</v>
      </c>
      <c r="J1692" t="s">
        <v>242</v>
      </c>
      <c r="K1692" s="183">
        <f ca="1">VLOOKUP(F1692,
    OFFSET(INDIRECT(ADDRESS(MATCH(J1692,'Vehicle numbers'!$A$5:$A$162,0),1,1,1,$L$6)),4,1,COUNTIF('Vehicle numbers'!$A$5:$A$162,J1692),4),
    MATCH(K$8,'Vehicle numbers'!$B$4:$D$4,0))*1000</f>
        <v>173727.99999999997</v>
      </c>
      <c r="L1692" s="183">
        <f ca="1">VLOOKUP(F1692,
    OFFSET(INDIRECT(ADDRESS(MATCH(J1692,'Vehicle numbers'!$A$5:$A$162,0),1,1,1,$L$6)),4,1,COUNTIF('Vehicle numbers'!$A$5:$A$162,J1692),4),
    MATCH(L$8,'Vehicle numbers'!$B$4:$D$4,0))*1000</f>
        <v>179797.99314538605</v>
      </c>
      <c r="M1692" s="184">
        <f>VLOOKUP(F1692,'Annual distance covered (GB)'!$A$8:$H$33,MATCH(J1692,'Annual distance covered (GB)'!$A$7:$H$7,0))</f>
        <v>5</v>
      </c>
      <c r="N1692" s="2">
        <f t="shared" ca="1" si="66"/>
        <v>4367.9627352533953</v>
      </c>
      <c r="O1692" s="180">
        <f t="shared" ca="1" si="67"/>
        <v>2.4293723521827227E-2</v>
      </c>
      <c r="P1692" s="180"/>
      <c r="Q1692" s="180"/>
      <c r="R1692" s="180"/>
      <c r="S1692" s="180"/>
      <c r="T1692" s="180"/>
    </row>
    <row r="1693" spans="1:20" x14ac:dyDescent="0.25">
      <c r="A1693" t="s">
        <v>246</v>
      </c>
      <c r="B1693" t="s">
        <v>237</v>
      </c>
      <c r="C1693" t="s">
        <v>238</v>
      </c>
      <c r="D1693" t="s">
        <v>239</v>
      </c>
      <c r="E1693" t="s">
        <v>229</v>
      </c>
      <c r="F1693">
        <v>2009</v>
      </c>
      <c r="G1693">
        <v>6.7528E-4</v>
      </c>
      <c r="H1693" t="s">
        <v>240</v>
      </c>
      <c r="I1693" t="s">
        <v>241</v>
      </c>
      <c r="J1693" t="s">
        <v>242</v>
      </c>
      <c r="K1693" s="183">
        <f ca="1">VLOOKUP(F1693,
    OFFSET(INDIRECT(ADDRESS(MATCH(J1693,'Vehicle numbers'!$A$5:$A$162,0),1,1,1,$L$6)),4,1,COUNTIF('Vehicle numbers'!$A$5:$A$162,J1693),4),
    MATCH(K$8,'Vehicle numbers'!$B$4:$D$4,0))*1000</f>
        <v>173727.99999999997</v>
      </c>
      <c r="L1693" s="183">
        <f ca="1">VLOOKUP(F1693,
    OFFSET(INDIRECT(ADDRESS(MATCH(J1693,'Vehicle numbers'!$A$5:$A$162,0),1,1,1,$L$6)),4,1,COUNTIF('Vehicle numbers'!$A$5:$A$162,J1693),4),
    MATCH(L$8,'Vehicle numbers'!$B$4:$D$4,0))*1000</f>
        <v>179797.99314538605</v>
      </c>
      <c r="M1693" s="184">
        <f>VLOOKUP(F1693,'Annual distance covered (GB)'!$A$8:$H$33,MATCH(J1693,'Annual distance covered (GB)'!$A$7:$H$7,0))</f>
        <v>5</v>
      </c>
      <c r="N1693" s="2">
        <f t="shared" ca="1" si="66"/>
        <v>3494.3701882027167</v>
      </c>
      <c r="O1693" s="180">
        <f t="shared" ca="1" si="67"/>
        <v>1.9434978817461784E-2</v>
      </c>
      <c r="P1693" s="180"/>
      <c r="Q1693" s="180"/>
      <c r="R1693" s="180"/>
      <c r="S1693" s="180"/>
      <c r="T1693" s="180"/>
    </row>
    <row r="1694" spans="1:20" x14ac:dyDescent="0.25">
      <c r="A1694" t="s">
        <v>236</v>
      </c>
      <c r="B1694" t="s">
        <v>237</v>
      </c>
      <c r="C1694" t="s">
        <v>238</v>
      </c>
      <c r="D1694" t="s">
        <v>239</v>
      </c>
      <c r="E1694" t="s">
        <v>228</v>
      </c>
      <c r="F1694">
        <v>2009</v>
      </c>
      <c r="G1694">
        <v>1.3984E-2</v>
      </c>
      <c r="H1694" t="s">
        <v>240</v>
      </c>
      <c r="I1694" t="s">
        <v>241</v>
      </c>
      <c r="J1694" t="s">
        <v>242</v>
      </c>
      <c r="K1694" s="183">
        <f ca="1">VLOOKUP(F1694,
    OFFSET(INDIRECT(ADDRESS(MATCH(J1694,'Vehicle numbers'!$A$5:$A$162,0),1,1,1,$L$6)),4,1,COUNTIF('Vehicle numbers'!$A$5:$A$162,J1694),4),
    MATCH(K$8,'Vehicle numbers'!$B$4:$D$4,0))*1000</f>
        <v>173727.99999999997</v>
      </c>
      <c r="L1694" s="183">
        <f ca="1">VLOOKUP(F1694,
    OFFSET(INDIRECT(ADDRESS(MATCH(J1694,'Vehicle numbers'!$A$5:$A$162,0),1,1,1,$L$6)),4,1,COUNTIF('Vehicle numbers'!$A$5:$A$162,J1694),4),
    MATCH(L$8,'Vehicle numbers'!$B$4:$D$4,0))*1000</f>
        <v>179797.99314538605</v>
      </c>
      <c r="M1694" s="184">
        <f>VLOOKUP(F1694,'Annual distance covered (GB)'!$A$8:$H$33,MATCH(J1694,'Annual distance covered (GB)'!$A$7:$H$7,0))</f>
        <v>5</v>
      </c>
      <c r="N1694" s="2">
        <f t="shared" ca="1" si="66"/>
        <v>72362.979374225193</v>
      </c>
      <c r="O1694" s="180">
        <f t="shared" ca="1" si="67"/>
        <v>0.40246822619266909</v>
      </c>
      <c r="P1694" s="180"/>
      <c r="Q1694" s="180"/>
      <c r="R1694" s="180"/>
      <c r="S1694" s="180"/>
      <c r="T1694" s="180"/>
    </row>
    <row r="1695" spans="1:20" x14ac:dyDescent="0.25">
      <c r="A1695" t="s">
        <v>243</v>
      </c>
      <c r="B1695" t="s">
        <v>237</v>
      </c>
      <c r="C1695" t="s">
        <v>238</v>
      </c>
      <c r="D1695" t="s">
        <v>239</v>
      </c>
      <c r="E1695" t="s">
        <v>228</v>
      </c>
      <c r="F1695">
        <v>2009</v>
      </c>
      <c r="G1695">
        <v>9.7888000000000003E-3</v>
      </c>
      <c r="H1695" t="s">
        <v>240</v>
      </c>
      <c r="I1695" t="s">
        <v>241</v>
      </c>
      <c r="J1695" t="s">
        <v>242</v>
      </c>
      <c r="K1695" s="183">
        <f ca="1">VLOOKUP(F1695,
    OFFSET(INDIRECT(ADDRESS(MATCH(J1695,'Vehicle numbers'!$A$5:$A$162,0),1,1,1,$L$6)),4,1,COUNTIF('Vehicle numbers'!$A$5:$A$162,J1695),4),
    MATCH(K$8,'Vehicle numbers'!$B$4:$D$4,0))*1000</f>
        <v>173727.99999999997</v>
      </c>
      <c r="L1695" s="183">
        <f ca="1">VLOOKUP(F1695,
    OFFSET(INDIRECT(ADDRESS(MATCH(J1695,'Vehicle numbers'!$A$5:$A$162,0),1,1,1,$L$6)),4,1,COUNTIF('Vehicle numbers'!$A$5:$A$162,J1695),4),
    MATCH(L$8,'Vehicle numbers'!$B$4:$D$4,0))*1000</f>
        <v>179797.99314538605</v>
      </c>
      <c r="M1695" s="184">
        <f>VLOOKUP(F1695,'Annual distance covered (GB)'!$A$8:$H$33,MATCH(J1695,'Annual distance covered (GB)'!$A$7:$H$7,0))</f>
        <v>5</v>
      </c>
      <c r="N1695" s="2">
        <f t="shared" ca="1" si="66"/>
        <v>50654.085561957632</v>
      </c>
      <c r="O1695" s="180">
        <f t="shared" ca="1" si="67"/>
        <v>0.28172775833486835</v>
      </c>
      <c r="P1695" s="180"/>
      <c r="Q1695" s="180"/>
      <c r="R1695" s="180"/>
      <c r="S1695" s="180"/>
      <c r="T1695" s="180"/>
    </row>
    <row r="1696" spans="1:20" x14ac:dyDescent="0.25">
      <c r="A1696" t="s">
        <v>244</v>
      </c>
      <c r="B1696" t="s">
        <v>237</v>
      </c>
      <c r="C1696" t="s">
        <v>238</v>
      </c>
      <c r="D1696" t="s">
        <v>239</v>
      </c>
      <c r="E1696" t="s">
        <v>228</v>
      </c>
      <c r="F1696">
        <v>2009</v>
      </c>
      <c r="G1696">
        <v>1.3787042253521099E-3</v>
      </c>
      <c r="H1696" t="s">
        <v>240</v>
      </c>
      <c r="I1696" t="s">
        <v>241</v>
      </c>
      <c r="J1696" t="s">
        <v>242</v>
      </c>
      <c r="K1696" s="183">
        <f ca="1">VLOOKUP(F1696,
    OFFSET(INDIRECT(ADDRESS(MATCH(J1696,'Vehicle numbers'!$A$5:$A$162,0),1,1,1,$L$6)),4,1,COUNTIF('Vehicle numbers'!$A$5:$A$162,J1696),4),
    MATCH(K$8,'Vehicle numbers'!$B$4:$D$4,0))*1000</f>
        <v>173727.99999999997</v>
      </c>
      <c r="L1696" s="183">
        <f ca="1">VLOOKUP(F1696,
    OFFSET(INDIRECT(ADDRESS(MATCH(J1696,'Vehicle numbers'!$A$5:$A$162,0),1,1,1,$L$6)),4,1,COUNTIF('Vehicle numbers'!$A$5:$A$162,J1696),4),
    MATCH(L$8,'Vehicle numbers'!$B$4:$D$4,0))*1000</f>
        <v>179797.99314538605</v>
      </c>
      <c r="M1696" s="184">
        <f>VLOOKUP(F1696,'Annual distance covered (GB)'!$A$8:$H$33,MATCH(J1696,'Annual distance covered (GB)'!$A$7:$H$7,0))</f>
        <v>5</v>
      </c>
      <c r="N1696" s="2">
        <f t="shared" ca="1" si="66"/>
        <v>7134.3782481630333</v>
      </c>
      <c r="O1696" s="180">
        <f t="shared" ca="1" si="67"/>
        <v>3.9679965962657437E-2</v>
      </c>
      <c r="P1696" s="180"/>
      <c r="Q1696" s="180"/>
      <c r="R1696" s="180"/>
      <c r="S1696" s="180"/>
      <c r="T1696" s="180"/>
    </row>
    <row r="1697" spans="1:20" x14ac:dyDescent="0.25">
      <c r="A1697" t="s">
        <v>246</v>
      </c>
      <c r="B1697" t="s">
        <v>237</v>
      </c>
      <c r="C1697" t="s">
        <v>238</v>
      </c>
      <c r="D1697" t="s">
        <v>239</v>
      </c>
      <c r="E1697" t="s">
        <v>228</v>
      </c>
      <c r="F1697">
        <v>2009</v>
      </c>
      <c r="G1697">
        <v>1.10296338028169E-3</v>
      </c>
      <c r="H1697" t="s">
        <v>240</v>
      </c>
      <c r="I1697" t="s">
        <v>241</v>
      </c>
      <c r="J1697" t="s">
        <v>242</v>
      </c>
      <c r="K1697" s="183">
        <f ca="1">VLOOKUP(F1697,
    OFFSET(INDIRECT(ADDRESS(MATCH(J1697,'Vehicle numbers'!$A$5:$A$162,0),1,1,1,$L$6)),4,1,COUNTIF('Vehicle numbers'!$A$5:$A$162,J1697),4),
    MATCH(K$8,'Vehicle numbers'!$B$4:$D$4,0))*1000</f>
        <v>173727.99999999997</v>
      </c>
      <c r="L1697" s="183">
        <f ca="1">VLOOKUP(F1697,
    OFFSET(INDIRECT(ADDRESS(MATCH(J1697,'Vehicle numbers'!$A$5:$A$162,0),1,1,1,$L$6)),4,1,COUNTIF('Vehicle numbers'!$A$5:$A$162,J1697),4),
    MATCH(L$8,'Vehicle numbers'!$B$4:$D$4,0))*1000</f>
        <v>179797.99314538605</v>
      </c>
      <c r="M1697" s="184">
        <f>VLOOKUP(F1697,'Annual distance covered (GB)'!$A$8:$H$33,MATCH(J1697,'Annual distance covered (GB)'!$A$7:$H$7,0))</f>
        <v>5</v>
      </c>
      <c r="N1697" s="2">
        <f t="shared" ca="1" si="66"/>
        <v>5707.5025985304374</v>
      </c>
      <c r="O1697" s="180">
        <f t="shared" ca="1" si="67"/>
        <v>3.1743972770126007E-2</v>
      </c>
      <c r="P1697" s="180"/>
      <c r="Q1697" s="180"/>
      <c r="R1697" s="180"/>
      <c r="S1697" s="180"/>
      <c r="T1697" s="180"/>
    </row>
    <row r="1698" spans="1:20" x14ac:dyDescent="0.25">
      <c r="A1698" t="s">
        <v>236</v>
      </c>
      <c r="B1698" t="s">
        <v>237</v>
      </c>
      <c r="C1698" t="s">
        <v>238</v>
      </c>
      <c r="D1698" t="s">
        <v>248</v>
      </c>
      <c r="E1698" t="s">
        <v>229</v>
      </c>
      <c r="F1698">
        <v>2009</v>
      </c>
      <c r="G1698">
        <v>2.7143E-2</v>
      </c>
      <c r="H1698" t="s">
        <v>240</v>
      </c>
      <c r="I1698" t="s">
        <v>241</v>
      </c>
      <c r="J1698" t="s">
        <v>242</v>
      </c>
      <c r="K1698" s="183">
        <f ca="1">VLOOKUP(F1698,
    OFFSET(INDIRECT(ADDRESS(MATCH(J1698,'Vehicle numbers'!$A$5:$A$162,0),1,1,1,$L$6)),4,1,COUNTIF('Vehicle numbers'!$A$5:$A$162,J1698),4),
    MATCH(K$8,'Vehicle numbers'!$B$4:$D$4,0))*1000</f>
        <v>173727.99999999997</v>
      </c>
      <c r="L1698" s="183">
        <f ca="1">VLOOKUP(F1698,
    OFFSET(INDIRECT(ADDRESS(MATCH(J1698,'Vehicle numbers'!$A$5:$A$162,0),1,1,1,$L$6)),4,1,COUNTIF('Vehicle numbers'!$A$5:$A$162,J1698),4),
    MATCH(L$8,'Vehicle numbers'!$B$4:$D$4,0))*1000</f>
        <v>179797.99314538605</v>
      </c>
      <c r="M1698" s="184">
        <f>VLOOKUP(F1698,'Annual distance covered (GB)'!$A$8:$H$33,MATCH(J1698,'Annual distance covered (GB)'!$A$7:$H$7,0))</f>
        <v>5</v>
      </c>
      <c r="N1698" s="2">
        <f t="shared" ca="1" si="66"/>
        <v>140456.83274846929</v>
      </c>
      <c r="O1698" s="180">
        <f t="shared" ca="1" si="67"/>
        <v>0.78119243875483524</v>
      </c>
      <c r="P1698" s="180"/>
      <c r="Q1698" s="180"/>
      <c r="R1698" s="180"/>
      <c r="S1698" s="180"/>
      <c r="T1698" s="180"/>
    </row>
    <row r="1699" spans="1:20" x14ac:dyDescent="0.25">
      <c r="A1699" t="s">
        <v>243</v>
      </c>
      <c r="B1699" t="s">
        <v>237</v>
      </c>
      <c r="C1699" t="s">
        <v>238</v>
      </c>
      <c r="D1699" t="s">
        <v>248</v>
      </c>
      <c r="E1699" t="s">
        <v>229</v>
      </c>
      <c r="F1699">
        <v>2009</v>
      </c>
      <c r="G1699">
        <v>1.0857199999999999E-2</v>
      </c>
      <c r="H1699" t="s">
        <v>240</v>
      </c>
      <c r="I1699" t="s">
        <v>241</v>
      </c>
      <c r="J1699" t="s">
        <v>242</v>
      </c>
      <c r="K1699" s="183">
        <f ca="1">VLOOKUP(F1699,
    OFFSET(INDIRECT(ADDRESS(MATCH(J1699,'Vehicle numbers'!$A$5:$A$162,0),1,1,1,$L$6)),4,1,COUNTIF('Vehicle numbers'!$A$5:$A$162,J1699),4),
    MATCH(K$8,'Vehicle numbers'!$B$4:$D$4,0))*1000</f>
        <v>173727.99999999997</v>
      </c>
      <c r="L1699" s="183">
        <f ca="1">VLOOKUP(F1699,
    OFFSET(INDIRECT(ADDRESS(MATCH(J1699,'Vehicle numbers'!$A$5:$A$162,0),1,1,1,$L$6)),4,1,COUNTIF('Vehicle numbers'!$A$5:$A$162,J1699),4),
    MATCH(L$8,'Vehicle numbers'!$B$4:$D$4,0))*1000</f>
        <v>179797.99314538605</v>
      </c>
      <c r="M1699" s="184">
        <f>VLOOKUP(F1699,'Annual distance covered (GB)'!$A$8:$H$33,MATCH(J1699,'Annual distance covered (GB)'!$A$7:$H$7,0))</f>
        <v>5</v>
      </c>
      <c r="N1699" s="2">
        <f t="shared" ca="1" si="66"/>
        <v>56182.733099387704</v>
      </c>
      <c r="O1699" s="180">
        <f t="shared" ca="1" si="67"/>
        <v>0.31247697550193404</v>
      </c>
      <c r="P1699" s="180"/>
      <c r="Q1699" s="180"/>
      <c r="R1699" s="180"/>
      <c r="S1699" s="180"/>
      <c r="T1699" s="180"/>
    </row>
    <row r="1700" spans="1:20" x14ac:dyDescent="0.25">
      <c r="A1700" t="s">
        <v>244</v>
      </c>
      <c r="B1700" t="s">
        <v>237</v>
      </c>
      <c r="C1700" t="s">
        <v>238</v>
      </c>
      <c r="D1700" t="s">
        <v>248</v>
      </c>
      <c r="E1700" t="s">
        <v>229</v>
      </c>
      <c r="F1700">
        <v>2009</v>
      </c>
      <c r="G1700">
        <v>2.7142999999999998E-3</v>
      </c>
      <c r="H1700" t="s">
        <v>240</v>
      </c>
      <c r="I1700" t="s">
        <v>241</v>
      </c>
      <c r="J1700" t="s">
        <v>242</v>
      </c>
      <c r="K1700" s="183">
        <f ca="1">VLOOKUP(F1700,
    OFFSET(INDIRECT(ADDRESS(MATCH(J1700,'Vehicle numbers'!$A$5:$A$162,0),1,1,1,$L$6)),4,1,COUNTIF('Vehicle numbers'!$A$5:$A$162,J1700),4),
    MATCH(K$8,'Vehicle numbers'!$B$4:$D$4,0))*1000</f>
        <v>173727.99999999997</v>
      </c>
      <c r="L1700" s="183">
        <f ca="1">VLOOKUP(F1700,
    OFFSET(INDIRECT(ADDRESS(MATCH(J1700,'Vehicle numbers'!$A$5:$A$162,0),1,1,1,$L$6)),4,1,COUNTIF('Vehicle numbers'!$A$5:$A$162,J1700),4),
    MATCH(L$8,'Vehicle numbers'!$B$4:$D$4,0))*1000</f>
        <v>179797.99314538605</v>
      </c>
      <c r="M1700" s="184">
        <f>VLOOKUP(F1700,'Annual distance covered (GB)'!$A$8:$H$33,MATCH(J1700,'Annual distance covered (GB)'!$A$7:$H$7,0))</f>
        <v>5</v>
      </c>
      <c r="N1700" s="2">
        <f t="shared" ca="1" si="66"/>
        <v>14045.683274846926</v>
      </c>
      <c r="O1700" s="180">
        <f t="shared" ca="1" si="67"/>
        <v>7.811924387548351E-2</v>
      </c>
      <c r="P1700" s="180"/>
      <c r="Q1700" s="180"/>
      <c r="R1700" s="180"/>
      <c r="S1700" s="180"/>
      <c r="T1700" s="180"/>
    </row>
    <row r="1701" spans="1:20" x14ac:dyDescent="0.25">
      <c r="A1701" t="s">
        <v>246</v>
      </c>
      <c r="B1701" t="s">
        <v>237</v>
      </c>
      <c r="C1701" t="s">
        <v>238</v>
      </c>
      <c r="D1701" t="s">
        <v>248</v>
      </c>
      <c r="E1701" t="s">
        <v>229</v>
      </c>
      <c r="F1701">
        <v>2009</v>
      </c>
      <c r="G1701">
        <v>2.1714400000000002E-3</v>
      </c>
      <c r="H1701" t="s">
        <v>240</v>
      </c>
      <c r="I1701" t="s">
        <v>241</v>
      </c>
      <c r="J1701" t="s">
        <v>242</v>
      </c>
      <c r="K1701" s="183">
        <f ca="1">VLOOKUP(F1701,
    OFFSET(INDIRECT(ADDRESS(MATCH(J1701,'Vehicle numbers'!$A$5:$A$162,0),1,1,1,$L$6)),4,1,COUNTIF('Vehicle numbers'!$A$5:$A$162,J1701),4),
    MATCH(K$8,'Vehicle numbers'!$B$4:$D$4,0))*1000</f>
        <v>173727.99999999997</v>
      </c>
      <c r="L1701" s="183">
        <f ca="1">VLOOKUP(F1701,
    OFFSET(INDIRECT(ADDRESS(MATCH(J1701,'Vehicle numbers'!$A$5:$A$162,0),1,1,1,$L$6)),4,1,COUNTIF('Vehicle numbers'!$A$5:$A$162,J1701),4),
    MATCH(L$8,'Vehicle numbers'!$B$4:$D$4,0))*1000</f>
        <v>179797.99314538605</v>
      </c>
      <c r="M1701" s="184">
        <f>VLOOKUP(F1701,'Annual distance covered (GB)'!$A$8:$H$33,MATCH(J1701,'Annual distance covered (GB)'!$A$7:$H$7,0))</f>
        <v>5</v>
      </c>
      <c r="N1701" s="2">
        <f t="shared" ca="1" si="66"/>
        <v>11236.546619877543</v>
      </c>
      <c r="O1701" s="180">
        <f t="shared" ca="1" si="67"/>
        <v>6.2495395100386826E-2</v>
      </c>
      <c r="P1701" s="180"/>
      <c r="Q1701" s="180"/>
      <c r="R1701" s="180"/>
      <c r="S1701" s="180"/>
      <c r="T1701" s="180"/>
    </row>
    <row r="1702" spans="1:20" x14ac:dyDescent="0.25">
      <c r="A1702" t="s">
        <v>236</v>
      </c>
      <c r="B1702" t="s">
        <v>237</v>
      </c>
      <c r="C1702" t="s">
        <v>238</v>
      </c>
      <c r="D1702" t="s">
        <v>248</v>
      </c>
      <c r="E1702" t="s">
        <v>228</v>
      </c>
      <c r="F1702">
        <v>2009</v>
      </c>
      <c r="G1702">
        <v>1.68578987779569E-2</v>
      </c>
      <c r="H1702" t="s">
        <v>240</v>
      </c>
      <c r="I1702" t="s">
        <v>241</v>
      </c>
      <c r="J1702" t="s">
        <v>242</v>
      </c>
      <c r="K1702" s="183">
        <f ca="1">VLOOKUP(F1702,
    OFFSET(INDIRECT(ADDRESS(MATCH(J1702,'Vehicle numbers'!$A$5:$A$162,0),1,1,1,$L$6)),4,1,COUNTIF('Vehicle numbers'!$A$5:$A$162,J1702),4),
    MATCH(K$8,'Vehicle numbers'!$B$4:$D$4,0))*1000</f>
        <v>173727.99999999997</v>
      </c>
      <c r="L1702" s="183">
        <f ca="1">VLOOKUP(F1702,
    OFFSET(INDIRECT(ADDRESS(MATCH(J1702,'Vehicle numbers'!$A$5:$A$162,0),1,1,1,$L$6)),4,1,COUNTIF('Vehicle numbers'!$A$5:$A$162,J1702),4),
    MATCH(L$8,'Vehicle numbers'!$B$4:$D$4,0))*1000</f>
        <v>179797.99314538605</v>
      </c>
      <c r="M1702" s="184">
        <f>VLOOKUP(F1702,'Annual distance covered (GB)'!$A$8:$H$33,MATCH(J1702,'Annual distance covered (GB)'!$A$7:$H$7,0))</f>
        <v>5</v>
      </c>
      <c r="N1702" s="2">
        <f t="shared" ca="1" si="66"/>
        <v>87234.538155182439</v>
      </c>
      <c r="O1702" s="180">
        <f t="shared" ca="1" si="67"/>
        <v>0.48518082226114678</v>
      </c>
      <c r="P1702" s="180"/>
      <c r="Q1702" s="180"/>
      <c r="R1702" s="180"/>
      <c r="S1702" s="180"/>
      <c r="T1702" s="180"/>
    </row>
    <row r="1703" spans="1:20" x14ac:dyDescent="0.25">
      <c r="A1703" t="s">
        <v>243</v>
      </c>
      <c r="B1703" t="s">
        <v>237</v>
      </c>
      <c r="C1703" t="s">
        <v>238</v>
      </c>
      <c r="D1703" t="s">
        <v>248</v>
      </c>
      <c r="E1703" t="s">
        <v>228</v>
      </c>
      <c r="F1703">
        <v>2009</v>
      </c>
      <c r="G1703">
        <v>1.1800529144569799E-2</v>
      </c>
      <c r="H1703" t="s">
        <v>240</v>
      </c>
      <c r="I1703" t="s">
        <v>241</v>
      </c>
      <c r="J1703" t="s">
        <v>242</v>
      </c>
      <c r="K1703" s="183">
        <f ca="1">VLOOKUP(F1703,
    OFFSET(INDIRECT(ADDRESS(MATCH(J1703,'Vehicle numbers'!$A$5:$A$162,0),1,1,1,$L$6)),4,1,COUNTIF('Vehicle numbers'!$A$5:$A$162,J1703),4),
    MATCH(K$8,'Vehicle numbers'!$B$4:$D$4,0))*1000</f>
        <v>173727.99999999997</v>
      </c>
      <c r="L1703" s="183">
        <f ca="1">VLOOKUP(F1703,
    OFFSET(INDIRECT(ADDRESS(MATCH(J1703,'Vehicle numbers'!$A$5:$A$162,0),1,1,1,$L$6)),4,1,COUNTIF('Vehicle numbers'!$A$5:$A$162,J1703),4),
    MATCH(L$8,'Vehicle numbers'!$B$4:$D$4,0))*1000</f>
        <v>179797.99314538605</v>
      </c>
      <c r="M1703" s="184">
        <f>VLOOKUP(F1703,'Annual distance covered (GB)'!$A$8:$H$33,MATCH(J1703,'Annual distance covered (GB)'!$A$7:$H$7,0))</f>
        <v>5</v>
      </c>
      <c r="N1703" s="2">
        <f t="shared" ca="1" si="66"/>
        <v>61064.17670862755</v>
      </c>
      <c r="O1703" s="180">
        <f t="shared" ca="1" si="67"/>
        <v>0.3396265755828019</v>
      </c>
      <c r="P1703" s="180"/>
      <c r="Q1703" s="180"/>
      <c r="R1703" s="180"/>
      <c r="S1703" s="180"/>
      <c r="T1703" s="180"/>
    </row>
    <row r="1704" spans="1:20" x14ac:dyDescent="0.25">
      <c r="A1704" t="s">
        <v>244</v>
      </c>
      <c r="B1704" t="s">
        <v>237</v>
      </c>
      <c r="C1704" t="s">
        <v>238</v>
      </c>
      <c r="D1704" t="s">
        <v>248</v>
      </c>
      <c r="E1704" t="s">
        <v>228</v>
      </c>
      <c r="F1704">
        <v>2009</v>
      </c>
      <c r="G1704">
        <v>1.66204635839011E-3</v>
      </c>
      <c r="H1704" t="s">
        <v>240</v>
      </c>
      <c r="I1704" t="s">
        <v>241</v>
      </c>
      <c r="J1704" t="s">
        <v>242</v>
      </c>
      <c r="K1704" s="183">
        <f ca="1">VLOOKUP(F1704,
    OFFSET(INDIRECT(ADDRESS(MATCH(J1704,'Vehicle numbers'!$A$5:$A$162,0),1,1,1,$L$6)),4,1,COUNTIF('Vehicle numbers'!$A$5:$A$162,J1704),4),
    MATCH(K$8,'Vehicle numbers'!$B$4:$D$4,0))*1000</f>
        <v>173727.99999999997</v>
      </c>
      <c r="L1704" s="183">
        <f ca="1">VLOOKUP(F1704,
    OFFSET(INDIRECT(ADDRESS(MATCH(J1704,'Vehicle numbers'!$A$5:$A$162,0),1,1,1,$L$6)),4,1,COUNTIF('Vehicle numbers'!$A$5:$A$162,J1704),4),
    MATCH(L$8,'Vehicle numbers'!$B$4:$D$4,0))*1000</f>
        <v>179797.99314538605</v>
      </c>
      <c r="M1704" s="184">
        <f>VLOOKUP(F1704,'Annual distance covered (GB)'!$A$8:$H$33,MATCH(J1704,'Annual distance covered (GB)'!$A$7:$H$7,0))</f>
        <v>5</v>
      </c>
      <c r="N1704" s="2">
        <f t="shared" ca="1" si="66"/>
        <v>8600.5882688207676</v>
      </c>
      <c r="O1704" s="180">
        <f t="shared" ca="1" si="67"/>
        <v>4.7834728955324132E-2</v>
      </c>
      <c r="P1704" s="180"/>
      <c r="Q1704" s="180"/>
      <c r="R1704" s="180"/>
      <c r="S1704" s="180"/>
      <c r="T1704" s="180"/>
    </row>
    <row r="1705" spans="1:20" x14ac:dyDescent="0.25">
      <c r="A1705" t="s">
        <v>246</v>
      </c>
      <c r="B1705" t="s">
        <v>237</v>
      </c>
      <c r="C1705" t="s">
        <v>238</v>
      </c>
      <c r="D1705" t="s">
        <v>248</v>
      </c>
      <c r="E1705" t="s">
        <v>228</v>
      </c>
      <c r="F1705">
        <v>2009</v>
      </c>
      <c r="G1705">
        <v>1.32963708671209E-3</v>
      </c>
      <c r="H1705" t="s">
        <v>240</v>
      </c>
      <c r="I1705" t="s">
        <v>241</v>
      </c>
      <c r="J1705" t="s">
        <v>242</v>
      </c>
      <c r="K1705" s="183">
        <f ca="1">VLOOKUP(F1705,
    OFFSET(INDIRECT(ADDRESS(MATCH(J1705,'Vehicle numbers'!$A$5:$A$162,0),1,1,1,$L$6)),4,1,COUNTIF('Vehicle numbers'!$A$5:$A$162,J1705),4),
    MATCH(K$8,'Vehicle numbers'!$B$4:$D$4,0))*1000</f>
        <v>173727.99999999997</v>
      </c>
      <c r="L1705" s="183">
        <f ca="1">VLOOKUP(F1705,
    OFFSET(INDIRECT(ADDRESS(MATCH(J1705,'Vehicle numbers'!$A$5:$A$162,0),1,1,1,$L$6)),4,1,COUNTIF('Vehicle numbers'!$A$5:$A$162,J1705),4),
    MATCH(L$8,'Vehicle numbers'!$B$4:$D$4,0))*1000</f>
        <v>179797.99314538605</v>
      </c>
      <c r="M1705" s="184">
        <f>VLOOKUP(F1705,'Annual distance covered (GB)'!$A$8:$H$33,MATCH(J1705,'Annual distance covered (GB)'!$A$7:$H$7,0))</f>
        <v>5</v>
      </c>
      <c r="N1705" s="2">
        <f t="shared" ca="1" si="66"/>
        <v>6880.4706150566253</v>
      </c>
      <c r="O1705" s="180">
        <f t="shared" ca="1" si="67"/>
        <v>3.826778316425937E-2</v>
      </c>
      <c r="P1705" s="180"/>
      <c r="Q1705" s="180"/>
      <c r="R1705" s="180"/>
      <c r="S1705" s="180"/>
      <c r="T1705" s="180"/>
    </row>
    <row r="1706" spans="1:20" x14ac:dyDescent="0.25">
      <c r="A1706" t="s">
        <v>236</v>
      </c>
      <c r="B1706" t="s">
        <v>237</v>
      </c>
      <c r="C1706" t="s">
        <v>238</v>
      </c>
      <c r="D1706" t="s">
        <v>249</v>
      </c>
      <c r="E1706" t="s">
        <v>229</v>
      </c>
      <c r="F1706">
        <v>2009</v>
      </c>
      <c r="G1706">
        <v>5.3594999999999997E-2</v>
      </c>
      <c r="H1706" t="s">
        <v>240</v>
      </c>
      <c r="I1706" t="s">
        <v>241</v>
      </c>
      <c r="J1706" t="s">
        <v>242</v>
      </c>
      <c r="K1706" s="183">
        <f ca="1">VLOOKUP(F1706,
    OFFSET(INDIRECT(ADDRESS(MATCH(J1706,'Vehicle numbers'!$A$5:$A$162,0),1,1,1,$L$6)),4,1,COUNTIF('Vehicle numbers'!$A$5:$A$162,J1706),4),
    MATCH(K$8,'Vehicle numbers'!$B$4:$D$4,0))*1000</f>
        <v>173727.99999999997</v>
      </c>
      <c r="L1706" s="183">
        <f ca="1">VLOOKUP(F1706,
    OFFSET(INDIRECT(ADDRESS(MATCH(J1706,'Vehicle numbers'!$A$5:$A$162,0),1,1,1,$L$6)),4,1,COUNTIF('Vehicle numbers'!$A$5:$A$162,J1706),4),
    MATCH(L$8,'Vehicle numbers'!$B$4:$D$4,0))*1000</f>
        <v>179797.99314538605</v>
      </c>
      <c r="M1706" s="184">
        <f>VLOOKUP(F1706,'Annual distance covered (GB)'!$A$8:$H$33,MATCH(J1706,'Annual distance covered (GB)'!$A$7:$H$7,0))</f>
        <v>5</v>
      </c>
      <c r="N1706" s="2">
        <f t="shared" ca="1" si="66"/>
        <v>277337.94905331795</v>
      </c>
      <c r="O1706" s="180">
        <f t="shared" ca="1" si="67"/>
        <v>1.5424974673052125</v>
      </c>
      <c r="P1706" s="180"/>
      <c r="Q1706" s="180"/>
      <c r="R1706" s="180"/>
      <c r="S1706" s="180"/>
      <c r="T1706" s="180"/>
    </row>
    <row r="1707" spans="1:20" x14ac:dyDescent="0.25">
      <c r="A1707" t="s">
        <v>243</v>
      </c>
      <c r="B1707" t="s">
        <v>237</v>
      </c>
      <c r="C1707" t="s">
        <v>238</v>
      </c>
      <c r="D1707" t="s">
        <v>249</v>
      </c>
      <c r="E1707" t="s">
        <v>229</v>
      </c>
      <c r="F1707">
        <v>2009</v>
      </c>
      <c r="G1707">
        <v>2.1437999999999999E-2</v>
      </c>
      <c r="H1707" t="s">
        <v>240</v>
      </c>
      <c r="I1707" t="s">
        <v>241</v>
      </c>
      <c r="J1707" t="s">
        <v>242</v>
      </c>
      <c r="K1707" s="183">
        <f ca="1">VLOOKUP(F1707,
    OFFSET(INDIRECT(ADDRESS(MATCH(J1707,'Vehicle numbers'!$A$5:$A$162,0),1,1,1,$L$6)),4,1,COUNTIF('Vehicle numbers'!$A$5:$A$162,J1707),4),
    MATCH(K$8,'Vehicle numbers'!$B$4:$D$4,0))*1000</f>
        <v>173727.99999999997</v>
      </c>
      <c r="L1707" s="183">
        <f ca="1">VLOOKUP(F1707,
    OFFSET(INDIRECT(ADDRESS(MATCH(J1707,'Vehicle numbers'!$A$5:$A$162,0),1,1,1,$L$6)),4,1,COUNTIF('Vehicle numbers'!$A$5:$A$162,J1707),4),
    MATCH(L$8,'Vehicle numbers'!$B$4:$D$4,0))*1000</f>
        <v>179797.99314538605</v>
      </c>
      <c r="M1707" s="184">
        <f>VLOOKUP(F1707,'Annual distance covered (GB)'!$A$8:$H$33,MATCH(J1707,'Annual distance covered (GB)'!$A$7:$H$7,0))</f>
        <v>5</v>
      </c>
      <c r="N1707" s="2">
        <f t="shared" ca="1" si="66"/>
        <v>110935.1796213272</v>
      </c>
      <c r="O1707" s="180">
        <f t="shared" ca="1" si="67"/>
        <v>0.6169989869220851</v>
      </c>
      <c r="P1707" s="180"/>
      <c r="Q1707" s="180"/>
      <c r="R1707" s="180"/>
      <c r="S1707" s="180"/>
      <c r="T1707" s="180"/>
    </row>
    <row r="1708" spans="1:20" x14ac:dyDescent="0.25">
      <c r="A1708" t="s">
        <v>244</v>
      </c>
      <c r="B1708" t="s">
        <v>237</v>
      </c>
      <c r="C1708" t="s">
        <v>238</v>
      </c>
      <c r="D1708" t="s">
        <v>249</v>
      </c>
      <c r="E1708" t="s">
        <v>229</v>
      </c>
      <c r="F1708">
        <v>2009</v>
      </c>
      <c r="G1708">
        <v>5.3594999999999997E-3</v>
      </c>
      <c r="H1708" t="s">
        <v>240</v>
      </c>
      <c r="I1708" t="s">
        <v>241</v>
      </c>
      <c r="J1708" t="s">
        <v>242</v>
      </c>
      <c r="K1708" s="183">
        <f ca="1">VLOOKUP(F1708,
    OFFSET(INDIRECT(ADDRESS(MATCH(J1708,'Vehicle numbers'!$A$5:$A$162,0),1,1,1,$L$6)),4,1,COUNTIF('Vehicle numbers'!$A$5:$A$162,J1708),4),
    MATCH(K$8,'Vehicle numbers'!$B$4:$D$4,0))*1000</f>
        <v>173727.99999999997</v>
      </c>
      <c r="L1708" s="183">
        <f ca="1">VLOOKUP(F1708,
    OFFSET(INDIRECT(ADDRESS(MATCH(J1708,'Vehicle numbers'!$A$5:$A$162,0),1,1,1,$L$6)),4,1,COUNTIF('Vehicle numbers'!$A$5:$A$162,J1708),4),
    MATCH(L$8,'Vehicle numbers'!$B$4:$D$4,0))*1000</f>
        <v>179797.99314538605</v>
      </c>
      <c r="M1708" s="184">
        <f>VLOOKUP(F1708,'Annual distance covered (GB)'!$A$8:$H$33,MATCH(J1708,'Annual distance covered (GB)'!$A$7:$H$7,0))</f>
        <v>5</v>
      </c>
      <c r="N1708" s="2">
        <f t="shared" ca="1" si="66"/>
        <v>27733.794905331801</v>
      </c>
      <c r="O1708" s="180">
        <f t="shared" ca="1" si="67"/>
        <v>0.15424974673052128</v>
      </c>
      <c r="P1708" s="180"/>
      <c r="Q1708" s="180"/>
      <c r="R1708" s="180"/>
      <c r="S1708" s="180"/>
      <c r="T1708" s="180"/>
    </row>
    <row r="1709" spans="1:20" x14ac:dyDescent="0.25">
      <c r="A1709" t="s">
        <v>246</v>
      </c>
      <c r="B1709" t="s">
        <v>237</v>
      </c>
      <c r="C1709" t="s">
        <v>238</v>
      </c>
      <c r="D1709" t="s">
        <v>249</v>
      </c>
      <c r="E1709" t="s">
        <v>229</v>
      </c>
      <c r="F1709">
        <v>2009</v>
      </c>
      <c r="G1709">
        <v>4.2875999999999999E-3</v>
      </c>
      <c r="H1709" t="s">
        <v>240</v>
      </c>
      <c r="I1709" t="s">
        <v>241</v>
      </c>
      <c r="J1709" t="s">
        <v>242</v>
      </c>
      <c r="K1709" s="183">
        <f ca="1">VLOOKUP(F1709,
    OFFSET(INDIRECT(ADDRESS(MATCH(J1709,'Vehicle numbers'!$A$5:$A$162,0),1,1,1,$L$6)),4,1,COUNTIF('Vehicle numbers'!$A$5:$A$162,J1709),4),
    MATCH(K$8,'Vehicle numbers'!$B$4:$D$4,0))*1000</f>
        <v>173727.99999999997</v>
      </c>
      <c r="L1709" s="183">
        <f ca="1">VLOOKUP(F1709,
    OFFSET(INDIRECT(ADDRESS(MATCH(J1709,'Vehicle numbers'!$A$5:$A$162,0),1,1,1,$L$6)),4,1,COUNTIF('Vehicle numbers'!$A$5:$A$162,J1709),4),
    MATCH(L$8,'Vehicle numbers'!$B$4:$D$4,0))*1000</f>
        <v>179797.99314538605</v>
      </c>
      <c r="M1709" s="184">
        <f>VLOOKUP(F1709,'Annual distance covered (GB)'!$A$8:$H$33,MATCH(J1709,'Annual distance covered (GB)'!$A$7:$H$7,0))</f>
        <v>5</v>
      </c>
      <c r="N1709" s="2">
        <f t="shared" ca="1" si="66"/>
        <v>22187.035924265441</v>
      </c>
      <c r="O1709" s="180">
        <f t="shared" ca="1" si="67"/>
        <v>0.12339979738441703</v>
      </c>
      <c r="P1709" s="180"/>
      <c r="Q1709" s="180"/>
      <c r="R1709" s="180"/>
      <c r="S1709" s="180"/>
      <c r="T1709" s="180"/>
    </row>
    <row r="1710" spans="1:20" x14ac:dyDescent="0.25">
      <c r="A1710" t="s">
        <v>236</v>
      </c>
      <c r="B1710" t="s">
        <v>237</v>
      </c>
      <c r="C1710" t="s">
        <v>238</v>
      </c>
      <c r="D1710" t="s">
        <v>249</v>
      </c>
      <c r="E1710" t="s">
        <v>228</v>
      </c>
      <c r="F1710">
        <v>2009</v>
      </c>
      <c r="G1710">
        <v>2.1388768562663099E-2</v>
      </c>
      <c r="H1710" t="s">
        <v>240</v>
      </c>
      <c r="I1710" t="s">
        <v>241</v>
      </c>
      <c r="J1710" t="s">
        <v>242</v>
      </c>
      <c r="K1710" s="183">
        <f ca="1">VLOOKUP(F1710,
    OFFSET(INDIRECT(ADDRESS(MATCH(J1710,'Vehicle numbers'!$A$5:$A$162,0),1,1,1,$L$6)),4,1,COUNTIF('Vehicle numbers'!$A$5:$A$162,J1710),4),
    MATCH(K$8,'Vehicle numbers'!$B$4:$D$4,0))*1000</f>
        <v>173727.99999999997</v>
      </c>
      <c r="L1710" s="183">
        <f ca="1">VLOOKUP(F1710,
    OFFSET(INDIRECT(ADDRESS(MATCH(J1710,'Vehicle numbers'!$A$5:$A$162,0),1,1,1,$L$6)),4,1,COUNTIF('Vehicle numbers'!$A$5:$A$162,J1710),4),
    MATCH(L$8,'Vehicle numbers'!$B$4:$D$4,0))*1000</f>
        <v>179797.99314538605</v>
      </c>
      <c r="M1710" s="184">
        <f>VLOOKUP(F1710,'Annual distance covered (GB)'!$A$8:$H$33,MATCH(J1710,'Annual distance covered (GB)'!$A$7:$H$7,0))</f>
        <v>5</v>
      </c>
      <c r="N1710" s="2">
        <f t="shared" ca="1" si="66"/>
        <v>110680.42179205277</v>
      </c>
      <c r="O1710" s="180">
        <f t="shared" ca="1" si="67"/>
        <v>0.6155820755049014</v>
      </c>
      <c r="P1710" s="180"/>
      <c r="Q1710" s="180"/>
      <c r="R1710" s="180"/>
      <c r="S1710" s="180"/>
      <c r="T1710" s="180"/>
    </row>
    <row r="1711" spans="1:20" x14ac:dyDescent="0.25">
      <c r="A1711" t="s">
        <v>243</v>
      </c>
      <c r="B1711" t="s">
        <v>237</v>
      </c>
      <c r="C1711" t="s">
        <v>238</v>
      </c>
      <c r="D1711" t="s">
        <v>249</v>
      </c>
      <c r="E1711" t="s">
        <v>228</v>
      </c>
      <c r="F1711">
        <v>2009</v>
      </c>
      <c r="G1711">
        <v>1.4972137993864199E-2</v>
      </c>
      <c r="H1711" t="s">
        <v>240</v>
      </c>
      <c r="I1711" t="s">
        <v>241</v>
      </c>
      <c r="J1711" t="s">
        <v>242</v>
      </c>
      <c r="K1711" s="183">
        <f ca="1">VLOOKUP(F1711,
    OFFSET(INDIRECT(ADDRESS(MATCH(J1711,'Vehicle numbers'!$A$5:$A$162,0),1,1,1,$L$6)),4,1,COUNTIF('Vehicle numbers'!$A$5:$A$162,J1711),4),
    MATCH(K$8,'Vehicle numbers'!$B$4:$D$4,0))*1000</f>
        <v>173727.99999999997</v>
      </c>
      <c r="L1711" s="183">
        <f ca="1">VLOOKUP(F1711,
    OFFSET(INDIRECT(ADDRESS(MATCH(J1711,'Vehicle numbers'!$A$5:$A$162,0),1,1,1,$L$6)),4,1,COUNTIF('Vehicle numbers'!$A$5:$A$162,J1711),4),
    MATCH(L$8,'Vehicle numbers'!$B$4:$D$4,0))*1000</f>
        <v>179797.99314538605</v>
      </c>
      <c r="M1711" s="184">
        <f>VLOOKUP(F1711,'Annual distance covered (GB)'!$A$8:$H$33,MATCH(J1711,'Annual distance covered (GB)'!$A$7:$H$7,0))</f>
        <v>5</v>
      </c>
      <c r="N1711" s="2">
        <f t="shared" ca="1" si="66"/>
        <v>77476.295254437107</v>
      </c>
      <c r="O1711" s="180">
        <f t="shared" ca="1" si="67"/>
        <v>0.4309074528534319</v>
      </c>
      <c r="P1711" s="180"/>
      <c r="Q1711" s="180"/>
      <c r="R1711" s="180"/>
      <c r="S1711" s="180"/>
      <c r="T1711" s="180"/>
    </row>
    <row r="1712" spans="1:20" x14ac:dyDescent="0.25">
      <c r="A1712" t="s">
        <v>244</v>
      </c>
      <c r="B1712" t="s">
        <v>237</v>
      </c>
      <c r="C1712" t="s">
        <v>238</v>
      </c>
      <c r="D1712" t="s">
        <v>249</v>
      </c>
      <c r="E1712" t="s">
        <v>228</v>
      </c>
      <c r="F1712">
        <v>2009</v>
      </c>
      <c r="G1712">
        <v>2.1087518301217199E-3</v>
      </c>
      <c r="H1712" t="s">
        <v>240</v>
      </c>
      <c r="I1712" t="s">
        <v>241</v>
      </c>
      <c r="J1712" t="s">
        <v>242</v>
      </c>
      <c r="K1712" s="183">
        <f ca="1">VLOOKUP(F1712,
    OFFSET(INDIRECT(ADDRESS(MATCH(J1712,'Vehicle numbers'!$A$5:$A$162,0),1,1,1,$L$6)),4,1,COUNTIF('Vehicle numbers'!$A$5:$A$162,J1712),4),
    MATCH(K$8,'Vehicle numbers'!$B$4:$D$4,0))*1000</f>
        <v>173727.99999999997</v>
      </c>
      <c r="L1712" s="183">
        <f ca="1">VLOOKUP(F1712,
    OFFSET(INDIRECT(ADDRESS(MATCH(J1712,'Vehicle numbers'!$A$5:$A$162,0),1,1,1,$L$6)),4,1,COUNTIF('Vehicle numbers'!$A$5:$A$162,J1712),4),
    MATCH(L$8,'Vehicle numbers'!$B$4:$D$4,0))*1000</f>
        <v>179797.99314538605</v>
      </c>
      <c r="M1712" s="184">
        <f>VLOOKUP(F1712,'Annual distance covered (GB)'!$A$8:$H$33,MATCH(J1712,'Annual distance covered (GB)'!$A$7:$H$7,0))</f>
        <v>5</v>
      </c>
      <c r="N1712" s="2">
        <f t="shared" ca="1" si="66"/>
        <v>10912.154261188332</v>
      </c>
      <c r="O1712" s="180">
        <f t="shared" ca="1" si="67"/>
        <v>6.0691190542736924E-2</v>
      </c>
      <c r="P1712" s="180"/>
      <c r="Q1712" s="180"/>
      <c r="R1712" s="180"/>
      <c r="S1712" s="180"/>
      <c r="T1712" s="180"/>
    </row>
    <row r="1713" spans="1:20" x14ac:dyDescent="0.25">
      <c r="A1713" t="s">
        <v>246</v>
      </c>
      <c r="B1713" t="s">
        <v>237</v>
      </c>
      <c r="C1713" t="s">
        <v>238</v>
      </c>
      <c r="D1713" t="s">
        <v>249</v>
      </c>
      <c r="E1713" t="s">
        <v>228</v>
      </c>
      <c r="F1713">
        <v>2009</v>
      </c>
      <c r="G1713">
        <v>1.6870014640973699E-3</v>
      </c>
      <c r="H1713" t="s">
        <v>240</v>
      </c>
      <c r="I1713" t="s">
        <v>241</v>
      </c>
      <c r="J1713" t="s">
        <v>242</v>
      </c>
      <c r="K1713" s="183">
        <f ca="1">VLOOKUP(F1713,
    OFFSET(INDIRECT(ADDRESS(MATCH(J1713,'Vehicle numbers'!$A$5:$A$162,0),1,1,1,$L$6)),4,1,COUNTIF('Vehicle numbers'!$A$5:$A$162,J1713),4),
    MATCH(K$8,'Vehicle numbers'!$B$4:$D$4,0))*1000</f>
        <v>173727.99999999997</v>
      </c>
      <c r="L1713" s="183">
        <f ca="1">VLOOKUP(F1713,
    OFFSET(INDIRECT(ADDRESS(MATCH(J1713,'Vehicle numbers'!$A$5:$A$162,0),1,1,1,$L$6)),4,1,COUNTIF('Vehicle numbers'!$A$5:$A$162,J1713),4),
    MATCH(L$8,'Vehicle numbers'!$B$4:$D$4,0))*1000</f>
        <v>179797.99314538605</v>
      </c>
      <c r="M1713" s="184">
        <f>VLOOKUP(F1713,'Annual distance covered (GB)'!$A$8:$H$33,MATCH(J1713,'Annual distance covered (GB)'!$A$7:$H$7,0))</f>
        <v>5</v>
      </c>
      <c r="N1713" s="2">
        <f t="shared" ca="1" si="66"/>
        <v>8729.7234089506346</v>
      </c>
      <c r="O1713" s="180">
        <f t="shared" ca="1" si="67"/>
        <v>4.8552952434189368E-2</v>
      </c>
      <c r="P1713" s="180"/>
      <c r="Q1713" s="180"/>
      <c r="R1713" s="180"/>
      <c r="S1713" s="180"/>
      <c r="T1713" s="180"/>
    </row>
    <row r="1714" spans="1:20" x14ac:dyDescent="0.25">
      <c r="A1714" t="s">
        <v>236</v>
      </c>
      <c r="B1714" t="s">
        <v>237</v>
      </c>
      <c r="C1714" t="s">
        <v>238</v>
      </c>
      <c r="D1714" t="s">
        <v>250</v>
      </c>
      <c r="E1714" t="s">
        <v>229</v>
      </c>
      <c r="F1714">
        <v>2009</v>
      </c>
      <c r="G1714">
        <v>1.3600000000000001E-3</v>
      </c>
      <c r="H1714" t="s">
        <v>240</v>
      </c>
      <c r="I1714" t="s">
        <v>241</v>
      </c>
      <c r="J1714" t="s">
        <v>2</v>
      </c>
      <c r="K1714" s="183">
        <f ca="1">VLOOKUP(F1714,
    OFFSET(INDIRECT(ADDRESS(MATCH(J1714,'Vehicle numbers'!$A$5:$A$162,0),1,1,1,$L$6)),4,1,COUNTIF('Vehicle numbers'!$A$5:$A$162,J1714),4),
    MATCH(K$8,'Vehicle numbers'!$B$4:$D$4,0))*1000</f>
        <v>28246470</v>
      </c>
      <c r="L1714" s="183">
        <f ca="1">VLOOKUP(F1714,
    OFFSET(INDIRECT(ADDRESS(MATCH(J1714,'Vehicle numbers'!$A$5:$A$162,0),1,1,1,$L$6)),4,1,COUNTIF('Vehicle numbers'!$A$5:$A$162,J1714),4),
    MATCH(L$8,'Vehicle numbers'!$B$4:$D$4,0))*1000</f>
        <v>29114554.598940525</v>
      </c>
      <c r="M1714" s="184">
        <f>VLOOKUP(F1714,'Annual distance covered (GB)'!$A$8:$H$33,MATCH(J1714,'Annual distance covered (GB)'!$A$7:$H$7,0))</f>
        <v>394</v>
      </c>
      <c r="N1714" s="2">
        <f t="shared" ca="1" si="66"/>
        <v>552307.70203484874</v>
      </c>
      <c r="O1714" s="180">
        <f t="shared" ca="1" si="67"/>
        <v>1.8970158040987072E-2</v>
      </c>
      <c r="P1714" s="180"/>
      <c r="Q1714" s="180"/>
      <c r="R1714" s="180"/>
      <c r="S1714" s="180"/>
      <c r="T1714" s="180"/>
    </row>
    <row r="1715" spans="1:20" x14ac:dyDescent="0.25">
      <c r="A1715" t="s">
        <v>243</v>
      </c>
      <c r="B1715" t="s">
        <v>237</v>
      </c>
      <c r="C1715" t="s">
        <v>238</v>
      </c>
      <c r="D1715" t="s">
        <v>250</v>
      </c>
      <c r="E1715" t="s">
        <v>229</v>
      </c>
      <c r="F1715">
        <v>2009</v>
      </c>
      <c r="G1715">
        <v>5.44E-4</v>
      </c>
      <c r="H1715" t="s">
        <v>240</v>
      </c>
      <c r="I1715" t="s">
        <v>241</v>
      </c>
      <c r="J1715" t="s">
        <v>2</v>
      </c>
      <c r="K1715" s="183">
        <f ca="1">VLOOKUP(F1715,
    OFFSET(INDIRECT(ADDRESS(MATCH(J1715,'Vehicle numbers'!$A$5:$A$162,0),1,1,1,$L$6)),4,1,COUNTIF('Vehicle numbers'!$A$5:$A$162,J1715),4),
    MATCH(K$8,'Vehicle numbers'!$B$4:$D$4,0))*1000</f>
        <v>28246470</v>
      </c>
      <c r="L1715" s="183">
        <f ca="1">VLOOKUP(F1715,
    OFFSET(INDIRECT(ADDRESS(MATCH(J1715,'Vehicle numbers'!$A$5:$A$162,0),1,1,1,$L$6)),4,1,COUNTIF('Vehicle numbers'!$A$5:$A$162,J1715),4),
    MATCH(L$8,'Vehicle numbers'!$B$4:$D$4,0))*1000</f>
        <v>29114554.598940525</v>
      </c>
      <c r="M1715" s="184">
        <f>VLOOKUP(F1715,'Annual distance covered (GB)'!$A$8:$H$33,MATCH(J1715,'Annual distance covered (GB)'!$A$7:$H$7,0))</f>
        <v>394</v>
      </c>
      <c r="N1715" s="2">
        <f t="shared" ca="1" si="66"/>
        <v>220923.08081393945</v>
      </c>
      <c r="O1715" s="180">
        <f t="shared" ca="1" si="67"/>
        <v>7.5880632163948273E-3</v>
      </c>
      <c r="P1715" s="180"/>
      <c r="Q1715" s="180"/>
      <c r="R1715" s="180"/>
      <c r="S1715" s="180"/>
      <c r="T1715" s="180"/>
    </row>
    <row r="1716" spans="1:20" x14ac:dyDescent="0.25">
      <c r="A1716" t="s">
        <v>244</v>
      </c>
      <c r="B1716" t="s">
        <v>237</v>
      </c>
      <c r="C1716" t="s">
        <v>238</v>
      </c>
      <c r="D1716" t="s">
        <v>250</v>
      </c>
      <c r="E1716" t="s">
        <v>229</v>
      </c>
      <c r="F1716">
        <v>2009</v>
      </c>
      <c r="G1716">
        <v>1.36E-4</v>
      </c>
      <c r="H1716" t="s">
        <v>240</v>
      </c>
      <c r="I1716" t="s">
        <v>241</v>
      </c>
      <c r="J1716" t="s">
        <v>2</v>
      </c>
      <c r="K1716" s="183">
        <f ca="1">VLOOKUP(F1716,
    OFFSET(INDIRECT(ADDRESS(MATCH(J1716,'Vehicle numbers'!$A$5:$A$162,0),1,1,1,$L$6)),4,1,COUNTIF('Vehicle numbers'!$A$5:$A$162,J1716),4),
    MATCH(K$8,'Vehicle numbers'!$B$4:$D$4,0))*1000</f>
        <v>28246470</v>
      </c>
      <c r="L1716" s="183">
        <f ca="1">VLOOKUP(F1716,
    OFFSET(INDIRECT(ADDRESS(MATCH(J1716,'Vehicle numbers'!$A$5:$A$162,0),1,1,1,$L$6)),4,1,COUNTIF('Vehicle numbers'!$A$5:$A$162,J1716),4),
    MATCH(L$8,'Vehicle numbers'!$B$4:$D$4,0))*1000</f>
        <v>29114554.598940525</v>
      </c>
      <c r="M1716" s="184">
        <f>VLOOKUP(F1716,'Annual distance covered (GB)'!$A$8:$H$33,MATCH(J1716,'Annual distance covered (GB)'!$A$7:$H$7,0))</f>
        <v>394</v>
      </c>
      <c r="N1716" s="2">
        <f t="shared" ca="1" si="66"/>
        <v>55230.770203484863</v>
      </c>
      <c r="O1716" s="180">
        <f t="shared" ca="1" si="67"/>
        <v>1.8970158040987068E-3</v>
      </c>
      <c r="P1716" s="180"/>
      <c r="Q1716" s="180"/>
      <c r="R1716" s="180"/>
      <c r="S1716" s="180"/>
      <c r="T1716" s="180"/>
    </row>
    <row r="1717" spans="1:20" x14ac:dyDescent="0.25">
      <c r="A1717" t="s">
        <v>246</v>
      </c>
      <c r="B1717" t="s">
        <v>237</v>
      </c>
      <c r="C1717" t="s">
        <v>238</v>
      </c>
      <c r="D1717" t="s">
        <v>250</v>
      </c>
      <c r="E1717" t="s">
        <v>229</v>
      </c>
      <c r="F1717">
        <v>2009</v>
      </c>
      <c r="G1717">
        <v>1.088E-4</v>
      </c>
      <c r="H1717" t="s">
        <v>240</v>
      </c>
      <c r="I1717" t="s">
        <v>241</v>
      </c>
      <c r="J1717" t="s">
        <v>2</v>
      </c>
      <c r="K1717" s="183">
        <f ca="1">VLOOKUP(F1717,
    OFFSET(INDIRECT(ADDRESS(MATCH(J1717,'Vehicle numbers'!$A$5:$A$162,0),1,1,1,$L$6)),4,1,COUNTIF('Vehicle numbers'!$A$5:$A$162,J1717),4),
    MATCH(K$8,'Vehicle numbers'!$B$4:$D$4,0))*1000</f>
        <v>28246470</v>
      </c>
      <c r="L1717" s="183">
        <f ca="1">VLOOKUP(F1717,
    OFFSET(INDIRECT(ADDRESS(MATCH(J1717,'Vehicle numbers'!$A$5:$A$162,0),1,1,1,$L$6)),4,1,COUNTIF('Vehicle numbers'!$A$5:$A$162,J1717),4),
    MATCH(L$8,'Vehicle numbers'!$B$4:$D$4,0))*1000</f>
        <v>29114554.598940525</v>
      </c>
      <c r="M1717" s="184">
        <f>VLOOKUP(F1717,'Annual distance covered (GB)'!$A$8:$H$33,MATCH(J1717,'Annual distance covered (GB)'!$A$7:$H$7,0))</f>
        <v>394</v>
      </c>
      <c r="N1717" s="2">
        <f t="shared" ca="1" si="66"/>
        <v>44184.616162787897</v>
      </c>
      <c r="O1717" s="180">
        <f t="shared" ca="1" si="67"/>
        <v>1.5176126432789657E-3</v>
      </c>
      <c r="P1717" s="180"/>
      <c r="Q1717" s="180"/>
      <c r="R1717" s="180"/>
      <c r="S1717" s="180"/>
      <c r="T1717" s="180"/>
    </row>
    <row r="1718" spans="1:20" x14ac:dyDescent="0.25">
      <c r="A1718" t="s">
        <v>236</v>
      </c>
      <c r="B1718" t="s">
        <v>237</v>
      </c>
      <c r="C1718" t="s">
        <v>238</v>
      </c>
      <c r="D1718" t="s">
        <v>250</v>
      </c>
      <c r="E1718" t="s">
        <v>228</v>
      </c>
      <c r="F1718">
        <v>2009</v>
      </c>
      <c r="G1718">
        <v>5.7910000000000001E-3</v>
      </c>
      <c r="H1718" t="s">
        <v>240</v>
      </c>
      <c r="I1718" t="s">
        <v>241</v>
      </c>
      <c r="J1718" t="s">
        <v>2</v>
      </c>
      <c r="K1718" s="183">
        <f ca="1">VLOOKUP(F1718,
    OFFSET(INDIRECT(ADDRESS(MATCH(J1718,'Vehicle numbers'!$A$5:$A$162,0),1,1,1,$L$6)),4,1,COUNTIF('Vehicle numbers'!$A$5:$A$162,J1718),4),
    MATCH(K$8,'Vehicle numbers'!$B$4:$D$4,0))*1000</f>
        <v>28246470</v>
      </c>
      <c r="L1718" s="183">
        <f ca="1">VLOOKUP(F1718,
    OFFSET(INDIRECT(ADDRESS(MATCH(J1718,'Vehicle numbers'!$A$5:$A$162,0),1,1,1,$L$6)),4,1,COUNTIF('Vehicle numbers'!$A$5:$A$162,J1718),4),
    MATCH(L$8,'Vehicle numbers'!$B$4:$D$4,0))*1000</f>
        <v>29114554.598940525</v>
      </c>
      <c r="M1718" s="184">
        <f>VLOOKUP(F1718,'Annual distance covered (GB)'!$A$8:$H$33,MATCH(J1718,'Annual distance covered (GB)'!$A$7:$H$7,0))</f>
        <v>394</v>
      </c>
      <c r="N1718" s="2">
        <f t="shared" ca="1" si="66"/>
        <v>2351774.928296918</v>
      </c>
      <c r="O1718" s="180">
        <f t="shared" ca="1" si="67"/>
        <v>8.0776606775997142E-2</v>
      </c>
      <c r="P1718" s="180"/>
      <c r="Q1718" s="180"/>
      <c r="R1718" s="180"/>
      <c r="S1718" s="180"/>
      <c r="T1718" s="180"/>
    </row>
    <row r="1719" spans="1:20" x14ac:dyDescent="0.25">
      <c r="A1719" t="s">
        <v>243</v>
      </c>
      <c r="B1719" t="s">
        <v>237</v>
      </c>
      <c r="C1719" t="s">
        <v>238</v>
      </c>
      <c r="D1719" t="s">
        <v>250</v>
      </c>
      <c r="E1719" t="s">
        <v>228</v>
      </c>
      <c r="F1719">
        <v>2009</v>
      </c>
      <c r="G1719">
        <v>4.0537000000000004E-3</v>
      </c>
      <c r="H1719" t="s">
        <v>240</v>
      </c>
      <c r="I1719" t="s">
        <v>241</v>
      </c>
      <c r="J1719" t="s">
        <v>2</v>
      </c>
      <c r="K1719" s="183">
        <f ca="1">VLOOKUP(F1719,
    OFFSET(INDIRECT(ADDRESS(MATCH(J1719,'Vehicle numbers'!$A$5:$A$162,0),1,1,1,$L$6)),4,1,COUNTIF('Vehicle numbers'!$A$5:$A$162,J1719),4),
    MATCH(K$8,'Vehicle numbers'!$B$4:$D$4,0))*1000</f>
        <v>28246470</v>
      </c>
      <c r="L1719" s="183">
        <f ca="1">VLOOKUP(F1719,
    OFFSET(INDIRECT(ADDRESS(MATCH(J1719,'Vehicle numbers'!$A$5:$A$162,0),1,1,1,$L$6)),4,1,COUNTIF('Vehicle numbers'!$A$5:$A$162,J1719),4),
    MATCH(L$8,'Vehicle numbers'!$B$4:$D$4,0))*1000</f>
        <v>29114554.598940525</v>
      </c>
      <c r="M1719" s="184">
        <f>VLOOKUP(F1719,'Annual distance covered (GB)'!$A$8:$H$33,MATCH(J1719,'Annual distance covered (GB)'!$A$7:$H$7,0))</f>
        <v>394</v>
      </c>
      <c r="N1719" s="2">
        <f t="shared" ca="1" si="66"/>
        <v>1646242.4498078427</v>
      </c>
      <c r="O1719" s="180">
        <f t="shared" ca="1" si="67"/>
        <v>5.6543624743198004E-2</v>
      </c>
      <c r="P1719" s="180"/>
      <c r="Q1719" s="180"/>
      <c r="R1719" s="180"/>
      <c r="S1719" s="180"/>
      <c r="T1719" s="180"/>
    </row>
    <row r="1720" spans="1:20" x14ac:dyDescent="0.25">
      <c r="A1720" t="s">
        <v>244</v>
      </c>
      <c r="B1720" t="s">
        <v>237</v>
      </c>
      <c r="C1720" t="s">
        <v>238</v>
      </c>
      <c r="D1720" t="s">
        <v>250</v>
      </c>
      <c r="E1720" t="s">
        <v>228</v>
      </c>
      <c r="F1720">
        <v>2009</v>
      </c>
      <c r="G1720">
        <v>5.7094366197182997E-4</v>
      </c>
      <c r="H1720" t="s">
        <v>240</v>
      </c>
      <c r="I1720" t="s">
        <v>241</v>
      </c>
      <c r="J1720" t="s">
        <v>2</v>
      </c>
      <c r="K1720" s="183">
        <f ca="1">VLOOKUP(F1720,
    OFFSET(INDIRECT(ADDRESS(MATCH(J1720,'Vehicle numbers'!$A$5:$A$162,0),1,1,1,$L$6)),4,1,COUNTIF('Vehicle numbers'!$A$5:$A$162,J1720),4),
    MATCH(K$8,'Vehicle numbers'!$B$4:$D$4,0))*1000</f>
        <v>28246470</v>
      </c>
      <c r="L1720" s="183">
        <f ca="1">VLOOKUP(F1720,
    OFFSET(INDIRECT(ADDRESS(MATCH(J1720,'Vehicle numbers'!$A$5:$A$162,0),1,1,1,$L$6)),4,1,COUNTIF('Vehicle numbers'!$A$5:$A$162,J1720),4),
    MATCH(L$8,'Vehicle numbers'!$B$4:$D$4,0))*1000</f>
        <v>29114554.598940525</v>
      </c>
      <c r="M1720" s="184">
        <f>VLOOKUP(F1720,'Annual distance covered (GB)'!$A$8:$H$33,MATCH(J1720,'Annual distance covered (GB)'!$A$7:$H$7,0))</f>
        <v>394</v>
      </c>
      <c r="N1720" s="2">
        <f t="shared" ca="1" si="66"/>
        <v>231865.13377575207</v>
      </c>
      <c r="O1720" s="180">
        <f t="shared" ca="1" si="67"/>
        <v>7.9638908089011123E-3</v>
      </c>
      <c r="P1720" s="180"/>
      <c r="Q1720" s="180"/>
      <c r="R1720" s="180"/>
      <c r="S1720" s="180"/>
      <c r="T1720" s="180"/>
    </row>
    <row r="1721" spans="1:20" x14ac:dyDescent="0.25">
      <c r="A1721" t="s">
        <v>246</v>
      </c>
      <c r="B1721" t="s">
        <v>237</v>
      </c>
      <c r="C1721" t="s">
        <v>238</v>
      </c>
      <c r="D1721" t="s">
        <v>250</v>
      </c>
      <c r="E1721" t="s">
        <v>228</v>
      </c>
      <c r="F1721">
        <v>2009</v>
      </c>
      <c r="G1721">
        <v>4.5675492957746402E-4</v>
      </c>
      <c r="H1721" t="s">
        <v>240</v>
      </c>
      <c r="I1721" t="s">
        <v>241</v>
      </c>
      <c r="J1721" t="s">
        <v>2</v>
      </c>
      <c r="K1721" s="183">
        <f ca="1">VLOOKUP(F1721,
    OFFSET(INDIRECT(ADDRESS(MATCH(J1721,'Vehicle numbers'!$A$5:$A$162,0),1,1,1,$L$6)),4,1,COUNTIF('Vehicle numbers'!$A$5:$A$162,J1721),4),
    MATCH(K$8,'Vehicle numbers'!$B$4:$D$4,0))*1000</f>
        <v>28246470</v>
      </c>
      <c r="L1721" s="183">
        <f ca="1">VLOOKUP(F1721,
    OFFSET(INDIRECT(ADDRESS(MATCH(J1721,'Vehicle numbers'!$A$5:$A$162,0),1,1,1,$L$6)),4,1,COUNTIF('Vehicle numbers'!$A$5:$A$162,J1721),4),
    MATCH(L$8,'Vehicle numbers'!$B$4:$D$4,0))*1000</f>
        <v>29114554.598940525</v>
      </c>
      <c r="M1721" s="184">
        <f>VLOOKUP(F1721,'Annual distance covered (GB)'!$A$8:$H$33,MATCH(J1721,'Annual distance covered (GB)'!$A$7:$H$7,0))</f>
        <v>394</v>
      </c>
      <c r="N1721" s="2">
        <f t="shared" ca="1" si="66"/>
        <v>185492.10702060166</v>
      </c>
      <c r="O1721" s="180">
        <f t="shared" ca="1" si="67"/>
        <v>6.3711126471208907E-3</v>
      </c>
      <c r="P1721" s="180"/>
      <c r="Q1721" s="180"/>
      <c r="R1721" s="180"/>
      <c r="S1721" s="180"/>
      <c r="T1721" s="180"/>
    </row>
    <row r="1722" spans="1:20" x14ac:dyDescent="0.25">
      <c r="A1722" t="s">
        <v>236</v>
      </c>
      <c r="B1722" t="s">
        <v>237</v>
      </c>
      <c r="C1722" t="s">
        <v>238</v>
      </c>
      <c r="D1722" t="s">
        <v>255</v>
      </c>
      <c r="E1722" t="s">
        <v>229</v>
      </c>
      <c r="F1722">
        <v>2009</v>
      </c>
      <c r="G1722">
        <v>5.5269999999999903E-3</v>
      </c>
      <c r="H1722" t="s">
        <v>240</v>
      </c>
      <c r="I1722" t="s">
        <v>241</v>
      </c>
      <c r="J1722" t="s">
        <v>2</v>
      </c>
      <c r="K1722" s="183">
        <f ca="1">VLOOKUP(F1722,
    OFFSET(INDIRECT(ADDRESS(MATCH(J1722,'Vehicle numbers'!$A$5:$A$162,0),1,1,1,$L$6)),4,1,COUNTIF('Vehicle numbers'!$A$5:$A$162,J1722),4),
    MATCH(K$8,'Vehicle numbers'!$B$4:$D$4,0))*1000</f>
        <v>28246470</v>
      </c>
      <c r="L1722" s="183">
        <f ca="1">VLOOKUP(F1722,
    OFFSET(INDIRECT(ADDRESS(MATCH(J1722,'Vehicle numbers'!$A$5:$A$162,0),1,1,1,$L$6)),4,1,COUNTIF('Vehicle numbers'!$A$5:$A$162,J1722),4),
    MATCH(L$8,'Vehicle numbers'!$B$4:$D$4,0))*1000</f>
        <v>29114554.598940525</v>
      </c>
      <c r="M1722" s="184">
        <f>VLOOKUP(F1722,'Annual distance covered (GB)'!$A$8:$H$33,MATCH(J1722,'Annual distance covered (GB)'!$A$7:$H$7,0))</f>
        <v>394</v>
      </c>
      <c r="N1722" s="2">
        <f t="shared" ca="1" si="66"/>
        <v>2244562.2567254431</v>
      </c>
      <c r="O1722" s="180">
        <f t="shared" ca="1" si="67"/>
        <v>7.7094164332746559E-2</v>
      </c>
      <c r="P1722" s="180"/>
      <c r="Q1722" s="180"/>
      <c r="R1722" s="180"/>
      <c r="S1722" s="180"/>
      <c r="T1722" s="180"/>
    </row>
    <row r="1723" spans="1:20" x14ac:dyDescent="0.25">
      <c r="A1723" t="s">
        <v>243</v>
      </c>
      <c r="B1723" t="s">
        <v>237</v>
      </c>
      <c r="C1723" t="s">
        <v>238</v>
      </c>
      <c r="D1723" t="s">
        <v>255</v>
      </c>
      <c r="E1723" t="s">
        <v>229</v>
      </c>
      <c r="F1723">
        <v>2009</v>
      </c>
      <c r="G1723">
        <v>2.2108000000000002E-3</v>
      </c>
      <c r="H1723" t="s">
        <v>240</v>
      </c>
      <c r="I1723" t="s">
        <v>241</v>
      </c>
      <c r="J1723" t="s">
        <v>2</v>
      </c>
      <c r="K1723" s="183">
        <f ca="1">VLOOKUP(F1723,
    OFFSET(INDIRECT(ADDRESS(MATCH(J1723,'Vehicle numbers'!$A$5:$A$162,0),1,1,1,$L$6)),4,1,COUNTIF('Vehicle numbers'!$A$5:$A$162,J1723),4),
    MATCH(K$8,'Vehicle numbers'!$B$4:$D$4,0))*1000</f>
        <v>28246470</v>
      </c>
      <c r="L1723" s="183">
        <f ca="1">VLOOKUP(F1723,
    OFFSET(INDIRECT(ADDRESS(MATCH(J1723,'Vehicle numbers'!$A$5:$A$162,0),1,1,1,$L$6)),4,1,COUNTIF('Vehicle numbers'!$A$5:$A$162,J1723),4),
    MATCH(L$8,'Vehicle numbers'!$B$4:$D$4,0))*1000</f>
        <v>29114554.598940525</v>
      </c>
      <c r="M1723" s="184">
        <f>VLOOKUP(F1723,'Annual distance covered (GB)'!$A$8:$H$33,MATCH(J1723,'Annual distance covered (GB)'!$A$7:$H$7,0))</f>
        <v>394</v>
      </c>
      <c r="N1723" s="2">
        <f t="shared" ca="1" si="66"/>
        <v>897824.90269017895</v>
      </c>
      <c r="O1723" s="180">
        <f t="shared" ca="1" si="67"/>
        <v>3.0837665733098686E-2</v>
      </c>
      <c r="P1723" s="180"/>
      <c r="Q1723" s="180"/>
      <c r="R1723" s="180"/>
      <c r="S1723" s="180"/>
      <c r="T1723" s="180"/>
    </row>
    <row r="1724" spans="1:20" x14ac:dyDescent="0.25">
      <c r="A1724" t="s">
        <v>244</v>
      </c>
      <c r="B1724" t="s">
        <v>237</v>
      </c>
      <c r="C1724" t="s">
        <v>238</v>
      </c>
      <c r="D1724" t="s">
        <v>255</v>
      </c>
      <c r="E1724" t="s">
        <v>229</v>
      </c>
      <c r="F1724">
        <v>2009</v>
      </c>
      <c r="G1724">
        <v>5.5270000000000004E-4</v>
      </c>
      <c r="H1724" t="s">
        <v>240</v>
      </c>
      <c r="I1724" t="s">
        <v>241</v>
      </c>
      <c r="J1724" t="s">
        <v>2</v>
      </c>
      <c r="K1724" s="183">
        <f ca="1">VLOOKUP(F1724,
    OFFSET(INDIRECT(ADDRESS(MATCH(J1724,'Vehicle numbers'!$A$5:$A$162,0),1,1,1,$L$6)),4,1,COUNTIF('Vehicle numbers'!$A$5:$A$162,J1724),4),
    MATCH(K$8,'Vehicle numbers'!$B$4:$D$4,0))*1000</f>
        <v>28246470</v>
      </c>
      <c r="L1724" s="183">
        <f ca="1">VLOOKUP(F1724,
    OFFSET(INDIRECT(ADDRESS(MATCH(J1724,'Vehicle numbers'!$A$5:$A$162,0),1,1,1,$L$6)),4,1,COUNTIF('Vehicle numbers'!$A$5:$A$162,J1724),4),
    MATCH(L$8,'Vehicle numbers'!$B$4:$D$4,0))*1000</f>
        <v>29114554.598940525</v>
      </c>
      <c r="M1724" s="184">
        <f>VLOOKUP(F1724,'Annual distance covered (GB)'!$A$8:$H$33,MATCH(J1724,'Annual distance covered (GB)'!$A$7:$H$7,0))</f>
        <v>394</v>
      </c>
      <c r="N1724" s="2">
        <f t="shared" ca="1" si="66"/>
        <v>224456.22567254474</v>
      </c>
      <c r="O1724" s="180">
        <f t="shared" ca="1" si="67"/>
        <v>7.7094164332746715E-3</v>
      </c>
      <c r="P1724" s="180"/>
      <c r="Q1724" s="180"/>
      <c r="R1724" s="180"/>
      <c r="S1724" s="180"/>
      <c r="T1724" s="180"/>
    </row>
    <row r="1725" spans="1:20" x14ac:dyDescent="0.25">
      <c r="A1725" t="s">
        <v>246</v>
      </c>
      <c r="B1725" t="s">
        <v>237</v>
      </c>
      <c r="C1725" t="s">
        <v>238</v>
      </c>
      <c r="D1725" t="s">
        <v>255</v>
      </c>
      <c r="E1725" t="s">
        <v>229</v>
      </c>
      <c r="F1725">
        <v>2009</v>
      </c>
      <c r="G1725">
        <v>4.4215999999999998E-4</v>
      </c>
      <c r="H1725" t="s">
        <v>240</v>
      </c>
      <c r="I1725" t="s">
        <v>241</v>
      </c>
      <c r="J1725" t="s">
        <v>2</v>
      </c>
      <c r="K1725" s="183">
        <f ca="1">VLOOKUP(F1725,
    OFFSET(INDIRECT(ADDRESS(MATCH(J1725,'Vehicle numbers'!$A$5:$A$162,0),1,1,1,$L$6)),4,1,COUNTIF('Vehicle numbers'!$A$5:$A$162,J1725),4),
    MATCH(K$8,'Vehicle numbers'!$B$4:$D$4,0))*1000</f>
        <v>28246470</v>
      </c>
      <c r="L1725" s="183">
        <f ca="1">VLOOKUP(F1725,
    OFFSET(INDIRECT(ADDRESS(MATCH(J1725,'Vehicle numbers'!$A$5:$A$162,0),1,1,1,$L$6)),4,1,COUNTIF('Vehicle numbers'!$A$5:$A$162,J1725),4),
    MATCH(L$8,'Vehicle numbers'!$B$4:$D$4,0))*1000</f>
        <v>29114554.598940525</v>
      </c>
      <c r="M1725" s="184">
        <f>VLOOKUP(F1725,'Annual distance covered (GB)'!$A$8:$H$33,MATCH(J1725,'Annual distance covered (GB)'!$A$7:$H$7,0))</f>
        <v>394</v>
      </c>
      <c r="N1725" s="2">
        <f t="shared" ca="1" si="66"/>
        <v>179564.98053803577</v>
      </c>
      <c r="O1725" s="180">
        <f t="shared" ca="1" si="67"/>
        <v>6.1675331466197365E-3</v>
      </c>
      <c r="P1725" s="180"/>
      <c r="Q1725" s="180"/>
      <c r="R1725" s="180"/>
      <c r="S1725" s="180"/>
      <c r="T1725" s="180"/>
    </row>
    <row r="1726" spans="1:20" x14ac:dyDescent="0.25">
      <c r="A1726" t="s">
        <v>236</v>
      </c>
      <c r="B1726" t="s">
        <v>237</v>
      </c>
      <c r="C1726" t="s">
        <v>238</v>
      </c>
      <c r="D1726" t="s">
        <v>255</v>
      </c>
      <c r="E1726" t="s">
        <v>228</v>
      </c>
      <c r="F1726">
        <v>2009</v>
      </c>
      <c r="G1726">
        <v>6.7999999999999797E-3</v>
      </c>
      <c r="H1726" t="s">
        <v>240</v>
      </c>
      <c r="I1726" t="s">
        <v>241</v>
      </c>
      <c r="J1726" t="s">
        <v>2</v>
      </c>
      <c r="K1726" s="183">
        <f ca="1">VLOOKUP(F1726,
    OFFSET(INDIRECT(ADDRESS(MATCH(J1726,'Vehicle numbers'!$A$5:$A$162,0),1,1,1,$L$6)),4,1,COUNTIF('Vehicle numbers'!$A$5:$A$162,J1726),4),
    MATCH(K$8,'Vehicle numbers'!$B$4:$D$4,0))*1000</f>
        <v>28246470</v>
      </c>
      <c r="L1726" s="183">
        <f ca="1">VLOOKUP(F1726,
    OFFSET(INDIRECT(ADDRESS(MATCH(J1726,'Vehicle numbers'!$A$5:$A$162,0),1,1,1,$L$6)),4,1,COUNTIF('Vehicle numbers'!$A$5:$A$162,J1726),4),
    MATCH(L$8,'Vehicle numbers'!$B$4:$D$4,0))*1000</f>
        <v>29114554.598940525</v>
      </c>
      <c r="M1726" s="184">
        <f>VLOOKUP(F1726,'Annual distance covered (GB)'!$A$8:$H$33,MATCH(J1726,'Annual distance covered (GB)'!$A$7:$H$7,0))</f>
        <v>394</v>
      </c>
      <c r="N1726" s="2">
        <f t="shared" ca="1" si="66"/>
        <v>2761538.5101742344</v>
      </c>
      <c r="O1726" s="180">
        <f t="shared" ca="1" si="67"/>
        <v>9.4850790204935045E-2</v>
      </c>
      <c r="P1726" s="180"/>
      <c r="Q1726" s="180"/>
      <c r="R1726" s="180"/>
      <c r="S1726" s="180"/>
      <c r="T1726" s="180"/>
    </row>
    <row r="1727" spans="1:20" x14ac:dyDescent="0.25">
      <c r="A1727" t="s">
        <v>243</v>
      </c>
      <c r="B1727" t="s">
        <v>237</v>
      </c>
      <c r="C1727" t="s">
        <v>238</v>
      </c>
      <c r="D1727" t="s">
        <v>255</v>
      </c>
      <c r="E1727" t="s">
        <v>228</v>
      </c>
      <c r="F1727">
        <v>2009</v>
      </c>
      <c r="G1727">
        <v>4.7599999999999899E-3</v>
      </c>
      <c r="H1727" t="s">
        <v>240</v>
      </c>
      <c r="I1727" t="s">
        <v>241</v>
      </c>
      <c r="J1727" t="s">
        <v>2</v>
      </c>
      <c r="K1727" s="183">
        <f ca="1">VLOOKUP(F1727,
    OFFSET(INDIRECT(ADDRESS(MATCH(J1727,'Vehicle numbers'!$A$5:$A$162,0),1,1,1,$L$6)),4,1,COUNTIF('Vehicle numbers'!$A$5:$A$162,J1727),4),
    MATCH(K$8,'Vehicle numbers'!$B$4:$D$4,0))*1000</f>
        <v>28246470</v>
      </c>
      <c r="L1727" s="183">
        <f ca="1">VLOOKUP(F1727,
    OFFSET(INDIRECT(ADDRESS(MATCH(J1727,'Vehicle numbers'!$A$5:$A$162,0),1,1,1,$L$6)),4,1,COUNTIF('Vehicle numbers'!$A$5:$A$162,J1727),4),
    MATCH(L$8,'Vehicle numbers'!$B$4:$D$4,0))*1000</f>
        <v>29114554.598940525</v>
      </c>
      <c r="M1727" s="184">
        <f>VLOOKUP(F1727,'Annual distance covered (GB)'!$A$8:$H$33,MATCH(J1727,'Annual distance covered (GB)'!$A$7:$H$7,0))</f>
        <v>394</v>
      </c>
      <c r="N1727" s="2">
        <f t="shared" ca="1" si="66"/>
        <v>1933076.9571219662</v>
      </c>
      <c r="O1727" s="180">
        <f t="shared" ca="1" si="67"/>
        <v>6.6395553143454605E-2</v>
      </c>
      <c r="P1727" s="180"/>
      <c r="Q1727" s="180"/>
      <c r="R1727" s="180"/>
      <c r="S1727" s="180"/>
      <c r="T1727" s="180"/>
    </row>
    <row r="1728" spans="1:20" x14ac:dyDescent="0.25">
      <c r="A1728" t="s">
        <v>244</v>
      </c>
      <c r="B1728" t="s">
        <v>237</v>
      </c>
      <c r="C1728" t="s">
        <v>238</v>
      </c>
      <c r="D1728" t="s">
        <v>255</v>
      </c>
      <c r="E1728" t="s">
        <v>228</v>
      </c>
      <c r="F1728">
        <v>2009</v>
      </c>
      <c r="G1728">
        <v>6.7042253521126501E-4</v>
      </c>
      <c r="H1728" t="s">
        <v>240</v>
      </c>
      <c r="I1728" t="s">
        <v>241</v>
      </c>
      <c r="J1728" t="s">
        <v>2</v>
      </c>
      <c r="K1728" s="183">
        <f ca="1">VLOOKUP(F1728,
    OFFSET(INDIRECT(ADDRESS(MATCH(J1728,'Vehicle numbers'!$A$5:$A$162,0),1,1,1,$L$6)),4,1,COUNTIF('Vehicle numbers'!$A$5:$A$162,J1728),4),
    MATCH(K$8,'Vehicle numbers'!$B$4:$D$4,0))*1000</f>
        <v>28246470</v>
      </c>
      <c r="L1728" s="183">
        <f ca="1">VLOOKUP(F1728,
    OFFSET(INDIRECT(ADDRESS(MATCH(J1728,'Vehicle numbers'!$A$5:$A$162,0),1,1,1,$L$6)),4,1,COUNTIF('Vehicle numbers'!$A$5:$A$162,J1728),4),
    MATCH(L$8,'Vehicle numbers'!$B$4:$D$4,0))*1000</f>
        <v>29114554.598940525</v>
      </c>
      <c r="M1728" s="184">
        <f>VLOOKUP(F1728,'Annual distance covered (GB)'!$A$8:$H$33,MATCH(J1728,'Annual distance covered (GB)'!$A$7:$H$7,0))</f>
        <v>394</v>
      </c>
      <c r="N1728" s="2">
        <f t="shared" ca="1" si="66"/>
        <v>272264.3601580229</v>
      </c>
      <c r="O1728" s="180">
        <f t="shared" ca="1" si="67"/>
        <v>9.3514863582330257E-3</v>
      </c>
      <c r="P1728" s="180"/>
      <c r="Q1728" s="180"/>
      <c r="R1728" s="180"/>
      <c r="S1728" s="180"/>
      <c r="T1728" s="180"/>
    </row>
    <row r="1729" spans="1:20" x14ac:dyDescent="0.25">
      <c r="A1729" t="s">
        <v>246</v>
      </c>
      <c r="B1729" t="s">
        <v>237</v>
      </c>
      <c r="C1729" t="s">
        <v>238</v>
      </c>
      <c r="D1729" t="s">
        <v>255</v>
      </c>
      <c r="E1729" t="s">
        <v>228</v>
      </c>
      <c r="F1729">
        <v>2009</v>
      </c>
      <c r="G1729">
        <v>5.3633802816901196E-4</v>
      </c>
      <c r="H1729" t="s">
        <v>240</v>
      </c>
      <c r="I1729" t="s">
        <v>241</v>
      </c>
      <c r="J1729" t="s">
        <v>2</v>
      </c>
      <c r="K1729" s="183">
        <f ca="1">VLOOKUP(F1729,
    OFFSET(INDIRECT(ADDRESS(MATCH(J1729,'Vehicle numbers'!$A$5:$A$162,0),1,1,1,$L$6)),4,1,COUNTIF('Vehicle numbers'!$A$5:$A$162,J1729),4),
    MATCH(K$8,'Vehicle numbers'!$B$4:$D$4,0))*1000</f>
        <v>28246470</v>
      </c>
      <c r="L1729" s="183">
        <f ca="1">VLOOKUP(F1729,
    OFFSET(INDIRECT(ADDRESS(MATCH(J1729,'Vehicle numbers'!$A$5:$A$162,0),1,1,1,$L$6)),4,1,COUNTIF('Vehicle numbers'!$A$5:$A$162,J1729),4),
    MATCH(L$8,'Vehicle numbers'!$B$4:$D$4,0))*1000</f>
        <v>29114554.598940525</v>
      </c>
      <c r="M1729" s="184">
        <f>VLOOKUP(F1729,'Annual distance covered (GB)'!$A$8:$H$33,MATCH(J1729,'Annual distance covered (GB)'!$A$7:$H$7,0))</f>
        <v>394</v>
      </c>
      <c r="N1729" s="2">
        <f t="shared" ca="1" si="66"/>
        <v>217811.48812641829</v>
      </c>
      <c r="O1729" s="180">
        <f t="shared" ca="1" si="67"/>
        <v>7.4811890865864187E-3</v>
      </c>
      <c r="P1729" s="180"/>
      <c r="Q1729" s="180"/>
      <c r="R1729" s="180"/>
      <c r="S1729" s="180"/>
      <c r="T1729" s="180"/>
    </row>
    <row r="1730" spans="1:20" x14ac:dyDescent="0.25">
      <c r="A1730" t="s">
        <v>236</v>
      </c>
      <c r="B1730" t="s">
        <v>237</v>
      </c>
      <c r="C1730" t="s">
        <v>238</v>
      </c>
      <c r="D1730" t="s">
        <v>256</v>
      </c>
      <c r="E1730" t="s">
        <v>229</v>
      </c>
      <c r="F1730">
        <v>2009</v>
      </c>
      <c r="G1730">
        <v>1.1724041984643999E-2</v>
      </c>
      <c r="H1730" t="s">
        <v>240</v>
      </c>
      <c r="I1730" t="s">
        <v>241</v>
      </c>
      <c r="J1730" t="s">
        <v>2</v>
      </c>
      <c r="K1730" s="183">
        <f ca="1">VLOOKUP(F1730,
    OFFSET(INDIRECT(ADDRESS(MATCH(J1730,'Vehicle numbers'!$A$5:$A$162,0),1,1,1,$L$6)),4,1,COUNTIF('Vehicle numbers'!$A$5:$A$162,J1730),4),
    MATCH(K$8,'Vehicle numbers'!$B$4:$D$4,0))*1000</f>
        <v>28246470</v>
      </c>
      <c r="L1730" s="183">
        <f ca="1">VLOOKUP(F1730,
    OFFSET(INDIRECT(ADDRESS(MATCH(J1730,'Vehicle numbers'!$A$5:$A$162,0),1,1,1,$L$6)),4,1,COUNTIF('Vehicle numbers'!$A$5:$A$162,J1730),4),
    MATCH(L$8,'Vehicle numbers'!$B$4:$D$4,0))*1000</f>
        <v>29114554.598940525</v>
      </c>
      <c r="M1730" s="184">
        <f>VLOOKUP(F1730,'Annual distance covered (GB)'!$A$8:$H$33,MATCH(J1730,'Annual distance covered (GB)'!$A$7:$H$7,0))</f>
        <v>394</v>
      </c>
      <c r="N1730" s="2">
        <f t="shared" ca="1" si="66"/>
        <v>4761234.3287491268</v>
      </c>
      <c r="O1730" s="180">
        <f t="shared" ca="1" si="67"/>
        <v>0.16353450685872375</v>
      </c>
      <c r="P1730" s="180"/>
      <c r="Q1730" s="180"/>
      <c r="R1730" s="180"/>
      <c r="S1730" s="180"/>
      <c r="T1730" s="180"/>
    </row>
    <row r="1731" spans="1:20" x14ac:dyDescent="0.25">
      <c r="A1731" t="s">
        <v>243</v>
      </c>
      <c r="B1731" t="s">
        <v>237</v>
      </c>
      <c r="C1731" t="s">
        <v>238</v>
      </c>
      <c r="D1731" t="s">
        <v>256</v>
      </c>
      <c r="E1731" t="s">
        <v>229</v>
      </c>
      <c r="F1731">
        <v>2009</v>
      </c>
      <c r="G1731">
        <v>4.6896167938576001E-3</v>
      </c>
      <c r="H1731" t="s">
        <v>240</v>
      </c>
      <c r="I1731" t="s">
        <v>241</v>
      </c>
      <c r="J1731" t="s">
        <v>2</v>
      </c>
      <c r="K1731" s="183">
        <f ca="1">VLOOKUP(F1731,
    OFFSET(INDIRECT(ADDRESS(MATCH(J1731,'Vehicle numbers'!$A$5:$A$162,0),1,1,1,$L$6)),4,1,COUNTIF('Vehicle numbers'!$A$5:$A$162,J1731),4),
    MATCH(K$8,'Vehicle numbers'!$B$4:$D$4,0))*1000</f>
        <v>28246470</v>
      </c>
      <c r="L1731" s="183">
        <f ca="1">VLOOKUP(F1731,
    OFFSET(INDIRECT(ADDRESS(MATCH(J1731,'Vehicle numbers'!$A$5:$A$162,0),1,1,1,$L$6)),4,1,COUNTIF('Vehicle numbers'!$A$5:$A$162,J1731),4),
    MATCH(L$8,'Vehicle numbers'!$B$4:$D$4,0))*1000</f>
        <v>29114554.598940525</v>
      </c>
      <c r="M1731" s="184">
        <f>VLOOKUP(F1731,'Annual distance covered (GB)'!$A$8:$H$33,MATCH(J1731,'Annual distance covered (GB)'!$A$7:$H$7,0))</f>
        <v>394</v>
      </c>
      <c r="N1731" s="2">
        <f t="shared" ca="1" si="66"/>
        <v>1904493.7314996512</v>
      </c>
      <c r="O1731" s="180">
        <f t="shared" ca="1" si="67"/>
        <v>6.5413802743489527E-2</v>
      </c>
      <c r="P1731" s="180"/>
      <c r="Q1731" s="180"/>
      <c r="R1731" s="180"/>
      <c r="S1731" s="180"/>
      <c r="T1731" s="180"/>
    </row>
    <row r="1732" spans="1:20" x14ac:dyDescent="0.25">
      <c r="A1732" t="s">
        <v>244</v>
      </c>
      <c r="B1732" t="s">
        <v>237</v>
      </c>
      <c r="C1732" t="s">
        <v>238</v>
      </c>
      <c r="D1732" t="s">
        <v>256</v>
      </c>
      <c r="E1732" t="s">
        <v>229</v>
      </c>
      <c r="F1732">
        <v>2009</v>
      </c>
      <c r="G1732">
        <v>1.1724041984644E-3</v>
      </c>
      <c r="H1732" t="s">
        <v>240</v>
      </c>
      <c r="I1732" t="s">
        <v>241</v>
      </c>
      <c r="J1732" t="s">
        <v>2</v>
      </c>
      <c r="K1732" s="183">
        <f ca="1">VLOOKUP(F1732,
    OFFSET(INDIRECT(ADDRESS(MATCH(J1732,'Vehicle numbers'!$A$5:$A$162,0),1,1,1,$L$6)),4,1,COUNTIF('Vehicle numbers'!$A$5:$A$162,J1732),4),
    MATCH(K$8,'Vehicle numbers'!$B$4:$D$4,0))*1000</f>
        <v>28246470</v>
      </c>
      <c r="L1732" s="183">
        <f ca="1">VLOOKUP(F1732,
    OFFSET(INDIRECT(ADDRESS(MATCH(J1732,'Vehicle numbers'!$A$5:$A$162,0),1,1,1,$L$6)),4,1,COUNTIF('Vehicle numbers'!$A$5:$A$162,J1732),4),
    MATCH(L$8,'Vehicle numbers'!$B$4:$D$4,0))*1000</f>
        <v>29114554.598940525</v>
      </c>
      <c r="M1732" s="184">
        <f>VLOOKUP(F1732,'Annual distance covered (GB)'!$A$8:$H$33,MATCH(J1732,'Annual distance covered (GB)'!$A$7:$H$7,0))</f>
        <v>394</v>
      </c>
      <c r="N1732" s="2">
        <f t="shared" ca="1" si="66"/>
        <v>476123.4328749128</v>
      </c>
      <c r="O1732" s="180">
        <f t="shared" ca="1" si="67"/>
        <v>1.6353450685872382E-2</v>
      </c>
      <c r="P1732" s="180"/>
      <c r="Q1732" s="180"/>
      <c r="R1732" s="180"/>
      <c r="S1732" s="180"/>
      <c r="T1732" s="180"/>
    </row>
    <row r="1733" spans="1:20" x14ac:dyDescent="0.25">
      <c r="A1733" t="s">
        <v>246</v>
      </c>
      <c r="B1733" t="s">
        <v>237</v>
      </c>
      <c r="C1733" t="s">
        <v>238</v>
      </c>
      <c r="D1733" t="s">
        <v>256</v>
      </c>
      <c r="E1733" t="s">
        <v>229</v>
      </c>
      <c r="F1733">
        <v>2009</v>
      </c>
      <c r="G1733">
        <v>9.3792335877151999E-4</v>
      </c>
      <c r="H1733" t="s">
        <v>240</v>
      </c>
      <c r="I1733" t="s">
        <v>241</v>
      </c>
      <c r="J1733" t="s">
        <v>2</v>
      </c>
      <c r="K1733" s="183">
        <f ca="1">VLOOKUP(F1733,
    OFFSET(INDIRECT(ADDRESS(MATCH(J1733,'Vehicle numbers'!$A$5:$A$162,0),1,1,1,$L$6)),4,1,COUNTIF('Vehicle numbers'!$A$5:$A$162,J1733),4),
    MATCH(K$8,'Vehicle numbers'!$B$4:$D$4,0))*1000</f>
        <v>28246470</v>
      </c>
      <c r="L1733" s="183">
        <f ca="1">VLOOKUP(F1733,
    OFFSET(INDIRECT(ADDRESS(MATCH(J1733,'Vehicle numbers'!$A$5:$A$162,0),1,1,1,$L$6)),4,1,COUNTIF('Vehicle numbers'!$A$5:$A$162,J1733),4),
    MATCH(L$8,'Vehicle numbers'!$B$4:$D$4,0))*1000</f>
        <v>29114554.598940525</v>
      </c>
      <c r="M1733" s="184">
        <f>VLOOKUP(F1733,'Annual distance covered (GB)'!$A$8:$H$33,MATCH(J1733,'Annual distance covered (GB)'!$A$7:$H$7,0))</f>
        <v>394</v>
      </c>
      <c r="N1733" s="2">
        <f t="shared" ca="1" si="66"/>
        <v>380898.74629993021</v>
      </c>
      <c r="O1733" s="180">
        <f t="shared" ca="1" si="67"/>
        <v>1.3082760548697904E-2</v>
      </c>
      <c r="P1733" s="180"/>
      <c r="Q1733" s="180"/>
      <c r="R1733" s="180"/>
      <c r="S1733" s="180"/>
      <c r="T1733" s="180"/>
    </row>
    <row r="1734" spans="1:20" x14ac:dyDescent="0.25">
      <c r="A1734" t="s">
        <v>236</v>
      </c>
      <c r="B1734" t="s">
        <v>237</v>
      </c>
      <c r="C1734" t="s">
        <v>238</v>
      </c>
      <c r="D1734" t="s">
        <v>256</v>
      </c>
      <c r="E1734" t="s">
        <v>228</v>
      </c>
      <c r="F1734">
        <v>2009</v>
      </c>
      <c r="G1734">
        <v>8.7738696587542006E-3</v>
      </c>
      <c r="H1734" t="s">
        <v>240</v>
      </c>
      <c r="I1734" t="s">
        <v>241</v>
      </c>
      <c r="J1734" t="s">
        <v>2</v>
      </c>
      <c r="K1734" s="183">
        <f ca="1">VLOOKUP(F1734,
    OFFSET(INDIRECT(ADDRESS(MATCH(J1734,'Vehicle numbers'!$A$5:$A$162,0),1,1,1,$L$6)),4,1,COUNTIF('Vehicle numbers'!$A$5:$A$162,J1734),4),
    MATCH(K$8,'Vehicle numbers'!$B$4:$D$4,0))*1000</f>
        <v>28246470</v>
      </c>
      <c r="L1734" s="183">
        <f ca="1">VLOOKUP(F1734,
    OFFSET(INDIRECT(ADDRESS(MATCH(J1734,'Vehicle numbers'!$A$5:$A$162,0),1,1,1,$L$6)),4,1,COUNTIF('Vehicle numbers'!$A$5:$A$162,J1734),4),
    MATCH(L$8,'Vehicle numbers'!$B$4:$D$4,0))*1000</f>
        <v>29114554.598940525</v>
      </c>
      <c r="M1734" s="184">
        <f>VLOOKUP(F1734,'Annual distance covered (GB)'!$A$8:$H$33,MATCH(J1734,'Annual distance covered (GB)'!$A$7:$H$7,0))</f>
        <v>394</v>
      </c>
      <c r="N1734" s="2">
        <f t="shared" ca="1" si="66"/>
        <v>3563143.9626322165</v>
      </c>
      <c r="O1734" s="180">
        <f t="shared" ca="1" si="67"/>
        <v>0.12238359857175624</v>
      </c>
      <c r="P1734" s="180"/>
      <c r="Q1734" s="180"/>
      <c r="R1734" s="180"/>
      <c r="S1734" s="180"/>
      <c r="T1734" s="180"/>
    </row>
    <row r="1735" spans="1:20" x14ac:dyDescent="0.25">
      <c r="A1735" t="s">
        <v>243</v>
      </c>
      <c r="B1735" t="s">
        <v>237</v>
      </c>
      <c r="C1735" t="s">
        <v>238</v>
      </c>
      <c r="D1735" t="s">
        <v>256</v>
      </c>
      <c r="E1735" t="s">
        <v>228</v>
      </c>
      <c r="F1735">
        <v>2009</v>
      </c>
      <c r="G1735">
        <v>6.1417087611279403E-3</v>
      </c>
      <c r="H1735" t="s">
        <v>240</v>
      </c>
      <c r="I1735" t="s">
        <v>241</v>
      </c>
      <c r="J1735" t="s">
        <v>2</v>
      </c>
      <c r="K1735" s="183">
        <f ca="1">VLOOKUP(F1735,
    OFFSET(INDIRECT(ADDRESS(MATCH(J1735,'Vehicle numbers'!$A$5:$A$162,0),1,1,1,$L$6)),4,1,COUNTIF('Vehicle numbers'!$A$5:$A$162,J1735),4),
    MATCH(K$8,'Vehicle numbers'!$B$4:$D$4,0))*1000</f>
        <v>28246470</v>
      </c>
      <c r="L1735" s="183">
        <f ca="1">VLOOKUP(F1735,
    OFFSET(INDIRECT(ADDRESS(MATCH(J1735,'Vehicle numbers'!$A$5:$A$162,0),1,1,1,$L$6)),4,1,COUNTIF('Vehicle numbers'!$A$5:$A$162,J1735),4),
    MATCH(L$8,'Vehicle numbers'!$B$4:$D$4,0))*1000</f>
        <v>29114554.598940525</v>
      </c>
      <c r="M1735" s="184">
        <f>VLOOKUP(F1735,'Annual distance covered (GB)'!$A$8:$H$33,MATCH(J1735,'Annual distance covered (GB)'!$A$7:$H$7,0))</f>
        <v>394</v>
      </c>
      <c r="N1735" s="2">
        <f t="shared" ca="1" si="66"/>
        <v>2494200.7738425517</v>
      </c>
      <c r="O1735" s="180">
        <f t="shared" ca="1" si="67"/>
        <v>8.5668519000229371E-2</v>
      </c>
      <c r="P1735" s="180"/>
      <c r="Q1735" s="180"/>
      <c r="R1735" s="180"/>
      <c r="S1735" s="180"/>
      <c r="T1735" s="180"/>
    </row>
    <row r="1736" spans="1:20" x14ac:dyDescent="0.25">
      <c r="A1736" t="s">
        <v>244</v>
      </c>
      <c r="B1736" t="s">
        <v>237</v>
      </c>
      <c r="C1736" t="s">
        <v>238</v>
      </c>
      <c r="D1736" t="s">
        <v>256</v>
      </c>
      <c r="E1736" t="s">
        <v>228</v>
      </c>
      <c r="F1736">
        <v>2009</v>
      </c>
      <c r="G1736">
        <v>8.6502940297576497E-4</v>
      </c>
      <c r="H1736" t="s">
        <v>240</v>
      </c>
      <c r="I1736" t="s">
        <v>241</v>
      </c>
      <c r="J1736" t="s">
        <v>2</v>
      </c>
      <c r="K1736" s="183">
        <f ca="1">VLOOKUP(F1736,
    OFFSET(INDIRECT(ADDRESS(MATCH(J1736,'Vehicle numbers'!$A$5:$A$162,0),1,1,1,$L$6)),4,1,COUNTIF('Vehicle numbers'!$A$5:$A$162,J1736),4),
    MATCH(K$8,'Vehicle numbers'!$B$4:$D$4,0))*1000</f>
        <v>28246470</v>
      </c>
      <c r="L1736" s="183">
        <f ca="1">VLOOKUP(F1736,
    OFFSET(INDIRECT(ADDRESS(MATCH(J1736,'Vehicle numbers'!$A$5:$A$162,0),1,1,1,$L$6)),4,1,COUNTIF('Vehicle numbers'!$A$5:$A$162,J1736),4),
    MATCH(L$8,'Vehicle numbers'!$B$4:$D$4,0))*1000</f>
        <v>29114554.598940525</v>
      </c>
      <c r="M1736" s="184">
        <f>VLOOKUP(F1736,'Annual distance covered (GB)'!$A$8:$H$33,MATCH(J1736,'Annual distance covered (GB)'!$A$7:$H$7,0))</f>
        <v>394</v>
      </c>
      <c r="N1736" s="2">
        <f t="shared" ca="1" si="66"/>
        <v>351295.88363979541</v>
      </c>
      <c r="O1736" s="180">
        <f t="shared" ca="1" si="67"/>
        <v>1.206598859158158E-2</v>
      </c>
      <c r="P1736" s="180"/>
      <c r="Q1736" s="180"/>
      <c r="R1736" s="180"/>
      <c r="S1736" s="180"/>
      <c r="T1736" s="180"/>
    </row>
    <row r="1737" spans="1:20" x14ac:dyDescent="0.25">
      <c r="A1737" t="s">
        <v>246</v>
      </c>
      <c r="B1737" t="s">
        <v>237</v>
      </c>
      <c r="C1737" t="s">
        <v>238</v>
      </c>
      <c r="D1737" t="s">
        <v>256</v>
      </c>
      <c r="E1737" t="s">
        <v>228</v>
      </c>
      <c r="F1737">
        <v>2009</v>
      </c>
      <c r="G1737">
        <v>6.9202352238061202E-4</v>
      </c>
      <c r="H1737" t="s">
        <v>240</v>
      </c>
      <c r="I1737" t="s">
        <v>241</v>
      </c>
      <c r="J1737" t="s">
        <v>2</v>
      </c>
      <c r="K1737" s="183">
        <f ca="1">VLOOKUP(F1737,
    OFFSET(INDIRECT(ADDRESS(MATCH(J1737,'Vehicle numbers'!$A$5:$A$162,0),1,1,1,$L$6)),4,1,COUNTIF('Vehicle numbers'!$A$5:$A$162,J1737),4),
    MATCH(K$8,'Vehicle numbers'!$B$4:$D$4,0))*1000</f>
        <v>28246470</v>
      </c>
      <c r="L1737" s="183">
        <f ca="1">VLOOKUP(F1737,
    OFFSET(INDIRECT(ADDRESS(MATCH(J1737,'Vehicle numbers'!$A$5:$A$162,0),1,1,1,$L$6)),4,1,COUNTIF('Vehicle numbers'!$A$5:$A$162,J1737),4),
    MATCH(L$8,'Vehicle numbers'!$B$4:$D$4,0))*1000</f>
        <v>29114554.598940525</v>
      </c>
      <c r="M1737" s="184">
        <f>VLOOKUP(F1737,'Annual distance covered (GB)'!$A$8:$H$33,MATCH(J1737,'Annual distance covered (GB)'!$A$7:$H$7,0))</f>
        <v>394</v>
      </c>
      <c r="N1737" s="2">
        <f t="shared" ca="1" si="66"/>
        <v>281036.70691183634</v>
      </c>
      <c r="O1737" s="180">
        <f t="shared" ca="1" si="67"/>
        <v>9.6527908732652653E-3</v>
      </c>
      <c r="P1737" s="180"/>
      <c r="Q1737" s="180"/>
      <c r="R1737" s="180"/>
      <c r="S1737" s="180"/>
      <c r="T1737" s="180"/>
    </row>
    <row r="1738" spans="1:20" x14ac:dyDescent="0.25">
      <c r="A1738" t="s">
        <v>236</v>
      </c>
      <c r="B1738" t="s">
        <v>237</v>
      </c>
      <c r="C1738" t="s">
        <v>238</v>
      </c>
      <c r="D1738" t="s">
        <v>257</v>
      </c>
      <c r="E1738" t="s">
        <v>229</v>
      </c>
      <c r="F1738">
        <v>2009</v>
      </c>
      <c r="G1738">
        <v>2.1209999999999901E-3</v>
      </c>
      <c r="H1738" t="s">
        <v>240</v>
      </c>
      <c r="I1738" t="s">
        <v>241</v>
      </c>
      <c r="J1738" t="s">
        <v>188</v>
      </c>
      <c r="K1738" s="183">
        <f ca="1">VLOOKUP(F1738,
    OFFSET(INDIRECT(ADDRESS(MATCH(J1738,'Vehicle numbers'!$A$5:$A$162,0),1,1,1,$L$6)),4,1,COUNTIF('Vehicle numbers'!$A$5:$A$162,J1738),4),
    MATCH(K$8,'Vehicle numbers'!$B$4:$D$4,0))*1000</f>
        <v>3184547</v>
      </c>
      <c r="L1738" s="183">
        <f ca="1">VLOOKUP(F1738,
    OFFSET(INDIRECT(ADDRESS(MATCH(J1738,'Vehicle numbers'!$A$5:$A$162,0),1,1,1,$L$6)),4,1,COUNTIF('Vehicle numbers'!$A$5:$A$162,J1738),4),
    MATCH(L$8,'Vehicle numbers'!$B$4:$D$4,0))*1000</f>
        <v>3275929.4358694949</v>
      </c>
      <c r="M1738" s="184">
        <f>VLOOKUP(F1738,'Annual distance covered (GB)'!$A$8:$H$33,MATCH(J1738,'Annual distance covered (GB)'!$A$7:$H$7,0))</f>
        <v>65.5</v>
      </c>
      <c r="N1738" s="2">
        <f t="shared" ca="1" si="66"/>
        <v>142912.048351896</v>
      </c>
      <c r="O1738" s="180">
        <f t="shared" ca="1" si="67"/>
        <v>4.3624886051296885E-2</v>
      </c>
      <c r="P1738" s="180"/>
      <c r="Q1738" s="180"/>
      <c r="R1738" s="180"/>
      <c r="S1738" s="180"/>
      <c r="T1738" s="180"/>
    </row>
    <row r="1739" spans="1:20" x14ac:dyDescent="0.25">
      <c r="A1739" t="s">
        <v>243</v>
      </c>
      <c r="B1739" t="s">
        <v>237</v>
      </c>
      <c r="C1739" t="s">
        <v>238</v>
      </c>
      <c r="D1739" t="s">
        <v>257</v>
      </c>
      <c r="E1739" t="s">
        <v>229</v>
      </c>
      <c r="F1739">
        <v>2009</v>
      </c>
      <c r="G1739">
        <v>8.4839999999999601E-4</v>
      </c>
      <c r="H1739" t="s">
        <v>240</v>
      </c>
      <c r="I1739" t="s">
        <v>241</v>
      </c>
      <c r="J1739" t="s">
        <v>188</v>
      </c>
      <c r="K1739" s="183">
        <f ca="1">VLOOKUP(F1739,
    OFFSET(INDIRECT(ADDRESS(MATCH(J1739,'Vehicle numbers'!$A$5:$A$162,0),1,1,1,$L$6)),4,1,COUNTIF('Vehicle numbers'!$A$5:$A$162,J1739),4),
    MATCH(K$8,'Vehicle numbers'!$B$4:$D$4,0))*1000</f>
        <v>3184547</v>
      </c>
      <c r="L1739" s="183">
        <f ca="1">VLOOKUP(F1739,
    OFFSET(INDIRECT(ADDRESS(MATCH(J1739,'Vehicle numbers'!$A$5:$A$162,0),1,1,1,$L$6)),4,1,COUNTIF('Vehicle numbers'!$A$5:$A$162,J1739),4),
    MATCH(L$8,'Vehicle numbers'!$B$4:$D$4,0))*1000</f>
        <v>3275929.4358694949</v>
      </c>
      <c r="M1739" s="184">
        <f>VLOOKUP(F1739,'Annual distance covered (GB)'!$A$8:$H$33,MATCH(J1739,'Annual distance covered (GB)'!$A$7:$H$7,0))</f>
        <v>65.5</v>
      </c>
      <c r="N1739" s="2">
        <f t="shared" ref="N1739:N1802" ca="1" si="68">M1739*G1739*1000000*(L1739/K1739)</f>
        <v>57164.819340758404</v>
      </c>
      <c r="O1739" s="180">
        <f t="shared" ref="O1739:O1802" ca="1" si="69">N1739/L1739</f>
        <v>1.7449954420518755E-2</v>
      </c>
      <c r="P1739" s="180"/>
      <c r="Q1739" s="180"/>
      <c r="R1739" s="180"/>
      <c r="S1739" s="180"/>
      <c r="T1739" s="180"/>
    </row>
    <row r="1740" spans="1:20" x14ac:dyDescent="0.25">
      <c r="A1740" t="s">
        <v>244</v>
      </c>
      <c r="B1740" t="s">
        <v>237</v>
      </c>
      <c r="C1740" t="s">
        <v>238</v>
      </c>
      <c r="D1740" t="s">
        <v>257</v>
      </c>
      <c r="E1740" t="s">
        <v>229</v>
      </c>
      <c r="F1740">
        <v>2009</v>
      </c>
      <c r="G1740">
        <v>2.12099999999999E-4</v>
      </c>
      <c r="H1740" t="s">
        <v>240</v>
      </c>
      <c r="I1740" t="s">
        <v>241</v>
      </c>
      <c r="J1740" t="s">
        <v>188</v>
      </c>
      <c r="K1740" s="183">
        <f ca="1">VLOOKUP(F1740,
    OFFSET(INDIRECT(ADDRESS(MATCH(J1740,'Vehicle numbers'!$A$5:$A$162,0),1,1,1,$L$6)),4,1,COUNTIF('Vehicle numbers'!$A$5:$A$162,J1740),4),
    MATCH(K$8,'Vehicle numbers'!$B$4:$D$4,0))*1000</f>
        <v>3184547</v>
      </c>
      <c r="L1740" s="183">
        <f ca="1">VLOOKUP(F1740,
    OFFSET(INDIRECT(ADDRESS(MATCH(J1740,'Vehicle numbers'!$A$5:$A$162,0),1,1,1,$L$6)),4,1,COUNTIF('Vehicle numbers'!$A$5:$A$162,J1740),4),
    MATCH(L$8,'Vehicle numbers'!$B$4:$D$4,0))*1000</f>
        <v>3275929.4358694949</v>
      </c>
      <c r="M1740" s="184">
        <f>VLOOKUP(F1740,'Annual distance covered (GB)'!$A$8:$H$33,MATCH(J1740,'Annual distance covered (GB)'!$A$7:$H$7,0))</f>
        <v>65.5</v>
      </c>
      <c r="N1740" s="2">
        <f t="shared" ca="1" si="68"/>
        <v>14291.204835189601</v>
      </c>
      <c r="O1740" s="180">
        <f t="shared" ca="1" si="69"/>
        <v>4.3624886051296888E-3</v>
      </c>
      <c r="P1740" s="180"/>
      <c r="Q1740" s="180"/>
      <c r="R1740" s="180"/>
      <c r="S1740" s="180"/>
      <c r="T1740" s="180"/>
    </row>
    <row r="1741" spans="1:20" x14ac:dyDescent="0.25">
      <c r="A1741" t="s">
        <v>246</v>
      </c>
      <c r="B1741" t="s">
        <v>237</v>
      </c>
      <c r="C1741" t="s">
        <v>238</v>
      </c>
      <c r="D1741" t="s">
        <v>257</v>
      </c>
      <c r="E1741" t="s">
        <v>229</v>
      </c>
      <c r="F1741">
        <v>2009</v>
      </c>
      <c r="G1741">
        <v>1.6967999999999901E-4</v>
      </c>
      <c r="H1741" t="s">
        <v>240</v>
      </c>
      <c r="I1741" t="s">
        <v>241</v>
      </c>
      <c r="J1741" t="s">
        <v>188</v>
      </c>
      <c r="K1741" s="183">
        <f ca="1">VLOOKUP(F1741,
    OFFSET(INDIRECT(ADDRESS(MATCH(J1741,'Vehicle numbers'!$A$5:$A$162,0),1,1,1,$L$6)),4,1,COUNTIF('Vehicle numbers'!$A$5:$A$162,J1741),4),
    MATCH(K$8,'Vehicle numbers'!$B$4:$D$4,0))*1000</f>
        <v>3184547</v>
      </c>
      <c r="L1741" s="183">
        <f ca="1">VLOOKUP(F1741,
    OFFSET(INDIRECT(ADDRESS(MATCH(J1741,'Vehicle numbers'!$A$5:$A$162,0),1,1,1,$L$6)),4,1,COUNTIF('Vehicle numbers'!$A$5:$A$162,J1741),4),
    MATCH(L$8,'Vehicle numbers'!$B$4:$D$4,0))*1000</f>
        <v>3275929.4358694949</v>
      </c>
      <c r="M1741" s="184">
        <f>VLOOKUP(F1741,'Annual distance covered (GB)'!$A$8:$H$33,MATCH(J1741,'Annual distance covered (GB)'!$A$7:$H$7,0))</f>
        <v>65.5</v>
      </c>
      <c r="N1741" s="2">
        <f t="shared" ca="1" si="68"/>
        <v>11432.963868151666</v>
      </c>
      <c r="O1741" s="180">
        <f t="shared" ca="1" si="69"/>
        <v>3.4899908841037465E-3</v>
      </c>
      <c r="P1741" s="180"/>
      <c r="Q1741" s="180"/>
      <c r="R1741" s="180"/>
      <c r="S1741" s="180"/>
      <c r="T1741" s="180"/>
    </row>
    <row r="1742" spans="1:20" x14ac:dyDescent="0.25">
      <c r="A1742" t="s">
        <v>236</v>
      </c>
      <c r="B1742" t="s">
        <v>237</v>
      </c>
      <c r="C1742" t="s">
        <v>238</v>
      </c>
      <c r="D1742" t="s">
        <v>257</v>
      </c>
      <c r="E1742" t="s">
        <v>228</v>
      </c>
      <c r="F1742">
        <v>2009</v>
      </c>
      <c r="G1742">
        <v>9.1459999999999701E-3</v>
      </c>
      <c r="H1742" t="s">
        <v>240</v>
      </c>
      <c r="I1742" t="s">
        <v>241</v>
      </c>
      <c r="J1742" t="s">
        <v>188</v>
      </c>
      <c r="K1742" s="183">
        <f ca="1">VLOOKUP(F1742,
    OFFSET(INDIRECT(ADDRESS(MATCH(J1742,'Vehicle numbers'!$A$5:$A$162,0),1,1,1,$L$6)),4,1,COUNTIF('Vehicle numbers'!$A$5:$A$162,J1742),4),
    MATCH(K$8,'Vehicle numbers'!$B$4:$D$4,0))*1000</f>
        <v>3184547</v>
      </c>
      <c r="L1742" s="183">
        <f ca="1">VLOOKUP(F1742,
    OFFSET(INDIRECT(ADDRESS(MATCH(J1742,'Vehicle numbers'!$A$5:$A$162,0),1,1,1,$L$6)),4,1,COUNTIF('Vehicle numbers'!$A$5:$A$162,J1742),4),
    MATCH(L$8,'Vehicle numbers'!$B$4:$D$4,0))*1000</f>
        <v>3275929.4358694949</v>
      </c>
      <c r="M1742" s="184">
        <f>VLOOKUP(F1742,'Annual distance covered (GB)'!$A$8:$H$33,MATCH(J1742,'Annual distance covered (GB)'!$A$7:$H$7,0))</f>
        <v>65.5</v>
      </c>
      <c r="N1742" s="2">
        <f t="shared" ca="1" si="68"/>
        <v>616253.46262444265</v>
      </c>
      <c r="O1742" s="180">
        <f t="shared" ca="1" si="69"/>
        <v>0.18811560953567277</v>
      </c>
      <c r="P1742" s="180"/>
      <c r="Q1742" s="180"/>
      <c r="R1742" s="180"/>
      <c r="S1742" s="180"/>
      <c r="T1742" s="180"/>
    </row>
    <row r="1743" spans="1:20" x14ac:dyDescent="0.25">
      <c r="A1743" t="s">
        <v>243</v>
      </c>
      <c r="B1743" t="s">
        <v>237</v>
      </c>
      <c r="C1743" t="s">
        <v>238</v>
      </c>
      <c r="D1743" t="s">
        <v>257</v>
      </c>
      <c r="E1743" t="s">
        <v>228</v>
      </c>
      <c r="F1743">
        <v>2009</v>
      </c>
      <c r="G1743">
        <v>6.4021999999999803E-3</v>
      </c>
      <c r="H1743" t="s">
        <v>240</v>
      </c>
      <c r="I1743" t="s">
        <v>241</v>
      </c>
      <c r="J1743" t="s">
        <v>188</v>
      </c>
      <c r="K1743" s="183">
        <f ca="1">VLOOKUP(F1743,
    OFFSET(INDIRECT(ADDRESS(MATCH(J1743,'Vehicle numbers'!$A$5:$A$162,0),1,1,1,$L$6)),4,1,COUNTIF('Vehicle numbers'!$A$5:$A$162,J1743),4),
    MATCH(K$8,'Vehicle numbers'!$B$4:$D$4,0))*1000</f>
        <v>3184547</v>
      </c>
      <c r="L1743" s="183">
        <f ca="1">VLOOKUP(F1743,
    OFFSET(INDIRECT(ADDRESS(MATCH(J1743,'Vehicle numbers'!$A$5:$A$162,0),1,1,1,$L$6)),4,1,COUNTIF('Vehicle numbers'!$A$5:$A$162,J1743),4),
    MATCH(L$8,'Vehicle numbers'!$B$4:$D$4,0))*1000</f>
        <v>3275929.4358694949</v>
      </c>
      <c r="M1743" s="184">
        <f>VLOOKUP(F1743,'Annual distance covered (GB)'!$A$8:$H$33,MATCH(J1743,'Annual distance covered (GB)'!$A$7:$H$7,0))</f>
        <v>65.5</v>
      </c>
      <c r="N1743" s="2">
        <f t="shared" ca="1" si="68"/>
        <v>431377.42383710993</v>
      </c>
      <c r="O1743" s="180">
        <f t="shared" ca="1" si="69"/>
        <v>0.13168092667497094</v>
      </c>
      <c r="P1743" s="180"/>
      <c r="Q1743" s="180"/>
      <c r="R1743" s="180"/>
      <c r="S1743" s="180"/>
      <c r="T1743" s="180"/>
    </row>
    <row r="1744" spans="1:20" x14ac:dyDescent="0.25">
      <c r="A1744" t="s">
        <v>244</v>
      </c>
      <c r="B1744" t="s">
        <v>237</v>
      </c>
      <c r="C1744" t="s">
        <v>238</v>
      </c>
      <c r="D1744" t="s">
        <v>257</v>
      </c>
      <c r="E1744" t="s">
        <v>228</v>
      </c>
      <c r="F1744">
        <v>2009</v>
      </c>
      <c r="G1744">
        <v>9.0171830985915095E-4</v>
      </c>
      <c r="H1744" t="s">
        <v>240</v>
      </c>
      <c r="I1744" t="s">
        <v>241</v>
      </c>
      <c r="J1744" t="s">
        <v>188</v>
      </c>
      <c r="K1744" s="183">
        <f ca="1">VLOOKUP(F1744,
    OFFSET(INDIRECT(ADDRESS(MATCH(J1744,'Vehicle numbers'!$A$5:$A$162,0),1,1,1,$L$6)),4,1,COUNTIF('Vehicle numbers'!$A$5:$A$162,J1744),4),
    MATCH(K$8,'Vehicle numbers'!$B$4:$D$4,0))*1000</f>
        <v>3184547</v>
      </c>
      <c r="L1744" s="183">
        <f ca="1">VLOOKUP(F1744,
    OFFSET(INDIRECT(ADDRESS(MATCH(J1744,'Vehicle numbers'!$A$5:$A$162,0),1,1,1,$L$6)),4,1,COUNTIF('Vehicle numbers'!$A$5:$A$162,J1744),4),
    MATCH(L$8,'Vehicle numbers'!$B$4:$D$4,0))*1000</f>
        <v>3275929.4358694949</v>
      </c>
      <c r="M1744" s="184">
        <f>VLOOKUP(F1744,'Annual distance covered (GB)'!$A$8:$H$33,MATCH(J1744,'Annual distance covered (GB)'!$A$7:$H$7,0))</f>
        <v>65.5</v>
      </c>
      <c r="N1744" s="2">
        <f t="shared" ca="1" si="68"/>
        <v>60757.383639029489</v>
      </c>
      <c r="O1744" s="180">
        <f t="shared" ca="1" si="69"/>
        <v>1.8546609390840955E-2</v>
      </c>
      <c r="P1744" s="180"/>
      <c r="Q1744" s="180"/>
      <c r="R1744" s="180"/>
      <c r="S1744" s="180"/>
      <c r="T1744" s="180"/>
    </row>
    <row r="1745" spans="1:20" x14ac:dyDescent="0.25">
      <c r="A1745" t="s">
        <v>246</v>
      </c>
      <c r="B1745" t="s">
        <v>237</v>
      </c>
      <c r="C1745" t="s">
        <v>238</v>
      </c>
      <c r="D1745" t="s">
        <v>257</v>
      </c>
      <c r="E1745" t="s">
        <v>228</v>
      </c>
      <c r="F1745">
        <v>2009</v>
      </c>
      <c r="G1745">
        <v>7.2137464788732104E-4</v>
      </c>
      <c r="H1745" t="s">
        <v>240</v>
      </c>
      <c r="I1745" t="s">
        <v>241</v>
      </c>
      <c r="J1745" t="s">
        <v>188</v>
      </c>
      <c r="K1745" s="183">
        <f ca="1">VLOOKUP(F1745,
    OFFSET(INDIRECT(ADDRESS(MATCH(J1745,'Vehicle numbers'!$A$5:$A$162,0),1,1,1,$L$6)),4,1,COUNTIF('Vehicle numbers'!$A$5:$A$162,J1745),4),
    MATCH(K$8,'Vehicle numbers'!$B$4:$D$4,0))*1000</f>
        <v>3184547</v>
      </c>
      <c r="L1745" s="183">
        <f ca="1">VLOOKUP(F1745,
    OFFSET(INDIRECT(ADDRESS(MATCH(J1745,'Vehicle numbers'!$A$5:$A$162,0),1,1,1,$L$6)),4,1,COUNTIF('Vehicle numbers'!$A$5:$A$162,J1745),4),
    MATCH(L$8,'Vehicle numbers'!$B$4:$D$4,0))*1000</f>
        <v>3275929.4358694949</v>
      </c>
      <c r="M1745" s="184">
        <f>VLOOKUP(F1745,'Annual distance covered (GB)'!$A$8:$H$33,MATCH(J1745,'Annual distance covered (GB)'!$A$7:$H$7,0))</f>
        <v>65.5</v>
      </c>
      <c r="N1745" s="2">
        <f t="shared" ca="1" si="68"/>
        <v>48605.906911223603</v>
      </c>
      <c r="O1745" s="180">
        <f t="shared" ca="1" si="69"/>
        <v>1.4837287512672768E-2</v>
      </c>
      <c r="P1745" s="180"/>
      <c r="Q1745" s="180"/>
      <c r="R1745" s="180"/>
      <c r="S1745" s="180"/>
      <c r="T1745" s="180"/>
    </row>
    <row r="1746" spans="1:20" x14ac:dyDescent="0.25">
      <c r="A1746" t="s">
        <v>236</v>
      </c>
      <c r="B1746" t="s">
        <v>237</v>
      </c>
      <c r="C1746" t="s">
        <v>238</v>
      </c>
      <c r="D1746" t="s">
        <v>258</v>
      </c>
      <c r="E1746" t="s">
        <v>229</v>
      </c>
      <c r="F1746">
        <v>2009</v>
      </c>
      <c r="G1746">
        <v>8.6219999999999995E-3</v>
      </c>
      <c r="H1746" t="s">
        <v>240</v>
      </c>
      <c r="I1746" t="s">
        <v>241</v>
      </c>
      <c r="J1746" t="s">
        <v>188</v>
      </c>
      <c r="K1746" s="183">
        <f ca="1">VLOOKUP(F1746,
    OFFSET(INDIRECT(ADDRESS(MATCH(J1746,'Vehicle numbers'!$A$5:$A$162,0),1,1,1,$L$6)),4,1,COUNTIF('Vehicle numbers'!$A$5:$A$162,J1746),4),
    MATCH(K$8,'Vehicle numbers'!$B$4:$D$4,0))*1000</f>
        <v>3184547</v>
      </c>
      <c r="L1746" s="183">
        <f ca="1">VLOOKUP(F1746,
    OFFSET(INDIRECT(ADDRESS(MATCH(J1746,'Vehicle numbers'!$A$5:$A$162,0),1,1,1,$L$6)),4,1,COUNTIF('Vehicle numbers'!$A$5:$A$162,J1746),4),
    MATCH(L$8,'Vehicle numbers'!$B$4:$D$4,0))*1000</f>
        <v>3275929.4358694949</v>
      </c>
      <c r="M1746" s="184">
        <f>VLOOKUP(F1746,'Annual distance covered (GB)'!$A$8:$H$33,MATCH(J1746,'Annual distance covered (GB)'!$A$7:$H$7,0))</f>
        <v>65.5</v>
      </c>
      <c r="N1746" s="2">
        <f t="shared" ca="1" si="68"/>
        <v>580946.57279116125</v>
      </c>
      <c r="O1746" s="180">
        <f t="shared" ca="1" si="69"/>
        <v>0.17733793848858251</v>
      </c>
      <c r="P1746" s="180"/>
      <c r="Q1746" s="180"/>
      <c r="R1746" s="180"/>
      <c r="S1746" s="180"/>
      <c r="T1746" s="180"/>
    </row>
    <row r="1747" spans="1:20" x14ac:dyDescent="0.25">
      <c r="A1747" t="s">
        <v>243</v>
      </c>
      <c r="B1747" t="s">
        <v>237</v>
      </c>
      <c r="C1747" t="s">
        <v>238</v>
      </c>
      <c r="D1747" t="s">
        <v>258</v>
      </c>
      <c r="E1747" t="s">
        <v>229</v>
      </c>
      <c r="F1747">
        <v>2009</v>
      </c>
      <c r="G1747">
        <v>3.4488000000000001E-3</v>
      </c>
      <c r="H1747" t="s">
        <v>240</v>
      </c>
      <c r="I1747" t="s">
        <v>241</v>
      </c>
      <c r="J1747" t="s">
        <v>188</v>
      </c>
      <c r="K1747" s="183">
        <f ca="1">VLOOKUP(F1747,
    OFFSET(INDIRECT(ADDRESS(MATCH(J1747,'Vehicle numbers'!$A$5:$A$162,0),1,1,1,$L$6)),4,1,COUNTIF('Vehicle numbers'!$A$5:$A$162,J1747),4),
    MATCH(K$8,'Vehicle numbers'!$B$4:$D$4,0))*1000</f>
        <v>3184547</v>
      </c>
      <c r="L1747" s="183">
        <f ca="1">VLOOKUP(F1747,
    OFFSET(INDIRECT(ADDRESS(MATCH(J1747,'Vehicle numbers'!$A$5:$A$162,0),1,1,1,$L$6)),4,1,COUNTIF('Vehicle numbers'!$A$5:$A$162,J1747),4),
    MATCH(L$8,'Vehicle numbers'!$B$4:$D$4,0))*1000</f>
        <v>3275929.4358694949</v>
      </c>
      <c r="M1747" s="184">
        <f>VLOOKUP(F1747,'Annual distance covered (GB)'!$A$8:$H$33,MATCH(J1747,'Annual distance covered (GB)'!$A$7:$H$7,0))</f>
        <v>65.5</v>
      </c>
      <c r="N1747" s="2">
        <f t="shared" ca="1" si="68"/>
        <v>232378.62911646455</v>
      </c>
      <c r="O1747" s="180">
        <f t="shared" ca="1" si="69"/>
        <v>7.0935175395433009E-2</v>
      </c>
      <c r="P1747" s="180"/>
      <c r="Q1747" s="180"/>
      <c r="R1747" s="180"/>
      <c r="S1747" s="180"/>
      <c r="T1747" s="180"/>
    </row>
    <row r="1748" spans="1:20" x14ac:dyDescent="0.25">
      <c r="A1748" t="s">
        <v>244</v>
      </c>
      <c r="B1748" t="s">
        <v>237</v>
      </c>
      <c r="C1748" t="s">
        <v>238</v>
      </c>
      <c r="D1748" t="s">
        <v>258</v>
      </c>
      <c r="E1748" t="s">
        <v>229</v>
      </c>
      <c r="F1748">
        <v>2009</v>
      </c>
      <c r="G1748">
        <v>8.6220000000000003E-4</v>
      </c>
      <c r="H1748" t="s">
        <v>240</v>
      </c>
      <c r="I1748" t="s">
        <v>241</v>
      </c>
      <c r="J1748" t="s">
        <v>188</v>
      </c>
      <c r="K1748" s="183">
        <f ca="1">VLOOKUP(F1748,
    OFFSET(INDIRECT(ADDRESS(MATCH(J1748,'Vehicle numbers'!$A$5:$A$162,0),1,1,1,$L$6)),4,1,COUNTIF('Vehicle numbers'!$A$5:$A$162,J1748),4),
    MATCH(K$8,'Vehicle numbers'!$B$4:$D$4,0))*1000</f>
        <v>3184547</v>
      </c>
      <c r="L1748" s="183">
        <f ca="1">VLOOKUP(F1748,
    OFFSET(INDIRECT(ADDRESS(MATCH(J1748,'Vehicle numbers'!$A$5:$A$162,0),1,1,1,$L$6)),4,1,COUNTIF('Vehicle numbers'!$A$5:$A$162,J1748),4),
    MATCH(L$8,'Vehicle numbers'!$B$4:$D$4,0))*1000</f>
        <v>3275929.4358694949</v>
      </c>
      <c r="M1748" s="184">
        <f>VLOOKUP(F1748,'Annual distance covered (GB)'!$A$8:$H$33,MATCH(J1748,'Annual distance covered (GB)'!$A$7:$H$7,0))</f>
        <v>65.5</v>
      </c>
      <c r="N1748" s="2">
        <f t="shared" ca="1" si="68"/>
        <v>58094.657279116138</v>
      </c>
      <c r="O1748" s="180">
        <f t="shared" ca="1" si="69"/>
        <v>1.7733793848858252E-2</v>
      </c>
      <c r="P1748" s="180"/>
      <c r="Q1748" s="180"/>
      <c r="R1748" s="180"/>
      <c r="S1748" s="180"/>
      <c r="T1748" s="180"/>
    </row>
    <row r="1749" spans="1:20" x14ac:dyDescent="0.25">
      <c r="A1749" t="s">
        <v>246</v>
      </c>
      <c r="B1749" t="s">
        <v>237</v>
      </c>
      <c r="C1749" t="s">
        <v>238</v>
      </c>
      <c r="D1749" t="s">
        <v>258</v>
      </c>
      <c r="E1749" t="s">
        <v>229</v>
      </c>
      <c r="F1749">
        <v>2009</v>
      </c>
      <c r="G1749">
        <v>6.8975999999999998E-4</v>
      </c>
      <c r="H1749" t="s">
        <v>240</v>
      </c>
      <c r="I1749" t="s">
        <v>241</v>
      </c>
      <c r="J1749" t="s">
        <v>188</v>
      </c>
      <c r="K1749" s="183">
        <f ca="1">VLOOKUP(F1749,
    OFFSET(INDIRECT(ADDRESS(MATCH(J1749,'Vehicle numbers'!$A$5:$A$162,0),1,1,1,$L$6)),4,1,COUNTIF('Vehicle numbers'!$A$5:$A$162,J1749),4),
    MATCH(K$8,'Vehicle numbers'!$B$4:$D$4,0))*1000</f>
        <v>3184547</v>
      </c>
      <c r="L1749" s="183">
        <f ca="1">VLOOKUP(F1749,
    OFFSET(INDIRECT(ADDRESS(MATCH(J1749,'Vehicle numbers'!$A$5:$A$162,0),1,1,1,$L$6)),4,1,COUNTIF('Vehicle numbers'!$A$5:$A$162,J1749),4),
    MATCH(L$8,'Vehicle numbers'!$B$4:$D$4,0))*1000</f>
        <v>3275929.4358694949</v>
      </c>
      <c r="M1749" s="184">
        <f>VLOOKUP(F1749,'Annual distance covered (GB)'!$A$8:$H$33,MATCH(J1749,'Annual distance covered (GB)'!$A$7:$H$7,0))</f>
        <v>65.5</v>
      </c>
      <c r="N1749" s="2">
        <f t="shared" ca="1" si="68"/>
        <v>46475.725823292909</v>
      </c>
      <c r="O1749" s="180">
        <f t="shared" ca="1" si="69"/>
        <v>1.4187035079086602E-2</v>
      </c>
      <c r="P1749" s="180"/>
      <c r="Q1749" s="180"/>
      <c r="R1749" s="180"/>
      <c r="S1749" s="180"/>
      <c r="T1749" s="180"/>
    </row>
    <row r="1750" spans="1:20" x14ac:dyDescent="0.25">
      <c r="A1750" t="s">
        <v>236</v>
      </c>
      <c r="B1750" t="s">
        <v>237</v>
      </c>
      <c r="C1750" t="s">
        <v>238</v>
      </c>
      <c r="D1750" t="s">
        <v>258</v>
      </c>
      <c r="E1750" t="s">
        <v>228</v>
      </c>
      <c r="F1750">
        <v>2009</v>
      </c>
      <c r="G1750">
        <v>1.0741000000000001E-2</v>
      </c>
      <c r="H1750" t="s">
        <v>240</v>
      </c>
      <c r="I1750" t="s">
        <v>241</v>
      </c>
      <c r="J1750" t="s">
        <v>188</v>
      </c>
      <c r="K1750" s="183">
        <f ca="1">VLOOKUP(F1750,
    OFFSET(INDIRECT(ADDRESS(MATCH(J1750,'Vehicle numbers'!$A$5:$A$162,0),1,1,1,$L$6)),4,1,COUNTIF('Vehicle numbers'!$A$5:$A$162,J1750),4),
    MATCH(K$8,'Vehicle numbers'!$B$4:$D$4,0))*1000</f>
        <v>3184547</v>
      </c>
      <c r="L1750" s="183">
        <f ca="1">VLOOKUP(F1750,
    OFFSET(INDIRECT(ADDRESS(MATCH(J1750,'Vehicle numbers'!$A$5:$A$162,0),1,1,1,$L$6)),4,1,COUNTIF('Vehicle numbers'!$A$5:$A$162,J1750),4),
    MATCH(L$8,'Vehicle numbers'!$B$4:$D$4,0))*1000</f>
        <v>3275929.4358694949</v>
      </c>
      <c r="M1750" s="184">
        <f>VLOOKUP(F1750,'Annual distance covered (GB)'!$A$8:$H$33,MATCH(J1750,'Annual distance covered (GB)'!$A$7:$H$7,0))</f>
        <v>65.5</v>
      </c>
      <c r="N1750" s="2">
        <f t="shared" ca="1" si="68"/>
        <v>723723.86202155706</v>
      </c>
      <c r="O1750" s="180">
        <f t="shared" ca="1" si="69"/>
        <v>0.22092168839084494</v>
      </c>
      <c r="P1750" s="180"/>
      <c r="Q1750" s="180"/>
      <c r="R1750" s="180"/>
      <c r="S1750" s="180"/>
      <c r="T1750" s="180"/>
    </row>
    <row r="1751" spans="1:20" x14ac:dyDescent="0.25">
      <c r="A1751" t="s">
        <v>243</v>
      </c>
      <c r="B1751" t="s">
        <v>237</v>
      </c>
      <c r="C1751" t="s">
        <v>238</v>
      </c>
      <c r="D1751" t="s">
        <v>258</v>
      </c>
      <c r="E1751" t="s">
        <v>228</v>
      </c>
      <c r="F1751">
        <v>2009</v>
      </c>
      <c r="G1751">
        <v>7.5186999999999997E-3</v>
      </c>
      <c r="H1751" t="s">
        <v>240</v>
      </c>
      <c r="I1751" t="s">
        <v>241</v>
      </c>
      <c r="J1751" t="s">
        <v>188</v>
      </c>
      <c r="K1751" s="183">
        <f ca="1">VLOOKUP(F1751,
    OFFSET(INDIRECT(ADDRESS(MATCH(J1751,'Vehicle numbers'!$A$5:$A$162,0),1,1,1,$L$6)),4,1,COUNTIF('Vehicle numbers'!$A$5:$A$162,J1751),4),
    MATCH(K$8,'Vehicle numbers'!$B$4:$D$4,0))*1000</f>
        <v>3184547</v>
      </c>
      <c r="L1751" s="183">
        <f ca="1">VLOOKUP(F1751,
    OFFSET(INDIRECT(ADDRESS(MATCH(J1751,'Vehicle numbers'!$A$5:$A$162,0),1,1,1,$L$6)),4,1,COUNTIF('Vehicle numbers'!$A$5:$A$162,J1751),4),
    MATCH(L$8,'Vehicle numbers'!$B$4:$D$4,0))*1000</f>
        <v>3275929.4358694949</v>
      </c>
      <c r="M1751" s="184">
        <f>VLOOKUP(F1751,'Annual distance covered (GB)'!$A$8:$H$33,MATCH(J1751,'Annual distance covered (GB)'!$A$7:$H$7,0))</f>
        <v>65.5</v>
      </c>
      <c r="N1751" s="2">
        <f t="shared" ca="1" si="68"/>
        <v>506606.70341508987</v>
      </c>
      <c r="O1751" s="180">
        <f t="shared" ca="1" si="69"/>
        <v>0.15464518187359144</v>
      </c>
      <c r="P1751" s="180"/>
      <c r="Q1751" s="180"/>
      <c r="R1751" s="180"/>
      <c r="S1751" s="180"/>
      <c r="T1751" s="180"/>
    </row>
    <row r="1752" spans="1:20" x14ac:dyDescent="0.25">
      <c r="A1752" t="s">
        <v>244</v>
      </c>
      <c r="B1752" t="s">
        <v>237</v>
      </c>
      <c r="C1752" t="s">
        <v>238</v>
      </c>
      <c r="D1752" t="s">
        <v>258</v>
      </c>
      <c r="E1752" t="s">
        <v>228</v>
      </c>
      <c r="F1752">
        <v>2009</v>
      </c>
      <c r="G1752">
        <v>1.05897183098591E-3</v>
      </c>
      <c r="H1752" t="s">
        <v>240</v>
      </c>
      <c r="I1752" t="s">
        <v>241</v>
      </c>
      <c r="J1752" t="s">
        <v>188</v>
      </c>
      <c r="K1752" s="183">
        <f ca="1">VLOOKUP(F1752,
    OFFSET(INDIRECT(ADDRESS(MATCH(J1752,'Vehicle numbers'!$A$5:$A$162,0),1,1,1,$L$6)),4,1,COUNTIF('Vehicle numbers'!$A$5:$A$162,J1752),4),
    MATCH(K$8,'Vehicle numbers'!$B$4:$D$4,0))*1000</f>
        <v>3184547</v>
      </c>
      <c r="L1752" s="183">
        <f ca="1">VLOOKUP(F1752,
    OFFSET(INDIRECT(ADDRESS(MATCH(J1752,'Vehicle numbers'!$A$5:$A$162,0),1,1,1,$L$6)),4,1,COUNTIF('Vehicle numbers'!$A$5:$A$162,J1752),4),
    MATCH(L$8,'Vehicle numbers'!$B$4:$D$4,0))*1000</f>
        <v>3275929.4358694949</v>
      </c>
      <c r="M1752" s="184">
        <f>VLOOKUP(F1752,'Annual distance covered (GB)'!$A$8:$H$33,MATCH(J1752,'Annual distance covered (GB)'!$A$7:$H$7,0))</f>
        <v>65.5</v>
      </c>
      <c r="N1752" s="2">
        <f t="shared" ca="1" si="68"/>
        <v>71353.056819026388</v>
      </c>
      <c r="O1752" s="180">
        <f t="shared" ca="1" si="69"/>
        <v>2.1781011531491645E-2</v>
      </c>
      <c r="P1752" s="180"/>
      <c r="Q1752" s="180"/>
      <c r="R1752" s="180"/>
      <c r="S1752" s="180"/>
      <c r="T1752" s="180"/>
    </row>
    <row r="1753" spans="1:20" x14ac:dyDescent="0.25">
      <c r="A1753" t="s">
        <v>246</v>
      </c>
      <c r="B1753" t="s">
        <v>237</v>
      </c>
      <c r="C1753" t="s">
        <v>238</v>
      </c>
      <c r="D1753" t="s">
        <v>258</v>
      </c>
      <c r="E1753" t="s">
        <v>228</v>
      </c>
      <c r="F1753">
        <v>2009</v>
      </c>
      <c r="G1753">
        <v>8.47177464788731E-4</v>
      </c>
      <c r="H1753" t="s">
        <v>240</v>
      </c>
      <c r="I1753" t="s">
        <v>241</v>
      </c>
      <c r="J1753" t="s">
        <v>188</v>
      </c>
      <c r="K1753" s="183">
        <f ca="1">VLOOKUP(F1753,
    OFFSET(INDIRECT(ADDRESS(MATCH(J1753,'Vehicle numbers'!$A$5:$A$162,0),1,1,1,$L$6)),4,1,COUNTIF('Vehicle numbers'!$A$5:$A$162,J1753),4),
    MATCH(K$8,'Vehicle numbers'!$B$4:$D$4,0))*1000</f>
        <v>3184547</v>
      </c>
      <c r="L1753" s="183">
        <f ca="1">VLOOKUP(F1753,
    OFFSET(INDIRECT(ADDRESS(MATCH(J1753,'Vehicle numbers'!$A$5:$A$162,0),1,1,1,$L$6)),4,1,COUNTIF('Vehicle numbers'!$A$5:$A$162,J1753),4),
    MATCH(L$8,'Vehicle numbers'!$B$4:$D$4,0))*1000</f>
        <v>3275929.4358694949</v>
      </c>
      <c r="M1753" s="184">
        <f>VLOOKUP(F1753,'Annual distance covered (GB)'!$A$8:$H$33,MATCH(J1753,'Annual distance covered (GB)'!$A$7:$H$7,0))</f>
        <v>65.5</v>
      </c>
      <c r="N1753" s="2">
        <f t="shared" ca="1" si="68"/>
        <v>57082.445455221299</v>
      </c>
      <c r="O1753" s="180">
        <f t="shared" ca="1" si="69"/>
        <v>1.7424809225193374E-2</v>
      </c>
      <c r="P1753" s="180"/>
      <c r="Q1753" s="180"/>
      <c r="R1753" s="180"/>
      <c r="S1753" s="180"/>
      <c r="T1753" s="180"/>
    </row>
    <row r="1754" spans="1:20" x14ac:dyDescent="0.25">
      <c r="A1754" t="s">
        <v>236</v>
      </c>
      <c r="B1754" t="s">
        <v>237</v>
      </c>
      <c r="C1754" t="s">
        <v>238</v>
      </c>
      <c r="D1754" t="s">
        <v>259</v>
      </c>
      <c r="E1754" t="s">
        <v>229</v>
      </c>
      <c r="F1754">
        <v>2009</v>
      </c>
      <c r="G1754">
        <v>1.8218999999999999E-2</v>
      </c>
      <c r="H1754" t="s">
        <v>240</v>
      </c>
      <c r="I1754" t="s">
        <v>241</v>
      </c>
      <c r="J1754" t="s">
        <v>188</v>
      </c>
      <c r="K1754" s="183">
        <f ca="1">VLOOKUP(F1754,
    OFFSET(INDIRECT(ADDRESS(MATCH(J1754,'Vehicle numbers'!$A$5:$A$162,0),1,1,1,$L$6)),4,1,COUNTIF('Vehicle numbers'!$A$5:$A$162,J1754),4),
    MATCH(K$8,'Vehicle numbers'!$B$4:$D$4,0))*1000</f>
        <v>3184547</v>
      </c>
      <c r="L1754" s="183">
        <f ca="1">VLOOKUP(F1754,
    OFFSET(INDIRECT(ADDRESS(MATCH(J1754,'Vehicle numbers'!$A$5:$A$162,0),1,1,1,$L$6)),4,1,COUNTIF('Vehicle numbers'!$A$5:$A$162,J1754),4),
    MATCH(L$8,'Vehicle numbers'!$B$4:$D$4,0))*1000</f>
        <v>3275929.4358694949</v>
      </c>
      <c r="M1754" s="184">
        <f>VLOOKUP(F1754,'Annual distance covered (GB)'!$A$8:$H$33,MATCH(J1754,'Annual distance covered (GB)'!$A$7:$H$7,0))</f>
        <v>65.5</v>
      </c>
      <c r="N1754" s="2">
        <f t="shared" ca="1" si="68"/>
        <v>1227588.2173140999</v>
      </c>
      <c r="O1754" s="180">
        <f t="shared" ca="1" si="69"/>
        <v>0.37472974963158029</v>
      </c>
      <c r="P1754" s="180"/>
      <c r="Q1754" s="180"/>
      <c r="R1754" s="180"/>
      <c r="S1754" s="180"/>
      <c r="T1754" s="180"/>
    </row>
    <row r="1755" spans="1:20" x14ac:dyDescent="0.25">
      <c r="A1755" t="s">
        <v>243</v>
      </c>
      <c r="B1755" t="s">
        <v>237</v>
      </c>
      <c r="C1755" t="s">
        <v>238</v>
      </c>
      <c r="D1755" t="s">
        <v>259</v>
      </c>
      <c r="E1755" t="s">
        <v>229</v>
      </c>
      <c r="F1755">
        <v>2009</v>
      </c>
      <c r="G1755">
        <v>7.2876E-3</v>
      </c>
      <c r="H1755" t="s">
        <v>240</v>
      </c>
      <c r="I1755" t="s">
        <v>241</v>
      </c>
      <c r="J1755" t="s">
        <v>188</v>
      </c>
      <c r="K1755" s="183">
        <f ca="1">VLOOKUP(F1755,
    OFFSET(INDIRECT(ADDRESS(MATCH(J1755,'Vehicle numbers'!$A$5:$A$162,0),1,1,1,$L$6)),4,1,COUNTIF('Vehicle numbers'!$A$5:$A$162,J1755),4),
    MATCH(K$8,'Vehicle numbers'!$B$4:$D$4,0))*1000</f>
        <v>3184547</v>
      </c>
      <c r="L1755" s="183">
        <f ca="1">VLOOKUP(F1755,
    OFFSET(INDIRECT(ADDRESS(MATCH(J1755,'Vehicle numbers'!$A$5:$A$162,0),1,1,1,$L$6)),4,1,COUNTIF('Vehicle numbers'!$A$5:$A$162,J1755),4),
    MATCH(L$8,'Vehicle numbers'!$B$4:$D$4,0))*1000</f>
        <v>3275929.4358694949</v>
      </c>
      <c r="M1755" s="184">
        <f>VLOOKUP(F1755,'Annual distance covered (GB)'!$A$8:$H$33,MATCH(J1755,'Annual distance covered (GB)'!$A$7:$H$7,0))</f>
        <v>65.5</v>
      </c>
      <c r="N1755" s="2">
        <f t="shared" ca="1" si="68"/>
        <v>491035.28692563996</v>
      </c>
      <c r="O1755" s="180">
        <f t="shared" ca="1" si="69"/>
        <v>0.14989189985263213</v>
      </c>
      <c r="P1755" s="180"/>
      <c r="Q1755" s="180"/>
      <c r="R1755" s="180"/>
      <c r="S1755" s="180"/>
      <c r="T1755" s="180"/>
    </row>
    <row r="1756" spans="1:20" x14ac:dyDescent="0.25">
      <c r="A1756" t="s">
        <v>244</v>
      </c>
      <c r="B1756" t="s">
        <v>237</v>
      </c>
      <c r="C1756" t="s">
        <v>238</v>
      </c>
      <c r="D1756" t="s">
        <v>259</v>
      </c>
      <c r="E1756" t="s">
        <v>229</v>
      </c>
      <c r="F1756">
        <v>2009</v>
      </c>
      <c r="G1756">
        <v>1.8219E-3</v>
      </c>
      <c r="H1756" t="s">
        <v>240</v>
      </c>
      <c r="I1756" t="s">
        <v>241</v>
      </c>
      <c r="J1756" t="s">
        <v>188</v>
      </c>
      <c r="K1756" s="183">
        <f ca="1">VLOOKUP(F1756,
    OFFSET(INDIRECT(ADDRESS(MATCH(J1756,'Vehicle numbers'!$A$5:$A$162,0),1,1,1,$L$6)),4,1,COUNTIF('Vehicle numbers'!$A$5:$A$162,J1756),4),
    MATCH(K$8,'Vehicle numbers'!$B$4:$D$4,0))*1000</f>
        <v>3184547</v>
      </c>
      <c r="L1756" s="183">
        <f ca="1">VLOOKUP(F1756,
    OFFSET(INDIRECT(ADDRESS(MATCH(J1756,'Vehicle numbers'!$A$5:$A$162,0),1,1,1,$L$6)),4,1,COUNTIF('Vehicle numbers'!$A$5:$A$162,J1756),4),
    MATCH(L$8,'Vehicle numbers'!$B$4:$D$4,0))*1000</f>
        <v>3275929.4358694949</v>
      </c>
      <c r="M1756" s="184">
        <f>VLOOKUP(F1756,'Annual distance covered (GB)'!$A$8:$H$33,MATCH(J1756,'Annual distance covered (GB)'!$A$7:$H$7,0))</f>
        <v>65.5</v>
      </c>
      <c r="N1756" s="2">
        <f t="shared" ca="1" si="68"/>
        <v>122758.82173140999</v>
      </c>
      <c r="O1756" s="180">
        <f t="shared" ca="1" si="69"/>
        <v>3.7472974963158032E-2</v>
      </c>
      <c r="P1756" s="180"/>
      <c r="Q1756" s="180"/>
      <c r="R1756" s="180"/>
      <c r="S1756" s="180"/>
      <c r="T1756" s="180"/>
    </row>
    <row r="1757" spans="1:20" x14ac:dyDescent="0.25">
      <c r="A1757" t="s">
        <v>246</v>
      </c>
      <c r="B1757" t="s">
        <v>237</v>
      </c>
      <c r="C1757" t="s">
        <v>238</v>
      </c>
      <c r="D1757" t="s">
        <v>259</v>
      </c>
      <c r="E1757" t="s">
        <v>229</v>
      </c>
      <c r="F1757">
        <v>2009</v>
      </c>
      <c r="G1757">
        <v>1.4575199999999999E-3</v>
      </c>
      <c r="H1757" t="s">
        <v>240</v>
      </c>
      <c r="I1757" t="s">
        <v>241</v>
      </c>
      <c r="J1757" t="s">
        <v>188</v>
      </c>
      <c r="K1757" s="183">
        <f ca="1">VLOOKUP(F1757,
    OFFSET(INDIRECT(ADDRESS(MATCH(J1757,'Vehicle numbers'!$A$5:$A$162,0),1,1,1,$L$6)),4,1,COUNTIF('Vehicle numbers'!$A$5:$A$162,J1757),4),
    MATCH(K$8,'Vehicle numbers'!$B$4:$D$4,0))*1000</f>
        <v>3184547</v>
      </c>
      <c r="L1757" s="183">
        <f ca="1">VLOOKUP(F1757,
    OFFSET(INDIRECT(ADDRESS(MATCH(J1757,'Vehicle numbers'!$A$5:$A$162,0),1,1,1,$L$6)),4,1,COUNTIF('Vehicle numbers'!$A$5:$A$162,J1757),4),
    MATCH(L$8,'Vehicle numbers'!$B$4:$D$4,0))*1000</f>
        <v>3275929.4358694949</v>
      </c>
      <c r="M1757" s="184">
        <f>VLOOKUP(F1757,'Annual distance covered (GB)'!$A$8:$H$33,MATCH(J1757,'Annual distance covered (GB)'!$A$7:$H$7,0))</f>
        <v>65.5</v>
      </c>
      <c r="N1757" s="2">
        <f t="shared" ca="1" si="68"/>
        <v>98207.057385127991</v>
      </c>
      <c r="O1757" s="180">
        <f t="shared" ca="1" si="69"/>
        <v>2.9978379970526423E-2</v>
      </c>
      <c r="P1757" s="180"/>
      <c r="Q1757" s="180"/>
      <c r="R1757" s="180"/>
      <c r="S1757" s="180"/>
      <c r="T1757" s="180"/>
    </row>
    <row r="1758" spans="1:20" x14ac:dyDescent="0.25">
      <c r="A1758" t="s">
        <v>236</v>
      </c>
      <c r="B1758" t="s">
        <v>237</v>
      </c>
      <c r="C1758" t="s">
        <v>238</v>
      </c>
      <c r="D1758" t="s">
        <v>259</v>
      </c>
      <c r="E1758" t="s">
        <v>228</v>
      </c>
      <c r="F1758">
        <v>2009</v>
      </c>
      <c r="G1758">
        <v>1.3802E-2</v>
      </c>
      <c r="H1758" t="s">
        <v>240</v>
      </c>
      <c r="I1758" t="s">
        <v>241</v>
      </c>
      <c r="J1758" t="s">
        <v>188</v>
      </c>
      <c r="K1758" s="183">
        <f ca="1">VLOOKUP(F1758,
    OFFSET(INDIRECT(ADDRESS(MATCH(J1758,'Vehicle numbers'!$A$5:$A$162,0),1,1,1,$L$6)),4,1,COUNTIF('Vehicle numbers'!$A$5:$A$162,J1758),4),
    MATCH(K$8,'Vehicle numbers'!$B$4:$D$4,0))*1000</f>
        <v>3184547</v>
      </c>
      <c r="L1758" s="183">
        <f ca="1">VLOOKUP(F1758,
    OFFSET(INDIRECT(ADDRESS(MATCH(J1758,'Vehicle numbers'!$A$5:$A$162,0),1,1,1,$L$6)),4,1,COUNTIF('Vehicle numbers'!$A$5:$A$162,J1758),4),
    MATCH(L$8,'Vehicle numbers'!$B$4:$D$4,0))*1000</f>
        <v>3275929.4358694949</v>
      </c>
      <c r="M1758" s="184">
        <f>VLOOKUP(F1758,'Annual distance covered (GB)'!$A$8:$H$33,MATCH(J1758,'Annual distance covered (GB)'!$A$7:$H$7,0))</f>
        <v>65.5</v>
      </c>
      <c r="N1758" s="2">
        <f t="shared" ca="1" si="68"/>
        <v>929972.6974789619</v>
      </c>
      <c r="O1758" s="180">
        <f t="shared" ca="1" si="69"/>
        <v>0.28388056448845006</v>
      </c>
      <c r="P1758" s="180"/>
      <c r="Q1758" s="180"/>
      <c r="R1758" s="180"/>
      <c r="S1758" s="180"/>
      <c r="T1758" s="180"/>
    </row>
    <row r="1759" spans="1:20" x14ac:dyDescent="0.25">
      <c r="A1759" t="s">
        <v>243</v>
      </c>
      <c r="B1759" t="s">
        <v>237</v>
      </c>
      <c r="C1759" t="s">
        <v>238</v>
      </c>
      <c r="D1759" t="s">
        <v>259</v>
      </c>
      <c r="E1759" t="s">
        <v>228</v>
      </c>
      <c r="F1759">
        <v>2009</v>
      </c>
      <c r="G1759">
        <v>9.6614000000000005E-3</v>
      </c>
      <c r="H1759" t="s">
        <v>240</v>
      </c>
      <c r="I1759" t="s">
        <v>241</v>
      </c>
      <c r="J1759" t="s">
        <v>188</v>
      </c>
      <c r="K1759" s="183">
        <f ca="1">VLOOKUP(F1759,
    OFFSET(INDIRECT(ADDRESS(MATCH(J1759,'Vehicle numbers'!$A$5:$A$162,0),1,1,1,$L$6)),4,1,COUNTIF('Vehicle numbers'!$A$5:$A$162,J1759),4),
    MATCH(K$8,'Vehicle numbers'!$B$4:$D$4,0))*1000</f>
        <v>3184547</v>
      </c>
      <c r="L1759" s="183">
        <f ca="1">VLOOKUP(F1759,
    OFFSET(INDIRECT(ADDRESS(MATCH(J1759,'Vehicle numbers'!$A$5:$A$162,0),1,1,1,$L$6)),4,1,COUNTIF('Vehicle numbers'!$A$5:$A$162,J1759),4),
    MATCH(L$8,'Vehicle numbers'!$B$4:$D$4,0))*1000</f>
        <v>3275929.4358694949</v>
      </c>
      <c r="M1759" s="184">
        <f>VLOOKUP(F1759,'Annual distance covered (GB)'!$A$8:$H$33,MATCH(J1759,'Annual distance covered (GB)'!$A$7:$H$7,0))</f>
        <v>65.5</v>
      </c>
      <c r="N1759" s="2">
        <f t="shared" ca="1" si="68"/>
        <v>650980.88823527342</v>
      </c>
      <c r="O1759" s="180">
        <f t="shared" ca="1" si="69"/>
        <v>0.19871639514191505</v>
      </c>
      <c r="P1759" s="180"/>
      <c r="Q1759" s="180"/>
      <c r="R1759" s="180"/>
      <c r="S1759" s="180"/>
      <c r="T1759" s="180"/>
    </row>
    <row r="1760" spans="1:20" x14ac:dyDescent="0.25">
      <c r="A1760" t="s">
        <v>244</v>
      </c>
      <c r="B1760" t="s">
        <v>237</v>
      </c>
      <c r="C1760" t="s">
        <v>238</v>
      </c>
      <c r="D1760" t="s">
        <v>259</v>
      </c>
      <c r="E1760" t="s">
        <v>228</v>
      </c>
      <c r="F1760">
        <v>2009</v>
      </c>
      <c r="G1760">
        <v>1.3607605633802801E-3</v>
      </c>
      <c r="H1760" t="s">
        <v>240</v>
      </c>
      <c r="I1760" t="s">
        <v>241</v>
      </c>
      <c r="J1760" t="s">
        <v>188</v>
      </c>
      <c r="K1760" s="183">
        <f ca="1">VLOOKUP(F1760,
    OFFSET(INDIRECT(ADDRESS(MATCH(J1760,'Vehicle numbers'!$A$5:$A$162,0),1,1,1,$L$6)),4,1,COUNTIF('Vehicle numbers'!$A$5:$A$162,J1760),4),
    MATCH(K$8,'Vehicle numbers'!$B$4:$D$4,0))*1000</f>
        <v>3184547</v>
      </c>
      <c r="L1760" s="183">
        <f ca="1">VLOOKUP(F1760,
    OFFSET(INDIRECT(ADDRESS(MATCH(J1760,'Vehicle numbers'!$A$5:$A$162,0),1,1,1,$L$6)),4,1,COUNTIF('Vehicle numbers'!$A$5:$A$162,J1760),4),
    MATCH(L$8,'Vehicle numbers'!$B$4:$D$4,0))*1000</f>
        <v>3275929.4358694949</v>
      </c>
      <c r="M1760" s="184">
        <f>VLOOKUP(F1760,'Annual distance covered (GB)'!$A$8:$H$33,MATCH(J1760,'Annual distance covered (GB)'!$A$7:$H$7,0))</f>
        <v>65.5</v>
      </c>
      <c r="N1760" s="2">
        <f t="shared" ca="1" si="68"/>
        <v>91687.449047221482</v>
      </c>
      <c r="O1760" s="180">
        <f t="shared" ca="1" si="69"/>
        <v>2.798822466787532E-2</v>
      </c>
      <c r="P1760" s="180"/>
      <c r="Q1760" s="180"/>
      <c r="R1760" s="180"/>
      <c r="S1760" s="180"/>
      <c r="T1760" s="180"/>
    </row>
    <row r="1761" spans="1:20" x14ac:dyDescent="0.25">
      <c r="A1761" t="s">
        <v>246</v>
      </c>
      <c r="B1761" t="s">
        <v>237</v>
      </c>
      <c r="C1761" t="s">
        <v>238</v>
      </c>
      <c r="D1761" t="s">
        <v>259</v>
      </c>
      <c r="E1761" t="s">
        <v>228</v>
      </c>
      <c r="F1761">
        <v>2009</v>
      </c>
      <c r="G1761">
        <v>1.0886084507042201E-3</v>
      </c>
      <c r="H1761" t="s">
        <v>240</v>
      </c>
      <c r="I1761" t="s">
        <v>241</v>
      </c>
      <c r="J1761" t="s">
        <v>188</v>
      </c>
      <c r="K1761" s="183">
        <f ca="1">VLOOKUP(F1761,
    OFFSET(INDIRECT(ADDRESS(MATCH(J1761,'Vehicle numbers'!$A$5:$A$162,0),1,1,1,$L$6)),4,1,COUNTIF('Vehicle numbers'!$A$5:$A$162,J1761),4),
    MATCH(K$8,'Vehicle numbers'!$B$4:$D$4,0))*1000</f>
        <v>3184547</v>
      </c>
      <c r="L1761" s="183">
        <f ca="1">VLOOKUP(F1761,
    OFFSET(INDIRECT(ADDRESS(MATCH(J1761,'Vehicle numbers'!$A$5:$A$162,0),1,1,1,$L$6)),4,1,COUNTIF('Vehicle numbers'!$A$5:$A$162,J1761),4),
    MATCH(L$8,'Vehicle numbers'!$B$4:$D$4,0))*1000</f>
        <v>3275929.4358694949</v>
      </c>
      <c r="M1761" s="184">
        <f>VLOOKUP(F1761,'Annual distance covered (GB)'!$A$8:$H$33,MATCH(J1761,'Annual distance covered (GB)'!$A$7:$H$7,0))</f>
        <v>65.5</v>
      </c>
      <c r="N1761" s="2">
        <f t="shared" ca="1" si="68"/>
        <v>73349.95923777693</v>
      </c>
      <c r="O1761" s="180">
        <f t="shared" ca="1" si="69"/>
        <v>2.2390579734300177E-2</v>
      </c>
      <c r="P1761" s="180"/>
      <c r="Q1761" s="180"/>
      <c r="R1761" s="180"/>
      <c r="S1761" s="180"/>
      <c r="T1761" s="180"/>
    </row>
    <row r="1762" spans="1:20" x14ac:dyDescent="0.25">
      <c r="A1762" t="s">
        <v>236</v>
      </c>
      <c r="B1762" t="s">
        <v>237</v>
      </c>
      <c r="C1762" t="s">
        <v>238</v>
      </c>
      <c r="D1762" t="s">
        <v>260</v>
      </c>
      <c r="E1762" t="s">
        <v>229</v>
      </c>
      <c r="F1762">
        <v>2009</v>
      </c>
      <c r="G1762">
        <v>5.8399999999999997E-3</v>
      </c>
      <c r="H1762" t="s">
        <v>240</v>
      </c>
      <c r="I1762" t="s">
        <v>241</v>
      </c>
      <c r="J1762" t="s">
        <v>3</v>
      </c>
      <c r="K1762" s="183">
        <f ca="1">VLOOKUP(F1762,
    OFFSET(INDIRECT(ADDRESS(MATCH(J1762,'Vehicle numbers'!$A$5:$A$162,0),1,1,1,$L$6)),4,1,COUNTIF('Vehicle numbers'!$A$5:$A$162,J1762),4),
    MATCH(K$8,'Vehicle numbers'!$B$4:$D$4,0))*1000</f>
        <v>1275641</v>
      </c>
      <c r="L1762" s="183">
        <f ca="1">VLOOKUP(F1762,
    OFFSET(INDIRECT(ADDRESS(MATCH(J1762,'Vehicle numbers'!$A$5:$A$162,0),1,1,1,$L$6)),4,1,COUNTIF('Vehicle numbers'!$A$5:$A$162,J1762),4),
    MATCH(L$8,'Vehicle numbers'!$B$4:$D$4,0))*1000</f>
        <v>1299082.408007131</v>
      </c>
      <c r="M1762" s="184">
        <f>VLOOKUP(F1762,'Annual distance covered (GB)'!$A$8:$H$33,MATCH(J1762,'Annual distance covered (GB)'!$A$7:$H$7,0))</f>
        <v>5.0999999999999996</v>
      </c>
      <c r="N1762" s="2">
        <f t="shared" ca="1" si="68"/>
        <v>30331.316130544867</v>
      </c>
      <c r="O1762" s="180">
        <f t="shared" ca="1" si="69"/>
        <v>2.3348261775844457E-2</v>
      </c>
      <c r="P1762" s="180"/>
      <c r="Q1762" s="180"/>
      <c r="R1762" s="180"/>
      <c r="S1762" s="180"/>
      <c r="T1762" s="180"/>
    </row>
    <row r="1763" spans="1:20" x14ac:dyDescent="0.25">
      <c r="A1763" t="s">
        <v>243</v>
      </c>
      <c r="B1763" t="s">
        <v>237</v>
      </c>
      <c r="C1763" t="s">
        <v>238</v>
      </c>
      <c r="D1763" t="s">
        <v>260</v>
      </c>
      <c r="E1763" t="s">
        <v>229</v>
      </c>
      <c r="F1763">
        <v>2009</v>
      </c>
      <c r="G1763">
        <v>2.336E-3</v>
      </c>
      <c r="H1763" t="s">
        <v>240</v>
      </c>
      <c r="I1763" t="s">
        <v>241</v>
      </c>
      <c r="J1763" t="s">
        <v>3</v>
      </c>
      <c r="K1763" s="183">
        <f ca="1">VLOOKUP(F1763,
    OFFSET(INDIRECT(ADDRESS(MATCH(J1763,'Vehicle numbers'!$A$5:$A$162,0),1,1,1,$L$6)),4,1,COUNTIF('Vehicle numbers'!$A$5:$A$162,J1763),4),
    MATCH(K$8,'Vehicle numbers'!$B$4:$D$4,0))*1000</f>
        <v>1275641</v>
      </c>
      <c r="L1763" s="183">
        <f ca="1">VLOOKUP(F1763,
    OFFSET(INDIRECT(ADDRESS(MATCH(J1763,'Vehicle numbers'!$A$5:$A$162,0),1,1,1,$L$6)),4,1,COUNTIF('Vehicle numbers'!$A$5:$A$162,J1763),4),
    MATCH(L$8,'Vehicle numbers'!$B$4:$D$4,0))*1000</f>
        <v>1299082.408007131</v>
      </c>
      <c r="M1763" s="184">
        <f>VLOOKUP(F1763,'Annual distance covered (GB)'!$A$8:$H$33,MATCH(J1763,'Annual distance covered (GB)'!$A$7:$H$7,0))</f>
        <v>5.0999999999999996</v>
      </c>
      <c r="N1763" s="2">
        <f t="shared" ca="1" si="68"/>
        <v>12132.526452217948</v>
      </c>
      <c r="O1763" s="180">
        <f t="shared" ca="1" si="69"/>
        <v>9.339304710337783E-3</v>
      </c>
      <c r="P1763" s="180"/>
      <c r="Q1763" s="180"/>
      <c r="R1763" s="180"/>
      <c r="S1763" s="180"/>
      <c r="T1763" s="180"/>
    </row>
    <row r="1764" spans="1:20" x14ac:dyDescent="0.25">
      <c r="A1764" t="s">
        <v>244</v>
      </c>
      <c r="B1764" t="s">
        <v>237</v>
      </c>
      <c r="C1764" t="s">
        <v>238</v>
      </c>
      <c r="D1764" t="s">
        <v>260</v>
      </c>
      <c r="E1764" t="s">
        <v>229</v>
      </c>
      <c r="F1764">
        <v>2009</v>
      </c>
      <c r="G1764">
        <v>5.8399999999999999E-4</v>
      </c>
      <c r="H1764" t="s">
        <v>240</v>
      </c>
      <c r="I1764" t="s">
        <v>241</v>
      </c>
      <c r="J1764" t="s">
        <v>3</v>
      </c>
      <c r="K1764" s="183">
        <f ca="1">VLOOKUP(F1764,
    OFFSET(INDIRECT(ADDRESS(MATCH(J1764,'Vehicle numbers'!$A$5:$A$162,0),1,1,1,$L$6)),4,1,COUNTIF('Vehicle numbers'!$A$5:$A$162,J1764),4),
    MATCH(K$8,'Vehicle numbers'!$B$4:$D$4,0))*1000</f>
        <v>1275641</v>
      </c>
      <c r="L1764" s="183">
        <f ca="1">VLOOKUP(F1764,
    OFFSET(INDIRECT(ADDRESS(MATCH(J1764,'Vehicle numbers'!$A$5:$A$162,0),1,1,1,$L$6)),4,1,COUNTIF('Vehicle numbers'!$A$5:$A$162,J1764),4),
    MATCH(L$8,'Vehicle numbers'!$B$4:$D$4,0))*1000</f>
        <v>1299082.408007131</v>
      </c>
      <c r="M1764" s="184">
        <f>VLOOKUP(F1764,'Annual distance covered (GB)'!$A$8:$H$33,MATCH(J1764,'Annual distance covered (GB)'!$A$7:$H$7,0))</f>
        <v>5.0999999999999996</v>
      </c>
      <c r="N1764" s="2">
        <f t="shared" ca="1" si="68"/>
        <v>3033.1316130544869</v>
      </c>
      <c r="O1764" s="180">
        <f t="shared" ca="1" si="69"/>
        <v>2.3348261775844458E-3</v>
      </c>
      <c r="P1764" s="180"/>
      <c r="Q1764" s="180"/>
      <c r="R1764" s="180"/>
      <c r="S1764" s="180"/>
      <c r="T1764" s="180"/>
    </row>
    <row r="1765" spans="1:20" x14ac:dyDescent="0.25">
      <c r="A1765" t="s">
        <v>246</v>
      </c>
      <c r="B1765" t="s">
        <v>237</v>
      </c>
      <c r="C1765" t="s">
        <v>238</v>
      </c>
      <c r="D1765" t="s">
        <v>260</v>
      </c>
      <c r="E1765" t="s">
        <v>229</v>
      </c>
      <c r="F1765">
        <v>2009</v>
      </c>
      <c r="G1765">
        <v>4.6720000000000003E-4</v>
      </c>
      <c r="H1765" t="s">
        <v>240</v>
      </c>
      <c r="I1765" t="s">
        <v>241</v>
      </c>
      <c r="J1765" t="s">
        <v>3</v>
      </c>
      <c r="K1765" s="183">
        <f ca="1">VLOOKUP(F1765,
    OFFSET(INDIRECT(ADDRESS(MATCH(J1765,'Vehicle numbers'!$A$5:$A$162,0),1,1,1,$L$6)),4,1,COUNTIF('Vehicle numbers'!$A$5:$A$162,J1765),4),
    MATCH(K$8,'Vehicle numbers'!$B$4:$D$4,0))*1000</f>
        <v>1275641</v>
      </c>
      <c r="L1765" s="183">
        <f ca="1">VLOOKUP(F1765,
    OFFSET(INDIRECT(ADDRESS(MATCH(J1765,'Vehicle numbers'!$A$5:$A$162,0),1,1,1,$L$6)),4,1,COUNTIF('Vehicle numbers'!$A$5:$A$162,J1765),4),
    MATCH(L$8,'Vehicle numbers'!$B$4:$D$4,0))*1000</f>
        <v>1299082.408007131</v>
      </c>
      <c r="M1765" s="184">
        <f>VLOOKUP(F1765,'Annual distance covered (GB)'!$A$8:$H$33,MATCH(J1765,'Annual distance covered (GB)'!$A$7:$H$7,0))</f>
        <v>5.0999999999999996</v>
      </c>
      <c r="N1765" s="2">
        <f t="shared" ca="1" si="68"/>
        <v>2426.5052904435897</v>
      </c>
      <c r="O1765" s="180">
        <f t="shared" ca="1" si="69"/>
        <v>1.8678609420675568E-3</v>
      </c>
      <c r="P1765" s="180"/>
      <c r="Q1765" s="180"/>
      <c r="R1765" s="180"/>
      <c r="S1765" s="180"/>
      <c r="T1765" s="180"/>
    </row>
    <row r="1766" spans="1:20" x14ac:dyDescent="0.25">
      <c r="A1766" t="s">
        <v>236</v>
      </c>
      <c r="B1766" t="s">
        <v>237</v>
      </c>
      <c r="C1766" t="s">
        <v>238</v>
      </c>
      <c r="D1766" t="s">
        <v>260</v>
      </c>
      <c r="E1766" t="s">
        <v>228</v>
      </c>
      <c r="F1766">
        <v>2009</v>
      </c>
      <c r="G1766">
        <v>3.7569999999999999E-3</v>
      </c>
      <c r="H1766" t="s">
        <v>240</v>
      </c>
      <c r="I1766" t="s">
        <v>241</v>
      </c>
      <c r="J1766" t="s">
        <v>3</v>
      </c>
      <c r="K1766" s="183">
        <f ca="1">VLOOKUP(F1766,
    OFFSET(INDIRECT(ADDRESS(MATCH(J1766,'Vehicle numbers'!$A$5:$A$162,0),1,1,1,$L$6)),4,1,COUNTIF('Vehicle numbers'!$A$5:$A$162,J1766),4),
    MATCH(K$8,'Vehicle numbers'!$B$4:$D$4,0))*1000</f>
        <v>1275641</v>
      </c>
      <c r="L1766" s="183">
        <f ca="1">VLOOKUP(F1766,
    OFFSET(INDIRECT(ADDRESS(MATCH(J1766,'Vehicle numbers'!$A$5:$A$162,0),1,1,1,$L$6)),4,1,COUNTIF('Vehicle numbers'!$A$5:$A$162,J1766),4),
    MATCH(L$8,'Vehicle numbers'!$B$4:$D$4,0))*1000</f>
        <v>1299082.408007131</v>
      </c>
      <c r="M1766" s="184">
        <f>VLOOKUP(F1766,'Annual distance covered (GB)'!$A$8:$H$33,MATCH(J1766,'Annual distance covered (GB)'!$A$7:$H$7,0))</f>
        <v>5.0999999999999996</v>
      </c>
      <c r="N1766" s="2">
        <f t="shared" ca="1" si="68"/>
        <v>19512.800462749499</v>
      </c>
      <c r="O1766" s="180">
        <f t="shared" ca="1" si="69"/>
        <v>1.5020448543124594E-2</v>
      </c>
      <c r="P1766" s="180"/>
      <c r="Q1766" s="180"/>
      <c r="R1766" s="180"/>
      <c r="S1766" s="180"/>
      <c r="T1766" s="180"/>
    </row>
    <row r="1767" spans="1:20" x14ac:dyDescent="0.25">
      <c r="A1767" t="s">
        <v>243</v>
      </c>
      <c r="B1767" t="s">
        <v>237</v>
      </c>
      <c r="C1767" t="s">
        <v>238</v>
      </c>
      <c r="D1767" t="s">
        <v>260</v>
      </c>
      <c r="E1767" t="s">
        <v>228</v>
      </c>
      <c r="F1767">
        <v>2009</v>
      </c>
      <c r="G1767">
        <v>2.6299000000000001E-3</v>
      </c>
      <c r="H1767" t="s">
        <v>240</v>
      </c>
      <c r="I1767" t="s">
        <v>241</v>
      </c>
      <c r="J1767" t="s">
        <v>3</v>
      </c>
      <c r="K1767" s="183">
        <f ca="1">VLOOKUP(F1767,
    OFFSET(INDIRECT(ADDRESS(MATCH(J1767,'Vehicle numbers'!$A$5:$A$162,0),1,1,1,$L$6)),4,1,COUNTIF('Vehicle numbers'!$A$5:$A$162,J1767),4),
    MATCH(K$8,'Vehicle numbers'!$B$4:$D$4,0))*1000</f>
        <v>1275641</v>
      </c>
      <c r="L1767" s="183">
        <f ca="1">VLOOKUP(F1767,
    OFFSET(INDIRECT(ADDRESS(MATCH(J1767,'Vehicle numbers'!$A$5:$A$162,0),1,1,1,$L$6)),4,1,COUNTIF('Vehicle numbers'!$A$5:$A$162,J1767),4),
    MATCH(L$8,'Vehicle numbers'!$B$4:$D$4,0))*1000</f>
        <v>1299082.408007131</v>
      </c>
      <c r="M1767" s="184">
        <f>VLOOKUP(F1767,'Annual distance covered (GB)'!$A$8:$H$33,MATCH(J1767,'Annual distance covered (GB)'!$A$7:$H$7,0))</f>
        <v>5.0999999999999996</v>
      </c>
      <c r="N1767" s="2">
        <f t="shared" ca="1" si="68"/>
        <v>13658.96032392465</v>
      </c>
      <c r="O1767" s="180">
        <f t="shared" ca="1" si="69"/>
        <v>1.0514313980187215E-2</v>
      </c>
      <c r="P1767" s="180"/>
      <c r="Q1767" s="180"/>
      <c r="R1767" s="180"/>
      <c r="S1767" s="180"/>
      <c r="T1767" s="180"/>
    </row>
    <row r="1768" spans="1:20" x14ac:dyDescent="0.25">
      <c r="A1768" t="s">
        <v>244</v>
      </c>
      <c r="B1768" t="s">
        <v>237</v>
      </c>
      <c r="C1768" t="s">
        <v>238</v>
      </c>
      <c r="D1768" t="s">
        <v>260</v>
      </c>
      <c r="E1768" t="s">
        <v>228</v>
      </c>
      <c r="F1768">
        <v>2009</v>
      </c>
      <c r="G1768">
        <v>3.7040845070422499E-4</v>
      </c>
      <c r="H1768" t="s">
        <v>240</v>
      </c>
      <c r="I1768" t="s">
        <v>241</v>
      </c>
      <c r="J1768" t="s">
        <v>3</v>
      </c>
      <c r="K1768" s="183">
        <f ca="1">VLOOKUP(F1768,
    OFFSET(INDIRECT(ADDRESS(MATCH(J1768,'Vehicle numbers'!$A$5:$A$162,0),1,1,1,$L$6)),4,1,COUNTIF('Vehicle numbers'!$A$5:$A$162,J1768),4),
    MATCH(K$8,'Vehicle numbers'!$B$4:$D$4,0))*1000</f>
        <v>1275641</v>
      </c>
      <c r="L1768" s="183">
        <f ca="1">VLOOKUP(F1768,
    OFFSET(INDIRECT(ADDRESS(MATCH(J1768,'Vehicle numbers'!$A$5:$A$162,0),1,1,1,$L$6)),4,1,COUNTIF('Vehicle numbers'!$A$5:$A$162,J1768),4),
    MATCH(L$8,'Vehicle numbers'!$B$4:$D$4,0))*1000</f>
        <v>1299082.408007131</v>
      </c>
      <c r="M1768" s="184">
        <f>VLOOKUP(F1768,'Annual distance covered (GB)'!$A$8:$H$33,MATCH(J1768,'Annual distance covered (GB)'!$A$7:$H$7,0))</f>
        <v>5.0999999999999996</v>
      </c>
      <c r="N1768" s="2">
        <f t="shared" ca="1" si="68"/>
        <v>1923.7972287217799</v>
      </c>
      <c r="O1768" s="180">
        <f t="shared" ca="1" si="69"/>
        <v>1.4808892929841135E-3</v>
      </c>
      <c r="P1768" s="180"/>
      <c r="Q1768" s="180"/>
      <c r="R1768" s="180"/>
      <c r="S1768" s="180"/>
      <c r="T1768" s="180"/>
    </row>
    <row r="1769" spans="1:20" x14ac:dyDescent="0.25">
      <c r="A1769" t="s">
        <v>246</v>
      </c>
      <c r="B1769" t="s">
        <v>237</v>
      </c>
      <c r="C1769" t="s">
        <v>238</v>
      </c>
      <c r="D1769" t="s">
        <v>260</v>
      </c>
      <c r="E1769" t="s">
        <v>228</v>
      </c>
      <c r="F1769">
        <v>2009</v>
      </c>
      <c r="G1769">
        <v>2.9632676056337998E-4</v>
      </c>
      <c r="H1769" t="s">
        <v>240</v>
      </c>
      <c r="I1769" t="s">
        <v>241</v>
      </c>
      <c r="J1769" t="s">
        <v>3</v>
      </c>
      <c r="K1769" s="183">
        <f ca="1">VLOOKUP(F1769,
    OFFSET(INDIRECT(ADDRESS(MATCH(J1769,'Vehicle numbers'!$A$5:$A$162,0),1,1,1,$L$6)),4,1,COUNTIF('Vehicle numbers'!$A$5:$A$162,J1769),4),
    MATCH(K$8,'Vehicle numbers'!$B$4:$D$4,0))*1000</f>
        <v>1275641</v>
      </c>
      <c r="L1769" s="183">
        <f ca="1">VLOOKUP(F1769,
    OFFSET(INDIRECT(ADDRESS(MATCH(J1769,'Vehicle numbers'!$A$5:$A$162,0),1,1,1,$L$6)),4,1,COUNTIF('Vehicle numbers'!$A$5:$A$162,J1769),4),
    MATCH(L$8,'Vehicle numbers'!$B$4:$D$4,0))*1000</f>
        <v>1299082.408007131</v>
      </c>
      <c r="M1769" s="184">
        <f>VLOOKUP(F1769,'Annual distance covered (GB)'!$A$8:$H$33,MATCH(J1769,'Annual distance covered (GB)'!$A$7:$H$7,0))</f>
        <v>5.0999999999999996</v>
      </c>
      <c r="N1769" s="2">
        <f t="shared" ca="1" si="68"/>
        <v>1539.0377829774236</v>
      </c>
      <c r="O1769" s="180">
        <f t="shared" ca="1" si="69"/>
        <v>1.1847114343872906E-3</v>
      </c>
      <c r="P1769" s="180"/>
      <c r="Q1769" s="180"/>
      <c r="R1769" s="180"/>
      <c r="S1769" s="180"/>
      <c r="T1769" s="180"/>
    </row>
    <row r="1770" spans="1:20" x14ac:dyDescent="0.25">
      <c r="A1770" t="s">
        <v>236</v>
      </c>
      <c r="B1770" t="s">
        <v>237</v>
      </c>
      <c r="C1770" t="s">
        <v>238</v>
      </c>
      <c r="D1770" t="s">
        <v>261</v>
      </c>
      <c r="E1770" t="s">
        <v>229</v>
      </c>
      <c r="F1770">
        <v>2009</v>
      </c>
      <c r="G1770">
        <v>5.8399999999999902E-3</v>
      </c>
      <c r="H1770" t="s">
        <v>240</v>
      </c>
      <c r="I1770" t="s">
        <v>241</v>
      </c>
      <c r="J1770" t="s">
        <v>3</v>
      </c>
      <c r="K1770" s="183">
        <f ca="1">VLOOKUP(F1770,
    OFFSET(INDIRECT(ADDRESS(MATCH(J1770,'Vehicle numbers'!$A$5:$A$162,0),1,1,1,$L$6)),4,1,COUNTIF('Vehicle numbers'!$A$5:$A$162,J1770),4),
    MATCH(K$8,'Vehicle numbers'!$B$4:$D$4,0))*1000</f>
        <v>1275641</v>
      </c>
      <c r="L1770" s="183">
        <f ca="1">VLOOKUP(F1770,
    OFFSET(INDIRECT(ADDRESS(MATCH(J1770,'Vehicle numbers'!$A$5:$A$162,0),1,1,1,$L$6)),4,1,COUNTIF('Vehicle numbers'!$A$5:$A$162,J1770),4),
    MATCH(L$8,'Vehicle numbers'!$B$4:$D$4,0))*1000</f>
        <v>1299082.408007131</v>
      </c>
      <c r="M1770" s="184">
        <f>VLOOKUP(F1770,'Annual distance covered (GB)'!$A$8:$H$33,MATCH(J1770,'Annual distance covered (GB)'!$A$7:$H$7,0))</f>
        <v>5.0999999999999996</v>
      </c>
      <c r="N1770" s="2">
        <f t="shared" ca="1" si="68"/>
        <v>30331.316130544819</v>
      </c>
      <c r="O1770" s="180">
        <f t="shared" ca="1" si="69"/>
        <v>2.3348261775844419E-2</v>
      </c>
      <c r="P1770" s="180"/>
      <c r="Q1770" s="180"/>
      <c r="R1770" s="180"/>
      <c r="S1770" s="180"/>
      <c r="T1770" s="180"/>
    </row>
    <row r="1771" spans="1:20" x14ac:dyDescent="0.25">
      <c r="A1771" t="s">
        <v>243</v>
      </c>
      <c r="B1771" t="s">
        <v>237</v>
      </c>
      <c r="C1771" t="s">
        <v>238</v>
      </c>
      <c r="D1771" t="s">
        <v>261</v>
      </c>
      <c r="E1771" t="s">
        <v>229</v>
      </c>
      <c r="F1771">
        <v>2009</v>
      </c>
      <c r="G1771">
        <v>2.336E-3</v>
      </c>
      <c r="H1771" t="s">
        <v>240</v>
      </c>
      <c r="I1771" t="s">
        <v>241</v>
      </c>
      <c r="J1771" t="s">
        <v>3</v>
      </c>
      <c r="K1771" s="183">
        <f ca="1">VLOOKUP(F1771,
    OFFSET(INDIRECT(ADDRESS(MATCH(J1771,'Vehicle numbers'!$A$5:$A$162,0),1,1,1,$L$6)),4,1,COUNTIF('Vehicle numbers'!$A$5:$A$162,J1771),4),
    MATCH(K$8,'Vehicle numbers'!$B$4:$D$4,0))*1000</f>
        <v>1275641</v>
      </c>
      <c r="L1771" s="183">
        <f ca="1">VLOOKUP(F1771,
    OFFSET(INDIRECT(ADDRESS(MATCH(J1771,'Vehicle numbers'!$A$5:$A$162,0),1,1,1,$L$6)),4,1,COUNTIF('Vehicle numbers'!$A$5:$A$162,J1771),4),
    MATCH(L$8,'Vehicle numbers'!$B$4:$D$4,0))*1000</f>
        <v>1299082.408007131</v>
      </c>
      <c r="M1771" s="184">
        <f>VLOOKUP(F1771,'Annual distance covered (GB)'!$A$8:$H$33,MATCH(J1771,'Annual distance covered (GB)'!$A$7:$H$7,0))</f>
        <v>5.0999999999999996</v>
      </c>
      <c r="N1771" s="2">
        <f t="shared" ca="1" si="68"/>
        <v>12132.526452217948</v>
      </c>
      <c r="O1771" s="180">
        <f t="shared" ca="1" si="69"/>
        <v>9.339304710337783E-3</v>
      </c>
      <c r="P1771" s="180"/>
      <c r="Q1771" s="180"/>
      <c r="R1771" s="180"/>
      <c r="S1771" s="180"/>
      <c r="T1771" s="180"/>
    </row>
    <row r="1772" spans="1:20" x14ac:dyDescent="0.25">
      <c r="A1772" t="s">
        <v>244</v>
      </c>
      <c r="B1772" t="s">
        <v>237</v>
      </c>
      <c r="C1772" t="s">
        <v>238</v>
      </c>
      <c r="D1772" t="s">
        <v>261</v>
      </c>
      <c r="E1772" t="s">
        <v>229</v>
      </c>
      <c r="F1772">
        <v>2009</v>
      </c>
      <c r="G1772">
        <v>5.8399999999999999E-4</v>
      </c>
      <c r="H1772" t="s">
        <v>240</v>
      </c>
      <c r="I1772" t="s">
        <v>241</v>
      </c>
      <c r="J1772" t="s">
        <v>3</v>
      </c>
      <c r="K1772" s="183">
        <f ca="1">VLOOKUP(F1772,
    OFFSET(INDIRECT(ADDRESS(MATCH(J1772,'Vehicle numbers'!$A$5:$A$162,0),1,1,1,$L$6)),4,1,COUNTIF('Vehicle numbers'!$A$5:$A$162,J1772),4),
    MATCH(K$8,'Vehicle numbers'!$B$4:$D$4,0))*1000</f>
        <v>1275641</v>
      </c>
      <c r="L1772" s="183">
        <f ca="1">VLOOKUP(F1772,
    OFFSET(INDIRECT(ADDRESS(MATCH(J1772,'Vehicle numbers'!$A$5:$A$162,0),1,1,1,$L$6)),4,1,COUNTIF('Vehicle numbers'!$A$5:$A$162,J1772),4),
    MATCH(L$8,'Vehicle numbers'!$B$4:$D$4,0))*1000</f>
        <v>1299082.408007131</v>
      </c>
      <c r="M1772" s="184">
        <f>VLOOKUP(F1772,'Annual distance covered (GB)'!$A$8:$H$33,MATCH(J1772,'Annual distance covered (GB)'!$A$7:$H$7,0))</f>
        <v>5.0999999999999996</v>
      </c>
      <c r="N1772" s="2">
        <f t="shared" ca="1" si="68"/>
        <v>3033.1316130544869</v>
      </c>
      <c r="O1772" s="180">
        <f t="shared" ca="1" si="69"/>
        <v>2.3348261775844458E-3</v>
      </c>
      <c r="P1772" s="180"/>
      <c r="Q1772" s="180"/>
      <c r="R1772" s="180"/>
      <c r="S1772" s="180"/>
      <c r="T1772" s="180"/>
    </row>
    <row r="1773" spans="1:20" x14ac:dyDescent="0.25">
      <c r="A1773" t="s">
        <v>246</v>
      </c>
      <c r="B1773" t="s">
        <v>237</v>
      </c>
      <c r="C1773" t="s">
        <v>238</v>
      </c>
      <c r="D1773" t="s">
        <v>261</v>
      </c>
      <c r="E1773" t="s">
        <v>229</v>
      </c>
      <c r="F1773">
        <v>2009</v>
      </c>
      <c r="G1773">
        <v>4.6720000000000003E-4</v>
      </c>
      <c r="H1773" t="s">
        <v>240</v>
      </c>
      <c r="I1773" t="s">
        <v>241</v>
      </c>
      <c r="J1773" t="s">
        <v>3</v>
      </c>
      <c r="K1773" s="183">
        <f ca="1">VLOOKUP(F1773,
    OFFSET(INDIRECT(ADDRESS(MATCH(J1773,'Vehicle numbers'!$A$5:$A$162,0),1,1,1,$L$6)),4,1,COUNTIF('Vehicle numbers'!$A$5:$A$162,J1773),4),
    MATCH(K$8,'Vehicle numbers'!$B$4:$D$4,0))*1000</f>
        <v>1275641</v>
      </c>
      <c r="L1773" s="183">
        <f ca="1">VLOOKUP(F1773,
    OFFSET(INDIRECT(ADDRESS(MATCH(J1773,'Vehicle numbers'!$A$5:$A$162,0),1,1,1,$L$6)),4,1,COUNTIF('Vehicle numbers'!$A$5:$A$162,J1773),4),
    MATCH(L$8,'Vehicle numbers'!$B$4:$D$4,0))*1000</f>
        <v>1299082.408007131</v>
      </c>
      <c r="M1773" s="184">
        <f>VLOOKUP(F1773,'Annual distance covered (GB)'!$A$8:$H$33,MATCH(J1773,'Annual distance covered (GB)'!$A$7:$H$7,0))</f>
        <v>5.0999999999999996</v>
      </c>
      <c r="N1773" s="2">
        <f t="shared" ca="1" si="68"/>
        <v>2426.5052904435897</v>
      </c>
      <c r="O1773" s="180">
        <f t="shared" ca="1" si="69"/>
        <v>1.8678609420675568E-3</v>
      </c>
      <c r="P1773" s="180"/>
      <c r="Q1773" s="180"/>
      <c r="R1773" s="180"/>
      <c r="S1773" s="180"/>
      <c r="T1773" s="180"/>
    </row>
    <row r="1774" spans="1:20" x14ac:dyDescent="0.25">
      <c r="A1774" t="s">
        <v>236</v>
      </c>
      <c r="B1774" t="s">
        <v>237</v>
      </c>
      <c r="C1774" t="s">
        <v>238</v>
      </c>
      <c r="D1774" t="s">
        <v>261</v>
      </c>
      <c r="E1774" t="s">
        <v>228</v>
      </c>
      <c r="F1774">
        <v>2009</v>
      </c>
      <c r="G1774">
        <v>3.7569999999999999E-3</v>
      </c>
      <c r="H1774" t="s">
        <v>240</v>
      </c>
      <c r="I1774" t="s">
        <v>241</v>
      </c>
      <c r="J1774" t="s">
        <v>3</v>
      </c>
      <c r="K1774" s="183">
        <f ca="1">VLOOKUP(F1774,
    OFFSET(INDIRECT(ADDRESS(MATCH(J1774,'Vehicle numbers'!$A$5:$A$162,0),1,1,1,$L$6)),4,1,COUNTIF('Vehicle numbers'!$A$5:$A$162,J1774),4),
    MATCH(K$8,'Vehicle numbers'!$B$4:$D$4,0))*1000</f>
        <v>1275641</v>
      </c>
      <c r="L1774" s="183">
        <f ca="1">VLOOKUP(F1774,
    OFFSET(INDIRECT(ADDRESS(MATCH(J1774,'Vehicle numbers'!$A$5:$A$162,0),1,1,1,$L$6)),4,1,COUNTIF('Vehicle numbers'!$A$5:$A$162,J1774),4),
    MATCH(L$8,'Vehicle numbers'!$B$4:$D$4,0))*1000</f>
        <v>1299082.408007131</v>
      </c>
      <c r="M1774" s="184">
        <f>VLOOKUP(F1774,'Annual distance covered (GB)'!$A$8:$H$33,MATCH(J1774,'Annual distance covered (GB)'!$A$7:$H$7,0))</f>
        <v>5.0999999999999996</v>
      </c>
      <c r="N1774" s="2">
        <f t="shared" ca="1" si="68"/>
        <v>19512.800462749499</v>
      </c>
      <c r="O1774" s="180">
        <f t="shared" ca="1" si="69"/>
        <v>1.5020448543124594E-2</v>
      </c>
      <c r="P1774" s="180"/>
      <c r="Q1774" s="180"/>
      <c r="R1774" s="180"/>
      <c r="S1774" s="180"/>
      <c r="T1774" s="180"/>
    </row>
    <row r="1775" spans="1:20" x14ac:dyDescent="0.25">
      <c r="A1775" t="s">
        <v>243</v>
      </c>
      <c r="B1775" t="s">
        <v>237</v>
      </c>
      <c r="C1775" t="s">
        <v>238</v>
      </c>
      <c r="D1775" t="s">
        <v>261</v>
      </c>
      <c r="E1775" t="s">
        <v>228</v>
      </c>
      <c r="F1775">
        <v>2009</v>
      </c>
      <c r="G1775">
        <v>2.6299000000000001E-3</v>
      </c>
      <c r="H1775" t="s">
        <v>240</v>
      </c>
      <c r="I1775" t="s">
        <v>241</v>
      </c>
      <c r="J1775" t="s">
        <v>3</v>
      </c>
      <c r="K1775" s="183">
        <f ca="1">VLOOKUP(F1775,
    OFFSET(INDIRECT(ADDRESS(MATCH(J1775,'Vehicle numbers'!$A$5:$A$162,0),1,1,1,$L$6)),4,1,COUNTIF('Vehicle numbers'!$A$5:$A$162,J1775),4),
    MATCH(K$8,'Vehicle numbers'!$B$4:$D$4,0))*1000</f>
        <v>1275641</v>
      </c>
      <c r="L1775" s="183">
        <f ca="1">VLOOKUP(F1775,
    OFFSET(INDIRECT(ADDRESS(MATCH(J1775,'Vehicle numbers'!$A$5:$A$162,0),1,1,1,$L$6)),4,1,COUNTIF('Vehicle numbers'!$A$5:$A$162,J1775),4),
    MATCH(L$8,'Vehicle numbers'!$B$4:$D$4,0))*1000</f>
        <v>1299082.408007131</v>
      </c>
      <c r="M1775" s="184">
        <f>VLOOKUP(F1775,'Annual distance covered (GB)'!$A$8:$H$33,MATCH(J1775,'Annual distance covered (GB)'!$A$7:$H$7,0))</f>
        <v>5.0999999999999996</v>
      </c>
      <c r="N1775" s="2">
        <f t="shared" ca="1" si="68"/>
        <v>13658.96032392465</v>
      </c>
      <c r="O1775" s="180">
        <f t="shared" ca="1" si="69"/>
        <v>1.0514313980187215E-2</v>
      </c>
      <c r="P1775" s="180"/>
      <c r="Q1775" s="180"/>
      <c r="R1775" s="180"/>
      <c r="S1775" s="180"/>
      <c r="T1775" s="180"/>
    </row>
    <row r="1776" spans="1:20" x14ac:dyDescent="0.25">
      <c r="A1776" t="s">
        <v>244</v>
      </c>
      <c r="B1776" t="s">
        <v>237</v>
      </c>
      <c r="C1776" t="s">
        <v>238</v>
      </c>
      <c r="D1776" t="s">
        <v>261</v>
      </c>
      <c r="E1776" t="s">
        <v>228</v>
      </c>
      <c r="F1776">
        <v>2009</v>
      </c>
      <c r="G1776">
        <v>3.7040845070422499E-4</v>
      </c>
      <c r="H1776" t="s">
        <v>240</v>
      </c>
      <c r="I1776" t="s">
        <v>241</v>
      </c>
      <c r="J1776" t="s">
        <v>3</v>
      </c>
      <c r="K1776" s="183">
        <f ca="1">VLOOKUP(F1776,
    OFFSET(INDIRECT(ADDRESS(MATCH(J1776,'Vehicle numbers'!$A$5:$A$162,0),1,1,1,$L$6)),4,1,COUNTIF('Vehicle numbers'!$A$5:$A$162,J1776),4),
    MATCH(K$8,'Vehicle numbers'!$B$4:$D$4,0))*1000</f>
        <v>1275641</v>
      </c>
      <c r="L1776" s="183">
        <f ca="1">VLOOKUP(F1776,
    OFFSET(INDIRECT(ADDRESS(MATCH(J1776,'Vehicle numbers'!$A$5:$A$162,0),1,1,1,$L$6)),4,1,COUNTIF('Vehicle numbers'!$A$5:$A$162,J1776),4),
    MATCH(L$8,'Vehicle numbers'!$B$4:$D$4,0))*1000</f>
        <v>1299082.408007131</v>
      </c>
      <c r="M1776" s="184">
        <f>VLOOKUP(F1776,'Annual distance covered (GB)'!$A$8:$H$33,MATCH(J1776,'Annual distance covered (GB)'!$A$7:$H$7,0))</f>
        <v>5.0999999999999996</v>
      </c>
      <c r="N1776" s="2">
        <f t="shared" ca="1" si="68"/>
        <v>1923.7972287217799</v>
      </c>
      <c r="O1776" s="180">
        <f t="shared" ca="1" si="69"/>
        <v>1.4808892929841135E-3</v>
      </c>
      <c r="P1776" s="180"/>
      <c r="Q1776" s="180"/>
      <c r="R1776" s="180"/>
      <c r="S1776" s="180"/>
      <c r="T1776" s="180"/>
    </row>
    <row r="1777" spans="1:20" x14ac:dyDescent="0.25">
      <c r="A1777" t="s">
        <v>246</v>
      </c>
      <c r="B1777" t="s">
        <v>237</v>
      </c>
      <c r="C1777" t="s">
        <v>238</v>
      </c>
      <c r="D1777" t="s">
        <v>261</v>
      </c>
      <c r="E1777" t="s">
        <v>228</v>
      </c>
      <c r="F1777">
        <v>2009</v>
      </c>
      <c r="G1777">
        <v>2.9632676056337998E-4</v>
      </c>
      <c r="H1777" t="s">
        <v>240</v>
      </c>
      <c r="I1777" t="s">
        <v>241</v>
      </c>
      <c r="J1777" t="s">
        <v>3</v>
      </c>
      <c r="K1777" s="183">
        <f ca="1">VLOOKUP(F1777,
    OFFSET(INDIRECT(ADDRESS(MATCH(J1777,'Vehicle numbers'!$A$5:$A$162,0),1,1,1,$L$6)),4,1,COUNTIF('Vehicle numbers'!$A$5:$A$162,J1777),4),
    MATCH(K$8,'Vehicle numbers'!$B$4:$D$4,0))*1000</f>
        <v>1275641</v>
      </c>
      <c r="L1777" s="183">
        <f ca="1">VLOOKUP(F1777,
    OFFSET(INDIRECT(ADDRESS(MATCH(J1777,'Vehicle numbers'!$A$5:$A$162,0),1,1,1,$L$6)),4,1,COUNTIF('Vehicle numbers'!$A$5:$A$162,J1777),4),
    MATCH(L$8,'Vehicle numbers'!$B$4:$D$4,0))*1000</f>
        <v>1299082.408007131</v>
      </c>
      <c r="M1777" s="184">
        <f>VLOOKUP(F1777,'Annual distance covered (GB)'!$A$8:$H$33,MATCH(J1777,'Annual distance covered (GB)'!$A$7:$H$7,0))</f>
        <v>5.0999999999999996</v>
      </c>
      <c r="N1777" s="2">
        <f t="shared" ca="1" si="68"/>
        <v>1539.0377829774236</v>
      </c>
      <c r="O1777" s="180">
        <f t="shared" ca="1" si="69"/>
        <v>1.1847114343872906E-3</v>
      </c>
      <c r="P1777" s="180"/>
      <c r="Q1777" s="180"/>
      <c r="R1777" s="180"/>
      <c r="S1777" s="180"/>
      <c r="T1777" s="180"/>
    </row>
    <row r="1778" spans="1:20" x14ac:dyDescent="0.25">
      <c r="A1778" t="s">
        <v>236</v>
      </c>
      <c r="B1778" t="s">
        <v>237</v>
      </c>
      <c r="C1778" t="s">
        <v>238</v>
      </c>
      <c r="D1778" t="s">
        <v>262</v>
      </c>
      <c r="E1778" t="s">
        <v>229</v>
      </c>
      <c r="F1778">
        <v>2009</v>
      </c>
      <c r="G1778">
        <v>6.8000000000000005E-4</v>
      </c>
      <c r="H1778" t="s">
        <v>240</v>
      </c>
      <c r="I1778" t="s">
        <v>241</v>
      </c>
      <c r="J1778" t="s">
        <v>3</v>
      </c>
      <c r="K1778" s="183">
        <f ca="1">VLOOKUP(F1778,
    OFFSET(INDIRECT(ADDRESS(MATCH(J1778,'Vehicle numbers'!$A$5:$A$162,0),1,1,1,$L$6)),4,1,COUNTIF('Vehicle numbers'!$A$5:$A$162,J1778),4),
    MATCH(K$8,'Vehicle numbers'!$B$4:$D$4,0))*1000</f>
        <v>1275641</v>
      </c>
      <c r="L1778" s="183">
        <f ca="1">VLOOKUP(F1778,
    OFFSET(INDIRECT(ADDRESS(MATCH(J1778,'Vehicle numbers'!$A$5:$A$162,0),1,1,1,$L$6)),4,1,COUNTIF('Vehicle numbers'!$A$5:$A$162,J1778),4),
    MATCH(L$8,'Vehicle numbers'!$B$4:$D$4,0))*1000</f>
        <v>1299082.408007131</v>
      </c>
      <c r="M1778" s="184">
        <f>VLOOKUP(F1778,'Annual distance covered (GB)'!$A$8:$H$33,MATCH(J1778,'Annual distance covered (GB)'!$A$7:$H$7,0))</f>
        <v>5.0999999999999996</v>
      </c>
      <c r="N1778" s="2">
        <f t="shared" ca="1" si="68"/>
        <v>3531.7285905428957</v>
      </c>
      <c r="O1778" s="180">
        <f t="shared" ca="1" si="69"/>
        <v>2.7186332204750395E-3</v>
      </c>
      <c r="P1778" s="180"/>
      <c r="Q1778" s="180"/>
      <c r="R1778" s="180"/>
      <c r="S1778" s="180"/>
      <c r="T1778" s="180"/>
    </row>
    <row r="1779" spans="1:20" x14ac:dyDescent="0.25">
      <c r="A1779" t="s">
        <v>243</v>
      </c>
      <c r="B1779" t="s">
        <v>237</v>
      </c>
      <c r="C1779" t="s">
        <v>238</v>
      </c>
      <c r="D1779" t="s">
        <v>262</v>
      </c>
      <c r="E1779" t="s">
        <v>229</v>
      </c>
      <c r="F1779">
        <v>2009</v>
      </c>
      <c r="G1779">
        <v>2.72E-4</v>
      </c>
      <c r="H1779" t="s">
        <v>240</v>
      </c>
      <c r="I1779" t="s">
        <v>241</v>
      </c>
      <c r="J1779" t="s">
        <v>3</v>
      </c>
      <c r="K1779" s="183">
        <f ca="1">VLOOKUP(F1779,
    OFFSET(INDIRECT(ADDRESS(MATCH(J1779,'Vehicle numbers'!$A$5:$A$162,0),1,1,1,$L$6)),4,1,COUNTIF('Vehicle numbers'!$A$5:$A$162,J1779),4),
    MATCH(K$8,'Vehicle numbers'!$B$4:$D$4,0))*1000</f>
        <v>1275641</v>
      </c>
      <c r="L1779" s="183">
        <f ca="1">VLOOKUP(F1779,
    OFFSET(INDIRECT(ADDRESS(MATCH(J1779,'Vehicle numbers'!$A$5:$A$162,0),1,1,1,$L$6)),4,1,COUNTIF('Vehicle numbers'!$A$5:$A$162,J1779),4),
    MATCH(L$8,'Vehicle numbers'!$B$4:$D$4,0))*1000</f>
        <v>1299082.408007131</v>
      </c>
      <c r="M1779" s="184">
        <f>VLOOKUP(F1779,'Annual distance covered (GB)'!$A$8:$H$33,MATCH(J1779,'Annual distance covered (GB)'!$A$7:$H$7,0))</f>
        <v>5.0999999999999996</v>
      </c>
      <c r="N1779" s="2">
        <f t="shared" ca="1" si="68"/>
        <v>1412.6914362171583</v>
      </c>
      <c r="O1779" s="180">
        <f t="shared" ca="1" si="69"/>
        <v>1.0874532881900158E-3</v>
      </c>
      <c r="P1779" s="180"/>
      <c r="Q1779" s="180"/>
      <c r="R1779" s="180"/>
      <c r="S1779" s="180"/>
      <c r="T1779" s="180"/>
    </row>
    <row r="1780" spans="1:20" x14ac:dyDescent="0.25">
      <c r="A1780" t="s">
        <v>244</v>
      </c>
      <c r="B1780" t="s">
        <v>237</v>
      </c>
      <c r="C1780" t="s">
        <v>238</v>
      </c>
      <c r="D1780" t="s">
        <v>262</v>
      </c>
      <c r="E1780" t="s">
        <v>229</v>
      </c>
      <c r="F1780">
        <v>2009</v>
      </c>
      <c r="G1780" s="189">
        <v>6.7999999999999999E-5</v>
      </c>
      <c r="H1780" t="s">
        <v>240</v>
      </c>
      <c r="I1780" t="s">
        <v>241</v>
      </c>
      <c r="J1780" t="s">
        <v>3</v>
      </c>
      <c r="K1780" s="183">
        <f ca="1">VLOOKUP(F1780,
    OFFSET(INDIRECT(ADDRESS(MATCH(J1780,'Vehicle numbers'!$A$5:$A$162,0),1,1,1,$L$6)),4,1,COUNTIF('Vehicle numbers'!$A$5:$A$162,J1780),4),
    MATCH(K$8,'Vehicle numbers'!$B$4:$D$4,0))*1000</f>
        <v>1275641</v>
      </c>
      <c r="L1780" s="183">
        <f ca="1">VLOOKUP(F1780,
    OFFSET(INDIRECT(ADDRESS(MATCH(J1780,'Vehicle numbers'!$A$5:$A$162,0),1,1,1,$L$6)),4,1,COUNTIF('Vehicle numbers'!$A$5:$A$162,J1780),4),
    MATCH(L$8,'Vehicle numbers'!$B$4:$D$4,0))*1000</f>
        <v>1299082.408007131</v>
      </c>
      <c r="M1780" s="184">
        <f>VLOOKUP(F1780,'Annual distance covered (GB)'!$A$8:$H$33,MATCH(J1780,'Annual distance covered (GB)'!$A$7:$H$7,0))</f>
        <v>5.0999999999999996</v>
      </c>
      <c r="N1780" s="2">
        <f t="shared" ca="1" si="68"/>
        <v>353.17285905428957</v>
      </c>
      <c r="O1780" s="180">
        <f t="shared" ca="1" si="69"/>
        <v>2.7186332204750396E-4</v>
      </c>
      <c r="P1780" s="180"/>
      <c r="Q1780" s="180"/>
      <c r="R1780" s="180"/>
      <c r="S1780" s="180"/>
      <c r="T1780" s="180"/>
    </row>
    <row r="1781" spans="1:20" x14ac:dyDescent="0.25">
      <c r="A1781" t="s">
        <v>246</v>
      </c>
      <c r="B1781" t="s">
        <v>237</v>
      </c>
      <c r="C1781" t="s">
        <v>238</v>
      </c>
      <c r="D1781" t="s">
        <v>262</v>
      </c>
      <c r="E1781" t="s">
        <v>229</v>
      </c>
      <c r="F1781">
        <v>2009</v>
      </c>
      <c r="G1781" s="189">
        <v>5.4400000000000001E-5</v>
      </c>
      <c r="H1781" t="s">
        <v>240</v>
      </c>
      <c r="I1781" t="s">
        <v>241</v>
      </c>
      <c r="J1781" t="s">
        <v>3</v>
      </c>
      <c r="K1781" s="183">
        <f ca="1">VLOOKUP(F1781,
    OFFSET(INDIRECT(ADDRESS(MATCH(J1781,'Vehicle numbers'!$A$5:$A$162,0),1,1,1,$L$6)),4,1,COUNTIF('Vehicle numbers'!$A$5:$A$162,J1781),4),
    MATCH(K$8,'Vehicle numbers'!$B$4:$D$4,0))*1000</f>
        <v>1275641</v>
      </c>
      <c r="L1781" s="183">
        <f ca="1">VLOOKUP(F1781,
    OFFSET(INDIRECT(ADDRESS(MATCH(J1781,'Vehicle numbers'!$A$5:$A$162,0),1,1,1,$L$6)),4,1,COUNTIF('Vehicle numbers'!$A$5:$A$162,J1781),4),
    MATCH(L$8,'Vehicle numbers'!$B$4:$D$4,0))*1000</f>
        <v>1299082.408007131</v>
      </c>
      <c r="M1781" s="184">
        <f>VLOOKUP(F1781,'Annual distance covered (GB)'!$A$8:$H$33,MATCH(J1781,'Annual distance covered (GB)'!$A$7:$H$7,0))</f>
        <v>5.0999999999999996</v>
      </c>
      <c r="N1781" s="2">
        <f t="shared" ca="1" si="68"/>
        <v>282.53828724343168</v>
      </c>
      <c r="O1781" s="180">
        <f t="shared" ca="1" si="69"/>
        <v>2.1749065763800317E-4</v>
      </c>
      <c r="P1781" s="180"/>
      <c r="Q1781" s="180"/>
      <c r="R1781" s="180"/>
      <c r="S1781" s="180"/>
      <c r="T1781" s="180"/>
    </row>
    <row r="1782" spans="1:20" x14ac:dyDescent="0.25">
      <c r="A1782" t="s">
        <v>236</v>
      </c>
      <c r="B1782" t="s">
        <v>237</v>
      </c>
      <c r="C1782" t="s">
        <v>238</v>
      </c>
      <c r="D1782" t="s">
        <v>262</v>
      </c>
      <c r="E1782" t="s">
        <v>228</v>
      </c>
      <c r="F1782">
        <v>2009</v>
      </c>
      <c r="G1782">
        <v>2.49E-3</v>
      </c>
      <c r="H1782" t="s">
        <v>240</v>
      </c>
      <c r="I1782" t="s">
        <v>241</v>
      </c>
      <c r="J1782" t="s">
        <v>3</v>
      </c>
      <c r="K1782" s="183">
        <f ca="1">VLOOKUP(F1782,
    OFFSET(INDIRECT(ADDRESS(MATCH(J1782,'Vehicle numbers'!$A$5:$A$162,0),1,1,1,$L$6)),4,1,COUNTIF('Vehicle numbers'!$A$5:$A$162,J1782),4),
    MATCH(K$8,'Vehicle numbers'!$B$4:$D$4,0))*1000</f>
        <v>1275641</v>
      </c>
      <c r="L1782" s="183">
        <f ca="1">VLOOKUP(F1782,
    OFFSET(INDIRECT(ADDRESS(MATCH(J1782,'Vehicle numbers'!$A$5:$A$162,0),1,1,1,$L$6)),4,1,COUNTIF('Vehicle numbers'!$A$5:$A$162,J1782),4),
    MATCH(L$8,'Vehicle numbers'!$B$4:$D$4,0))*1000</f>
        <v>1299082.408007131</v>
      </c>
      <c r="M1782" s="184">
        <f>VLOOKUP(F1782,'Annual distance covered (GB)'!$A$8:$H$33,MATCH(J1782,'Annual distance covered (GB)'!$A$7:$H$7,0))</f>
        <v>5.0999999999999996</v>
      </c>
      <c r="N1782" s="2">
        <f t="shared" ca="1" si="68"/>
        <v>12932.359103605602</v>
      </c>
      <c r="O1782" s="180">
        <f t="shared" ca="1" si="69"/>
        <v>9.9549951749747755E-3</v>
      </c>
      <c r="P1782" s="180"/>
      <c r="Q1782" s="180"/>
      <c r="R1782" s="180"/>
      <c r="S1782" s="180"/>
      <c r="T1782" s="180"/>
    </row>
    <row r="1783" spans="1:20" x14ac:dyDescent="0.25">
      <c r="A1783" t="s">
        <v>243</v>
      </c>
      <c r="B1783" t="s">
        <v>237</v>
      </c>
      <c r="C1783" t="s">
        <v>238</v>
      </c>
      <c r="D1783" t="s">
        <v>262</v>
      </c>
      <c r="E1783" t="s">
        <v>228</v>
      </c>
      <c r="F1783">
        <v>2009</v>
      </c>
      <c r="G1783">
        <v>1.743E-3</v>
      </c>
      <c r="H1783" t="s">
        <v>240</v>
      </c>
      <c r="I1783" t="s">
        <v>241</v>
      </c>
      <c r="J1783" t="s">
        <v>3</v>
      </c>
      <c r="K1783" s="183">
        <f ca="1">VLOOKUP(F1783,
    OFFSET(INDIRECT(ADDRESS(MATCH(J1783,'Vehicle numbers'!$A$5:$A$162,0),1,1,1,$L$6)),4,1,COUNTIF('Vehicle numbers'!$A$5:$A$162,J1783),4),
    MATCH(K$8,'Vehicle numbers'!$B$4:$D$4,0))*1000</f>
        <v>1275641</v>
      </c>
      <c r="L1783" s="183">
        <f ca="1">VLOOKUP(F1783,
    OFFSET(INDIRECT(ADDRESS(MATCH(J1783,'Vehicle numbers'!$A$5:$A$162,0),1,1,1,$L$6)),4,1,COUNTIF('Vehicle numbers'!$A$5:$A$162,J1783),4),
    MATCH(L$8,'Vehicle numbers'!$B$4:$D$4,0))*1000</f>
        <v>1299082.408007131</v>
      </c>
      <c r="M1783" s="184">
        <f>VLOOKUP(F1783,'Annual distance covered (GB)'!$A$8:$H$33,MATCH(J1783,'Annual distance covered (GB)'!$A$7:$H$7,0))</f>
        <v>5.0999999999999996</v>
      </c>
      <c r="N1783" s="2">
        <f t="shared" ca="1" si="68"/>
        <v>9052.651372523922</v>
      </c>
      <c r="O1783" s="180">
        <f t="shared" ca="1" si="69"/>
        <v>6.9684966224823437E-3</v>
      </c>
      <c r="P1783" s="180"/>
      <c r="Q1783" s="180"/>
      <c r="R1783" s="180"/>
      <c r="S1783" s="180"/>
      <c r="T1783" s="180"/>
    </row>
    <row r="1784" spans="1:20" x14ac:dyDescent="0.25">
      <c r="A1784" t="s">
        <v>244</v>
      </c>
      <c r="B1784" t="s">
        <v>237</v>
      </c>
      <c r="C1784" t="s">
        <v>238</v>
      </c>
      <c r="D1784" t="s">
        <v>262</v>
      </c>
      <c r="E1784" t="s">
        <v>228</v>
      </c>
      <c r="F1784">
        <v>2009</v>
      </c>
      <c r="G1784">
        <v>2.4549295774647798E-4</v>
      </c>
      <c r="H1784" t="s">
        <v>240</v>
      </c>
      <c r="I1784" t="s">
        <v>241</v>
      </c>
      <c r="J1784" t="s">
        <v>3</v>
      </c>
      <c r="K1784" s="183">
        <f ca="1">VLOOKUP(F1784,
    OFFSET(INDIRECT(ADDRESS(MATCH(J1784,'Vehicle numbers'!$A$5:$A$162,0),1,1,1,$L$6)),4,1,COUNTIF('Vehicle numbers'!$A$5:$A$162,J1784),4),
    MATCH(K$8,'Vehicle numbers'!$B$4:$D$4,0))*1000</f>
        <v>1275641</v>
      </c>
      <c r="L1784" s="183">
        <f ca="1">VLOOKUP(F1784,
    OFFSET(INDIRECT(ADDRESS(MATCH(J1784,'Vehicle numbers'!$A$5:$A$162,0),1,1,1,$L$6)),4,1,COUNTIF('Vehicle numbers'!$A$5:$A$162,J1784),4),
    MATCH(L$8,'Vehicle numbers'!$B$4:$D$4,0))*1000</f>
        <v>1299082.408007131</v>
      </c>
      <c r="M1784" s="184">
        <f>VLOOKUP(F1784,'Annual distance covered (GB)'!$A$8:$H$33,MATCH(J1784,'Annual distance covered (GB)'!$A$7:$H$7,0))</f>
        <v>5.0999999999999996</v>
      </c>
      <c r="N1784" s="2">
        <f t="shared" ca="1" si="68"/>
        <v>1275.0213200737871</v>
      </c>
      <c r="O1784" s="180">
        <f t="shared" ca="1" si="69"/>
        <v>9.8147839753272076E-4</v>
      </c>
      <c r="P1784" s="180"/>
      <c r="Q1784" s="180"/>
      <c r="R1784" s="180"/>
      <c r="S1784" s="180"/>
      <c r="T1784" s="180"/>
    </row>
    <row r="1785" spans="1:20" x14ac:dyDescent="0.25">
      <c r="A1785" t="s">
        <v>246</v>
      </c>
      <c r="B1785" t="s">
        <v>237</v>
      </c>
      <c r="C1785" t="s">
        <v>238</v>
      </c>
      <c r="D1785" t="s">
        <v>262</v>
      </c>
      <c r="E1785" t="s">
        <v>228</v>
      </c>
      <c r="F1785">
        <v>2009</v>
      </c>
      <c r="G1785">
        <v>1.96394366197183E-4</v>
      </c>
      <c r="H1785" t="s">
        <v>240</v>
      </c>
      <c r="I1785" t="s">
        <v>241</v>
      </c>
      <c r="J1785" t="s">
        <v>3</v>
      </c>
      <c r="K1785" s="183">
        <f ca="1">VLOOKUP(F1785,
    OFFSET(INDIRECT(ADDRESS(MATCH(J1785,'Vehicle numbers'!$A$5:$A$162,0),1,1,1,$L$6)),4,1,COUNTIF('Vehicle numbers'!$A$5:$A$162,J1785),4),
    MATCH(K$8,'Vehicle numbers'!$B$4:$D$4,0))*1000</f>
        <v>1275641</v>
      </c>
      <c r="L1785" s="183">
        <f ca="1">VLOOKUP(F1785,
    OFFSET(INDIRECT(ADDRESS(MATCH(J1785,'Vehicle numbers'!$A$5:$A$162,0),1,1,1,$L$6)),4,1,COUNTIF('Vehicle numbers'!$A$5:$A$162,J1785),4),
    MATCH(L$8,'Vehicle numbers'!$B$4:$D$4,0))*1000</f>
        <v>1299082.408007131</v>
      </c>
      <c r="M1785" s="184">
        <f>VLOOKUP(F1785,'Annual distance covered (GB)'!$A$8:$H$33,MATCH(J1785,'Annual distance covered (GB)'!$A$7:$H$7,0))</f>
        <v>5.0999999999999996</v>
      </c>
      <c r="N1785" s="2">
        <f t="shared" ca="1" si="68"/>
        <v>1020.0170560590331</v>
      </c>
      <c r="O1785" s="180">
        <f t="shared" ca="1" si="69"/>
        <v>7.8518271802617925E-4</v>
      </c>
      <c r="P1785" s="180"/>
      <c r="Q1785" s="180"/>
      <c r="R1785" s="180"/>
      <c r="S1785" s="180"/>
      <c r="T1785" s="180"/>
    </row>
    <row r="1786" spans="1:20" x14ac:dyDescent="0.25">
      <c r="A1786" t="s">
        <v>236</v>
      </c>
      <c r="B1786" t="s">
        <v>237</v>
      </c>
      <c r="C1786" t="s">
        <v>238</v>
      </c>
      <c r="D1786" t="s">
        <v>263</v>
      </c>
      <c r="E1786" t="s">
        <v>229</v>
      </c>
      <c r="F1786">
        <v>2009</v>
      </c>
      <c r="G1786">
        <v>2.764E-3</v>
      </c>
      <c r="H1786" t="s">
        <v>240</v>
      </c>
      <c r="I1786" t="s">
        <v>241</v>
      </c>
      <c r="J1786" t="s">
        <v>3</v>
      </c>
      <c r="K1786" s="183">
        <f ca="1">VLOOKUP(F1786,
    OFFSET(INDIRECT(ADDRESS(MATCH(J1786,'Vehicle numbers'!$A$5:$A$162,0),1,1,1,$L$6)),4,1,COUNTIF('Vehicle numbers'!$A$5:$A$162,J1786),4),
    MATCH(K$8,'Vehicle numbers'!$B$4:$D$4,0))*1000</f>
        <v>1275641</v>
      </c>
      <c r="L1786" s="183">
        <f ca="1">VLOOKUP(F1786,
    OFFSET(INDIRECT(ADDRESS(MATCH(J1786,'Vehicle numbers'!$A$5:$A$162,0),1,1,1,$L$6)),4,1,COUNTIF('Vehicle numbers'!$A$5:$A$162,J1786),4),
    MATCH(L$8,'Vehicle numbers'!$B$4:$D$4,0))*1000</f>
        <v>1299082.408007131</v>
      </c>
      <c r="M1786" s="184">
        <f>VLOOKUP(F1786,'Annual distance covered (GB)'!$A$8:$H$33,MATCH(J1786,'Annual distance covered (GB)'!$A$7:$H$7,0))</f>
        <v>5.0999999999999996</v>
      </c>
      <c r="N1786" s="2">
        <f t="shared" ca="1" si="68"/>
        <v>14355.437976853769</v>
      </c>
      <c r="O1786" s="180">
        <f t="shared" ca="1" si="69"/>
        <v>1.1050444443225014E-2</v>
      </c>
      <c r="P1786" s="180"/>
      <c r="Q1786" s="180"/>
      <c r="R1786" s="180"/>
      <c r="S1786" s="180"/>
      <c r="T1786" s="180"/>
    </row>
    <row r="1787" spans="1:20" x14ac:dyDescent="0.25">
      <c r="A1787" t="s">
        <v>243</v>
      </c>
      <c r="B1787" t="s">
        <v>237</v>
      </c>
      <c r="C1787" t="s">
        <v>238</v>
      </c>
      <c r="D1787" t="s">
        <v>263</v>
      </c>
      <c r="E1787" t="s">
        <v>229</v>
      </c>
      <c r="F1787">
        <v>2009</v>
      </c>
      <c r="G1787">
        <v>1.1056E-3</v>
      </c>
      <c r="H1787" t="s">
        <v>240</v>
      </c>
      <c r="I1787" t="s">
        <v>241</v>
      </c>
      <c r="J1787" t="s">
        <v>3</v>
      </c>
      <c r="K1787" s="183">
        <f ca="1">VLOOKUP(F1787,
    OFFSET(INDIRECT(ADDRESS(MATCH(J1787,'Vehicle numbers'!$A$5:$A$162,0),1,1,1,$L$6)),4,1,COUNTIF('Vehicle numbers'!$A$5:$A$162,J1787),4),
    MATCH(K$8,'Vehicle numbers'!$B$4:$D$4,0))*1000</f>
        <v>1275641</v>
      </c>
      <c r="L1787" s="183">
        <f ca="1">VLOOKUP(F1787,
    OFFSET(INDIRECT(ADDRESS(MATCH(J1787,'Vehicle numbers'!$A$5:$A$162,0),1,1,1,$L$6)),4,1,COUNTIF('Vehicle numbers'!$A$5:$A$162,J1787),4),
    MATCH(L$8,'Vehicle numbers'!$B$4:$D$4,0))*1000</f>
        <v>1299082.408007131</v>
      </c>
      <c r="M1787" s="184">
        <f>VLOOKUP(F1787,'Annual distance covered (GB)'!$A$8:$H$33,MATCH(J1787,'Annual distance covered (GB)'!$A$7:$H$7,0))</f>
        <v>5.0999999999999996</v>
      </c>
      <c r="N1787" s="2">
        <f t="shared" ca="1" si="68"/>
        <v>5742.1751907415082</v>
      </c>
      <c r="O1787" s="180">
        <f t="shared" ca="1" si="69"/>
        <v>4.4201777772900058E-3</v>
      </c>
      <c r="P1787" s="180"/>
      <c r="Q1787" s="180"/>
      <c r="R1787" s="180"/>
      <c r="S1787" s="180"/>
      <c r="T1787" s="180"/>
    </row>
    <row r="1788" spans="1:20" x14ac:dyDescent="0.25">
      <c r="A1788" t="s">
        <v>244</v>
      </c>
      <c r="B1788" t="s">
        <v>237</v>
      </c>
      <c r="C1788" t="s">
        <v>238</v>
      </c>
      <c r="D1788" t="s">
        <v>263</v>
      </c>
      <c r="E1788" t="s">
        <v>229</v>
      </c>
      <c r="F1788">
        <v>2009</v>
      </c>
      <c r="G1788">
        <v>2.764E-4</v>
      </c>
      <c r="H1788" t="s">
        <v>240</v>
      </c>
      <c r="I1788" t="s">
        <v>241</v>
      </c>
      <c r="J1788" t="s">
        <v>3</v>
      </c>
      <c r="K1788" s="183">
        <f ca="1">VLOOKUP(F1788,
    OFFSET(INDIRECT(ADDRESS(MATCH(J1788,'Vehicle numbers'!$A$5:$A$162,0),1,1,1,$L$6)),4,1,COUNTIF('Vehicle numbers'!$A$5:$A$162,J1788),4),
    MATCH(K$8,'Vehicle numbers'!$B$4:$D$4,0))*1000</f>
        <v>1275641</v>
      </c>
      <c r="L1788" s="183">
        <f ca="1">VLOOKUP(F1788,
    OFFSET(INDIRECT(ADDRESS(MATCH(J1788,'Vehicle numbers'!$A$5:$A$162,0),1,1,1,$L$6)),4,1,COUNTIF('Vehicle numbers'!$A$5:$A$162,J1788),4),
    MATCH(L$8,'Vehicle numbers'!$B$4:$D$4,0))*1000</f>
        <v>1299082.408007131</v>
      </c>
      <c r="M1788" s="184">
        <f>VLOOKUP(F1788,'Annual distance covered (GB)'!$A$8:$H$33,MATCH(J1788,'Annual distance covered (GB)'!$A$7:$H$7,0))</f>
        <v>5.0999999999999996</v>
      </c>
      <c r="N1788" s="2">
        <f t="shared" ca="1" si="68"/>
        <v>1435.5437976853771</v>
      </c>
      <c r="O1788" s="180">
        <f t="shared" ca="1" si="69"/>
        <v>1.1050444443225014E-3</v>
      </c>
      <c r="P1788" s="180"/>
      <c r="Q1788" s="180"/>
      <c r="R1788" s="180"/>
      <c r="S1788" s="180"/>
      <c r="T1788" s="180"/>
    </row>
    <row r="1789" spans="1:20" x14ac:dyDescent="0.25">
      <c r="A1789" t="s">
        <v>246</v>
      </c>
      <c r="B1789" t="s">
        <v>237</v>
      </c>
      <c r="C1789" t="s">
        <v>238</v>
      </c>
      <c r="D1789" t="s">
        <v>263</v>
      </c>
      <c r="E1789" t="s">
        <v>229</v>
      </c>
      <c r="F1789">
        <v>2009</v>
      </c>
      <c r="G1789">
        <v>2.2112E-4</v>
      </c>
      <c r="H1789" t="s">
        <v>240</v>
      </c>
      <c r="I1789" t="s">
        <v>241</v>
      </c>
      <c r="J1789" t="s">
        <v>3</v>
      </c>
      <c r="K1789" s="183">
        <f ca="1">VLOOKUP(F1789,
    OFFSET(INDIRECT(ADDRESS(MATCH(J1789,'Vehicle numbers'!$A$5:$A$162,0),1,1,1,$L$6)),4,1,COUNTIF('Vehicle numbers'!$A$5:$A$162,J1789),4),
    MATCH(K$8,'Vehicle numbers'!$B$4:$D$4,0))*1000</f>
        <v>1275641</v>
      </c>
      <c r="L1789" s="183">
        <f ca="1">VLOOKUP(F1789,
    OFFSET(INDIRECT(ADDRESS(MATCH(J1789,'Vehicle numbers'!$A$5:$A$162,0),1,1,1,$L$6)),4,1,COUNTIF('Vehicle numbers'!$A$5:$A$162,J1789),4),
    MATCH(L$8,'Vehicle numbers'!$B$4:$D$4,0))*1000</f>
        <v>1299082.408007131</v>
      </c>
      <c r="M1789" s="184">
        <f>VLOOKUP(F1789,'Annual distance covered (GB)'!$A$8:$H$33,MATCH(J1789,'Annual distance covered (GB)'!$A$7:$H$7,0))</f>
        <v>5.0999999999999996</v>
      </c>
      <c r="N1789" s="2">
        <f t="shared" ca="1" si="68"/>
        <v>1148.4350381483016</v>
      </c>
      <c r="O1789" s="180">
        <f t="shared" ca="1" si="69"/>
        <v>8.8403555545800113E-4</v>
      </c>
      <c r="P1789" s="180"/>
      <c r="Q1789" s="180"/>
      <c r="R1789" s="180"/>
      <c r="S1789" s="180"/>
      <c r="T1789" s="180"/>
    </row>
    <row r="1790" spans="1:20" x14ac:dyDescent="0.25">
      <c r="A1790" t="s">
        <v>236</v>
      </c>
      <c r="B1790" t="s">
        <v>237</v>
      </c>
      <c r="C1790" t="s">
        <v>238</v>
      </c>
      <c r="D1790" t="s">
        <v>263</v>
      </c>
      <c r="E1790" t="s">
        <v>228</v>
      </c>
      <c r="F1790">
        <v>2009</v>
      </c>
      <c r="G1790">
        <v>2.92399999999999E-3</v>
      </c>
      <c r="H1790" t="s">
        <v>240</v>
      </c>
      <c r="I1790" t="s">
        <v>241</v>
      </c>
      <c r="J1790" t="s">
        <v>3</v>
      </c>
      <c r="K1790" s="183">
        <f ca="1">VLOOKUP(F1790,
    OFFSET(INDIRECT(ADDRESS(MATCH(J1790,'Vehicle numbers'!$A$5:$A$162,0),1,1,1,$L$6)),4,1,COUNTIF('Vehicle numbers'!$A$5:$A$162,J1790),4),
    MATCH(K$8,'Vehicle numbers'!$B$4:$D$4,0))*1000</f>
        <v>1275641</v>
      </c>
      <c r="L1790" s="183">
        <f ca="1">VLOOKUP(F1790,
    OFFSET(INDIRECT(ADDRESS(MATCH(J1790,'Vehicle numbers'!$A$5:$A$162,0),1,1,1,$L$6)),4,1,COUNTIF('Vehicle numbers'!$A$5:$A$162,J1790),4),
    MATCH(L$8,'Vehicle numbers'!$B$4:$D$4,0))*1000</f>
        <v>1299082.408007131</v>
      </c>
      <c r="M1790" s="184">
        <f>VLOOKUP(F1790,'Annual distance covered (GB)'!$A$8:$H$33,MATCH(J1790,'Annual distance covered (GB)'!$A$7:$H$7,0))</f>
        <v>5.0999999999999996</v>
      </c>
      <c r="N1790" s="2">
        <f t="shared" ca="1" si="68"/>
        <v>15186.432939334398</v>
      </c>
      <c r="O1790" s="180">
        <f t="shared" ca="1" si="69"/>
        <v>1.1690122848042628E-2</v>
      </c>
      <c r="P1790" s="180"/>
      <c r="Q1790" s="180"/>
      <c r="R1790" s="180"/>
      <c r="S1790" s="180"/>
      <c r="T1790" s="180"/>
    </row>
    <row r="1791" spans="1:20" x14ac:dyDescent="0.25">
      <c r="A1791" t="s">
        <v>243</v>
      </c>
      <c r="B1791" t="s">
        <v>237</v>
      </c>
      <c r="C1791" t="s">
        <v>238</v>
      </c>
      <c r="D1791" t="s">
        <v>263</v>
      </c>
      <c r="E1791" t="s">
        <v>228</v>
      </c>
      <c r="F1791">
        <v>2009</v>
      </c>
      <c r="G1791">
        <v>2.0467999999999901E-3</v>
      </c>
      <c r="H1791" t="s">
        <v>240</v>
      </c>
      <c r="I1791" t="s">
        <v>241</v>
      </c>
      <c r="J1791" t="s">
        <v>3</v>
      </c>
      <c r="K1791" s="183">
        <f ca="1">VLOOKUP(F1791,
    OFFSET(INDIRECT(ADDRESS(MATCH(J1791,'Vehicle numbers'!$A$5:$A$162,0),1,1,1,$L$6)),4,1,COUNTIF('Vehicle numbers'!$A$5:$A$162,J1791),4),
    MATCH(K$8,'Vehicle numbers'!$B$4:$D$4,0))*1000</f>
        <v>1275641</v>
      </c>
      <c r="L1791" s="183">
        <f ca="1">VLOOKUP(F1791,
    OFFSET(INDIRECT(ADDRESS(MATCH(J1791,'Vehicle numbers'!$A$5:$A$162,0),1,1,1,$L$6)),4,1,COUNTIF('Vehicle numbers'!$A$5:$A$162,J1791),4),
    MATCH(L$8,'Vehicle numbers'!$B$4:$D$4,0))*1000</f>
        <v>1299082.408007131</v>
      </c>
      <c r="M1791" s="184">
        <f>VLOOKUP(F1791,'Annual distance covered (GB)'!$A$8:$H$33,MATCH(J1791,'Annual distance covered (GB)'!$A$7:$H$7,0))</f>
        <v>5.0999999999999996</v>
      </c>
      <c r="N1791" s="2">
        <f t="shared" ca="1" si="68"/>
        <v>10630.503057534066</v>
      </c>
      <c r="O1791" s="180">
        <f t="shared" ca="1" si="69"/>
        <v>8.1830859936298309E-3</v>
      </c>
      <c r="P1791" s="180"/>
      <c r="Q1791" s="180"/>
      <c r="R1791" s="180"/>
      <c r="S1791" s="180"/>
      <c r="T1791" s="180"/>
    </row>
    <row r="1792" spans="1:20" x14ac:dyDescent="0.25">
      <c r="A1792" t="s">
        <v>244</v>
      </c>
      <c r="B1792" t="s">
        <v>237</v>
      </c>
      <c r="C1792" t="s">
        <v>238</v>
      </c>
      <c r="D1792" t="s">
        <v>263</v>
      </c>
      <c r="E1792" t="s">
        <v>228</v>
      </c>
      <c r="F1792">
        <v>2009</v>
      </c>
      <c r="G1792">
        <v>2.8828169014084301E-4</v>
      </c>
      <c r="H1792" t="s">
        <v>240</v>
      </c>
      <c r="I1792" t="s">
        <v>241</v>
      </c>
      <c r="J1792" t="s">
        <v>3</v>
      </c>
      <c r="K1792" s="183">
        <f ca="1">VLOOKUP(F1792,
    OFFSET(INDIRECT(ADDRESS(MATCH(J1792,'Vehicle numbers'!$A$5:$A$162,0),1,1,1,$L$6)),4,1,COUNTIF('Vehicle numbers'!$A$5:$A$162,J1792),4),
    MATCH(K$8,'Vehicle numbers'!$B$4:$D$4,0))*1000</f>
        <v>1275641</v>
      </c>
      <c r="L1792" s="183">
        <f ca="1">VLOOKUP(F1792,
    OFFSET(INDIRECT(ADDRESS(MATCH(J1792,'Vehicle numbers'!$A$5:$A$162,0),1,1,1,$L$6)),4,1,COUNTIF('Vehicle numbers'!$A$5:$A$162,J1792),4),
    MATCH(L$8,'Vehicle numbers'!$B$4:$D$4,0))*1000</f>
        <v>1299082.408007131</v>
      </c>
      <c r="M1792" s="184">
        <f>VLOOKUP(F1792,'Annual distance covered (GB)'!$A$8:$H$33,MATCH(J1792,'Annual distance covered (GB)'!$A$7:$H$7,0))</f>
        <v>5.0999999999999996</v>
      </c>
      <c r="N1792" s="2">
        <f t="shared" ca="1" si="68"/>
        <v>1497.2539517653577</v>
      </c>
      <c r="O1792" s="180">
        <f t="shared" ca="1" si="69"/>
        <v>1.1525473230464521E-3</v>
      </c>
      <c r="P1792" s="180"/>
      <c r="Q1792" s="180"/>
      <c r="R1792" s="180"/>
      <c r="S1792" s="180"/>
      <c r="T1792" s="180"/>
    </row>
    <row r="1793" spans="1:20" x14ac:dyDescent="0.25">
      <c r="A1793" t="s">
        <v>246</v>
      </c>
      <c r="B1793" t="s">
        <v>237</v>
      </c>
      <c r="C1793" t="s">
        <v>238</v>
      </c>
      <c r="D1793" t="s">
        <v>263</v>
      </c>
      <c r="E1793" t="s">
        <v>228</v>
      </c>
      <c r="F1793">
        <v>2009</v>
      </c>
      <c r="G1793">
        <v>2.3062535211267499E-4</v>
      </c>
      <c r="H1793" t="s">
        <v>240</v>
      </c>
      <c r="I1793" t="s">
        <v>241</v>
      </c>
      <c r="J1793" t="s">
        <v>3</v>
      </c>
      <c r="K1793" s="183">
        <f ca="1">VLOOKUP(F1793,
    OFFSET(INDIRECT(ADDRESS(MATCH(J1793,'Vehicle numbers'!$A$5:$A$162,0),1,1,1,$L$6)),4,1,COUNTIF('Vehicle numbers'!$A$5:$A$162,J1793),4),
    MATCH(K$8,'Vehicle numbers'!$B$4:$D$4,0))*1000</f>
        <v>1275641</v>
      </c>
      <c r="L1793" s="183">
        <f ca="1">VLOOKUP(F1793,
    OFFSET(INDIRECT(ADDRESS(MATCH(J1793,'Vehicle numbers'!$A$5:$A$162,0),1,1,1,$L$6)),4,1,COUNTIF('Vehicle numbers'!$A$5:$A$162,J1793),4),
    MATCH(L$8,'Vehicle numbers'!$B$4:$D$4,0))*1000</f>
        <v>1299082.408007131</v>
      </c>
      <c r="M1793" s="184">
        <f>VLOOKUP(F1793,'Annual distance covered (GB)'!$A$8:$H$33,MATCH(J1793,'Annual distance covered (GB)'!$A$7:$H$7,0))</f>
        <v>5.0999999999999996</v>
      </c>
      <c r="N1793" s="2">
        <f t="shared" ca="1" si="68"/>
        <v>1197.8031614122892</v>
      </c>
      <c r="O1793" s="180">
        <f t="shared" ca="1" si="69"/>
        <v>9.2203785843716403E-4</v>
      </c>
      <c r="P1793" s="180"/>
      <c r="Q1793" s="180"/>
      <c r="R1793" s="180"/>
      <c r="S1793" s="180"/>
      <c r="T1793" s="180"/>
    </row>
    <row r="1794" spans="1:20" x14ac:dyDescent="0.25">
      <c r="A1794" t="s">
        <v>236</v>
      </c>
      <c r="B1794" t="s">
        <v>237</v>
      </c>
      <c r="C1794" t="s">
        <v>238</v>
      </c>
      <c r="D1794" t="s">
        <v>264</v>
      </c>
      <c r="E1794" t="s">
        <v>229</v>
      </c>
      <c r="F1794">
        <v>2009</v>
      </c>
      <c r="G1794">
        <v>5.8399999999999902E-3</v>
      </c>
      <c r="H1794" t="s">
        <v>240</v>
      </c>
      <c r="I1794" t="s">
        <v>241</v>
      </c>
      <c r="J1794" t="s">
        <v>3</v>
      </c>
      <c r="K1794" s="183">
        <f ca="1">VLOOKUP(F1794,
    OFFSET(INDIRECT(ADDRESS(MATCH(J1794,'Vehicle numbers'!$A$5:$A$162,0),1,1,1,$L$6)),4,1,COUNTIF('Vehicle numbers'!$A$5:$A$162,J1794),4),
    MATCH(K$8,'Vehicle numbers'!$B$4:$D$4,0))*1000</f>
        <v>1275641</v>
      </c>
      <c r="L1794" s="183">
        <f ca="1">VLOOKUP(F1794,
    OFFSET(INDIRECT(ADDRESS(MATCH(J1794,'Vehicle numbers'!$A$5:$A$162,0),1,1,1,$L$6)),4,1,COUNTIF('Vehicle numbers'!$A$5:$A$162,J1794),4),
    MATCH(L$8,'Vehicle numbers'!$B$4:$D$4,0))*1000</f>
        <v>1299082.408007131</v>
      </c>
      <c r="M1794" s="184">
        <f>VLOOKUP(F1794,'Annual distance covered (GB)'!$A$8:$H$33,MATCH(J1794,'Annual distance covered (GB)'!$A$7:$H$7,0))</f>
        <v>5.0999999999999996</v>
      </c>
      <c r="N1794" s="2">
        <f t="shared" ca="1" si="68"/>
        <v>30331.316130544819</v>
      </c>
      <c r="O1794" s="180">
        <f t="shared" ca="1" si="69"/>
        <v>2.3348261775844419E-2</v>
      </c>
      <c r="P1794" s="180"/>
      <c r="Q1794" s="180"/>
      <c r="R1794" s="180"/>
      <c r="S1794" s="180"/>
      <c r="T1794" s="180"/>
    </row>
    <row r="1795" spans="1:20" x14ac:dyDescent="0.25">
      <c r="A1795" t="s">
        <v>243</v>
      </c>
      <c r="B1795" t="s">
        <v>237</v>
      </c>
      <c r="C1795" t="s">
        <v>238</v>
      </c>
      <c r="D1795" t="s">
        <v>264</v>
      </c>
      <c r="E1795" t="s">
        <v>229</v>
      </c>
      <c r="F1795">
        <v>2009</v>
      </c>
      <c r="G1795">
        <v>2.336E-3</v>
      </c>
      <c r="H1795" t="s">
        <v>240</v>
      </c>
      <c r="I1795" t="s">
        <v>241</v>
      </c>
      <c r="J1795" t="s">
        <v>3</v>
      </c>
      <c r="K1795" s="183">
        <f ca="1">VLOOKUP(F1795,
    OFFSET(INDIRECT(ADDRESS(MATCH(J1795,'Vehicle numbers'!$A$5:$A$162,0),1,1,1,$L$6)),4,1,COUNTIF('Vehicle numbers'!$A$5:$A$162,J1795),4),
    MATCH(K$8,'Vehicle numbers'!$B$4:$D$4,0))*1000</f>
        <v>1275641</v>
      </c>
      <c r="L1795" s="183">
        <f ca="1">VLOOKUP(F1795,
    OFFSET(INDIRECT(ADDRESS(MATCH(J1795,'Vehicle numbers'!$A$5:$A$162,0),1,1,1,$L$6)),4,1,COUNTIF('Vehicle numbers'!$A$5:$A$162,J1795),4),
    MATCH(L$8,'Vehicle numbers'!$B$4:$D$4,0))*1000</f>
        <v>1299082.408007131</v>
      </c>
      <c r="M1795" s="184">
        <f>VLOOKUP(F1795,'Annual distance covered (GB)'!$A$8:$H$33,MATCH(J1795,'Annual distance covered (GB)'!$A$7:$H$7,0))</f>
        <v>5.0999999999999996</v>
      </c>
      <c r="N1795" s="2">
        <f t="shared" ca="1" si="68"/>
        <v>12132.526452217948</v>
      </c>
      <c r="O1795" s="180">
        <f t="shared" ca="1" si="69"/>
        <v>9.339304710337783E-3</v>
      </c>
      <c r="P1795" s="180"/>
      <c r="Q1795" s="180"/>
      <c r="R1795" s="180"/>
      <c r="S1795" s="180"/>
      <c r="T1795" s="180"/>
    </row>
    <row r="1796" spans="1:20" x14ac:dyDescent="0.25">
      <c r="A1796" t="s">
        <v>244</v>
      </c>
      <c r="B1796" t="s">
        <v>237</v>
      </c>
      <c r="C1796" t="s">
        <v>238</v>
      </c>
      <c r="D1796" t="s">
        <v>264</v>
      </c>
      <c r="E1796" t="s">
        <v>229</v>
      </c>
      <c r="F1796">
        <v>2009</v>
      </c>
      <c r="G1796">
        <v>5.8399999999999999E-4</v>
      </c>
      <c r="H1796" t="s">
        <v>240</v>
      </c>
      <c r="I1796" t="s">
        <v>241</v>
      </c>
      <c r="J1796" t="s">
        <v>3</v>
      </c>
      <c r="K1796" s="183">
        <f ca="1">VLOOKUP(F1796,
    OFFSET(INDIRECT(ADDRESS(MATCH(J1796,'Vehicle numbers'!$A$5:$A$162,0),1,1,1,$L$6)),4,1,COUNTIF('Vehicle numbers'!$A$5:$A$162,J1796),4),
    MATCH(K$8,'Vehicle numbers'!$B$4:$D$4,0))*1000</f>
        <v>1275641</v>
      </c>
      <c r="L1796" s="183">
        <f ca="1">VLOOKUP(F1796,
    OFFSET(INDIRECT(ADDRESS(MATCH(J1796,'Vehicle numbers'!$A$5:$A$162,0),1,1,1,$L$6)),4,1,COUNTIF('Vehicle numbers'!$A$5:$A$162,J1796),4),
    MATCH(L$8,'Vehicle numbers'!$B$4:$D$4,0))*1000</f>
        <v>1299082.408007131</v>
      </c>
      <c r="M1796" s="184">
        <f>VLOOKUP(F1796,'Annual distance covered (GB)'!$A$8:$H$33,MATCH(J1796,'Annual distance covered (GB)'!$A$7:$H$7,0))</f>
        <v>5.0999999999999996</v>
      </c>
      <c r="N1796" s="2">
        <f t="shared" ca="1" si="68"/>
        <v>3033.1316130544869</v>
      </c>
      <c r="O1796" s="180">
        <f t="shared" ca="1" si="69"/>
        <v>2.3348261775844458E-3</v>
      </c>
      <c r="P1796" s="180"/>
      <c r="Q1796" s="180"/>
      <c r="R1796" s="180"/>
      <c r="S1796" s="180"/>
      <c r="T1796" s="180"/>
    </row>
    <row r="1797" spans="1:20" x14ac:dyDescent="0.25">
      <c r="A1797" t="s">
        <v>246</v>
      </c>
      <c r="B1797" t="s">
        <v>237</v>
      </c>
      <c r="C1797" t="s">
        <v>238</v>
      </c>
      <c r="D1797" t="s">
        <v>264</v>
      </c>
      <c r="E1797" t="s">
        <v>229</v>
      </c>
      <c r="F1797">
        <v>2009</v>
      </c>
      <c r="G1797">
        <v>4.6720000000000003E-4</v>
      </c>
      <c r="H1797" t="s">
        <v>240</v>
      </c>
      <c r="I1797" t="s">
        <v>241</v>
      </c>
      <c r="J1797" t="s">
        <v>3</v>
      </c>
      <c r="K1797" s="183">
        <f ca="1">VLOOKUP(F1797,
    OFFSET(INDIRECT(ADDRESS(MATCH(J1797,'Vehicle numbers'!$A$5:$A$162,0),1,1,1,$L$6)),4,1,COUNTIF('Vehicle numbers'!$A$5:$A$162,J1797),4),
    MATCH(K$8,'Vehicle numbers'!$B$4:$D$4,0))*1000</f>
        <v>1275641</v>
      </c>
      <c r="L1797" s="183">
        <f ca="1">VLOOKUP(F1797,
    OFFSET(INDIRECT(ADDRESS(MATCH(J1797,'Vehicle numbers'!$A$5:$A$162,0),1,1,1,$L$6)),4,1,COUNTIF('Vehicle numbers'!$A$5:$A$162,J1797),4),
    MATCH(L$8,'Vehicle numbers'!$B$4:$D$4,0))*1000</f>
        <v>1299082.408007131</v>
      </c>
      <c r="M1797" s="184">
        <f>VLOOKUP(F1797,'Annual distance covered (GB)'!$A$8:$H$33,MATCH(J1797,'Annual distance covered (GB)'!$A$7:$H$7,0))</f>
        <v>5.0999999999999996</v>
      </c>
      <c r="N1797" s="2">
        <f t="shared" ca="1" si="68"/>
        <v>2426.5052904435897</v>
      </c>
      <c r="O1797" s="180">
        <f t="shared" ca="1" si="69"/>
        <v>1.8678609420675568E-3</v>
      </c>
      <c r="P1797" s="180"/>
      <c r="Q1797" s="180"/>
      <c r="R1797" s="180"/>
      <c r="S1797" s="180"/>
      <c r="T1797" s="180"/>
    </row>
    <row r="1798" spans="1:20" x14ac:dyDescent="0.25">
      <c r="A1798" t="s">
        <v>236</v>
      </c>
      <c r="B1798" t="s">
        <v>237</v>
      </c>
      <c r="C1798" t="s">
        <v>238</v>
      </c>
      <c r="D1798" t="s">
        <v>264</v>
      </c>
      <c r="E1798" t="s">
        <v>228</v>
      </c>
      <c r="F1798">
        <v>2009</v>
      </c>
      <c r="G1798">
        <v>3.7569999999999899E-3</v>
      </c>
      <c r="H1798" t="s">
        <v>240</v>
      </c>
      <c r="I1798" t="s">
        <v>241</v>
      </c>
      <c r="J1798" t="s">
        <v>3</v>
      </c>
      <c r="K1798" s="183">
        <f ca="1">VLOOKUP(F1798,
    OFFSET(INDIRECT(ADDRESS(MATCH(J1798,'Vehicle numbers'!$A$5:$A$162,0),1,1,1,$L$6)),4,1,COUNTIF('Vehicle numbers'!$A$5:$A$162,J1798),4),
    MATCH(K$8,'Vehicle numbers'!$B$4:$D$4,0))*1000</f>
        <v>1275641</v>
      </c>
      <c r="L1798" s="183">
        <f ca="1">VLOOKUP(F1798,
    OFFSET(INDIRECT(ADDRESS(MATCH(J1798,'Vehicle numbers'!$A$5:$A$162,0),1,1,1,$L$6)),4,1,COUNTIF('Vehicle numbers'!$A$5:$A$162,J1798),4),
    MATCH(L$8,'Vehicle numbers'!$B$4:$D$4,0))*1000</f>
        <v>1299082.408007131</v>
      </c>
      <c r="M1798" s="184">
        <f>VLOOKUP(F1798,'Annual distance covered (GB)'!$A$8:$H$33,MATCH(J1798,'Annual distance covered (GB)'!$A$7:$H$7,0))</f>
        <v>5.0999999999999996</v>
      </c>
      <c r="N1798" s="2">
        <f t="shared" ca="1" si="68"/>
        <v>19512.800462749445</v>
      </c>
      <c r="O1798" s="180">
        <f t="shared" ca="1" si="69"/>
        <v>1.5020448543124551E-2</v>
      </c>
      <c r="P1798" s="180"/>
      <c r="Q1798" s="180"/>
      <c r="R1798" s="180"/>
      <c r="S1798" s="180"/>
      <c r="T1798" s="180"/>
    </row>
    <row r="1799" spans="1:20" x14ac:dyDescent="0.25">
      <c r="A1799" t="s">
        <v>243</v>
      </c>
      <c r="B1799" t="s">
        <v>237</v>
      </c>
      <c r="C1799" t="s">
        <v>238</v>
      </c>
      <c r="D1799" t="s">
        <v>264</v>
      </c>
      <c r="E1799" t="s">
        <v>228</v>
      </c>
      <c r="F1799">
        <v>2009</v>
      </c>
      <c r="G1799">
        <v>2.6298999999999901E-3</v>
      </c>
      <c r="H1799" t="s">
        <v>240</v>
      </c>
      <c r="I1799" t="s">
        <v>241</v>
      </c>
      <c r="J1799" t="s">
        <v>3</v>
      </c>
      <c r="K1799" s="183">
        <f ca="1">VLOOKUP(F1799,
    OFFSET(INDIRECT(ADDRESS(MATCH(J1799,'Vehicle numbers'!$A$5:$A$162,0),1,1,1,$L$6)),4,1,COUNTIF('Vehicle numbers'!$A$5:$A$162,J1799),4),
    MATCH(K$8,'Vehicle numbers'!$B$4:$D$4,0))*1000</f>
        <v>1275641</v>
      </c>
      <c r="L1799" s="183">
        <f ca="1">VLOOKUP(F1799,
    OFFSET(INDIRECT(ADDRESS(MATCH(J1799,'Vehicle numbers'!$A$5:$A$162,0),1,1,1,$L$6)),4,1,COUNTIF('Vehicle numbers'!$A$5:$A$162,J1799),4),
    MATCH(L$8,'Vehicle numbers'!$B$4:$D$4,0))*1000</f>
        <v>1299082.408007131</v>
      </c>
      <c r="M1799" s="184">
        <f>VLOOKUP(F1799,'Annual distance covered (GB)'!$A$8:$H$33,MATCH(J1799,'Annual distance covered (GB)'!$A$7:$H$7,0))</f>
        <v>5.0999999999999996</v>
      </c>
      <c r="N1799" s="2">
        <f t="shared" ca="1" si="68"/>
        <v>13658.960323924597</v>
      </c>
      <c r="O1799" s="180">
        <f t="shared" ca="1" si="69"/>
        <v>1.0514313980187175E-2</v>
      </c>
      <c r="P1799" s="180"/>
      <c r="Q1799" s="180"/>
      <c r="R1799" s="180"/>
      <c r="S1799" s="180"/>
      <c r="T1799" s="180"/>
    </row>
    <row r="1800" spans="1:20" x14ac:dyDescent="0.25">
      <c r="A1800" t="s">
        <v>244</v>
      </c>
      <c r="B1800" t="s">
        <v>237</v>
      </c>
      <c r="C1800" t="s">
        <v>238</v>
      </c>
      <c r="D1800" t="s">
        <v>264</v>
      </c>
      <c r="E1800" t="s">
        <v>228</v>
      </c>
      <c r="F1800">
        <v>2009</v>
      </c>
      <c r="G1800">
        <v>3.7040845070422299E-4</v>
      </c>
      <c r="H1800" t="s">
        <v>240</v>
      </c>
      <c r="I1800" t="s">
        <v>241</v>
      </c>
      <c r="J1800" t="s">
        <v>3</v>
      </c>
      <c r="K1800" s="183">
        <f ca="1">VLOOKUP(F1800,
    OFFSET(INDIRECT(ADDRESS(MATCH(J1800,'Vehicle numbers'!$A$5:$A$162,0),1,1,1,$L$6)),4,1,COUNTIF('Vehicle numbers'!$A$5:$A$162,J1800),4),
    MATCH(K$8,'Vehicle numbers'!$B$4:$D$4,0))*1000</f>
        <v>1275641</v>
      </c>
      <c r="L1800" s="183">
        <f ca="1">VLOOKUP(F1800,
    OFFSET(INDIRECT(ADDRESS(MATCH(J1800,'Vehicle numbers'!$A$5:$A$162,0),1,1,1,$L$6)),4,1,COUNTIF('Vehicle numbers'!$A$5:$A$162,J1800),4),
    MATCH(L$8,'Vehicle numbers'!$B$4:$D$4,0))*1000</f>
        <v>1299082.408007131</v>
      </c>
      <c r="M1800" s="184">
        <f>VLOOKUP(F1800,'Annual distance covered (GB)'!$A$8:$H$33,MATCH(J1800,'Annual distance covered (GB)'!$A$7:$H$7,0))</f>
        <v>5.0999999999999996</v>
      </c>
      <c r="N1800" s="2">
        <f t="shared" ca="1" si="68"/>
        <v>1923.7972287217692</v>
      </c>
      <c r="O1800" s="180">
        <f t="shared" ca="1" si="69"/>
        <v>1.4808892929841053E-3</v>
      </c>
      <c r="P1800" s="180"/>
      <c r="Q1800" s="180"/>
      <c r="R1800" s="180"/>
      <c r="S1800" s="180"/>
      <c r="T1800" s="180"/>
    </row>
    <row r="1801" spans="1:20" x14ac:dyDescent="0.25">
      <c r="A1801" t="s">
        <v>246</v>
      </c>
      <c r="B1801" t="s">
        <v>237</v>
      </c>
      <c r="C1801" t="s">
        <v>238</v>
      </c>
      <c r="D1801" t="s">
        <v>264</v>
      </c>
      <c r="E1801" t="s">
        <v>228</v>
      </c>
      <c r="F1801">
        <v>2009</v>
      </c>
      <c r="G1801">
        <v>2.9632676056337901E-4</v>
      </c>
      <c r="H1801" t="s">
        <v>240</v>
      </c>
      <c r="I1801" t="s">
        <v>241</v>
      </c>
      <c r="J1801" t="s">
        <v>3</v>
      </c>
      <c r="K1801" s="183">
        <f ca="1">VLOOKUP(F1801,
    OFFSET(INDIRECT(ADDRESS(MATCH(J1801,'Vehicle numbers'!$A$5:$A$162,0),1,1,1,$L$6)),4,1,COUNTIF('Vehicle numbers'!$A$5:$A$162,J1801),4),
    MATCH(K$8,'Vehicle numbers'!$B$4:$D$4,0))*1000</f>
        <v>1275641</v>
      </c>
      <c r="L1801" s="183">
        <f ca="1">VLOOKUP(F1801,
    OFFSET(INDIRECT(ADDRESS(MATCH(J1801,'Vehicle numbers'!$A$5:$A$162,0),1,1,1,$L$6)),4,1,COUNTIF('Vehicle numbers'!$A$5:$A$162,J1801),4),
    MATCH(L$8,'Vehicle numbers'!$B$4:$D$4,0))*1000</f>
        <v>1299082.408007131</v>
      </c>
      <c r="M1801" s="184">
        <f>VLOOKUP(F1801,'Annual distance covered (GB)'!$A$8:$H$33,MATCH(J1801,'Annual distance covered (GB)'!$A$7:$H$7,0))</f>
        <v>5.0999999999999996</v>
      </c>
      <c r="N1801" s="2">
        <f t="shared" ca="1" si="68"/>
        <v>1539.0377829774186</v>
      </c>
      <c r="O1801" s="180">
        <f t="shared" ca="1" si="69"/>
        <v>1.1847114343872867E-3</v>
      </c>
      <c r="P1801" s="180"/>
      <c r="Q1801" s="180"/>
      <c r="R1801" s="180"/>
      <c r="S1801" s="180"/>
      <c r="T1801" s="180"/>
    </row>
    <row r="1802" spans="1:20" x14ac:dyDescent="0.25">
      <c r="A1802" t="s">
        <v>236</v>
      </c>
      <c r="B1802" t="s">
        <v>237</v>
      </c>
      <c r="C1802" t="s">
        <v>238</v>
      </c>
      <c r="D1802" t="s">
        <v>239</v>
      </c>
      <c r="E1802" t="s">
        <v>229</v>
      </c>
      <c r="F1802">
        <v>2010</v>
      </c>
      <c r="G1802">
        <v>8.4409999999999902E-3</v>
      </c>
      <c r="H1802" t="s">
        <v>240</v>
      </c>
      <c r="I1802" t="s">
        <v>241</v>
      </c>
      <c r="J1802" t="s">
        <v>242</v>
      </c>
      <c r="K1802" s="183">
        <f ca="1">VLOOKUP(F1802,
    OFFSET(INDIRECT(ADDRESS(MATCH(J1802,'Vehicle numbers'!$A$5:$A$162,0),1,1,1,$L$6)),4,1,COUNTIF('Vehicle numbers'!$A$5:$A$162,J1802),4),
    MATCH(K$8,'Vehicle numbers'!$B$4:$D$4,0))*1000</f>
        <v>171202.99999999997</v>
      </c>
      <c r="L1802" s="183">
        <f ca="1">VLOOKUP(F1802,
    OFFSET(INDIRECT(ADDRESS(MATCH(J1802,'Vehicle numbers'!$A$5:$A$162,0),1,1,1,$L$6)),4,1,COUNTIF('Vehicle numbers'!$A$5:$A$162,J1802),4),
    MATCH(L$8,'Vehicle numbers'!$B$4:$D$4,0))*1000</f>
        <v>177184.77056357943</v>
      </c>
      <c r="M1802" s="184">
        <f>VLOOKUP(F1802,'Annual distance covered (GB)'!$A$8:$H$33,MATCH(J1802,'Annual distance covered (GB)'!$A$7:$H$7,0))</f>
        <v>5.0999999999999996</v>
      </c>
      <c r="N1802" s="2">
        <f t="shared" ca="1" si="68"/>
        <v>44553.219899584583</v>
      </c>
      <c r="O1802" s="180">
        <f t="shared" ca="1" si="69"/>
        <v>0.251450617103672</v>
      </c>
      <c r="P1802" s="180"/>
      <c r="Q1802" s="180"/>
      <c r="R1802" s="180"/>
      <c r="S1802" s="180"/>
      <c r="T1802" s="180"/>
    </row>
    <row r="1803" spans="1:20" x14ac:dyDescent="0.25">
      <c r="A1803" t="s">
        <v>243</v>
      </c>
      <c r="B1803" t="s">
        <v>237</v>
      </c>
      <c r="C1803" t="s">
        <v>238</v>
      </c>
      <c r="D1803" t="s">
        <v>239</v>
      </c>
      <c r="E1803" t="s">
        <v>229</v>
      </c>
      <c r="F1803">
        <v>2010</v>
      </c>
      <c r="G1803">
        <v>3.3763999999999999E-3</v>
      </c>
      <c r="H1803" t="s">
        <v>240</v>
      </c>
      <c r="I1803" t="s">
        <v>241</v>
      </c>
      <c r="J1803" t="s">
        <v>242</v>
      </c>
      <c r="K1803" s="183">
        <f ca="1">VLOOKUP(F1803,
    OFFSET(INDIRECT(ADDRESS(MATCH(J1803,'Vehicle numbers'!$A$5:$A$162,0),1,1,1,$L$6)),4,1,COUNTIF('Vehicle numbers'!$A$5:$A$162,J1803),4),
    MATCH(K$8,'Vehicle numbers'!$B$4:$D$4,0))*1000</f>
        <v>171202.99999999997</v>
      </c>
      <c r="L1803" s="183">
        <f ca="1">VLOOKUP(F1803,
    OFFSET(INDIRECT(ADDRESS(MATCH(J1803,'Vehicle numbers'!$A$5:$A$162,0),1,1,1,$L$6)),4,1,COUNTIF('Vehicle numbers'!$A$5:$A$162,J1803),4),
    MATCH(L$8,'Vehicle numbers'!$B$4:$D$4,0))*1000</f>
        <v>177184.77056357943</v>
      </c>
      <c r="M1803" s="184">
        <f>VLOOKUP(F1803,'Annual distance covered (GB)'!$A$8:$H$33,MATCH(J1803,'Annual distance covered (GB)'!$A$7:$H$7,0))</f>
        <v>5.0999999999999996</v>
      </c>
      <c r="N1803" s="2">
        <f t="shared" ref="N1803:N1866" ca="1" si="70">M1803*G1803*1000000*(L1803/K1803)</f>
        <v>17821.287959833855</v>
      </c>
      <c r="O1803" s="180">
        <f t="shared" ref="O1803:O1866" ca="1" si="71">N1803/L1803</f>
        <v>0.10058024684146892</v>
      </c>
      <c r="P1803" s="180"/>
      <c r="Q1803" s="180"/>
      <c r="R1803" s="180"/>
      <c r="S1803" s="180"/>
      <c r="T1803" s="180"/>
    </row>
    <row r="1804" spans="1:20" x14ac:dyDescent="0.25">
      <c r="A1804" t="s">
        <v>244</v>
      </c>
      <c r="B1804" t="s">
        <v>237</v>
      </c>
      <c r="C1804" t="s">
        <v>238</v>
      </c>
      <c r="D1804" t="s">
        <v>239</v>
      </c>
      <c r="E1804" t="s">
        <v>229</v>
      </c>
      <c r="F1804">
        <v>2010</v>
      </c>
      <c r="G1804">
        <v>8.4409999999999997E-4</v>
      </c>
      <c r="H1804" t="s">
        <v>240</v>
      </c>
      <c r="I1804" t="s">
        <v>241</v>
      </c>
      <c r="J1804" t="s">
        <v>242</v>
      </c>
      <c r="K1804" s="183">
        <f ca="1">VLOOKUP(F1804,
    OFFSET(INDIRECT(ADDRESS(MATCH(J1804,'Vehicle numbers'!$A$5:$A$162,0),1,1,1,$L$6)),4,1,COUNTIF('Vehicle numbers'!$A$5:$A$162,J1804),4),
    MATCH(K$8,'Vehicle numbers'!$B$4:$D$4,0))*1000</f>
        <v>171202.99999999997</v>
      </c>
      <c r="L1804" s="183">
        <f ca="1">VLOOKUP(F1804,
    OFFSET(INDIRECT(ADDRESS(MATCH(J1804,'Vehicle numbers'!$A$5:$A$162,0),1,1,1,$L$6)),4,1,COUNTIF('Vehicle numbers'!$A$5:$A$162,J1804),4),
    MATCH(L$8,'Vehicle numbers'!$B$4:$D$4,0))*1000</f>
        <v>177184.77056357943</v>
      </c>
      <c r="M1804" s="184">
        <f>VLOOKUP(F1804,'Annual distance covered (GB)'!$A$8:$H$33,MATCH(J1804,'Annual distance covered (GB)'!$A$7:$H$7,0))</f>
        <v>5.0999999999999996</v>
      </c>
      <c r="N1804" s="2">
        <f t="shared" ca="1" si="70"/>
        <v>4455.3219899584637</v>
      </c>
      <c r="O1804" s="180">
        <f t="shared" ca="1" si="71"/>
        <v>2.514506171036723E-2</v>
      </c>
      <c r="P1804" s="180"/>
      <c r="Q1804" s="180"/>
      <c r="R1804" s="180"/>
      <c r="S1804" s="180"/>
      <c r="T1804" s="180"/>
    </row>
    <row r="1805" spans="1:20" x14ac:dyDescent="0.25">
      <c r="A1805" t="s">
        <v>246</v>
      </c>
      <c r="B1805" t="s">
        <v>237</v>
      </c>
      <c r="C1805" t="s">
        <v>238</v>
      </c>
      <c r="D1805" t="s">
        <v>239</v>
      </c>
      <c r="E1805" t="s">
        <v>229</v>
      </c>
      <c r="F1805">
        <v>2010</v>
      </c>
      <c r="G1805">
        <v>6.7528E-4</v>
      </c>
      <c r="H1805" t="s">
        <v>240</v>
      </c>
      <c r="I1805" t="s">
        <v>241</v>
      </c>
      <c r="J1805" t="s">
        <v>242</v>
      </c>
      <c r="K1805" s="183">
        <f ca="1">VLOOKUP(F1805,
    OFFSET(INDIRECT(ADDRESS(MATCH(J1805,'Vehicle numbers'!$A$5:$A$162,0),1,1,1,$L$6)),4,1,COUNTIF('Vehicle numbers'!$A$5:$A$162,J1805),4),
    MATCH(K$8,'Vehicle numbers'!$B$4:$D$4,0))*1000</f>
        <v>171202.99999999997</v>
      </c>
      <c r="L1805" s="183">
        <f ca="1">VLOOKUP(F1805,
    OFFSET(INDIRECT(ADDRESS(MATCH(J1805,'Vehicle numbers'!$A$5:$A$162,0),1,1,1,$L$6)),4,1,COUNTIF('Vehicle numbers'!$A$5:$A$162,J1805),4),
    MATCH(L$8,'Vehicle numbers'!$B$4:$D$4,0))*1000</f>
        <v>177184.77056357943</v>
      </c>
      <c r="M1805" s="184">
        <f>VLOOKUP(F1805,'Annual distance covered (GB)'!$A$8:$H$33,MATCH(J1805,'Annual distance covered (GB)'!$A$7:$H$7,0))</f>
        <v>5.0999999999999996</v>
      </c>
      <c r="N1805" s="2">
        <f t="shared" ca="1" si="70"/>
        <v>3564.2575919667706</v>
      </c>
      <c r="O1805" s="180">
        <f t="shared" ca="1" si="71"/>
        <v>2.0116049368293781E-2</v>
      </c>
      <c r="P1805" s="180"/>
      <c r="Q1805" s="180"/>
      <c r="R1805" s="180"/>
      <c r="S1805" s="180"/>
      <c r="T1805" s="180"/>
    </row>
    <row r="1806" spans="1:20" x14ac:dyDescent="0.25">
      <c r="A1806" t="s">
        <v>236</v>
      </c>
      <c r="B1806" t="s">
        <v>237</v>
      </c>
      <c r="C1806" t="s">
        <v>238</v>
      </c>
      <c r="D1806" t="s">
        <v>239</v>
      </c>
      <c r="E1806" t="s">
        <v>228</v>
      </c>
      <c r="F1806">
        <v>2010</v>
      </c>
      <c r="G1806">
        <v>1.3984E-2</v>
      </c>
      <c r="H1806" t="s">
        <v>240</v>
      </c>
      <c r="I1806" t="s">
        <v>241</v>
      </c>
      <c r="J1806" t="s">
        <v>242</v>
      </c>
      <c r="K1806" s="183">
        <f ca="1">VLOOKUP(F1806,
    OFFSET(INDIRECT(ADDRESS(MATCH(J1806,'Vehicle numbers'!$A$5:$A$162,0),1,1,1,$L$6)),4,1,COUNTIF('Vehicle numbers'!$A$5:$A$162,J1806),4),
    MATCH(K$8,'Vehicle numbers'!$B$4:$D$4,0))*1000</f>
        <v>171202.99999999997</v>
      </c>
      <c r="L1806" s="183">
        <f ca="1">VLOOKUP(F1806,
    OFFSET(INDIRECT(ADDRESS(MATCH(J1806,'Vehicle numbers'!$A$5:$A$162,0),1,1,1,$L$6)),4,1,COUNTIF('Vehicle numbers'!$A$5:$A$162,J1806),4),
    MATCH(L$8,'Vehicle numbers'!$B$4:$D$4,0))*1000</f>
        <v>177184.77056357943</v>
      </c>
      <c r="M1806" s="184">
        <f>VLOOKUP(F1806,'Annual distance covered (GB)'!$A$8:$H$33,MATCH(J1806,'Annual distance covered (GB)'!$A$7:$H$7,0))</f>
        <v>5.0999999999999996</v>
      </c>
      <c r="N1806" s="2">
        <f t="shared" ca="1" si="70"/>
        <v>73810.238961709692</v>
      </c>
      <c r="O1806" s="180">
        <f t="shared" ca="1" si="71"/>
        <v>0.4165721395069012</v>
      </c>
      <c r="P1806" s="180"/>
      <c r="Q1806" s="180"/>
      <c r="R1806" s="180"/>
      <c r="S1806" s="180"/>
      <c r="T1806" s="180"/>
    </row>
    <row r="1807" spans="1:20" x14ac:dyDescent="0.25">
      <c r="A1807" t="s">
        <v>243</v>
      </c>
      <c r="B1807" t="s">
        <v>237</v>
      </c>
      <c r="C1807" t="s">
        <v>238</v>
      </c>
      <c r="D1807" t="s">
        <v>239</v>
      </c>
      <c r="E1807" t="s">
        <v>228</v>
      </c>
      <c r="F1807">
        <v>2010</v>
      </c>
      <c r="G1807">
        <v>9.7888000000000003E-3</v>
      </c>
      <c r="H1807" t="s">
        <v>240</v>
      </c>
      <c r="I1807" t="s">
        <v>241</v>
      </c>
      <c r="J1807" t="s">
        <v>242</v>
      </c>
      <c r="K1807" s="183">
        <f ca="1">VLOOKUP(F1807,
    OFFSET(INDIRECT(ADDRESS(MATCH(J1807,'Vehicle numbers'!$A$5:$A$162,0),1,1,1,$L$6)),4,1,COUNTIF('Vehicle numbers'!$A$5:$A$162,J1807),4),
    MATCH(K$8,'Vehicle numbers'!$B$4:$D$4,0))*1000</f>
        <v>171202.99999999997</v>
      </c>
      <c r="L1807" s="183">
        <f ca="1">VLOOKUP(F1807,
    OFFSET(INDIRECT(ADDRESS(MATCH(J1807,'Vehicle numbers'!$A$5:$A$162,0),1,1,1,$L$6)),4,1,COUNTIF('Vehicle numbers'!$A$5:$A$162,J1807),4),
    MATCH(L$8,'Vehicle numbers'!$B$4:$D$4,0))*1000</f>
        <v>177184.77056357943</v>
      </c>
      <c r="M1807" s="184">
        <f>VLOOKUP(F1807,'Annual distance covered (GB)'!$A$8:$H$33,MATCH(J1807,'Annual distance covered (GB)'!$A$7:$H$7,0))</f>
        <v>5.0999999999999996</v>
      </c>
      <c r="N1807" s="2">
        <f t="shared" ca="1" si="70"/>
        <v>51667.167273196785</v>
      </c>
      <c r="O1807" s="180">
        <f t="shared" ca="1" si="71"/>
        <v>0.29160049765483087</v>
      </c>
      <c r="P1807" s="180"/>
      <c r="Q1807" s="180"/>
      <c r="R1807" s="180"/>
      <c r="S1807" s="180"/>
      <c r="T1807" s="180"/>
    </row>
    <row r="1808" spans="1:20" x14ac:dyDescent="0.25">
      <c r="A1808" t="s">
        <v>244</v>
      </c>
      <c r="B1808" t="s">
        <v>237</v>
      </c>
      <c r="C1808" t="s">
        <v>238</v>
      </c>
      <c r="D1808" t="s">
        <v>239</v>
      </c>
      <c r="E1808" t="s">
        <v>228</v>
      </c>
      <c r="F1808">
        <v>2010</v>
      </c>
      <c r="G1808">
        <v>1.3787042253521099E-3</v>
      </c>
      <c r="H1808" t="s">
        <v>240</v>
      </c>
      <c r="I1808" t="s">
        <v>241</v>
      </c>
      <c r="J1808" t="s">
        <v>242</v>
      </c>
      <c r="K1808" s="183">
        <f ca="1">VLOOKUP(F1808,
    OFFSET(INDIRECT(ADDRESS(MATCH(J1808,'Vehicle numbers'!$A$5:$A$162,0),1,1,1,$L$6)),4,1,COUNTIF('Vehicle numbers'!$A$5:$A$162,J1808),4),
    MATCH(K$8,'Vehicle numbers'!$B$4:$D$4,0))*1000</f>
        <v>171202.99999999997</v>
      </c>
      <c r="L1808" s="183">
        <f ca="1">VLOOKUP(F1808,
    OFFSET(INDIRECT(ADDRESS(MATCH(J1808,'Vehicle numbers'!$A$5:$A$162,0),1,1,1,$L$6)),4,1,COUNTIF('Vehicle numbers'!$A$5:$A$162,J1808),4),
    MATCH(L$8,'Vehicle numbers'!$B$4:$D$4,0))*1000</f>
        <v>177184.77056357943</v>
      </c>
      <c r="M1808" s="184">
        <f>VLOOKUP(F1808,'Annual distance covered (GB)'!$A$8:$H$33,MATCH(J1808,'Annual distance covered (GB)'!$A$7:$H$7,0))</f>
        <v>5.0999999999999996</v>
      </c>
      <c r="N1808" s="2">
        <f t="shared" ca="1" si="70"/>
        <v>7277.0658131262935</v>
      </c>
      <c r="O1808" s="180">
        <f t="shared" ca="1" si="71"/>
        <v>4.1070492627440884E-2</v>
      </c>
      <c r="P1808" s="180"/>
      <c r="Q1808" s="180"/>
      <c r="R1808" s="180"/>
      <c r="S1808" s="180"/>
      <c r="T1808" s="180"/>
    </row>
    <row r="1809" spans="1:20" x14ac:dyDescent="0.25">
      <c r="A1809" t="s">
        <v>246</v>
      </c>
      <c r="B1809" t="s">
        <v>237</v>
      </c>
      <c r="C1809" t="s">
        <v>238</v>
      </c>
      <c r="D1809" t="s">
        <v>239</v>
      </c>
      <c r="E1809" t="s">
        <v>228</v>
      </c>
      <c r="F1809">
        <v>2010</v>
      </c>
      <c r="G1809">
        <v>1.10296338028169E-3</v>
      </c>
      <c r="H1809" t="s">
        <v>240</v>
      </c>
      <c r="I1809" t="s">
        <v>241</v>
      </c>
      <c r="J1809" t="s">
        <v>242</v>
      </c>
      <c r="K1809" s="183">
        <f ca="1">VLOOKUP(F1809,
    OFFSET(INDIRECT(ADDRESS(MATCH(J1809,'Vehicle numbers'!$A$5:$A$162,0),1,1,1,$L$6)),4,1,COUNTIF('Vehicle numbers'!$A$5:$A$162,J1809),4),
    MATCH(K$8,'Vehicle numbers'!$B$4:$D$4,0))*1000</f>
        <v>171202.99999999997</v>
      </c>
      <c r="L1809" s="183">
        <f ca="1">VLOOKUP(F1809,
    OFFSET(INDIRECT(ADDRESS(MATCH(J1809,'Vehicle numbers'!$A$5:$A$162,0),1,1,1,$L$6)),4,1,COUNTIF('Vehicle numbers'!$A$5:$A$162,J1809),4),
    MATCH(L$8,'Vehicle numbers'!$B$4:$D$4,0))*1000</f>
        <v>177184.77056357943</v>
      </c>
      <c r="M1809" s="184">
        <f>VLOOKUP(F1809,'Annual distance covered (GB)'!$A$8:$H$33,MATCH(J1809,'Annual distance covered (GB)'!$A$7:$H$7,0))</f>
        <v>5.0999999999999996</v>
      </c>
      <c r="N1809" s="2">
        <f t="shared" ca="1" si="70"/>
        <v>5821.6526505010461</v>
      </c>
      <c r="O1809" s="180">
        <f t="shared" ca="1" si="71"/>
        <v>3.285639410195277E-2</v>
      </c>
      <c r="P1809" s="180"/>
      <c r="Q1809" s="180"/>
      <c r="R1809" s="180"/>
      <c r="S1809" s="180"/>
      <c r="T1809" s="180"/>
    </row>
    <row r="1810" spans="1:20" x14ac:dyDescent="0.25">
      <c r="A1810" t="s">
        <v>236</v>
      </c>
      <c r="B1810" t="s">
        <v>237</v>
      </c>
      <c r="C1810" t="s">
        <v>238</v>
      </c>
      <c r="D1810" t="s">
        <v>248</v>
      </c>
      <c r="E1810" t="s">
        <v>229</v>
      </c>
      <c r="F1810">
        <v>2010</v>
      </c>
      <c r="G1810">
        <v>2.71429999999999E-2</v>
      </c>
      <c r="H1810" t="s">
        <v>240</v>
      </c>
      <c r="I1810" t="s">
        <v>241</v>
      </c>
      <c r="J1810" t="s">
        <v>242</v>
      </c>
      <c r="K1810" s="183">
        <f ca="1">VLOOKUP(F1810,
    OFFSET(INDIRECT(ADDRESS(MATCH(J1810,'Vehicle numbers'!$A$5:$A$162,0),1,1,1,$L$6)),4,1,COUNTIF('Vehicle numbers'!$A$5:$A$162,J1810),4),
    MATCH(K$8,'Vehicle numbers'!$B$4:$D$4,0))*1000</f>
        <v>171202.99999999997</v>
      </c>
      <c r="L1810" s="183">
        <f ca="1">VLOOKUP(F1810,
    OFFSET(INDIRECT(ADDRESS(MATCH(J1810,'Vehicle numbers'!$A$5:$A$162,0),1,1,1,$L$6)),4,1,COUNTIF('Vehicle numbers'!$A$5:$A$162,J1810),4),
    MATCH(L$8,'Vehicle numbers'!$B$4:$D$4,0))*1000</f>
        <v>177184.77056357943</v>
      </c>
      <c r="M1810" s="184">
        <f>VLOOKUP(F1810,'Annual distance covered (GB)'!$A$8:$H$33,MATCH(J1810,'Annual distance covered (GB)'!$A$7:$H$7,0))</f>
        <v>5.0999999999999996</v>
      </c>
      <c r="N1810" s="2">
        <f t="shared" ca="1" si="70"/>
        <v>143265.9694034381</v>
      </c>
      <c r="O1810" s="180">
        <f t="shared" ca="1" si="71"/>
        <v>0.80856819097795873</v>
      </c>
      <c r="P1810" s="180"/>
      <c r="Q1810" s="180"/>
      <c r="R1810" s="180"/>
      <c r="S1810" s="180"/>
      <c r="T1810" s="180"/>
    </row>
    <row r="1811" spans="1:20" x14ac:dyDescent="0.25">
      <c r="A1811" t="s">
        <v>243</v>
      </c>
      <c r="B1811" t="s">
        <v>237</v>
      </c>
      <c r="C1811" t="s">
        <v>238</v>
      </c>
      <c r="D1811" t="s">
        <v>248</v>
      </c>
      <c r="E1811" t="s">
        <v>229</v>
      </c>
      <c r="F1811">
        <v>2010</v>
      </c>
      <c r="G1811">
        <v>1.0857199999999999E-2</v>
      </c>
      <c r="H1811" t="s">
        <v>240</v>
      </c>
      <c r="I1811" t="s">
        <v>241</v>
      </c>
      <c r="J1811" t="s">
        <v>242</v>
      </c>
      <c r="K1811" s="183">
        <f ca="1">VLOOKUP(F1811,
    OFFSET(INDIRECT(ADDRESS(MATCH(J1811,'Vehicle numbers'!$A$5:$A$162,0),1,1,1,$L$6)),4,1,COUNTIF('Vehicle numbers'!$A$5:$A$162,J1811),4),
    MATCH(K$8,'Vehicle numbers'!$B$4:$D$4,0))*1000</f>
        <v>171202.99999999997</v>
      </c>
      <c r="L1811" s="183">
        <f ca="1">VLOOKUP(F1811,
    OFFSET(INDIRECT(ADDRESS(MATCH(J1811,'Vehicle numbers'!$A$5:$A$162,0),1,1,1,$L$6)),4,1,COUNTIF('Vehicle numbers'!$A$5:$A$162,J1811),4),
    MATCH(L$8,'Vehicle numbers'!$B$4:$D$4,0))*1000</f>
        <v>177184.77056357943</v>
      </c>
      <c r="M1811" s="184">
        <f>VLOOKUP(F1811,'Annual distance covered (GB)'!$A$8:$H$33,MATCH(J1811,'Annual distance covered (GB)'!$A$7:$H$7,0))</f>
        <v>5.0999999999999996</v>
      </c>
      <c r="N1811" s="2">
        <f t="shared" ca="1" si="70"/>
        <v>57306.387761375459</v>
      </c>
      <c r="O1811" s="180">
        <f t="shared" ca="1" si="71"/>
        <v>0.32342727639118474</v>
      </c>
      <c r="P1811" s="180"/>
      <c r="Q1811" s="180"/>
      <c r="R1811" s="180"/>
      <c r="S1811" s="180"/>
      <c r="T1811" s="180"/>
    </row>
    <row r="1812" spans="1:20" x14ac:dyDescent="0.25">
      <c r="A1812" t="s">
        <v>244</v>
      </c>
      <c r="B1812" t="s">
        <v>237</v>
      </c>
      <c r="C1812" t="s">
        <v>238</v>
      </c>
      <c r="D1812" t="s">
        <v>248</v>
      </c>
      <c r="E1812" t="s">
        <v>229</v>
      </c>
      <c r="F1812">
        <v>2010</v>
      </c>
      <c r="G1812">
        <v>2.7142999999999998E-3</v>
      </c>
      <c r="H1812" t="s">
        <v>240</v>
      </c>
      <c r="I1812" t="s">
        <v>241</v>
      </c>
      <c r="J1812" t="s">
        <v>242</v>
      </c>
      <c r="K1812" s="183">
        <f ca="1">VLOOKUP(F1812,
    OFFSET(INDIRECT(ADDRESS(MATCH(J1812,'Vehicle numbers'!$A$5:$A$162,0),1,1,1,$L$6)),4,1,COUNTIF('Vehicle numbers'!$A$5:$A$162,J1812),4),
    MATCH(K$8,'Vehicle numbers'!$B$4:$D$4,0))*1000</f>
        <v>171202.99999999997</v>
      </c>
      <c r="L1812" s="183">
        <f ca="1">VLOOKUP(F1812,
    OFFSET(INDIRECT(ADDRESS(MATCH(J1812,'Vehicle numbers'!$A$5:$A$162,0),1,1,1,$L$6)),4,1,COUNTIF('Vehicle numbers'!$A$5:$A$162,J1812),4),
    MATCH(L$8,'Vehicle numbers'!$B$4:$D$4,0))*1000</f>
        <v>177184.77056357943</v>
      </c>
      <c r="M1812" s="184">
        <f>VLOOKUP(F1812,'Annual distance covered (GB)'!$A$8:$H$33,MATCH(J1812,'Annual distance covered (GB)'!$A$7:$H$7,0))</f>
        <v>5.0999999999999996</v>
      </c>
      <c r="N1812" s="2">
        <f t="shared" ca="1" si="70"/>
        <v>14326.596940343865</v>
      </c>
      <c r="O1812" s="180">
        <f t="shared" ca="1" si="71"/>
        <v>8.0856819097796184E-2</v>
      </c>
      <c r="P1812" s="180"/>
      <c r="Q1812" s="180"/>
      <c r="R1812" s="180"/>
      <c r="S1812" s="180"/>
      <c r="T1812" s="180"/>
    </row>
    <row r="1813" spans="1:20" x14ac:dyDescent="0.25">
      <c r="A1813" t="s">
        <v>246</v>
      </c>
      <c r="B1813" t="s">
        <v>237</v>
      </c>
      <c r="C1813" t="s">
        <v>238</v>
      </c>
      <c r="D1813" t="s">
        <v>248</v>
      </c>
      <c r="E1813" t="s">
        <v>229</v>
      </c>
      <c r="F1813">
        <v>2010</v>
      </c>
      <c r="G1813">
        <v>2.1714400000000002E-3</v>
      </c>
      <c r="H1813" t="s">
        <v>240</v>
      </c>
      <c r="I1813" t="s">
        <v>241</v>
      </c>
      <c r="J1813" t="s">
        <v>242</v>
      </c>
      <c r="K1813" s="183">
        <f ca="1">VLOOKUP(F1813,
    OFFSET(INDIRECT(ADDRESS(MATCH(J1813,'Vehicle numbers'!$A$5:$A$162,0),1,1,1,$L$6)),4,1,COUNTIF('Vehicle numbers'!$A$5:$A$162,J1813),4),
    MATCH(K$8,'Vehicle numbers'!$B$4:$D$4,0))*1000</f>
        <v>171202.99999999997</v>
      </c>
      <c r="L1813" s="183">
        <f ca="1">VLOOKUP(F1813,
    OFFSET(INDIRECT(ADDRESS(MATCH(J1813,'Vehicle numbers'!$A$5:$A$162,0),1,1,1,$L$6)),4,1,COUNTIF('Vehicle numbers'!$A$5:$A$162,J1813),4),
    MATCH(L$8,'Vehicle numbers'!$B$4:$D$4,0))*1000</f>
        <v>177184.77056357943</v>
      </c>
      <c r="M1813" s="184">
        <f>VLOOKUP(F1813,'Annual distance covered (GB)'!$A$8:$H$33,MATCH(J1813,'Annual distance covered (GB)'!$A$7:$H$7,0))</f>
        <v>5.0999999999999996</v>
      </c>
      <c r="N1813" s="2">
        <f t="shared" ca="1" si="70"/>
        <v>11461.277552275093</v>
      </c>
      <c r="O1813" s="180">
        <f t="shared" ca="1" si="71"/>
        <v>6.468545527823695E-2</v>
      </c>
      <c r="P1813" s="180"/>
      <c r="Q1813" s="180"/>
      <c r="R1813" s="180"/>
      <c r="S1813" s="180"/>
      <c r="T1813" s="180"/>
    </row>
    <row r="1814" spans="1:20" x14ac:dyDescent="0.25">
      <c r="A1814" t="s">
        <v>236</v>
      </c>
      <c r="B1814" t="s">
        <v>237</v>
      </c>
      <c r="C1814" t="s">
        <v>238</v>
      </c>
      <c r="D1814" t="s">
        <v>248</v>
      </c>
      <c r="E1814" t="s">
        <v>228</v>
      </c>
      <c r="F1814">
        <v>2010</v>
      </c>
      <c r="G1814">
        <v>1.6857898777956799E-2</v>
      </c>
      <c r="H1814" t="s">
        <v>240</v>
      </c>
      <c r="I1814" t="s">
        <v>241</v>
      </c>
      <c r="J1814" t="s">
        <v>242</v>
      </c>
      <c r="K1814" s="183">
        <f ca="1">VLOOKUP(F1814,
    OFFSET(INDIRECT(ADDRESS(MATCH(J1814,'Vehicle numbers'!$A$5:$A$162,0),1,1,1,$L$6)),4,1,COUNTIF('Vehicle numbers'!$A$5:$A$162,J1814),4),
    MATCH(K$8,'Vehicle numbers'!$B$4:$D$4,0))*1000</f>
        <v>171202.99999999997</v>
      </c>
      <c r="L1814" s="183">
        <f ca="1">VLOOKUP(F1814,
    OFFSET(INDIRECT(ADDRESS(MATCH(J1814,'Vehicle numbers'!$A$5:$A$162,0),1,1,1,$L$6)),4,1,COUNTIF('Vehicle numbers'!$A$5:$A$162,J1814),4),
    MATCH(L$8,'Vehicle numbers'!$B$4:$D$4,0))*1000</f>
        <v>177184.77056357943</v>
      </c>
      <c r="M1814" s="184">
        <f>VLOOKUP(F1814,'Annual distance covered (GB)'!$A$8:$H$33,MATCH(J1814,'Annual distance covered (GB)'!$A$7:$H$7,0))</f>
        <v>5.0999999999999996</v>
      </c>
      <c r="N1814" s="2">
        <f t="shared" ca="1" si="70"/>
        <v>88979.228918285546</v>
      </c>
      <c r="O1814" s="180">
        <f t="shared" ca="1" si="71"/>
        <v>0.50218327814103536</v>
      </c>
      <c r="P1814" s="180"/>
      <c r="Q1814" s="180"/>
      <c r="R1814" s="180"/>
      <c r="S1814" s="180"/>
      <c r="T1814" s="180"/>
    </row>
    <row r="1815" spans="1:20" x14ac:dyDescent="0.25">
      <c r="A1815" t="s">
        <v>243</v>
      </c>
      <c r="B1815" t="s">
        <v>237</v>
      </c>
      <c r="C1815" t="s">
        <v>238</v>
      </c>
      <c r="D1815" t="s">
        <v>248</v>
      </c>
      <c r="E1815" t="s">
        <v>228</v>
      </c>
      <c r="F1815">
        <v>2010</v>
      </c>
      <c r="G1815">
        <v>1.1800529144569799E-2</v>
      </c>
      <c r="H1815" t="s">
        <v>240</v>
      </c>
      <c r="I1815" t="s">
        <v>241</v>
      </c>
      <c r="J1815" t="s">
        <v>242</v>
      </c>
      <c r="K1815" s="183">
        <f ca="1">VLOOKUP(F1815,
    OFFSET(INDIRECT(ADDRESS(MATCH(J1815,'Vehicle numbers'!$A$5:$A$162,0),1,1,1,$L$6)),4,1,COUNTIF('Vehicle numbers'!$A$5:$A$162,J1815),4),
    MATCH(K$8,'Vehicle numbers'!$B$4:$D$4,0))*1000</f>
        <v>171202.99999999997</v>
      </c>
      <c r="L1815" s="183">
        <f ca="1">VLOOKUP(F1815,
    OFFSET(INDIRECT(ADDRESS(MATCH(J1815,'Vehicle numbers'!$A$5:$A$162,0),1,1,1,$L$6)),4,1,COUNTIF('Vehicle numbers'!$A$5:$A$162,J1815),4),
    MATCH(L$8,'Vehicle numbers'!$B$4:$D$4,0))*1000</f>
        <v>177184.77056357943</v>
      </c>
      <c r="M1815" s="184">
        <f>VLOOKUP(F1815,'Annual distance covered (GB)'!$A$8:$H$33,MATCH(J1815,'Annual distance covered (GB)'!$A$7:$H$7,0))</f>
        <v>5.0999999999999996</v>
      </c>
      <c r="N1815" s="2">
        <f t="shared" ca="1" si="70"/>
        <v>62285.460242800094</v>
      </c>
      <c r="O1815" s="180">
        <f t="shared" ca="1" si="71"/>
        <v>0.35152829469872598</v>
      </c>
      <c r="P1815" s="180"/>
      <c r="Q1815" s="180"/>
      <c r="R1815" s="180"/>
      <c r="S1815" s="180"/>
      <c r="T1815" s="180"/>
    </row>
    <row r="1816" spans="1:20" x14ac:dyDescent="0.25">
      <c r="A1816" t="s">
        <v>244</v>
      </c>
      <c r="B1816" t="s">
        <v>237</v>
      </c>
      <c r="C1816" t="s">
        <v>238</v>
      </c>
      <c r="D1816" t="s">
        <v>248</v>
      </c>
      <c r="E1816" t="s">
        <v>228</v>
      </c>
      <c r="F1816">
        <v>2010</v>
      </c>
      <c r="G1816">
        <v>1.66204635839011E-3</v>
      </c>
      <c r="H1816" t="s">
        <v>240</v>
      </c>
      <c r="I1816" t="s">
        <v>241</v>
      </c>
      <c r="J1816" t="s">
        <v>242</v>
      </c>
      <c r="K1816" s="183">
        <f ca="1">VLOOKUP(F1816,
    OFFSET(INDIRECT(ADDRESS(MATCH(J1816,'Vehicle numbers'!$A$5:$A$162,0),1,1,1,$L$6)),4,1,COUNTIF('Vehicle numbers'!$A$5:$A$162,J1816),4),
    MATCH(K$8,'Vehicle numbers'!$B$4:$D$4,0))*1000</f>
        <v>171202.99999999997</v>
      </c>
      <c r="L1816" s="183">
        <f ca="1">VLOOKUP(F1816,
    OFFSET(INDIRECT(ADDRESS(MATCH(J1816,'Vehicle numbers'!$A$5:$A$162,0),1,1,1,$L$6)),4,1,COUNTIF('Vehicle numbers'!$A$5:$A$162,J1816),4),
    MATCH(L$8,'Vehicle numbers'!$B$4:$D$4,0))*1000</f>
        <v>177184.77056357943</v>
      </c>
      <c r="M1816" s="184">
        <f>VLOOKUP(F1816,'Annual distance covered (GB)'!$A$8:$H$33,MATCH(J1816,'Annual distance covered (GB)'!$A$7:$H$7,0))</f>
        <v>5.0999999999999996</v>
      </c>
      <c r="N1816" s="2">
        <f t="shared" ca="1" si="70"/>
        <v>8772.6000341971849</v>
      </c>
      <c r="O1816" s="180">
        <f t="shared" ca="1" si="71"/>
        <v>4.9511027422355705E-2</v>
      </c>
      <c r="P1816" s="180"/>
      <c r="Q1816" s="180"/>
      <c r="R1816" s="180"/>
      <c r="S1816" s="180"/>
      <c r="T1816" s="180"/>
    </row>
    <row r="1817" spans="1:20" x14ac:dyDescent="0.25">
      <c r="A1817" t="s">
        <v>246</v>
      </c>
      <c r="B1817" t="s">
        <v>237</v>
      </c>
      <c r="C1817" t="s">
        <v>238</v>
      </c>
      <c r="D1817" t="s">
        <v>248</v>
      </c>
      <c r="E1817" t="s">
        <v>228</v>
      </c>
      <c r="F1817">
        <v>2010</v>
      </c>
      <c r="G1817">
        <v>1.32963708671209E-3</v>
      </c>
      <c r="H1817" t="s">
        <v>240</v>
      </c>
      <c r="I1817" t="s">
        <v>241</v>
      </c>
      <c r="J1817" t="s">
        <v>242</v>
      </c>
      <c r="K1817" s="183">
        <f ca="1">VLOOKUP(F1817,
    OFFSET(INDIRECT(ADDRESS(MATCH(J1817,'Vehicle numbers'!$A$5:$A$162,0),1,1,1,$L$6)),4,1,COUNTIF('Vehicle numbers'!$A$5:$A$162,J1817),4),
    MATCH(K$8,'Vehicle numbers'!$B$4:$D$4,0))*1000</f>
        <v>171202.99999999997</v>
      </c>
      <c r="L1817" s="183">
        <f ca="1">VLOOKUP(F1817,
    OFFSET(INDIRECT(ADDRESS(MATCH(J1817,'Vehicle numbers'!$A$5:$A$162,0),1,1,1,$L$6)),4,1,COUNTIF('Vehicle numbers'!$A$5:$A$162,J1817),4),
    MATCH(L$8,'Vehicle numbers'!$B$4:$D$4,0))*1000</f>
        <v>177184.77056357943</v>
      </c>
      <c r="M1817" s="184">
        <f>VLOOKUP(F1817,'Annual distance covered (GB)'!$A$8:$H$33,MATCH(J1817,'Annual distance covered (GB)'!$A$7:$H$7,0))</f>
        <v>5.0999999999999996</v>
      </c>
      <c r="N1817" s="2">
        <f t="shared" ca="1" si="70"/>
        <v>7018.080027357757</v>
      </c>
      <c r="O1817" s="180">
        <f t="shared" ca="1" si="71"/>
        <v>3.9608821937884613E-2</v>
      </c>
      <c r="P1817" s="180"/>
      <c r="Q1817" s="180"/>
      <c r="R1817" s="180"/>
      <c r="S1817" s="180"/>
      <c r="T1817" s="180"/>
    </row>
    <row r="1818" spans="1:20" x14ac:dyDescent="0.25">
      <c r="A1818" t="s">
        <v>236</v>
      </c>
      <c r="B1818" t="s">
        <v>237</v>
      </c>
      <c r="C1818" t="s">
        <v>238</v>
      </c>
      <c r="D1818" t="s">
        <v>249</v>
      </c>
      <c r="E1818" t="s">
        <v>229</v>
      </c>
      <c r="F1818">
        <v>2010</v>
      </c>
      <c r="G1818">
        <v>5.3595000000000101E-2</v>
      </c>
      <c r="H1818" t="s">
        <v>240</v>
      </c>
      <c r="I1818" t="s">
        <v>241</v>
      </c>
      <c r="J1818" t="s">
        <v>242</v>
      </c>
      <c r="K1818" s="183">
        <f ca="1">VLOOKUP(F1818,
    OFFSET(INDIRECT(ADDRESS(MATCH(J1818,'Vehicle numbers'!$A$5:$A$162,0),1,1,1,$L$6)),4,1,COUNTIF('Vehicle numbers'!$A$5:$A$162,J1818),4),
    MATCH(K$8,'Vehicle numbers'!$B$4:$D$4,0))*1000</f>
        <v>171202.99999999997</v>
      </c>
      <c r="L1818" s="183">
        <f ca="1">VLOOKUP(F1818,
    OFFSET(INDIRECT(ADDRESS(MATCH(J1818,'Vehicle numbers'!$A$5:$A$162,0),1,1,1,$L$6)),4,1,COUNTIF('Vehicle numbers'!$A$5:$A$162,J1818),4),
    MATCH(L$8,'Vehicle numbers'!$B$4:$D$4,0))*1000</f>
        <v>177184.77056357943</v>
      </c>
      <c r="M1818" s="184">
        <f>VLOOKUP(F1818,'Annual distance covered (GB)'!$A$8:$H$33,MATCH(J1818,'Annual distance covered (GB)'!$A$7:$H$7,0))</f>
        <v>5.0999999999999996</v>
      </c>
      <c r="N1818" s="2">
        <f t="shared" ca="1" si="70"/>
        <v>282884.70803438488</v>
      </c>
      <c r="O1818" s="180">
        <f t="shared" ca="1" si="71"/>
        <v>1.5965520464010592</v>
      </c>
      <c r="P1818" s="180"/>
      <c r="Q1818" s="180"/>
      <c r="R1818" s="180"/>
      <c r="S1818" s="180"/>
      <c r="T1818" s="180"/>
    </row>
    <row r="1819" spans="1:20" x14ac:dyDescent="0.25">
      <c r="A1819" t="s">
        <v>243</v>
      </c>
      <c r="B1819" t="s">
        <v>237</v>
      </c>
      <c r="C1819" t="s">
        <v>238</v>
      </c>
      <c r="D1819" t="s">
        <v>249</v>
      </c>
      <c r="E1819" t="s">
        <v>229</v>
      </c>
      <c r="F1819">
        <v>2010</v>
      </c>
      <c r="G1819">
        <v>2.1437999999999999E-2</v>
      </c>
      <c r="H1819" t="s">
        <v>240</v>
      </c>
      <c r="I1819" t="s">
        <v>241</v>
      </c>
      <c r="J1819" t="s">
        <v>242</v>
      </c>
      <c r="K1819" s="183">
        <f ca="1">VLOOKUP(F1819,
    OFFSET(INDIRECT(ADDRESS(MATCH(J1819,'Vehicle numbers'!$A$5:$A$162,0),1,1,1,$L$6)),4,1,COUNTIF('Vehicle numbers'!$A$5:$A$162,J1819),4),
    MATCH(K$8,'Vehicle numbers'!$B$4:$D$4,0))*1000</f>
        <v>171202.99999999997</v>
      </c>
      <c r="L1819" s="183">
        <f ca="1">VLOOKUP(F1819,
    OFFSET(INDIRECT(ADDRESS(MATCH(J1819,'Vehicle numbers'!$A$5:$A$162,0),1,1,1,$L$6)),4,1,COUNTIF('Vehicle numbers'!$A$5:$A$162,J1819),4),
    MATCH(L$8,'Vehicle numbers'!$B$4:$D$4,0))*1000</f>
        <v>177184.77056357943</v>
      </c>
      <c r="M1819" s="184">
        <f>VLOOKUP(F1819,'Annual distance covered (GB)'!$A$8:$H$33,MATCH(J1819,'Annual distance covered (GB)'!$A$7:$H$7,0))</f>
        <v>5.0999999999999996</v>
      </c>
      <c r="N1819" s="2">
        <f t="shared" ca="1" si="70"/>
        <v>113153.88321375372</v>
      </c>
      <c r="O1819" s="180">
        <f t="shared" ca="1" si="71"/>
        <v>0.63862081856042241</v>
      </c>
      <c r="P1819" s="180"/>
      <c r="Q1819" s="180"/>
      <c r="R1819" s="180"/>
      <c r="S1819" s="180"/>
      <c r="T1819" s="180"/>
    </row>
    <row r="1820" spans="1:20" x14ac:dyDescent="0.25">
      <c r="A1820" t="s">
        <v>244</v>
      </c>
      <c r="B1820" t="s">
        <v>237</v>
      </c>
      <c r="C1820" t="s">
        <v>238</v>
      </c>
      <c r="D1820" t="s">
        <v>249</v>
      </c>
      <c r="E1820" t="s">
        <v>229</v>
      </c>
      <c r="F1820">
        <v>2010</v>
      </c>
      <c r="G1820">
        <v>5.3594999999999997E-3</v>
      </c>
      <c r="H1820" t="s">
        <v>240</v>
      </c>
      <c r="I1820" t="s">
        <v>241</v>
      </c>
      <c r="J1820" t="s">
        <v>242</v>
      </c>
      <c r="K1820" s="183">
        <f ca="1">VLOOKUP(F1820,
    OFFSET(INDIRECT(ADDRESS(MATCH(J1820,'Vehicle numbers'!$A$5:$A$162,0),1,1,1,$L$6)),4,1,COUNTIF('Vehicle numbers'!$A$5:$A$162,J1820),4),
    MATCH(K$8,'Vehicle numbers'!$B$4:$D$4,0))*1000</f>
        <v>171202.99999999997</v>
      </c>
      <c r="L1820" s="183">
        <f ca="1">VLOOKUP(F1820,
    OFFSET(INDIRECT(ADDRESS(MATCH(J1820,'Vehicle numbers'!$A$5:$A$162,0),1,1,1,$L$6)),4,1,COUNTIF('Vehicle numbers'!$A$5:$A$162,J1820),4),
    MATCH(L$8,'Vehicle numbers'!$B$4:$D$4,0))*1000</f>
        <v>177184.77056357943</v>
      </c>
      <c r="M1820" s="184">
        <f>VLOOKUP(F1820,'Annual distance covered (GB)'!$A$8:$H$33,MATCH(J1820,'Annual distance covered (GB)'!$A$7:$H$7,0))</f>
        <v>5.0999999999999996</v>
      </c>
      <c r="N1820" s="2">
        <f t="shared" ca="1" si="70"/>
        <v>28288.470803438431</v>
      </c>
      <c r="O1820" s="180">
        <f t="shared" ca="1" si="71"/>
        <v>0.1596552046401056</v>
      </c>
      <c r="P1820" s="180"/>
      <c r="Q1820" s="180"/>
      <c r="R1820" s="180"/>
      <c r="S1820" s="180"/>
      <c r="T1820" s="180"/>
    </row>
    <row r="1821" spans="1:20" x14ac:dyDescent="0.25">
      <c r="A1821" t="s">
        <v>246</v>
      </c>
      <c r="B1821" t="s">
        <v>237</v>
      </c>
      <c r="C1821" t="s">
        <v>238</v>
      </c>
      <c r="D1821" t="s">
        <v>249</v>
      </c>
      <c r="E1821" t="s">
        <v>229</v>
      </c>
      <c r="F1821">
        <v>2010</v>
      </c>
      <c r="G1821">
        <v>4.2875999999999999E-3</v>
      </c>
      <c r="H1821" t="s">
        <v>240</v>
      </c>
      <c r="I1821" t="s">
        <v>241</v>
      </c>
      <c r="J1821" t="s">
        <v>242</v>
      </c>
      <c r="K1821" s="183">
        <f ca="1">VLOOKUP(F1821,
    OFFSET(INDIRECT(ADDRESS(MATCH(J1821,'Vehicle numbers'!$A$5:$A$162,0),1,1,1,$L$6)),4,1,COUNTIF('Vehicle numbers'!$A$5:$A$162,J1821),4),
    MATCH(K$8,'Vehicle numbers'!$B$4:$D$4,0))*1000</f>
        <v>171202.99999999997</v>
      </c>
      <c r="L1821" s="183">
        <f ca="1">VLOOKUP(F1821,
    OFFSET(INDIRECT(ADDRESS(MATCH(J1821,'Vehicle numbers'!$A$5:$A$162,0),1,1,1,$L$6)),4,1,COUNTIF('Vehicle numbers'!$A$5:$A$162,J1821),4),
    MATCH(L$8,'Vehicle numbers'!$B$4:$D$4,0))*1000</f>
        <v>177184.77056357943</v>
      </c>
      <c r="M1821" s="184">
        <f>VLOOKUP(F1821,'Annual distance covered (GB)'!$A$8:$H$33,MATCH(J1821,'Annual distance covered (GB)'!$A$7:$H$7,0))</f>
        <v>5.0999999999999996</v>
      </c>
      <c r="N1821" s="2">
        <f t="shared" ca="1" si="70"/>
        <v>22630.776642750749</v>
      </c>
      <c r="O1821" s="180">
        <f t="shared" ca="1" si="71"/>
        <v>0.1277241637120845</v>
      </c>
      <c r="P1821" s="180"/>
      <c r="Q1821" s="180"/>
      <c r="R1821" s="180"/>
      <c r="S1821" s="180"/>
      <c r="T1821" s="180"/>
    </row>
    <row r="1822" spans="1:20" x14ac:dyDescent="0.25">
      <c r="A1822" t="s">
        <v>236</v>
      </c>
      <c r="B1822" t="s">
        <v>237</v>
      </c>
      <c r="C1822" t="s">
        <v>238</v>
      </c>
      <c r="D1822" t="s">
        <v>249</v>
      </c>
      <c r="E1822" t="s">
        <v>228</v>
      </c>
      <c r="F1822">
        <v>2010</v>
      </c>
      <c r="G1822">
        <v>2.1389941329481299E-2</v>
      </c>
      <c r="H1822" t="s">
        <v>240</v>
      </c>
      <c r="I1822" t="s">
        <v>241</v>
      </c>
      <c r="J1822" t="s">
        <v>242</v>
      </c>
      <c r="K1822" s="183">
        <f ca="1">VLOOKUP(F1822,
    OFFSET(INDIRECT(ADDRESS(MATCH(J1822,'Vehicle numbers'!$A$5:$A$162,0),1,1,1,$L$6)),4,1,COUNTIF('Vehicle numbers'!$A$5:$A$162,J1822),4),
    MATCH(K$8,'Vehicle numbers'!$B$4:$D$4,0))*1000</f>
        <v>171202.99999999997</v>
      </c>
      <c r="L1822" s="183">
        <f ca="1">VLOOKUP(F1822,
    OFFSET(INDIRECT(ADDRESS(MATCH(J1822,'Vehicle numbers'!$A$5:$A$162,0),1,1,1,$L$6)),4,1,COUNTIF('Vehicle numbers'!$A$5:$A$162,J1822),4),
    MATCH(L$8,'Vehicle numbers'!$B$4:$D$4,0))*1000</f>
        <v>177184.77056357943</v>
      </c>
      <c r="M1822" s="184">
        <f>VLOOKUP(F1822,'Annual distance covered (GB)'!$A$8:$H$33,MATCH(J1822,'Annual distance covered (GB)'!$A$7:$H$7,0))</f>
        <v>5.0999999999999996</v>
      </c>
      <c r="N1822" s="2">
        <f t="shared" ca="1" si="70"/>
        <v>112900.22031650206</v>
      </c>
      <c r="O1822" s="180">
        <f t="shared" ca="1" si="71"/>
        <v>0.63718918932702484</v>
      </c>
      <c r="P1822" s="180"/>
      <c r="Q1822" s="180"/>
      <c r="R1822" s="180"/>
      <c r="S1822" s="180"/>
      <c r="T1822" s="180"/>
    </row>
    <row r="1823" spans="1:20" x14ac:dyDescent="0.25">
      <c r="A1823" t="s">
        <v>243</v>
      </c>
      <c r="B1823" t="s">
        <v>237</v>
      </c>
      <c r="C1823" t="s">
        <v>238</v>
      </c>
      <c r="D1823" t="s">
        <v>249</v>
      </c>
      <c r="E1823" t="s">
        <v>228</v>
      </c>
      <c r="F1823">
        <v>2010</v>
      </c>
      <c r="G1823">
        <v>1.4972958930636901E-2</v>
      </c>
      <c r="H1823" t="s">
        <v>240</v>
      </c>
      <c r="I1823" t="s">
        <v>241</v>
      </c>
      <c r="J1823" t="s">
        <v>242</v>
      </c>
      <c r="K1823" s="183">
        <f ca="1">VLOOKUP(F1823,
    OFFSET(INDIRECT(ADDRESS(MATCH(J1823,'Vehicle numbers'!$A$5:$A$162,0),1,1,1,$L$6)),4,1,COUNTIF('Vehicle numbers'!$A$5:$A$162,J1823),4),
    MATCH(K$8,'Vehicle numbers'!$B$4:$D$4,0))*1000</f>
        <v>171202.99999999997</v>
      </c>
      <c r="L1823" s="183">
        <f ca="1">VLOOKUP(F1823,
    OFFSET(INDIRECT(ADDRESS(MATCH(J1823,'Vehicle numbers'!$A$5:$A$162,0),1,1,1,$L$6)),4,1,COUNTIF('Vehicle numbers'!$A$5:$A$162,J1823),4),
    MATCH(L$8,'Vehicle numbers'!$B$4:$D$4,0))*1000</f>
        <v>177184.77056357943</v>
      </c>
      <c r="M1823" s="184">
        <f>VLOOKUP(F1823,'Annual distance covered (GB)'!$A$8:$H$33,MATCH(J1823,'Annual distance covered (GB)'!$A$7:$H$7,0))</f>
        <v>5.0999999999999996</v>
      </c>
      <c r="N1823" s="2">
        <f t="shared" ca="1" si="70"/>
        <v>79030.154221551405</v>
      </c>
      <c r="O1823" s="180">
        <f t="shared" ca="1" si="71"/>
        <v>0.44603243252891717</v>
      </c>
      <c r="P1823" s="180"/>
      <c r="Q1823" s="180"/>
      <c r="R1823" s="180"/>
      <c r="S1823" s="180"/>
      <c r="T1823" s="180"/>
    </row>
    <row r="1824" spans="1:20" x14ac:dyDescent="0.25">
      <c r="A1824" t="s">
        <v>244</v>
      </c>
      <c r="B1824" t="s">
        <v>237</v>
      </c>
      <c r="C1824" t="s">
        <v>238</v>
      </c>
      <c r="D1824" t="s">
        <v>249</v>
      </c>
      <c r="E1824" t="s">
        <v>228</v>
      </c>
      <c r="F1824">
        <v>2010</v>
      </c>
      <c r="G1824">
        <v>2.10886745501928E-3</v>
      </c>
      <c r="H1824" t="s">
        <v>240</v>
      </c>
      <c r="I1824" t="s">
        <v>241</v>
      </c>
      <c r="J1824" t="s">
        <v>242</v>
      </c>
      <c r="K1824" s="183">
        <f ca="1">VLOOKUP(F1824,
    OFFSET(INDIRECT(ADDRESS(MATCH(J1824,'Vehicle numbers'!$A$5:$A$162,0),1,1,1,$L$6)),4,1,COUNTIF('Vehicle numbers'!$A$5:$A$162,J1824),4),
    MATCH(K$8,'Vehicle numbers'!$B$4:$D$4,0))*1000</f>
        <v>171202.99999999997</v>
      </c>
      <c r="L1824" s="183">
        <f ca="1">VLOOKUP(F1824,
    OFFSET(INDIRECT(ADDRESS(MATCH(J1824,'Vehicle numbers'!$A$5:$A$162,0),1,1,1,$L$6)),4,1,COUNTIF('Vehicle numbers'!$A$5:$A$162,J1824),4),
    MATCH(L$8,'Vehicle numbers'!$B$4:$D$4,0))*1000</f>
        <v>177184.77056357943</v>
      </c>
      <c r="M1824" s="184">
        <f>VLOOKUP(F1824,'Annual distance covered (GB)'!$A$8:$H$33,MATCH(J1824,'Annual distance covered (GB)'!$A$7:$H$7,0))</f>
        <v>5.0999999999999996</v>
      </c>
      <c r="N1824" s="2">
        <f t="shared" ca="1" si="70"/>
        <v>11131.007636838216</v>
      </c>
      <c r="O1824" s="180">
        <f t="shared" ca="1" si="71"/>
        <v>6.2821469370269958E-2</v>
      </c>
      <c r="P1824" s="180"/>
      <c r="Q1824" s="180"/>
      <c r="R1824" s="180"/>
      <c r="S1824" s="180"/>
      <c r="T1824" s="180"/>
    </row>
    <row r="1825" spans="1:20" x14ac:dyDescent="0.25">
      <c r="A1825" t="s">
        <v>246</v>
      </c>
      <c r="B1825" t="s">
        <v>237</v>
      </c>
      <c r="C1825" t="s">
        <v>238</v>
      </c>
      <c r="D1825" t="s">
        <v>249</v>
      </c>
      <c r="E1825" t="s">
        <v>228</v>
      </c>
      <c r="F1825">
        <v>2010</v>
      </c>
      <c r="G1825">
        <v>1.68709396401542E-3</v>
      </c>
      <c r="H1825" t="s">
        <v>240</v>
      </c>
      <c r="I1825" t="s">
        <v>241</v>
      </c>
      <c r="J1825" t="s">
        <v>242</v>
      </c>
      <c r="K1825" s="183">
        <f ca="1">VLOOKUP(F1825,
    OFFSET(INDIRECT(ADDRESS(MATCH(J1825,'Vehicle numbers'!$A$5:$A$162,0),1,1,1,$L$6)),4,1,COUNTIF('Vehicle numbers'!$A$5:$A$162,J1825),4),
    MATCH(K$8,'Vehicle numbers'!$B$4:$D$4,0))*1000</f>
        <v>171202.99999999997</v>
      </c>
      <c r="L1825" s="183">
        <f ca="1">VLOOKUP(F1825,
    OFFSET(INDIRECT(ADDRESS(MATCH(J1825,'Vehicle numbers'!$A$5:$A$162,0),1,1,1,$L$6)),4,1,COUNTIF('Vehicle numbers'!$A$5:$A$162,J1825),4),
    MATCH(L$8,'Vehicle numbers'!$B$4:$D$4,0))*1000</f>
        <v>177184.77056357943</v>
      </c>
      <c r="M1825" s="184">
        <f>VLOOKUP(F1825,'Annual distance covered (GB)'!$A$8:$H$33,MATCH(J1825,'Annual distance covered (GB)'!$A$7:$H$7,0))</f>
        <v>5.0999999999999996</v>
      </c>
      <c r="N1825" s="2">
        <f t="shared" ca="1" si="70"/>
        <v>8904.8061094705517</v>
      </c>
      <c r="O1825" s="180">
        <f t="shared" ca="1" si="71"/>
        <v>5.0257175496215854E-2</v>
      </c>
      <c r="P1825" s="180"/>
      <c r="Q1825" s="180"/>
      <c r="R1825" s="180"/>
      <c r="S1825" s="180"/>
      <c r="T1825" s="180"/>
    </row>
    <row r="1826" spans="1:20" x14ac:dyDescent="0.25">
      <c r="A1826" t="s">
        <v>236</v>
      </c>
      <c r="B1826" t="s">
        <v>237</v>
      </c>
      <c r="C1826" t="s">
        <v>238</v>
      </c>
      <c r="D1826" t="s">
        <v>250</v>
      </c>
      <c r="E1826" t="s">
        <v>229</v>
      </c>
      <c r="F1826">
        <v>2010</v>
      </c>
      <c r="G1826">
        <v>1.3600000000000001E-3</v>
      </c>
      <c r="H1826" t="s">
        <v>240</v>
      </c>
      <c r="I1826" t="s">
        <v>241</v>
      </c>
      <c r="J1826" t="s">
        <v>2</v>
      </c>
      <c r="K1826" s="183">
        <f ca="1">VLOOKUP(F1826,
    OFFSET(INDIRECT(ADDRESS(MATCH(J1826,'Vehicle numbers'!$A$5:$A$162,0),1,1,1,$L$6)),4,1,COUNTIF('Vehicle numbers'!$A$5:$A$162,J1826),4),
    MATCH(K$8,'Vehicle numbers'!$B$4:$D$4,0))*1000</f>
        <v>28420877</v>
      </c>
      <c r="L1826" s="183">
        <f ca="1">VLOOKUP(F1826,
    OFFSET(INDIRECT(ADDRESS(MATCH(J1826,'Vehicle numbers'!$A$5:$A$162,0),1,1,1,$L$6)),4,1,COUNTIF('Vehicle numbers'!$A$5:$A$162,J1826),4),
    MATCH(L$8,'Vehicle numbers'!$B$4:$D$4,0))*1000</f>
        <v>29294321.56181898</v>
      </c>
      <c r="M1826" s="184">
        <f>VLOOKUP(F1826,'Annual distance covered (GB)'!$A$8:$H$33,MATCH(J1826,'Annual distance covered (GB)'!$A$7:$H$7,0))</f>
        <v>389.2</v>
      </c>
      <c r="N1826" s="2">
        <f t="shared" ca="1" si="70"/>
        <v>545579.08028417022</v>
      </c>
      <c r="O1826" s="180">
        <f t="shared" ca="1" si="71"/>
        <v>1.8624055830507975E-2</v>
      </c>
      <c r="P1826" s="180"/>
      <c r="Q1826" s="180"/>
      <c r="R1826" s="180"/>
      <c r="S1826" s="180"/>
      <c r="T1826" s="180"/>
    </row>
    <row r="1827" spans="1:20" x14ac:dyDescent="0.25">
      <c r="A1827" t="s">
        <v>243</v>
      </c>
      <c r="B1827" t="s">
        <v>237</v>
      </c>
      <c r="C1827" t="s">
        <v>238</v>
      </c>
      <c r="D1827" t="s">
        <v>250</v>
      </c>
      <c r="E1827" t="s">
        <v>229</v>
      </c>
      <c r="F1827">
        <v>2010</v>
      </c>
      <c r="G1827">
        <v>5.44E-4</v>
      </c>
      <c r="H1827" t="s">
        <v>240</v>
      </c>
      <c r="I1827" t="s">
        <v>241</v>
      </c>
      <c r="J1827" t="s">
        <v>2</v>
      </c>
      <c r="K1827" s="183">
        <f ca="1">VLOOKUP(F1827,
    OFFSET(INDIRECT(ADDRESS(MATCH(J1827,'Vehicle numbers'!$A$5:$A$162,0),1,1,1,$L$6)),4,1,COUNTIF('Vehicle numbers'!$A$5:$A$162,J1827),4),
    MATCH(K$8,'Vehicle numbers'!$B$4:$D$4,0))*1000</f>
        <v>28420877</v>
      </c>
      <c r="L1827" s="183">
        <f ca="1">VLOOKUP(F1827,
    OFFSET(INDIRECT(ADDRESS(MATCH(J1827,'Vehicle numbers'!$A$5:$A$162,0),1,1,1,$L$6)),4,1,COUNTIF('Vehicle numbers'!$A$5:$A$162,J1827),4),
    MATCH(L$8,'Vehicle numbers'!$B$4:$D$4,0))*1000</f>
        <v>29294321.56181898</v>
      </c>
      <c r="M1827" s="184">
        <f>VLOOKUP(F1827,'Annual distance covered (GB)'!$A$8:$H$33,MATCH(J1827,'Annual distance covered (GB)'!$A$7:$H$7,0))</f>
        <v>389.2</v>
      </c>
      <c r="N1827" s="2">
        <f t="shared" ca="1" si="70"/>
        <v>218231.63211366808</v>
      </c>
      <c r="O1827" s="180">
        <f t="shared" ca="1" si="71"/>
        <v>7.4496223322031889E-3</v>
      </c>
      <c r="P1827" s="180"/>
      <c r="Q1827" s="180"/>
      <c r="R1827" s="180"/>
      <c r="S1827" s="180"/>
      <c r="T1827" s="180"/>
    </row>
    <row r="1828" spans="1:20" x14ac:dyDescent="0.25">
      <c r="A1828" t="s">
        <v>244</v>
      </c>
      <c r="B1828" t="s">
        <v>237</v>
      </c>
      <c r="C1828" t="s">
        <v>238</v>
      </c>
      <c r="D1828" t="s">
        <v>250</v>
      </c>
      <c r="E1828" t="s">
        <v>229</v>
      </c>
      <c r="F1828">
        <v>2010</v>
      </c>
      <c r="G1828">
        <v>1.36E-4</v>
      </c>
      <c r="H1828" t="s">
        <v>240</v>
      </c>
      <c r="I1828" t="s">
        <v>241</v>
      </c>
      <c r="J1828" t="s">
        <v>2</v>
      </c>
      <c r="K1828" s="183">
        <f ca="1">VLOOKUP(F1828,
    OFFSET(INDIRECT(ADDRESS(MATCH(J1828,'Vehicle numbers'!$A$5:$A$162,0),1,1,1,$L$6)),4,1,COUNTIF('Vehicle numbers'!$A$5:$A$162,J1828),4),
    MATCH(K$8,'Vehicle numbers'!$B$4:$D$4,0))*1000</f>
        <v>28420877</v>
      </c>
      <c r="L1828" s="183">
        <f ca="1">VLOOKUP(F1828,
    OFFSET(INDIRECT(ADDRESS(MATCH(J1828,'Vehicle numbers'!$A$5:$A$162,0),1,1,1,$L$6)),4,1,COUNTIF('Vehicle numbers'!$A$5:$A$162,J1828),4),
    MATCH(L$8,'Vehicle numbers'!$B$4:$D$4,0))*1000</f>
        <v>29294321.56181898</v>
      </c>
      <c r="M1828" s="184">
        <f>VLOOKUP(F1828,'Annual distance covered (GB)'!$A$8:$H$33,MATCH(J1828,'Annual distance covered (GB)'!$A$7:$H$7,0))</f>
        <v>389.2</v>
      </c>
      <c r="N1828" s="2">
        <f t="shared" ca="1" si="70"/>
        <v>54557.90802841702</v>
      </c>
      <c r="O1828" s="180">
        <f t="shared" ca="1" si="71"/>
        <v>1.8624055830507972E-3</v>
      </c>
      <c r="P1828" s="180"/>
      <c r="Q1828" s="180"/>
      <c r="R1828" s="180"/>
      <c r="S1828" s="180"/>
      <c r="T1828" s="180"/>
    </row>
    <row r="1829" spans="1:20" x14ac:dyDescent="0.25">
      <c r="A1829" t="s">
        <v>246</v>
      </c>
      <c r="B1829" t="s">
        <v>237</v>
      </c>
      <c r="C1829" t="s">
        <v>238</v>
      </c>
      <c r="D1829" t="s">
        <v>250</v>
      </c>
      <c r="E1829" t="s">
        <v>229</v>
      </c>
      <c r="F1829">
        <v>2010</v>
      </c>
      <c r="G1829">
        <v>1.088E-4</v>
      </c>
      <c r="H1829" t="s">
        <v>240</v>
      </c>
      <c r="I1829" t="s">
        <v>241</v>
      </c>
      <c r="J1829" t="s">
        <v>2</v>
      </c>
      <c r="K1829" s="183">
        <f ca="1">VLOOKUP(F1829,
    OFFSET(INDIRECT(ADDRESS(MATCH(J1829,'Vehicle numbers'!$A$5:$A$162,0),1,1,1,$L$6)),4,1,COUNTIF('Vehicle numbers'!$A$5:$A$162,J1829),4),
    MATCH(K$8,'Vehicle numbers'!$B$4:$D$4,0))*1000</f>
        <v>28420877</v>
      </c>
      <c r="L1829" s="183">
        <f ca="1">VLOOKUP(F1829,
    OFFSET(INDIRECT(ADDRESS(MATCH(J1829,'Vehicle numbers'!$A$5:$A$162,0),1,1,1,$L$6)),4,1,COUNTIF('Vehicle numbers'!$A$5:$A$162,J1829),4),
    MATCH(L$8,'Vehicle numbers'!$B$4:$D$4,0))*1000</f>
        <v>29294321.56181898</v>
      </c>
      <c r="M1829" s="184">
        <f>VLOOKUP(F1829,'Annual distance covered (GB)'!$A$8:$H$33,MATCH(J1829,'Annual distance covered (GB)'!$A$7:$H$7,0))</f>
        <v>389.2</v>
      </c>
      <c r="N1829" s="2">
        <f t="shared" ca="1" si="70"/>
        <v>43646.326422733619</v>
      </c>
      <c r="O1829" s="180">
        <f t="shared" ca="1" si="71"/>
        <v>1.489924466440638E-3</v>
      </c>
      <c r="P1829" s="180"/>
      <c r="Q1829" s="180"/>
      <c r="R1829" s="180"/>
      <c r="S1829" s="180"/>
      <c r="T1829" s="180"/>
    </row>
    <row r="1830" spans="1:20" x14ac:dyDescent="0.25">
      <c r="A1830" t="s">
        <v>236</v>
      </c>
      <c r="B1830" t="s">
        <v>237</v>
      </c>
      <c r="C1830" t="s">
        <v>238</v>
      </c>
      <c r="D1830" t="s">
        <v>250</v>
      </c>
      <c r="E1830" t="s">
        <v>228</v>
      </c>
      <c r="F1830">
        <v>2010</v>
      </c>
      <c r="G1830">
        <v>5.7910000000000001E-3</v>
      </c>
      <c r="H1830" t="s">
        <v>240</v>
      </c>
      <c r="I1830" t="s">
        <v>241</v>
      </c>
      <c r="J1830" t="s">
        <v>2</v>
      </c>
      <c r="K1830" s="183">
        <f ca="1">VLOOKUP(F1830,
    OFFSET(INDIRECT(ADDRESS(MATCH(J1830,'Vehicle numbers'!$A$5:$A$162,0),1,1,1,$L$6)),4,1,COUNTIF('Vehicle numbers'!$A$5:$A$162,J1830),4),
    MATCH(K$8,'Vehicle numbers'!$B$4:$D$4,0))*1000</f>
        <v>28420877</v>
      </c>
      <c r="L1830" s="183">
        <f ca="1">VLOOKUP(F1830,
    OFFSET(INDIRECT(ADDRESS(MATCH(J1830,'Vehicle numbers'!$A$5:$A$162,0),1,1,1,$L$6)),4,1,COUNTIF('Vehicle numbers'!$A$5:$A$162,J1830),4),
    MATCH(L$8,'Vehicle numbers'!$B$4:$D$4,0))*1000</f>
        <v>29294321.56181898</v>
      </c>
      <c r="M1830" s="184">
        <f>VLOOKUP(F1830,'Annual distance covered (GB)'!$A$8:$H$33,MATCH(J1830,'Annual distance covered (GB)'!$A$7:$H$7,0))</f>
        <v>389.2</v>
      </c>
      <c r="N1830" s="2">
        <f t="shared" ca="1" si="70"/>
        <v>2323123.8631806104</v>
      </c>
      <c r="O1830" s="180">
        <f t="shared" ca="1" si="71"/>
        <v>7.9302873025346832E-2</v>
      </c>
      <c r="P1830" s="180"/>
      <c r="Q1830" s="180"/>
      <c r="R1830" s="180"/>
      <c r="S1830" s="180"/>
      <c r="T1830" s="180"/>
    </row>
    <row r="1831" spans="1:20" x14ac:dyDescent="0.25">
      <c r="A1831" t="s">
        <v>243</v>
      </c>
      <c r="B1831" t="s">
        <v>237</v>
      </c>
      <c r="C1831" t="s">
        <v>238</v>
      </c>
      <c r="D1831" t="s">
        <v>250</v>
      </c>
      <c r="E1831" t="s">
        <v>228</v>
      </c>
      <c r="F1831">
        <v>2010</v>
      </c>
      <c r="G1831">
        <v>4.0537000000000004E-3</v>
      </c>
      <c r="H1831" t="s">
        <v>240</v>
      </c>
      <c r="I1831" t="s">
        <v>241</v>
      </c>
      <c r="J1831" t="s">
        <v>2</v>
      </c>
      <c r="K1831" s="183">
        <f ca="1">VLOOKUP(F1831,
    OFFSET(INDIRECT(ADDRESS(MATCH(J1831,'Vehicle numbers'!$A$5:$A$162,0),1,1,1,$L$6)),4,1,COUNTIF('Vehicle numbers'!$A$5:$A$162,J1831),4),
    MATCH(K$8,'Vehicle numbers'!$B$4:$D$4,0))*1000</f>
        <v>28420877</v>
      </c>
      <c r="L1831" s="183">
        <f ca="1">VLOOKUP(F1831,
    OFFSET(INDIRECT(ADDRESS(MATCH(J1831,'Vehicle numbers'!$A$5:$A$162,0),1,1,1,$L$6)),4,1,COUNTIF('Vehicle numbers'!$A$5:$A$162,J1831),4),
    MATCH(L$8,'Vehicle numbers'!$B$4:$D$4,0))*1000</f>
        <v>29294321.56181898</v>
      </c>
      <c r="M1831" s="184">
        <f>VLOOKUP(F1831,'Annual distance covered (GB)'!$A$8:$H$33,MATCH(J1831,'Annual distance covered (GB)'!$A$7:$H$7,0))</f>
        <v>389.2</v>
      </c>
      <c r="N1831" s="2">
        <f t="shared" ca="1" si="70"/>
        <v>1626186.7042264272</v>
      </c>
      <c r="O1831" s="180">
        <f t="shared" ca="1" si="71"/>
        <v>5.5512011117742781E-2</v>
      </c>
      <c r="P1831" s="180"/>
      <c r="Q1831" s="180"/>
      <c r="R1831" s="180"/>
      <c r="S1831" s="180"/>
      <c r="T1831" s="180"/>
    </row>
    <row r="1832" spans="1:20" x14ac:dyDescent="0.25">
      <c r="A1832" t="s">
        <v>244</v>
      </c>
      <c r="B1832" t="s">
        <v>237</v>
      </c>
      <c r="C1832" t="s">
        <v>238</v>
      </c>
      <c r="D1832" t="s">
        <v>250</v>
      </c>
      <c r="E1832" t="s">
        <v>228</v>
      </c>
      <c r="F1832">
        <v>2010</v>
      </c>
      <c r="G1832">
        <v>5.7094366197182997E-4</v>
      </c>
      <c r="H1832" t="s">
        <v>240</v>
      </c>
      <c r="I1832" t="s">
        <v>241</v>
      </c>
      <c r="J1832" t="s">
        <v>2</v>
      </c>
      <c r="K1832" s="183">
        <f ca="1">VLOOKUP(F1832,
    OFFSET(INDIRECT(ADDRESS(MATCH(J1832,'Vehicle numbers'!$A$5:$A$162,0),1,1,1,$L$6)),4,1,COUNTIF('Vehicle numbers'!$A$5:$A$162,J1832),4),
    MATCH(K$8,'Vehicle numbers'!$B$4:$D$4,0))*1000</f>
        <v>28420877</v>
      </c>
      <c r="L1832" s="183">
        <f ca="1">VLOOKUP(F1832,
    OFFSET(INDIRECT(ADDRESS(MATCH(J1832,'Vehicle numbers'!$A$5:$A$162,0),1,1,1,$L$6)),4,1,COUNTIF('Vehicle numbers'!$A$5:$A$162,J1832),4),
    MATCH(L$8,'Vehicle numbers'!$B$4:$D$4,0))*1000</f>
        <v>29294321.56181898</v>
      </c>
      <c r="M1832" s="184">
        <f>VLOOKUP(F1832,'Annual distance covered (GB)'!$A$8:$H$33,MATCH(J1832,'Annual distance covered (GB)'!$A$7:$H$7,0))</f>
        <v>389.2</v>
      </c>
      <c r="N1832" s="2">
        <f t="shared" ca="1" si="70"/>
        <v>229040.38087696116</v>
      </c>
      <c r="O1832" s="180">
        <f t="shared" ca="1" si="71"/>
        <v>7.8185931151750244E-3</v>
      </c>
      <c r="P1832" s="180"/>
      <c r="Q1832" s="180"/>
      <c r="R1832" s="180"/>
      <c r="S1832" s="180"/>
      <c r="T1832" s="180"/>
    </row>
    <row r="1833" spans="1:20" x14ac:dyDescent="0.25">
      <c r="A1833" t="s">
        <v>246</v>
      </c>
      <c r="B1833" t="s">
        <v>237</v>
      </c>
      <c r="C1833" t="s">
        <v>238</v>
      </c>
      <c r="D1833" t="s">
        <v>250</v>
      </c>
      <c r="E1833" t="s">
        <v>228</v>
      </c>
      <c r="F1833">
        <v>2010</v>
      </c>
      <c r="G1833">
        <v>4.5675492957746402E-4</v>
      </c>
      <c r="H1833" t="s">
        <v>240</v>
      </c>
      <c r="I1833" t="s">
        <v>241</v>
      </c>
      <c r="J1833" t="s">
        <v>2</v>
      </c>
      <c r="K1833" s="183">
        <f ca="1">VLOOKUP(F1833,
    OFFSET(INDIRECT(ADDRESS(MATCH(J1833,'Vehicle numbers'!$A$5:$A$162,0),1,1,1,$L$6)),4,1,COUNTIF('Vehicle numbers'!$A$5:$A$162,J1833),4),
    MATCH(K$8,'Vehicle numbers'!$B$4:$D$4,0))*1000</f>
        <v>28420877</v>
      </c>
      <c r="L1833" s="183">
        <f ca="1">VLOOKUP(F1833,
    OFFSET(INDIRECT(ADDRESS(MATCH(J1833,'Vehicle numbers'!$A$5:$A$162,0),1,1,1,$L$6)),4,1,COUNTIF('Vehicle numbers'!$A$5:$A$162,J1833),4),
    MATCH(L$8,'Vehicle numbers'!$B$4:$D$4,0))*1000</f>
        <v>29294321.56181898</v>
      </c>
      <c r="M1833" s="184">
        <f>VLOOKUP(F1833,'Annual distance covered (GB)'!$A$8:$H$33,MATCH(J1833,'Annual distance covered (GB)'!$A$7:$H$7,0))</f>
        <v>389.2</v>
      </c>
      <c r="N1833" s="2">
        <f t="shared" ca="1" si="70"/>
        <v>183232.30470156897</v>
      </c>
      <c r="O1833" s="180">
        <f t="shared" ca="1" si="71"/>
        <v>6.2548744921400211E-3</v>
      </c>
      <c r="P1833" s="180"/>
      <c r="Q1833" s="180"/>
      <c r="R1833" s="180"/>
      <c r="S1833" s="180"/>
      <c r="T1833" s="180"/>
    </row>
    <row r="1834" spans="1:20" x14ac:dyDescent="0.25">
      <c r="A1834" t="s">
        <v>236</v>
      </c>
      <c r="B1834" t="s">
        <v>237</v>
      </c>
      <c r="C1834" t="s">
        <v>238</v>
      </c>
      <c r="D1834" t="s">
        <v>255</v>
      </c>
      <c r="E1834" t="s">
        <v>229</v>
      </c>
      <c r="F1834">
        <v>2010</v>
      </c>
      <c r="G1834">
        <v>5.5270000000000102E-3</v>
      </c>
      <c r="H1834" t="s">
        <v>240</v>
      </c>
      <c r="I1834" t="s">
        <v>241</v>
      </c>
      <c r="J1834" t="s">
        <v>2</v>
      </c>
      <c r="K1834" s="183">
        <f ca="1">VLOOKUP(F1834,
    OFFSET(INDIRECT(ADDRESS(MATCH(J1834,'Vehicle numbers'!$A$5:$A$162,0),1,1,1,$L$6)),4,1,COUNTIF('Vehicle numbers'!$A$5:$A$162,J1834),4),
    MATCH(K$8,'Vehicle numbers'!$B$4:$D$4,0))*1000</f>
        <v>28420877</v>
      </c>
      <c r="L1834" s="183">
        <f ca="1">VLOOKUP(F1834,
    OFFSET(INDIRECT(ADDRESS(MATCH(J1834,'Vehicle numbers'!$A$5:$A$162,0),1,1,1,$L$6)),4,1,COUNTIF('Vehicle numbers'!$A$5:$A$162,J1834),4),
    MATCH(L$8,'Vehicle numbers'!$B$4:$D$4,0))*1000</f>
        <v>29294321.56181898</v>
      </c>
      <c r="M1834" s="184">
        <f>VLOOKUP(F1834,'Annual distance covered (GB)'!$A$8:$H$33,MATCH(J1834,'Annual distance covered (GB)'!$A$7:$H$7,0))</f>
        <v>389.2</v>
      </c>
      <c r="N1834" s="2">
        <f t="shared" ca="1" si="70"/>
        <v>2217217.3358313343</v>
      </c>
      <c r="O1834" s="180">
        <f t="shared" ca="1" si="71"/>
        <v>7.5687615128836594E-2</v>
      </c>
      <c r="P1834" s="180"/>
      <c r="Q1834" s="180"/>
      <c r="R1834" s="180"/>
      <c r="S1834" s="180"/>
      <c r="T1834" s="180"/>
    </row>
    <row r="1835" spans="1:20" x14ac:dyDescent="0.25">
      <c r="A1835" t="s">
        <v>243</v>
      </c>
      <c r="B1835" t="s">
        <v>237</v>
      </c>
      <c r="C1835" t="s">
        <v>238</v>
      </c>
      <c r="D1835" t="s">
        <v>255</v>
      </c>
      <c r="E1835" t="s">
        <v>229</v>
      </c>
      <c r="F1835">
        <v>2010</v>
      </c>
      <c r="G1835">
        <v>2.2108000000000002E-3</v>
      </c>
      <c r="H1835" t="s">
        <v>240</v>
      </c>
      <c r="I1835" t="s">
        <v>241</v>
      </c>
      <c r="J1835" t="s">
        <v>2</v>
      </c>
      <c r="K1835" s="183">
        <f ca="1">VLOOKUP(F1835,
    OFFSET(INDIRECT(ADDRESS(MATCH(J1835,'Vehicle numbers'!$A$5:$A$162,0),1,1,1,$L$6)),4,1,COUNTIF('Vehicle numbers'!$A$5:$A$162,J1835),4),
    MATCH(K$8,'Vehicle numbers'!$B$4:$D$4,0))*1000</f>
        <v>28420877</v>
      </c>
      <c r="L1835" s="183">
        <f ca="1">VLOOKUP(F1835,
    OFFSET(INDIRECT(ADDRESS(MATCH(J1835,'Vehicle numbers'!$A$5:$A$162,0),1,1,1,$L$6)),4,1,COUNTIF('Vehicle numbers'!$A$5:$A$162,J1835),4),
    MATCH(L$8,'Vehicle numbers'!$B$4:$D$4,0))*1000</f>
        <v>29294321.56181898</v>
      </c>
      <c r="M1835" s="184">
        <f>VLOOKUP(F1835,'Annual distance covered (GB)'!$A$8:$H$33,MATCH(J1835,'Annual distance covered (GB)'!$A$7:$H$7,0))</f>
        <v>389.2</v>
      </c>
      <c r="N1835" s="2">
        <f t="shared" ca="1" si="70"/>
        <v>886886.93433253211</v>
      </c>
      <c r="O1835" s="180">
        <f t="shared" ca="1" si="71"/>
        <v>3.0275046051534582E-2</v>
      </c>
      <c r="P1835" s="180"/>
      <c r="Q1835" s="180"/>
      <c r="R1835" s="180"/>
      <c r="S1835" s="180"/>
      <c r="T1835" s="180"/>
    </row>
    <row r="1836" spans="1:20" x14ac:dyDescent="0.25">
      <c r="A1836" t="s">
        <v>244</v>
      </c>
      <c r="B1836" t="s">
        <v>237</v>
      </c>
      <c r="C1836" t="s">
        <v>238</v>
      </c>
      <c r="D1836" t="s">
        <v>255</v>
      </c>
      <c r="E1836" t="s">
        <v>229</v>
      </c>
      <c r="F1836">
        <v>2010</v>
      </c>
      <c r="G1836">
        <v>5.5270000000000004E-4</v>
      </c>
      <c r="H1836" t="s">
        <v>240</v>
      </c>
      <c r="I1836" t="s">
        <v>241</v>
      </c>
      <c r="J1836" t="s">
        <v>2</v>
      </c>
      <c r="K1836" s="183">
        <f ca="1">VLOOKUP(F1836,
    OFFSET(INDIRECT(ADDRESS(MATCH(J1836,'Vehicle numbers'!$A$5:$A$162,0),1,1,1,$L$6)),4,1,COUNTIF('Vehicle numbers'!$A$5:$A$162,J1836),4),
    MATCH(K$8,'Vehicle numbers'!$B$4:$D$4,0))*1000</f>
        <v>28420877</v>
      </c>
      <c r="L1836" s="183">
        <f ca="1">VLOOKUP(F1836,
    OFFSET(INDIRECT(ADDRESS(MATCH(J1836,'Vehicle numbers'!$A$5:$A$162,0),1,1,1,$L$6)),4,1,COUNTIF('Vehicle numbers'!$A$5:$A$162,J1836),4),
    MATCH(L$8,'Vehicle numbers'!$B$4:$D$4,0))*1000</f>
        <v>29294321.56181898</v>
      </c>
      <c r="M1836" s="184">
        <f>VLOOKUP(F1836,'Annual distance covered (GB)'!$A$8:$H$33,MATCH(J1836,'Annual distance covered (GB)'!$A$7:$H$7,0))</f>
        <v>389.2</v>
      </c>
      <c r="N1836" s="2">
        <f t="shared" ca="1" si="70"/>
        <v>221721.73358313303</v>
      </c>
      <c r="O1836" s="180">
        <f t="shared" ca="1" si="71"/>
        <v>7.5687615128836455E-3</v>
      </c>
      <c r="P1836" s="180"/>
      <c r="Q1836" s="180"/>
      <c r="R1836" s="180"/>
      <c r="S1836" s="180"/>
      <c r="T1836" s="180"/>
    </row>
    <row r="1837" spans="1:20" x14ac:dyDescent="0.25">
      <c r="A1837" t="s">
        <v>246</v>
      </c>
      <c r="B1837" t="s">
        <v>237</v>
      </c>
      <c r="C1837" t="s">
        <v>238</v>
      </c>
      <c r="D1837" t="s">
        <v>255</v>
      </c>
      <c r="E1837" t="s">
        <v>229</v>
      </c>
      <c r="F1837">
        <v>2010</v>
      </c>
      <c r="G1837">
        <v>4.4215999999999998E-4</v>
      </c>
      <c r="H1837" t="s">
        <v>240</v>
      </c>
      <c r="I1837" t="s">
        <v>241</v>
      </c>
      <c r="J1837" t="s">
        <v>2</v>
      </c>
      <c r="K1837" s="183">
        <f ca="1">VLOOKUP(F1837,
    OFFSET(INDIRECT(ADDRESS(MATCH(J1837,'Vehicle numbers'!$A$5:$A$162,0),1,1,1,$L$6)),4,1,COUNTIF('Vehicle numbers'!$A$5:$A$162,J1837),4),
    MATCH(K$8,'Vehicle numbers'!$B$4:$D$4,0))*1000</f>
        <v>28420877</v>
      </c>
      <c r="L1837" s="183">
        <f ca="1">VLOOKUP(F1837,
    OFFSET(INDIRECT(ADDRESS(MATCH(J1837,'Vehicle numbers'!$A$5:$A$162,0),1,1,1,$L$6)),4,1,COUNTIF('Vehicle numbers'!$A$5:$A$162,J1837),4),
    MATCH(L$8,'Vehicle numbers'!$B$4:$D$4,0))*1000</f>
        <v>29294321.56181898</v>
      </c>
      <c r="M1837" s="184">
        <f>VLOOKUP(F1837,'Annual distance covered (GB)'!$A$8:$H$33,MATCH(J1837,'Annual distance covered (GB)'!$A$7:$H$7,0))</f>
        <v>389.2</v>
      </c>
      <c r="N1837" s="2">
        <f t="shared" ca="1" si="70"/>
        <v>177377.38686650639</v>
      </c>
      <c r="O1837" s="180">
        <f t="shared" ca="1" si="71"/>
        <v>6.0550092103069161E-3</v>
      </c>
      <c r="P1837" s="180"/>
      <c r="Q1837" s="180"/>
      <c r="R1837" s="180"/>
      <c r="S1837" s="180"/>
      <c r="T1837" s="180"/>
    </row>
    <row r="1838" spans="1:20" x14ac:dyDescent="0.25">
      <c r="A1838" t="s">
        <v>236</v>
      </c>
      <c r="B1838" t="s">
        <v>237</v>
      </c>
      <c r="C1838" t="s">
        <v>238</v>
      </c>
      <c r="D1838" t="s">
        <v>255</v>
      </c>
      <c r="E1838" t="s">
        <v>228</v>
      </c>
      <c r="F1838">
        <v>2010</v>
      </c>
      <c r="G1838">
        <v>6.80000000000001E-3</v>
      </c>
      <c r="H1838" t="s">
        <v>240</v>
      </c>
      <c r="I1838" t="s">
        <v>241</v>
      </c>
      <c r="J1838" t="s">
        <v>2</v>
      </c>
      <c r="K1838" s="183">
        <f ca="1">VLOOKUP(F1838,
    OFFSET(INDIRECT(ADDRESS(MATCH(J1838,'Vehicle numbers'!$A$5:$A$162,0),1,1,1,$L$6)),4,1,COUNTIF('Vehicle numbers'!$A$5:$A$162,J1838),4),
    MATCH(K$8,'Vehicle numbers'!$B$4:$D$4,0))*1000</f>
        <v>28420877</v>
      </c>
      <c r="L1838" s="183">
        <f ca="1">VLOOKUP(F1838,
    OFFSET(INDIRECT(ADDRESS(MATCH(J1838,'Vehicle numbers'!$A$5:$A$162,0),1,1,1,$L$6)),4,1,COUNTIF('Vehicle numbers'!$A$5:$A$162,J1838),4),
    MATCH(L$8,'Vehicle numbers'!$B$4:$D$4,0))*1000</f>
        <v>29294321.56181898</v>
      </c>
      <c r="M1838" s="184">
        <f>VLOOKUP(F1838,'Annual distance covered (GB)'!$A$8:$H$33,MATCH(J1838,'Annual distance covered (GB)'!$A$7:$H$7,0))</f>
        <v>389.2</v>
      </c>
      <c r="N1838" s="2">
        <f t="shared" ca="1" si="70"/>
        <v>2727895.4014208554</v>
      </c>
      <c r="O1838" s="180">
        <f t="shared" ca="1" si="71"/>
        <v>9.3120279152540023E-2</v>
      </c>
      <c r="P1838" s="180"/>
      <c r="Q1838" s="180"/>
      <c r="R1838" s="180"/>
      <c r="S1838" s="180"/>
      <c r="T1838" s="180"/>
    </row>
    <row r="1839" spans="1:20" x14ac:dyDescent="0.25">
      <c r="A1839" t="s">
        <v>243</v>
      </c>
      <c r="B1839" t="s">
        <v>237</v>
      </c>
      <c r="C1839" t="s">
        <v>238</v>
      </c>
      <c r="D1839" t="s">
        <v>255</v>
      </c>
      <c r="E1839" t="s">
        <v>228</v>
      </c>
      <c r="F1839">
        <v>2010</v>
      </c>
      <c r="G1839">
        <v>4.7600000000000099E-3</v>
      </c>
      <c r="H1839" t="s">
        <v>240</v>
      </c>
      <c r="I1839" t="s">
        <v>241</v>
      </c>
      <c r="J1839" t="s">
        <v>2</v>
      </c>
      <c r="K1839" s="183">
        <f ca="1">VLOOKUP(F1839,
    OFFSET(INDIRECT(ADDRESS(MATCH(J1839,'Vehicle numbers'!$A$5:$A$162,0),1,1,1,$L$6)),4,1,COUNTIF('Vehicle numbers'!$A$5:$A$162,J1839),4),
    MATCH(K$8,'Vehicle numbers'!$B$4:$D$4,0))*1000</f>
        <v>28420877</v>
      </c>
      <c r="L1839" s="183">
        <f ca="1">VLOOKUP(F1839,
    OFFSET(INDIRECT(ADDRESS(MATCH(J1839,'Vehicle numbers'!$A$5:$A$162,0),1,1,1,$L$6)),4,1,COUNTIF('Vehicle numbers'!$A$5:$A$162,J1839),4),
    MATCH(L$8,'Vehicle numbers'!$B$4:$D$4,0))*1000</f>
        <v>29294321.56181898</v>
      </c>
      <c r="M1839" s="184">
        <f>VLOOKUP(F1839,'Annual distance covered (GB)'!$A$8:$H$33,MATCH(J1839,'Annual distance covered (GB)'!$A$7:$H$7,0))</f>
        <v>389.2</v>
      </c>
      <c r="N1839" s="2">
        <f t="shared" ca="1" si="70"/>
        <v>1909526.7809945997</v>
      </c>
      <c r="O1839" s="180">
        <f t="shared" ca="1" si="71"/>
        <v>6.5184195406778042E-2</v>
      </c>
      <c r="P1839" s="180"/>
      <c r="Q1839" s="180"/>
      <c r="R1839" s="180"/>
      <c r="S1839" s="180"/>
      <c r="T1839" s="180"/>
    </row>
    <row r="1840" spans="1:20" x14ac:dyDescent="0.25">
      <c r="A1840" t="s">
        <v>244</v>
      </c>
      <c r="B1840" t="s">
        <v>237</v>
      </c>
      <c r="C1840" t="s">
        <v>238</v>
      </c>
      <c r="D1840" t="s">
        <v>255</v>
      </c>
      <c r="E1840" t="s">
        <v>228</v>
      </c>
      <c r="F1840">
        <v>2010</v>
      </c>
      <c r="G1840">
        <v>6.7042253521126804E-4</v>
      </c>
      <c r="H1840" t="s">
        <v>240</v>
      </c>
      <c r="I1840" t="s">
        <v>241</v>
      </c>
      <c r="J1840" t="s">
        <v>2</v>
      </c>
      <c r="K1840" s="183">
        <f ca="1">VLOOKUP(F1840,
    OFFSET(INDIRECT(ADDRESS(MATCH(J1840,'Vehicle numbers'!$A$5:$A$162,0),1,1,1,$L$6)),4,1,COUNTIF('Vehicle numbers'!$A$5:$A$162,J1840),4),
    MATCH(K$8,'Vehicle numbers'!$B$4:$D$4,0))*1000</f>
        <v>28420877</v>
      </c>
      <c r="L1840" s="183">
        <f ca="1">VLOOKUP(F1840,
    OFFSET(INDIRECT(ADDRESS(MATCH(J1840,'Vehicle numbers'!$A$5:$A$162,0),1,1,1,$L$6)),4,1,COUNTIF('Vehicle numbers'!$A$5:$A$162,J1840),4),
    MATCH(L$8,'Vehicle numbers'!$B$4:$D$4,0))*1000</f>
        <v>29294321.56181898</v>
      </c>
      <c r="M1840" s="184">
        <f>VLOOKUP(F1840,'Annual distance covered (GB)'!$A$8:$H$33,MATCH(J1840,'Annual distance covered (GB)'!$A$7:$H$7,0))</f>
        <v>389.2</v>
      </c>
      <c r="N1840" s="2">
        <f t="shared" ca="1" si="70"/>
        <v>268947.43394290097</v>
      </c>
      <c r="O1840" s="180">
        <f t="shared" ca="1" si="71"/>
        <v>9.1808725925039362E-3</v>
      </c>
      <c r="P1840" s="180"/>
      <c r="Q1840" s="180"/>
      <c r="R1840" s="180"/>
      <c r="S1840" s="180"/>
      <c r="T1840" s="180"/>
    </row>
    <row r="1841" spans="1:20" x14ac:dyDescent="0.25">
      <c r="A1841" t="s">
        <v>246</v>
      </c>
      <c r="B1841" t="s">
        <v>237</v>
      </c>
      <c r="C1841" t="s">
        <v>238</v>
      </c>
      <c r="D1841" t="s">
        <v>255</v>
      </c>
      <c r="E1841" t="s">
        <v>228</v>
      </c>
      <c r="F1841">
        <v>2010</v>
      </c>
      <c r="G1841">
        <v>5.3633802816901402E-4</v>
      </c>
      <c r="H1841" t="s">
        <v>240</v>
      </c>
      <c r="I1841" t="s">
        <v>241</v>
      </c>
      <c r="J1841" t="s">
        <v>2</v>
      </c>
      <c r="K1841" s="183">
        <f ca="1">VLOOKUP(F1841,
    OFFSET(INDIRECT(ADDRESS(MATCH(J1841,'Vehicle numbers'!$A$5:$A$162,0),1,1,1,$L$6)),4,1,COUNTIF('Vehicle numbers'!$A$5:$A$162,J1841),4),
    MATCH(K$8,'Vehicle numbers'!$B$4:$D$4,0))*1000</f>
        <v>28420877</v>
      </c>
      <c r="L1841" s="183">
        <f ca="1">VLOOKUP(F1841,
    OFFSET(INDIRECT(ADDRESS(MATCH(J1841,'Vehicle numbers'!$A$5:$A$162,0),1,1,1,$L$6)),4,1,COUNTIF('Vehicle numbers'!$A$5:$A$162,J1841),4),
    MATCH(L$8,'Vehicle numbers'!$B$4:$D$4,0))*1000</f>
        <v>29294321.56181898</v>
      </c>
      <c r="M1841" s="184">
        <f>VLOOKUP(F1841,'Annual distance covered (GB)'!$A$8:$H$33,MATCH(J1841,'Annual distance covered (GB)'!$A$7:$H$7,0))</f>
        <v>389.2</v>
      </c>
      <c r="N1841" s="2">
        <f t="shared" ca="1" si="70"/>
        <v>215157.94715432063</v>
      </c>
      <c r="O1841" s="180">
        <f t="shared" ca="1" si="71"/>
        <v>7.3446980740031441E-3</v>
      </c>
      <c r="P1841" s="180"/>
      <c r="Q1841" s="180"/>
      <c r="R1841" s="180"/>
      <c r="S1841" s="180"/>
      <c r="T1841" s="180"/>
    </row>
    <row r="1842" spans="1:20" x14ac:dyDescent="0.25">
      <c r="A1842" t="s">
        <v>236</v>
      </c>
      <c r="B1842" t="s">
        <v>237</v>
      </c>
      <c r="C1842" t="s">
        <v>238</v>
      </c>
      <c r="D1842" t="s">
        <v>256</v>
      </c>
      <c r="E1842" t="s">
        <v>229</v>
      </c>
      <c r="F1842">
        <v>2010</v>
      </c>
      <c r="G1842">
        <v>1.17246964755958E-2</v>
      </c>
      <c r="H1842" t="s">
        <v>240</v>
      </c>
      <c r="I1842" t="s">
        <v>241</v>
      </c>
      <c r="J1842" t="s">
        <v>2</v>
      </c>
      <c r="K1842" s="183">
        <f ca="1">VLOOKUP(F1842,
    OFFSET(INDIRECT(ADDRESS(MATCH(J1842,'Vehicle numbers'!$A$5:$A$162,0),1,1,1,$L$6)),4,1,COUNTIF('Vehicle numbers'!$A$5:$A$162,J1842),4),
    MATCH(K$8,'Vehicle numbers'!$B$4:$D$4,0))*1000</f>
        <v>28420877</v>
      </c>
      <c r="L1842" s="183">
        <f ca="1">VLOOKUP(F1842,
    OFFSET(INDIRECT(ADDRESS(MATCH(J1842,'Vehicle numbers'!$A$5:$A$162,0),1,1,1,$L$6)),4,1,COUNTIF('Vehicle numbers'!$A$5:$A$162,J1842),4),
    MATCH(L$8,'Vehicle numbers'!$B$4:$D$4,0))*1000</f>
        <v>29294321.56181898</v>
      </c>
      <c r="M1842" s="184">
        <f>VLOOKUP(F1842,'Annual distance covered (GB)'!$A$8:$H$33,MATCH(J1842,'Annual distance covered (GB)'!$A$7:$H$7,0))</f>
        <v>389.2</v>
      </c>
      <c r="N1842" s="2">
        <f t="shared" ca="1" si="70"/>
        <v>4703491.9998283898</v>
      </c>
      <c r="O1842" s="180">
        <f t="shared" ca="1" si="71"/>
        <v>0.16055985423327671</v>
      </c>
      <c r="P1842" s="180"/>
      <c r="Q1842" s="180"/>
      <c r="R1842" s="180"/>
      <c r="S1842" s="180"/>
      <c r="T1842" s="180"/>
    </row>
    <row r="1843" spans="1:20" x14ac:dyDescent="0.25">
      <c r="A1843" t="s">
        <v>243</v>
      </c>
      <c r="B1843" t="s">
        <v>237</v>
      </c>
      <c r="C1843" t="s">
        <v>238</v>
      </c>
      <c r="D1843" t="s">
        <v>256</v>
      </c>
      <c r="E1843" t="s">
        <v>229</v>
      </c>
      <c r="F1843">
        <v>2010</v>
      </c>
      <c r="G1843">
        <v>4.6898785902383198E-3</v>
      </c>
      <c r="H1843" t="s">
        <v>240</v>
      </c>
      <c r="I1843" t="s">
        <v>241</v>
      </c>
      <c r="J1843" t="s">
        <v>2</v>
      </c>
      <c r="K1843" s="183">
        <f ca="1">VLOOKUP(F1843,
    OFFSET(INDIRECT(ADDRESS(MATCH(J1843,'Vehicle numbers'!$A$5:$A$162,0),1,1,1,$L$6)),4,1,COUNTIF('Vehicle numbers'!$A$5:$A$162,J1843),4),
    MATCH(K$8,'Vehicle numbers'!$B$4:$D$4,0))*1000</f>
        <v>28420877</v>
      </c>
      <c r="L1843" s="183">
        <f ca="1">VLOOKUP(F1843,
    OFFSET(INDIRECT(ADDRESS(MATCH(J1843,'Vehicle numbers'!$A$5:$A$162,0),1,1,1,$L$6)),4,1,COUNTIF('Vehicle numbers'!$A$5:$A$162,J1843),4),
    MATCH(L$8,'Vehicle numbers'!$B$4:$D$4,0))*1000</f>
        <v>29294321.56181898</v>
      </c>
      <c r="M1843" s="184">
        <f>VLOOKUP(F1843,'Annual distance covered (GB)'!$A$8:$H$33,MATCH(J1843,'Annual distance covered (GB)'!$A$7:$H$7,0))</f>
        <v>389.2</v>
      </c>
      <c r="N1843" s="2">
        <f t="shared" ca="1" si="70"/>
        <v>1881396.7999313555</v>
      </c>
      <c r="O1843" s="180">
        <f t="shared" ca="1" si="71"/>
        <v>6.4223941693310665E-2</v>
      </c>
      <c r="P1843" s="180"/>
      <c r="Q1843" s="180"/>
      <c r="R1843" s="180"/>
      <c r="S1843" s="180"/>
      <c r="T1843" s="180"/>
    </row>
    <row r="1844" spans="1:20" x14ac:dyDescent="0.25">
      <c r="A1844" t="s">
        <v>244</v>
      </c>
      <c r="B1844" t="s">
        <v>237</v>
      </c>
      <c r="C1844" t="s">
        <v>238</v>
      </c>
      <c r="D1844" t="s">
        <v>256</v>
      </c>
      <c r="E1844" t="s">
        <v>229</v>
      </c>
      <c r="F1844">
        <v>2010</v>
      </c>
      <c r="G1844">
        <v>1.1724696475595799E-3</v>
      </c>
      <c r="H1844" t="s">
        <v>240</v>
      </c>
      <c r="I1844" t="s">
        <v>241</v>
      </c>
      <c r="J1844" t="s">
        <v>2</v>
      </c>
      <c r="K1844" s="183">
        <f ca="1">VLOOKUP(F1844,
    OFFSET(INDIRECT(ADDRESS(MATCH(J1844,'Vehicle numbers'!$A$5:$A$162,0),1,1,1,$L$6)),4,1,COUNTIF('Vehicle numbers'!$A$5:$A$162,J1844),4),
    MATCH(K$8,'Vehicle numbers'!$B$4:$D$4,0))*1000</f>
        <v>28420877</v>
      </c>
      <c r="L1844" s="183">
        <f ca="1">VLOOKUP(F1844,
    OFFSET(INDIRECT(ADDRESS(MATCH(J1844,'Vehicle numbers'!$A$5:$A$162,0),1,1,1,$L$6)),4,1,COUNTIF('Vehicle numbers'!$A$5:$A$162,J1844),4),
    MATCH(L$8,'Vehicle numbers'!$B$4:$D$4,0))*1000</f>
        <v>29294321.56181898</v>
      </c>
      <c r="M1844" s="184">
        <f>VLOOKUP(F1844,'Annual distance covered (GB)'!$A$8:$H$33,MATCH(J1844,'Annual distance covered (GB)'!$A$7:$H$7,0))</f>
        <v>389.2</v>
      </c>
      <c r="N1844" s="2">
        <f t="shared" ca="1" si="70"/>
        <v>470349.19998283888</v>
      </c>
      <c r="O1844" s="180">
        <f t="shared" ca="1" si="71"/>
        <v>1.6055985423327666E-2</v>
      </c>
      <c r="P1844" s="180"/>
      <c r="Q1844" s="180"/>
      <c r="R1844" s="180"/>
      <c r="S1844" s="180"/>
      <c r="T1844" s="180"/>
    </row>
    <row r="1845" spans="1:20" x14ac:dyDescent="0.25">
      <c r="A1845" t="s">
        <v>246</v>
      </c>
      <c r="B1845" t="s">
        <v>237</v>
      </c>
      <c r="C1845" t="s">
        <v>238</v>
      </c>
      <c r="D1845" t="s">
        <v>256</v>
      </c>
      <c r="E1845" t="s">
        <v>229</v>
      </c>
      <c r="F1845">
        <v>2010</v>
      </c>
      <c r="G1845">
        <v>9.3797571804766404E-4</v>
      </c>
      <c r="H1845" t="s">
        <v>240</v>
      </c>
      <c r="I1845" t="s">
        <v>241</v>
      </c>
      <c r="J1845" t="s">
        <v>2</v>
      </c>
      <c r="K1845" s="183">
        <f ca="1">VLOOKUP(F1845,
    OFFSET(INDIRECT(ADDRESS(MATCH(J1845,'Vehicle numbers'!$A$5:$A$162,0),1,1,1,$L$6)),4,1,COUNTIF('Vehicle numbers'!$A$5:$A$162,J1845),4),
    MATCH(K$8,'Vehicle numbers'!$B$4:$D$4,0))*1000</f>
        <v>28420877</v>
      </c>
      <c r="L1845" s="183">
        <f ca="1">VLOOKUP(F1845,
    OFFSET(INDIRECT(ADDRESS(MATCH(J1845,'Vehicle numbers'!$A$5:$A$162,0),1,1,1,$L$6)),4,1,COUNTIF('Vehicle numbers'!$A$5:$A$162,J1845),4),
    MATCH(L$8,'Vehicle numbers'!$B$4:$D$4,0))*1000</f>
        <v>29294321.56181898</v>
      </c>
      <c r="M1845" s="184">
        <f>VLOOKUP(F1845,'Annual distance covered (GB)'!$A$8:$H$33,MATCH(J1845,'Annual distance covered (GB)'!$A$7:$H$7,0))</f>
        <v>389.2</v>
      </c>
      <c r="N1845" s="2">
        <f t="shared" ca="1" si="70"/>
        <v>376279.35998627113</v>
      </c>
      <c r="O1845" s="180">
        <f t="shared" ca="1" si="71"/>
        <v>1.2844788338662134E-2</v>
      </c>
      <c r="P1845" s="180"/>
      <c r="Q1845" s="180"/>
      <c r="R1845" s="180"/>
      <c r="S1845" s="180"/>
      <c r="T1845" s="180"/>
    </row>
    <row r="1846" spans="1:20" x14ac:dyDescent="0.25">
      <c r="A1846" t="s">
        <v>236</v>
      </c>
      <c r="B1846" t="s">
        <v>237</v>
      </c>
      <c r="C1846" t="s">
        <v>238</v>
      </c>
      <c r="D1846" t="s">
        <v>256</v>
      </c>
      <c r="E1846" t="s">
        <v>228</v>
      </c>
      <c r="F1846">
        <v>2010</v>
      </c>
      <c r="G1846">
        <v>8.7743763388289497E-3</v>
      </c>
      <c r="H1846" t="s">
        <v>240</v>
      </c>
      <c r="I1846" t="s">
        <v>241</v>
      </c>
      <c r="J1846" t="s">
        <v>2</v>
      </c>
      <c r="K1846" s="183">
        <f ca="1">VLOOKUP(F1846,
    OFFSET(INDIRECT(ADDRESS(MATCH(J1846,'Vehicle numbers'!$A$5:$A$162,0),1,1,1,$L$6)),4,1,COUNTIF('Vehicle numbers'!$A$5:$A$162,J1846),4),
    MATCH(K$8,'Vehicle numbers'!$B$4:$D$4,0))*1000</f>
        <v>28420877</v>
      </c>
      <c r="L1846" s="183">
        <f ca="1">VLOOKUP(F1846,
    OFFSET(INDIRECT(ADDRESS(MATCH(J1846,'Vehicle numbers'!$A$5:$A$162,0),1,1,1,$L$6)),4,1,COUNTIF('Vehicle numbers'!$A$5:$A$162,J1846),4),
    MATCH(L$8,'Vehicle numbers'!$B$4:$D$4,0))*1000</f>
        <v>29294321.56181898</v>
      </c>
      <c r="M1846" s="184">
        <f>VLOOKUP(F1846,'Annual distance covered (GB)'!$A$8:$H$33,MATCH(J1846,'Annual distance covered (GB)'!$A$7:$H$7,0))</f>
        <v>389.2</v>
      </c>
      <c r="N1846" s="2">
        <f t="shared" ca="1" si="70"/>
        <v>3519938.3625040324</v>
      </c>
      <c r="O1846" s="180">
        <f t="shared" ca="1" si="71"/>
        <v>0.12015770206782246</v>
      </c>
      <c r="P1846" s="180"/>
      <c r="Q1846" s="180"/>
      <c r="R1846" s="180"/>
      <c r="S1846" s="180"/>
      <c r="T1846" s="180"/>
    </row>
    <row r="1847" spans="1:20" x14ac:dyDescent="0.25">
      <c r="A1847" t="s">
        <v>243</v>
      </c>
      <c r="B1847" t="s">
        <v>237</v>
      </c>
      <c r="C1847" t="s">
        <v>238</v>
      </c>
      <c r="D1847" t="s">
        <v>256</v>
      </c>
      <c r="E1847" t="s">
        <v>228</v>
      </c>
      <c r="F1847">
        <v>2010</v>
      </c>
      <c r="G1847">
        <v>6.1420634371802604E-3</v>
      </c>
      <c r="H1847" t="s">
        <v>240</v>
      </c>
      <c r="I1847" t="s">
        <v>241</v>
      </c>
      <c r="J1847" t="s">
        <v>2</v>
      </c>
      <c r="K1847" s="183">
        <f ca="1">VLOOKUP(F1847,
    OFFSET(INDIRECT(ADDRESS(MATCH(J1847,'Vehicle numbers'!$A$5:$A$162,0),1,1,1,$L$6)),4,1,COUNTIF('Vehicle numbers'!$A$5:$A$162,J1847),4),
    MATCH(K$8,'Vehicle numbers'!$B$4:$D$4,0))*1000</f>
        <v>28420877</v>
      </c>
      <c r="L1847" s="183">
        <f ca="1">VLOOKUP(F1847,
    OFFSET(INDIRECT(ADDRESS(MATCH(J1847,'Vehicle numbers'!$A$5:$A$162,0),1,1,1,$L$6)),4,1,COUNTIF('Vehicle numbers'!$A$5:$A$162,J1847),4),
    MATCH(L$8,'Vehicle numbers'!$B$4:$D$4,0))*1000</f>
        <v>29294321.56181898</v>
      </c>
      <c r="M1847" s="184">
        <f>VLOOKUP(F1847,'Annual distance covered (GB)'!$A$8:$H$33,MATCH(J1847,'Annual distance covered (GB)'!$A$7:$H$7,0))</f>
        <v>389.2</v>
      </c>
      <c r="N1847" s="2">
        <f t="shared" ca="1" si="70"/>
        <v>2463956.8537528203</v>
      </c>
      <c r="O1847" s="180">
        <f t="shared" ca="1" si="71"/>
        <v>8.4110391447475633E-2</v>
      </c>
      <c r="P1847" s="180"/>
      <c r="Q1847" s="180"/>
      <c r="R1847" s="180"/>
      <c r="S1847" s="180"/>
      <c r="T1847" s="180"/>
    </row>
    <row r="1848" spans="1:20" x14ac:dyDescent="0.25">
      <c r="A1848" t="s">
        <v>244</v>
      </c>
      <c r="B1848" t="s">
        <v>237</v>
      </c>
      <c r="C1848" t="s">
        <v>238</v>
      </c>
      <c r="D1848" t="s">
        <v>256</v>
      </c>
      <c r="E1848" t="s">
        <v>228</v>
      </c>
      <c r="F1848">
        <v>2010</v>
      </c>
      <c r="G1848">
        <v>8.6507935734933105E-4</v>
      </c>
      <c r="H1848" t="s">
        <v>240</v>
      </c>
      <c r="I1848" t="s">
        <v>241</v>
      </c>
      <c r="J1848" t="s">
        <v>2</v>
      </c>
      <c r="K1848" s="183">
        <f ca="1">VLOOKUP(F1848,
    OFFSET(INDIRECT(ADDRESS(MATCH(J1848,'Vehicle numbers'!$A$5:$A$162,0),1,1,1,$L$6)),4,1,COUNTIF('Vehicle numbers'!$A$5:$A$162,J1848),4),
    MATCH(K$8,'Vehicle numbers'!$B$4:$D$4,0))*1000</f>
        <v>28420877</v>
      </c>
      <c r="L1848" s="183">
        <f ca="1">VLOOKUP(F1848,
    OFFSET(INDIRECT(ADDRESS(MATCH(J1848,'Vehicle numbers'!$A$5:$A$162,0),1,1,1,$L$6)),4,1,COUNTIF('Vehicle numbers'!$A$5:$A$162,J1848),4),
    MATCH(L$8,'Vehicle numbers'!$B$4:$D$4,0))*1000</f>
        <v>29294321.56181898</v>
      </c>
      <c r="M1848" s="184">
        <f>VLOOKUP(F1848,'Annual distance covered (GB)'!$A$8:$H$33,MATCH(J1848,'Annual distance covered (GB)'!$A$7:$H$7,0))</f>
        <v>389.2</v>
      </c>
      <c r="N1848" s="2">
        <f t="shared" ca="1" si="70"/>
        <v>347036.17658490373</v>
      </c>
      <c r="O1848" s="180">
        <f t="shared" ca="1" si="71"/>
        <v>1.1846534006686692E-2</v>
      </c>
      <c r="P1848" s="180"/>
      <c r="Q1848" s="180"/>
      <c r="R1848" s="180"/>
      <c r="S1848" s="180"/>
      <c r="T1848" s="180"/>
    </row>
    <row r="1849" spans="1:20" x14ac:dyDescent="0.25">
      <c r="A1849" t="s">
        <v>246</v>
      </c>
      <c r="B1849" t="s">
        <v>237</v>
      </c>
      <c r="C1849" t="s">
        <v>238</v>
      </c>
      <c r="D1849" t="s">
        <v>256</v>
      </c>
      <c r="E1849" t="s">
        <v>228</v>
      </c>
      <c r="F1849">
        <v>2010</v>
      </c>
      <c r="G1849">
        <v>6.9206348587946495E-4</v>
      </c>
      <c r="H1849" t="s">
        <v>240</v>
      </c>
      <c r="I1849" t="s">
        <v>241</v>
      </c>
      <c r="J1849" t="s">
        <v>2</v>
      </c>
      <c r="K1849" s="183">
        <f ca="1">VLOOKUP(F1849,
    OFFSET(INDIRECT(ADDRESS(MATCH(J1849,'Vehicle numbers'!$A$5:$A$162,0),1,1,1,$L$6)),4,1,COUNTIF('Vehicle numbers'!$A$5:$A$162,J1849),4),
    MATCH(K$8,'Vehicle numbers'!$B$4:$D$4,0))*1000</f>
        <v>28420877</v>
      </c>
      <c r="L1849" s="183">
        <f ca="1">VLOOKUP(F1849,
    OFFSET(INDIRECT(ADDRESS(MATCH(J1849,'Vehicle numbers'!$A$5:$A$162,0),1,1,1,$L$6)),4,1,COUNTIF('Vehicle numbers'!$A$5:$A$162,J1849),4),
    MATCH(L$8,'Vehicle numbers'!$B$4:$D$4,0))*1000</f>
        <v>29294321.56181898</v>
      </c>
      <c r="M1849" s="184">
        <f>VLOOKUP(F1849,'Annual distance covered (GB)'!$A$8:$H$33,MATCH(J1849,'Annual distance covered (GB)'!$A$7:$H$7,0))</f>
        <v>389.2</v>
      </c>
      <c r="N1849" s="2">
        <f t="shared" ca="1" si="70"/>
        <v>277628.94126792304</v>
      </c>
      <c r="O1849" s="180">
        <f t="shared" ca="1" si="71"/>
        <v>9.4772272053493551E-3</v>
      </c>
      <c r="P1849" s="180"/>
      <c r="Q1849" s="180"/>
      <c r="R1849" s="180"/>
      <c r="S1849" s="180"/>
      <c r="T1849" s="180"/>
    </row>
    <row r="1850" spans="1:20" x14ac:dyDescent="0.25">
      <c r="A1850" t="s">
        <v>236</v>
      </c>
      <c r="B1850" t="s">
        <v>237</v>
      </c>
      <c r="C1850" t="s">
        <v>238</v>
      </c>
      <c r="D1850" t="s">
        <v>265</v>
      </c>
      <c r="E1850" t="s">
        <v>229</v>
      </c>
      <c r="F1850">
        <v>2010</v>
      </c>
      <c r="G1850">
        <v>8.4410000000000006E-3</v>
      </c>
      <c r="H1850" t="s">
        <v>240</v>
      </c>
      <c r="I1850" t="s">
        <v>241</v>
      </c>
      <c r="J1850" t="s">
        <v>247</v>
      </c>
      <c r="K1850" s="183">
        <f ca="1">VLOOKUP(F1850,
    OFFSET(INDIRECT(ADDRESS(MATCH(J1850,'Vehicle numbers'!$A$5:$A$162,0),1,1,1,$L$6)),4,1,COUNTIF('Vehicle numbers'!$A$5:$A$162,J1850),4),
    MATCH(K$8,'Vehicle numbers'!$B$4:$D$4,0))*1000</f>
        <v>105347</v>
      </c>
      <c r="L1850" s="183">
        <f ca="1">VLOOKUP(F1850,
    OFFSET(INDIRECT(ADDRESS(MATCH(J1850,'Vehicle numbers'!$A$5:$A$162,0),1,1,1,$L$6)),4,1,COUNTIF('Vehicle numbers'!$A$5:$A$162,J1850),4),
    MATCH(L$8,'Vehicle numbers'!$B$4:$D$4,0))*1000</f>
        <v>110872.51749712514</v>
      </c>
      <c r="M1850" s="184">
        <f ca="1">VLOOKUP(F1850,'Annual distance covered (GB)'!$A$8:$H$33,MATCH(J1850,'Annual distance covered (GB)'!$A$7:$H$7,0))</f>
        <v>15.6</v>
      </c>
      <c r="N1850" s="2">
        <f t="shared" ca="1" si="70"/>
        <v>138586.27920125338</v>
      </c>
      <c r="O1850" s="180">
        <f t="shared" ca="1" si="71"/>
        <v>1.2499606063770208</v>
      </c>
      <c r="P1850" s="180"/>
      <c r="Q1850" s="180"/>
      <c r="R1850" s="180"/>
      <c r="S1850" s="180"/>
      <c r="T1850" s="180"/>
    </row>
    <row r="1851" spans="1:20" x14ac:dyDescent="0.25">
      <c r="A1851" t="s">
        <v>243</v>
      </c>
      <c r="B1851" t="s">
        <v>237</v>
      </c>
      <c r="C1851" t="s">
        <v>238</v>
      </c>
      <c r="D1851" t="s">
        <v>265</v>
      </c>
      <c r="E1851" t="s">
        <v>229</v>
      </c>
      <c r="F1851">
        <v>2010</v>
      </c>
      <c r="G1851">
        <v>3.3763999999999999E-3</v>
      </c>
      <c r="H1851" t="s">
        <v>240</v>
      </c>
      <c r="I1851" t="s">
        <v>241</v>
      </c>
      <c r="J1851" t="s">
        <v>247</v>
      </c>
      <c r="K1851" s="183">
        <f ca="1">VLOOKUP(F1851,
    OFFSET(INDIRECT(ADDRESS(MATCH(J1851,'Vehicle numbers'!$A$5:$A$162,0),1,1,1,$L$6)),4,1,COUNTIF('Vehicle numbers'!$A$5:$A$162,J1851),4),
    MATCH(K$8,'Vehicle numbers'!$B$4:$D$4,0))*1000</f>
        <v>105347</v>
      </c>
      <c r="L1851" s="183">
        <f ca="1">VLOOKUP(F1851,
    OFFSET(INDIRECT(ADDRESS(MATCH(J1851,'Vehicle numbers'!$A$5:$A$162,0),1,1,1,$L$6)),4,1,COUNTIF('Vehicle numbers'!$A$5:$A$162,J1851),4),
    MATCH(L$8,'Vehicle numbers'!$B$4:$D$4,0))*1000</f>
        <v>110872.51749712514</v>
      </c>
      <c r="M1851" s="184">
        <f ca="1">VLOOKUP(F1851,'Annual distance covered (GB)'!$A$8:$H$33,MATCH(J1851,'Annual distance covered (GB)'!$A$7:$H$7,0))</f>
        <v>15.6</v>
      </c>
      <c r="N1851" s="2">
        <f t="shared" ca="1" si="70"/>
        <v>55434.511680501346</v>
      </c>
      <c r="O1851" s="180">
        <f t="shared" ca="1" si="71"/>
        <v>0.49998424255080826</v>
      </c>
      <c r="P1851" s="180"/>
      <c r="Q1851" s="180"/>
      <c r="R1851" s="180"/>
      <c r="S1851" s="180"/>
      <c r="T1851" s="180"/>
    </row>
    <row r="1852" spans="1:20" x14ac:dyDescent="0.25">
      <c r="A1852" t="s">
        <v>244</v>
      </c>
      <c r="B1852" t="s">
        <v>237</v>
      </c>
      <c r="C1852" t="s">
        <v>238</v>
      </c>
      <c r="D1852" t="s">
        <v>265</v>
      </c>
      <c r="E1852" t="s">
        <v>229</v>
      </c>
      <c r="F1852">
        <v>2010</v>
      </c>
      <c r="G1852">
        <v>8.4409999999999997E-4</v>
      </c>
      <c r="H1852" t="s">
        <v>240</v>
      </c>
      <c r="I1852" t="s">
        <v>241</v>
      </c>
      <c r="J1852" t="s">
        <v>247</v>
      </c>
      <c r="K1852" s="183">
        <f ca="1">VLOOKUP(F1852,
    OFFSET(INDIRECT(ADDRESS(MATCH(J1852,'Vehicle numbers'!$A$5:$A$162,0),1,1,1,$L$6)),4,1,COUNTIF('Vehicle numbers'!$A$5:$A$162,J1852),4),
    MATCH(K$8,'Vehicle numbers'!$B$4:$D$4,0))*1000</f>
        <v>105347</v>
      </c>
      <c r="L1852" s="183">
        <f ca="1">VLOOKUP(F1852,
    OFFSET(INDIRECT(ADDRESS(MATCH(J1852,'Vehicle numbers'!$A$5:$A$162,0),1,1,1,$L$6)),4,1,COUNTIF('Vehicle numbers'!$A$5:$A$162,J1852),4),
    MATCH(L$8,'Vehicle numbers'!$B$4:$D$4,0))*1000</f>
        <v>110872.51749712514</v>
      </c>
      <c r="M1852" s="184">
        <f ca="1">VLOOKUP(F1852,'Annual distance covered (GB)'!$A$8:$H$33,MATCH(J1852,'Annual distance covered (GB)'!$A$7:$H$7,0))</f>
        <v>15.6</v>
      </c>
      <c r="N1852" s="2">
        <f t="shared" ca="1" si="70"/>
        <v>13858.627920125336</v>
      </c>
      <c r="O1852" s="180">
        <f t="shared" ca="1" si="71"/>
        <v>0.12499606063770206</v>
      </c>
      <c r="P1852" s="180"/>
      <c r="Q1852" s="180"/>
      <c r="R1852" s="180"/>
      <c r="S1852" s="180"/>
      <c r="T1852" s="180"/>
    </row>
    <row r="1853" spans="1:20" x14ac:dyDescent="0.25">
      <c r="A1853" t="s">
        <v>246</v>
      </c>
      <c r="B1853" t="s">
        <v>237</v>
      </c>
      <c r="C1853" t="s">
        <v>238</v>
      </c>
      <c r="D1853" t="s">
        <v>265</v>
      </c>
      <c r="E1853" t="s">
        <v>229</v>
      </c>
      <c r="F1853">
        <v>2010</v>
      </c>
      <c r="G1853">
        <v>6.7528E-4</v>
      </c>
      <c r="H1853" t="s">
        <v>240</v>
      </c>
      <c r="I1853" t="s">
        <v>241</v>
      </c>
      <c r="J1853" t="s">
        <v>247</v>
      </c>
      <c r="K1853" s="183">
        <f ca="1">VLOOKUP(F1853,
    OFFSET(INDIRECT(ADDRESS(MATCH(J1853,'Vehicle numbers'!$A$5:$A$162,0),1,1,1,$L$6)),4,1,COUNTIF('Vehicle numbers'!$A$5:$A$162,J1853),4),
    MATCH(K$8,'Vehicle numbers'!$B$4:$D$4,0))*1000</f>
        <v>105347</v>
      </c>
      <c r="L1853" s="183">
        <f ca="1">VLOOKUP(F1853,
    OFFSET(INDIRECT(ADDRESS(MATCH(J1853,'Vehicle numbers'!$A$5:$A$162,0),1,1,1,$L$6)),4,1,COUNTIF('Vehicle numbers'!$A$5:$A$162,J1853),4),
    MATCH(L$8,'Vehicle numbers'!$B$4:$D$4,0))*1000</f>
        <v>110872.51749712514</v>
      </c>
      <c r="M1853" s="184">
        <f ca="1">VLOOKUP(F1853,'Annual distance covered (GB)'!$A$8:$H$33,MATCH(J1853,'Annual distance covered (GB)'!$A$7:$H$7,0))</f>
        <v>15.6</v>
      </c>
      <c r="N1853" s="2">
        <f t="shared" ca="1" si="70"/>
        <v>11086.902336100271</v>
      </c>
      <c r="O1853" s="180">
        <f t="shared" ca="1" si="71"/>
        <v>9.9996848510161662E-2</v>
      </c>
      <c r="P1853" s="180"/>
      <c r="Q1853" s="180"/>
      <c r="R1853" s="180"/>
      <c r="S1853" s="180"/>
      <c r="T1853" s="180"/>
    </row>
    <row r="1854" spans="1:20" x14ac:dyDescent="0.25">
      <c r="A1854" t="s">
        <v>236</v>
      </c>
      <c r="B1854" t="s">
        <v>237</v>
      </c>
      <c r="C1854" t="s">
        <v>238</v>
      </c>
      <c r="D1854" t="s">
        <v>265</v>
      </c>
      <c r="E1854" t="s">
        <v>228</v>
      </c>
      <c r="F1854">
        <v>2010</v>
      </c>
      <c r="G1854">
        <v>3.1494399999999999E-2</v>
      </c>
      <c r="H1854" t="s">
        <v>240</v>
      </c>
      <c r="I1854" t="s">
        <v>241</v>
      </c>
      <c r="J1854" t="s">
        <v>247</v>
      </c>
      <c r="K1854" s="183">
        <f ca="1">VLOOKUP(F1854,
    OFFSET(INDIRECT(ADDRESS(MATCH(J1854,'Vehicle numbers'!$A$5:$A$162,0),1,1,1,$L$6)),4,1,COUNTIF('Vehicle numbers'!$A$5:$A$162,J1854),4),
    MATCH(K$8,'Vehicle numbers'!$B$4:$D$4,0))*1000</f>
        <v>105347</v>
      </c>
      <c r="L1854" s="183">
        <f ca="1">VLOOKUP(F1854,
    OFFSET(INDIRECT(ADDRESS(MATCH(J1854,'Vehicle numbers'!$A$5:$A$162,0),1,1,1,$L$6)),4,1,COUNTIF('Vehicle numbers'!$A$5:$A$162,J1854),4),
    MATCH(L$8,'Vehicle numbers'!$B$4:$D$4,0))*1000</f>
        <v>110872.51749712514</v>
      </c>
      <c r="M1854" s="184">
        <f ca="1">VLOOKUP(F1854,'Annual distance covered (GB)'!$A$8:$H$33,MATCH(J1854,'Annual distance covered (GB)'!$A$7:$H$7,0))</f>
        <v>15.6</v>
      </c>
      <c r="N1854" s="2">
        <f t="shared" ca="1" si="70"/>
        <v>517082.30205851846</v>
      </c>
      <c r="O1854" s="180">
        <f t="shared" ca="1" si="71"/>
        <v>4.6637553988248364</v>
      </c>
      <c r="P1854" s="180"/>
      <c r="Q1854" s="180"/>
      <c r="R1854" s="180"/>
      <c r="S1854" s="180"/>
      <c r="T1854" s="180"/>
    </row>
    <row r="1855" spans="1:20" x14ac:dyDescent="0.25">
      <c r="A1855" t="s">
        <v>243</v>
      </c>
      <c r="B1855" t="s">
        <v>237</v>
      </c>
      <c r="C1855" t="s">
        <v>238</v>
      </c>
      <c r="D1855" t="s">
        <v>265</v>
      </c>
      <c r="E1855" t="s">
        <v>228</v>
      </c>
      <c r="F1855">
        <v>2010</v>
      </c>
      <c r="G1855">
        <v>2.2046079999999999E-2</v>
      </c>
      <c r="H1855" t="s">
        <v>240</v>
      </c>
      <c r="I1855" t="s">
        <v>241</v>
      </c>
      <c r="J1855" t="s">
        <v>247</v>
      </c>
      <c r="K1855" s="183">
        <f ca="1">VLOOKUP(F1855,
    OFFSET(INDIRECT(ADDRESS(MATCH(J1855,'Vehicle numbers'!$A$5:$A$162,0),1,1,1,$L$6)),4,1,COUNTIF('Vehicle numbers'!$A$5:$A$162,J1855),4),
    MATCH(K$8,'Vehicle numbers'!$B$4:$D$4,0))*1000</f>
        <v>105347</v>
      </c>
      <c r="L1855" s="183">
        <f ca="1">VLOOKUP(F1855,
    OFFSET(INDIRECT(ADDRESS(MATCH(J1855,'Vehicle numbers'!$A$5:$A$162,0),1,1,1,$L$6)),4,1,COUNTIF('Vehicle numbers'!$A$5:$A$162,J1855),4),
    MATCH(L$8,'Vehicle numbers'!$B$4:$D$4,0))*1000</f>
        <v>110872.51749712514</v>
      </c>
      <c r="M1855" s="184">
        <f ca="1">VLOOKUP(F1855,'Annual distance covered (GB)'!$A$8:$H$33,MATCH(J1855,'Annual distance covered (GB)'!$A$7:$H$7,0))</f>
        <v>15.6</v>
      </c>
      <c r="N1855" s="2">
        <f t="shared" ca="1" si="70"/>
        <v>361957.61144096294</v>
      </c>
      <c r="O1855" s="180">
        <f t="shared" ca="1" si="71"/>
        <v>3.2646287791773854</v>
      </c>
      <c r="P1855" s="180"/>
      <c r="Q1855" s="180"/>
      <c r="R1855" s="180"/>
      <c r="S1855" s="180"/>
      <c r="T1855" s="180"/>
    </row>
    <row r="1856" spans="1:20" x14ac:dyDescent="0.25">
      <c r="A1856" t="s">
        <v>244</v>
      </c>
      <c r="B1856" t="s">
        <v>237</v>
      </c>
      <c r="C1856" t="s">
        <v>238</v>
      </c>
      <c r="D1856" t="s">
        <v>265</v>
      </c>
      <c r="E1856" t="s">
        <v>228</v>
      </c>
      <c r="F1856">
        <v>2010</v>
      </c>
      <c r="G1856">
        <v>3.1050816901408399E-3</v>
      </c>
      <c r="H1856" t="s">
        <v>240</v>
      </c>
      <c r="I1856" t="s">
        <v>241</v>
      </c>
      <c r="J1856" t="s">
        <v>247</v>
      </c>
      <c r="K1856" s="183">
        <f ca="1">VLOOKUP(F1856,
    OFFSET(INDIRECT(ADDRESS(MATCH(J1856,'Vehicle numbers'!$A$5:$A$162,0),1,1,1,$L$6)),4,1,COUNTIF('Vehicle numbers'!$A$5:$A$162,J1856),4),
    MATCH(K$8,'Vehicle numbers'!$B$4:$D$4,0))*1000</f>
        <v>105347</v>
      </c>
      <c r="L1856" s="183">
        <f ca="1">VLOOKUP(F1856,
    OFFSET(INDIRECT(ADDRESS(MATCH(J1856,'Vehicle numbers'!$A$5:$A$162,0),1,1,1,$L$6)),4,1,COUNTIF('Vehicle numbers'!$A$5:$A$162,J1856),4),
    MATCH(L$8,'Vehicle numbers'!$B$4:$D$4,0))*1000</f>
        <v>110872.51749712514</v>
      </c>
      <c r="M1856" s="184">
        <f ca="1">VLOOKUP(F1856,'Annual distance covered (GB)'!$A$8:$H$33,MATCH(J1856,'Annual distance covered (GB)'!$A$7:$H$7,0))</f>
        <v>15.6</v>
      </c>
      <c r="N1856" s="2">
        <f t="shared" ca="1" si="70"/>
        <v>50979.945273374971</v>
      </c>
      <c r="O1856" s="180">
        <f t="shared" ca="1" si="71"/>
        <v>0.45980687030667317</v>
      </c>
      <c r="P1856" s="180"/>
      <c r="Q1856" s="180"/>
      <c r="R1856" s="180"/>
      <c r="S1856" s="180"/>
      <c r="T1856" s="180"/>
    </row>
    <row r="1857" spans="1:20" x14ac:dyDescent="0.25">
      <c r="A1857" t="s">
        <v>246</v>
      </c>
      <c r="B1857" t="s">
        <v>237</v>
      </c>
      <c r="C1857" t="s">
        <v>238</v>
      </c>
      <c r="D1857" t="s">
        <v>265</v>
      </c>
      <c r="E1857" t="s">
        <v>228</v>
      </c>
      <c r="F1857">
        <v>2010</v>
      </c>
      <c r="G1857">
        <v>2.4840653521126699E-3</v>
      </c>
      <c r="H1857" t="s">
        <v>240</v>
      </c>
      <c r="I1857" t="s">
        <v>241</v>
      </c>
      <c r="J1857" t="s">
        <v>247</v>
      </c>
      <c r="K1857" s="183">
        <f ca="1">VLOOKUP(F1857,
    OFFSET(INDIRECT(ADDRESS(MATCH(J1857,'Vehicle numbers'!$A$5:$A$162,0),1,1,1,$L$6)),4,1,COUNTIF('Vehicle numbers'!$A$5:$A$162,J1857),4),
    MATCH(K$8,'Vehicle numbers'!$B$4:$D$4,0))*1000</f>
        <v>105347</v>
      </c>
      <c r="L1857" s="183">
        <f ca="1">VLOOKUP(F1857,
    OFFSET(INDIRECT(ADDRESS(MATCH(J1857,'Vehicle numbers'!$A$5:$A$162,0),1,1,1,$L$6)),4,1,COUNTIF('Vehicle numbers'!$A$5:$A$162,J1857),4),
    MATCH(L$8,'Vehicle numbers'!$B$4:$D$4,0))*1000</f>
        <v>110872.51749712514</v>
      </c>
      <c r="M1857" s="184">
        <f ca="1">VLOOKUP(F1857,'Annual distance covered (GB)'!$A$8:$H$33,MATCH(J1857,'Annual distance covered (GB)'!$A$7:$H$7,0))</f>
        <v>15.6</v>
      </c>
      <c r="N1857" s="2">
        <f t="shared" ca="1" si="70"/>
        <v>40783.956218699946</v>
      </c>
      <c r="O1857" s="180">
        <f t="shared" ca="1" si="71"/>
        <v>0.36784549624533824</v>
      </c>
      <c r="P1857" s="180"/>
      <c r="Q1857" s="180"/>
      <c r="R1857" s="180"/>
      <c r="S1857" s="180"/>
      <c r="T1857" s="180"/>
    </row>
    <row r="1858" spans="1:20" x14ac:dyDescent="0.25">
      <c r="A1858" t="s">
        <v>236</v>
      </c>
      <c r="B1858" t="s">
        <v>237</v>
      </c>
      <c r="C1858" t="s">
        <v>238</v>
      </c>
      <c r="D1858" t="s">
        <v>266</v>
      </c>
      <c r="E1858" t="s">
        <v>229</v>
      </c>
      <c r="F1858">
        <v>2010</v>
      </c>
      <c r="G1858">
        <v>2.7143E-2</v>
      </c>
      <c r="H1858" t="s">
        <v>240</v>
      </c>
      <c r="I1858" t="s">
        <v>241</v>
      </c>
      <c r="J1858" t="s">
        <v>247</v>
      </c>
      <c r="K1858" s="183">
        <f ca="1">VLOOKUP(F1858,
    OFFSET(INDIRECT(ADDRESS(MATCH(J1858,'Vehicle numbers'!$A$5:$A$162,0),1,1,1,$L$6)),4,1,COUNTIF('Vehicle numbers'!$A$5:$A$162,J1858),4),
    MATCH(K$8,'Vehicle numbers'!$B$4:$D$4,0))*1000</f>
        <v>105347</v>
      </c>
      <c r="L1858" s="183">
        <f ca="1">VLOOKUP(F1858,
    OFFSET(INDIRECT(ADDRESS(MATCH(J1858,'Vehicle numbers'!$A$5:$A$162,0),1,1,1,$L$6)),4,1,COUNTIF('Vehicle numbers'!$A$5:$A$162,J1858),4),
    MATCH(L$8,'Vehicle numbers'!$B$4:$D$4,0))*1000</f>
        <v>110872.51749712514</v>
      </c>
      <c r="M1858" s="184">
        <f ca="1">VLOOKUP(F1858,'Annual distance covered (GB)'!$A$8:$H$33,MATCH(J1858,'Annual distance covered (GB)'!$A$7:$H$7,0))</f>
        <v>15.6</v>
      </c>
      <c r="N1858" s="2">
        <f t="shared" ca="1" si="70"/>
        <v>445640.01615443913</v>
      </c>
      <c r="O1858" s="180">
        <f t="shared" ca="1" si="71"/>
        <v>4.0193911549450867</v>
      </c>
      <c r="P1858" s="180"/>
      <c r="Q1858" s="180"/>
      <c r="R1858" s="180"/>
      <c r="S1858" s="180"/>
      <c r="T1858" s="180"/>
    </row>
    <row r="1859" spans="1:20" x14ac:dyDescent="0.25">
      <c r="A1859" t="s">
        <v>243</v>
      </c>
      <c r="B1859" t="s">
        <v>237</v>
      </c>
      <c r="C1859" t="s">
        <v>238</v>
      </c>
      <c r="D1859" t="s">
        <v>266</v>
      </c>
      <c r="E1859" t="s">
        <v>229</v>
      </c>
      <c r="F1859">
        <v>2010</v>
      </c>
      <c r="G1859">
        <v>1.0857199999999999E-2</v>
      </c>
      <c r="H1859" t="s">
        <v>240</v>
      </c>
      <c r="I1859" t="s">
        <v>241</v>
      </c>
      <c r="J1859" t="s">
        <v>247</v>
      </c>
      <c r="K1859" s="183">
        <f ca="1">VLOOKUP(F1859,
    OFFSET(INDIRECT(ADDRESS(MATCH(J1859,'Vehicle numbers'!$A$5:$A$162,0),1,1,1,$L$6)),4,1,COUNTIF('Vehicle numbers'!$A$5:$A$162,J1859),4),
    MATCH(K$8,'Vehicle numbers'!$B$4:$D$4,0))*1000</f>
        <v>105347</v>
      </c>
      <c r="L1859" s="183">
        <f ca="1">VLOOKUP(F1859,
    OFFSET(INDIRECT(ADDRESS(MATCH(J1859,'Vehicle numbers'!$A$5:$A$162,0),1,1,1,$L$6)),4,1,COUNTIF('Vehicle numbers'!$A$5:$A$162,J1859),4),
    MATCH(L$8,'Vehicle numbers'!$B$4:$D$4,0))*1000</f>
        <v>110872.51749712514</v>
      </c>
      <c r="M1859" s="184">
        <f ca="1">VLOOKUP(F1859,'Annual distance covered (GB)'!$A$8:$H$33,MATCH(J1859,'Annual distance covered (GB)'!$A$7:$H$7,0))</f>
        <v>15.6</v>
      </c>
      <c r="N1859" s="2">
        <f t="shared" ca="1" si="70"/>
        <v>178256.00646177566</v>
      </c>
      <c r="O1859" s="180">
        <f t="shared" ca="1" si="71"/>
        <v>1.6077564619780347</v>
      </c>
      <c r="P1859" s="180"/>
      <c r="Q1859" s="180"/>
      <c r="R1859" s="180"/>
      <c r="S1859" s="180"/>
      <c r="T1859" s="180"/>
    </row>
    <row r="1860" spans="1:20" x14ac:dyDescent="0.25">
      <c r="A1860" t="s">
        <v>244</v>
      </c>
      <c r="B1860" t="s">
        <v>237</v>
      </c>
      <c r="C1860" t="s">
        <v>238</v>
      </c>
      <c r="D1860" t="s">
        <v>266</v>
      </c>
      <c r="E1860" t="s">
        <v>229</v>
      </c>
      <c r="F1860">
        <v>2010</v>
      </c>
      <c r="G1860">
        <v>2.7142999999999998E-3</v>
      </c>
      <c r="H1860" t="s">
        <v>240</v>
      </c>
      <c r="I1860" t="s">
        <v>241</v>
      </c>
      <c r="J1860" t="s">
        <v>247</v>
      </c>
      <c r="K1860" s="183">
        <f ca="1">VLOOKUP(F1860,
    OFFSET(INDIRECT(ADDRESS(MATCH(J1860,'Vehicle numbers'!$A$5:$A$162,0),1,1,1,$L$6)),4,1,COUNTIF('Vehicle numbers'!$A$5:$A$162,J1860),4),
    MATCH(K$8,'Vehicle numbers'!$B$4:$D$4,0))*1000</f>
        <v>105347</v>
      </c>
      <c r="L1860" s="183">
        <f ca="1">VLOOKUP(F1860,
    OFFSET(INDIRECT(ADDRESS(MATCH(J1860,'Vehicle numbers'!$A$5:$A$162,0),1,1,1,$L$6)),4,1,COUNTIF('Vehicle numbers'!$A$5:$A$162,J1860),4),
    MATCH(L$8,'Vehicle numbers'!$B$4:$D$4,0))*1000</f>
        <v>110872.51749712514</v>
      </c>
      <c r="M1860" s="184">
        <f ca="1">VLOOKUP(F1860,'Annual distance covered (GB)'!$A$8:$H$33,MATCH(J1860,'Annual distance covered (GB)'!$A$7:$H$7,0))</f>
        <v>15.6</v>
      </c>
      <c r="N1860" s="2">
        <f t="shared" ca="1" si="70"/>
        <v>44564.001615443914</v>
      </c>
      <c r="O1860" s="180">
        <f t="shared" ca="1" si="71"/>
        <v>0.40193911549450867</v>
      </c>
      <c r="P1860" s="180"/>
      <c r="Q1860" s="180"/>
      <c r="R1860" s="180"/>
      <c r="S1860" s="180"/>
      <c r="T1860" s="180"/>
    </row>
    <row r="1861" spans="1:20" x14ac:dyDescent="0.25">
      <c r="A1861" t="s">
        <v>246</v>
      </c>
      <c r="B1861" t="s">
        <v>237</v>
      </c>
      <c r="C1861" t="s">
        <v>238</v>
      </c>
      <c r="D1861" t="s">
        <v>266</v>
      </c>
      <c r="E1861" t="s">
        <v>229</v>
      </c>
      <c r="F1861">
        <v>2010</v>
      </c>
      <c r="G1861">
        <v>2.1714400000000002E-3</v>
      </c>
      <c r="H1861" t="s">
        <v>240</v>
      </c>
      <c r="I1861" t="s">
        <v>241</v>
      </c>
      <c r="J1861" t="s">
        <v>247</v>
      </c>
      <c r="K1861" s="183">
        <f ca="1">VLOOKUP(F1861,
    OFFSET(INDIRECT(ADDRESS(MATCH(J1861,'Vehicle numbers'!$A$5:$A$162,0),1,1,1,$L$6)),4,1,COUNTIF('Vehicle numbers'!$A$5:$A$162,J1861),4),
    MATCH(K$8,'Vehicle numbers'!$B$4:$D$4,0))*1000</f>
        <v>105347</v>
      </c>
      <c r="L1861" s="183">
        <f ca="1">VLOOKUP(F1861,
    OFFSET(INDIRECT(ADDRESS(MATCH(J1861,'Vehicle numbers'!$A$5:$A$162,0),1,1,1,$L$6)),4,1,COUNTIF('Vehicle numbers'!$A$5:$A$162,J1861),4),
    MATCH(L$8,'Vehicle numbers'!$B$4:$D$4,0))*1000</f>
        <v>110872.51749712514</v>
      </c>
      <c r="M1861" s="184">
        <f ca="1">VLOOKUP(F1861,'Annual distance covered (GB)'!$A$8:$H$33,MATCH(J1861,'Annual distance covered (GB)'!$A$7:$H$7,0))</f>
        <v>15.6</v>
      </c>
      <c r="N1861" s="2">
        <f t="shared" ca="1" si="70"/>
        <v>35651.20129235513</v>
      </c>
      <c r="O1861" s="180">
        <f t="shared" ca="1" si="71"/>
        <v>0.32155129239560692</v>
      </c>
      <c r="P1861" s="180"/>
      <c r="Q1861" s="180"/>
      <c r="R1861" s="180"/>
      <c r="S1861" s="180"/>
      <c r="T1861" s="180"/>
    </row>
    <row r="1862" spans="1:20" x14ac:dyDescent="0.25">
      <c r="A1862" t="s">
        <v>236</v>
      </c>
      <c r="B1862" t="s">
        <v>237</v>
      </c>
      <c r="C1862" t="s">
        <v>238</v>
      </c>
      <c r="D1862" t="s">
        <v>266</v>
      </c>
      <c r="E1862" t="s">
        <v>228</v>
      </c>
      <c r="F1862">
        <v>2010</v>
      </c>
      <c r="G1862">
        <v>3.8239919999999997E-2</v>
      </c>
      <c r="H1862" t="s">
        <v>240</v>
      </c>
      <c r="I1862" t="s">
        <v>241</v>
      </c>
      <c r="J1862" t="s">
        <v>247</v>
      </c>
      <c r="K1862" s="183">
        <f ca="1">VLOOKUP(F1862,
    OFFSET(INDIRECT(ADDRESS(MATCH(J1862,'Vehicle numbers'!$A$5:$A$162,0),1,1,1,$L$6)),4,1,COUNTIF('Vehicle numbers'!$A$5:$A$162,J1862),4),
    MATCH(K$8,'Vehicle numbers'!$B$4:$D$4,0))*1000</f>
        <v>105347</v>
      </c>
      <c r="L1862" s="183">
        <f ca="1">VLOOKUP(F1862,
    OFFSET(INDIRECT(ADDRESS(MATCH(J1862,'Vehicle numbers'!$A$5:$A$162,0),1,1,1,$L$6)),4,1,COUNTIF('Vehicle numbers'!$A$5:$A$162,J1862),4),
    MATCH(L$8,'Vehicle numbers'!$B$4:$D$4,0))*1000</f>
        <v>110872.51749712514</v>
      </c>
      <c r="M1862" s="184">
        <f ca="1">VLOOKUP(F1862,'Annual distance covered (GB)'!$A$8:$H$33,MATCH(J1862,'Annual distance covered (GB)'!$A$7:$H$7,0))</f>
        <v>15.6</v>
      </c>
      <c r="N1862" s="2">
        <f t="shared" ca="1" si="70"/>
        <v>627831.80070531846</v>
      </c>
      <c r="O1862" s="180">
        <f t="shared" ca="1" si="71"/>
        <v>5.6626458465831968</v>
      </c>
      <c r="P1862" s="180"/>
      <c r="Q1862" s="180"/>
      <c r="R1862" s="180"/>
      <c r="S1862" s="180"/>
      <c r="T1862" s="180"/>
    </row>
    <row r="1863" spans="1:20" x14ac:dyDescent="0.25">
      <c r="A1863" t="s">
        <v>243</v>
      </c>
      <c r="B1863" t="s">
        <v>237</v>
      </c>
      <c r="C1863" t="s">
        <v>238</v>
      </c>
      <c r="D1863" t="s">
        <v>266</v>
      </c>
      <c r="E1863" t="s">
        <v>228</v>
      </c>
      <c r="F1863">
        <v>2010</v>
      </c>
      <c r="G1863">
        <v>2.6767943999999998E-2</v>
      </c>
      <c r="H1863" t="s">
        <v>240</v>
      </c>
      <c r="I1863" t="s">
        <v>241</v>
      </c>
      <c r="J1863" t="s">
        <v>247</v>
      </c>
      <c r="K1863" s="183">
        <f ca="1">VLOOKUP(F1863,
    OFFSET(INDIRECT(ADDRESS(MATCH(J1863,'Vehicle numbers'!$A$5:$A$162,0),1,1,1,$L$6)),4,1,COUNTIF('Vehicle numbers'!$A$5:$A$162,J1863),4),
    MATCH(K$8,'Vehicle numbers'!$B$4:$D$4,0))*1000</f>
        <v>105347</v>
      </c>
      <c r="L1863" s="183">
        <f ca="1">VLOOKUP(F1863,
    OFFSET(INDIRECT(ADDRESS(MATCH(J1863,'Vehicle numbers'!$A$5:$A$162,0),1,1,1,$L$6)),4,1,COUNTIF('Vehicle numbers'!$A$5:$A$162,J1863),4),
    MATCH(L$8,'Vehicle numbers'!$B$4:$D$4,0))*1000</f>
        <v>110872.51749712514</v>
      </c>
      <c r="M1863" s="184">
        <f ca="1">VLOOKUP(F1863,'Annual distance covered (GB)'!$A$8:$H$33,MATCH(J1863,'Annual distance covered (GB)'!$A$7:$H$7,0))</f>
        <v>15.6</v>
      </c>
      <c r="N1863" s="2">
        <f t="shared" ca="1" si="70"/>
        <v>439482.26049372292</v>
      </c>
      <c r="O1863" s="180">
        <f t="shared" ca="1" si="71"/>
        <v>3.9638520926082377</v>
      </c>
      <c r="P1863" s="180"/>
      <c r="Q1863" s="180"/>
      <c r="R1863" s="180"/>
      <c r="S1863" s="180"/>
      <c r="T1863" s="180"/>
    </row>
    <row r="1864" spans="1:20" x14ac:dyDescent="0.25">
      <c r="A1864" t="s">
        <v>244</v>
      </c>
      <c r="B1864" t="s">
        <v>237</v>
      </c>
      <c r="C1864" t="s">
        <v>238</v>
      </c>
      <c r="D1864" t="s">
        <v>266</v>
      </c>
      <c r="E1864" t="s">
        <v>228</v>
      </c>
      <c r="F1864">
        <v>2010</v>
      </c>
      <c r="G1864">
        <v>3.7701329577464701E-3</v>
      </c>
      <c r="H1864" t="s">
        <v>240</v>
      </c>
      <c r="I1864" t="s">
        <v>241</v>
      </c>
      <c r="J1864" t="s">
        <v>247</v>
      </c>
      <c r="K1864" s="183">
        <f ca="1">VLOOKUP(F1864,
    OFFSET(INDIRECT(ADDRESS(MATCH(J1864,'Vehicle numbers'!$A$5:$A$162,0),1,1,1,$L$6)),4,1,COUNTIF('Vehicle numbers'!$A$5:$A$162,J1864),4),
    MATCH(K$8,'Vehicle numbers'!$B$4:$D$4,0))*1000</f>
        <v>105347</v>
      </c>
      <c r="L1864" s="183">
        <f ca="1">VLOOKUP(F1864,
    OFFSET(INDIRECT(ADDRESS(MATCH(J1864,'Vehicle numbers'!$A$5:$A$162,0),1,1,1,$L$6)),4,1,COUNTIF('Vehicle numbers'!$A$5:$A$162,J1864),4),
    MATCH(L$8,'Vehicle numbers'!$B$4:$D$4,0))*1000</f>
        <v>110872.51749712514</v>
      </c>
      <c r="M1864" s="184">
        <f ca="1">VLOOKUP(F1864,'Annual distance covered (GB)'!$A$8:$H$33,MATCH(J1864,'Annual distance covered (GB)'!$A$7:$H$7,0))</f>
        <v>15.6</v>
      </c>
      <c r="N1864" s="2">
        <f t="shared" ca="1" si="70"/>
        <v>61898.909928693225</v>
      </c>
      <c r="O1864" s="180">
        <f t="shared" ca="1" si="71"/>
        <v>0.5582890271279195</v>
      </c>
      <c r="P1864" s="180"/>
      <c r="Q1864" s="180"/>
      <c r="R1864" s="180"/>
      <c r="S1864" s="180"/>
      <c r="T1864" s="180"/>
    </row>
    <row r="1865" spans="1:20" x14ac:dyDescent="0.25">
      <c r="A1865" t="s">
        <v>246</v>
      </c>
      <c r="B1865" t="s">
        <v>237</v>
      </c>
      <c r="C1865" t="s">
        <v>238</v>
      </c>
      <c r="D1865" t="s">
        <v>266</v>
      </c>
      <c r="E1865" t="s">
        <v>228</v>
      </c>
      <c r="F1865">
        <v>2010</v>
      </c>
      <c r="G1865">
        <v>3.01610636619718E-3</v>
      </c>
      <c r="H1865" t="s">
        <v>240</v>
      </c>
      <c r="I1865" t="s">
        <v>241</v>
      </c>
      <c r="J1865" t="s">
        <v>247</v>
      </c>
      <c r="K1865" s="183">
        <f ca="1">VLOOKUP(F1865,
    OFFSET(INDIRECT(ADDRESS(MATCH(J1865,'Vehicle numbers'!$A$5:$A$162,0),1,1,1,$L$6)),4,1,COUNTIF('Vehicle numbers'!$A$5:$A$162,J1865),4),
    MATCH(K$8,'Vehicle numbers'!$B$4:$D$4,0))*1000</f>
        <v>105347</v>
      </c>
      <c r="L1865" s="183">
        <f ca="1">VLOOKUP(F1865,
    OFFSET(INDIRECT(ADDRESS(MATCH(J1865,'Vehicle numbers'!$A$5:$A$162,0),1,1,1,$L$6)),4,1,COUNTIF('Vehicle numbers'!$A$5:$A$162,J1865),4),
    MATCH(L$8,'Vehicle numbers'!$B$4:$D$4,0))*1000</f>
        <v>110872.51749712514</v>
      </c>
      <c r="M1865" s="184">
        <f ca="1">VLOOKUP(F1865,'Annual distance covered (GB)'!$A$8:$H$33,MATCH(J1865,'Annual distance covered (GB)'!$A$7:$H$7,0))</f>
        <v>15.6</v>
      </c>
      <c r="N1865" s="2">
        <f t="shared" ca="1" si="70"/>
        <v>49519.127942954648</v>
      </c>
      <c r="O1865" s="180">
        <f t="shared" ca="1" si="71"/>
        <v>0.44663122170233621</v>
      </c>
      <c r="P1865" s="180"/>
      <c r="Q1865" s="180"/>
      <c r="R1865" s="180"/>
      <c r="S1865" s="180"/>
      <c r="T1865" s="180"/>
    </row>
    <row r="1866" spans="1:20" x14ac:dyDescent="0.25">
      <c r="A1866" t="s">
        <v>236</v>
      </c>
      <c r="B1866" t="s">
        <v>237</v>
      </c>
      <c r="C1866" t="s">
        <v>238</v>
      </c>
      <c r="D1866" t="s">
        <v>267</v>
      </c>
      <c r="E1866" t="s">
        <v>229</v>
      </c>
      <c r="F1866">
        <v>2010</v>
      </c>
      <c r="G1866">
        <v>5.0994999999999999E-2</v>
      </c>
      <c r="H1866" t="s">
        <v>240</v>
      </c>
      <c r="I1866" t="s">
        <v>241</v>
      </c>
      <c r="J1866" t="s">
        <v>247</v>
      </c>
      <c r="K1866" s="183">
        <f ca="1">VLOOKUP(F1866,
    OFFSET(INDIRECT(ADDRESS(MATCH(J1866,'Vehicle numbers'!$A$5:$A$162,0),1,1,1,$L$6)),4,1,COUNTIF('Vehicle numbers'!$A$5:$A$162,J1866),4),
    MATCH(K$8,'Vehicle numbers'!$B$4:$D$4,0))*1000</f>
        <v>105347</v>
      </c>
      <c r="L1866" s="183">
        <f ca="1">VLOOKUP(F1866,
    OFFSET(INDIRECT(ADDRESS(MATCH(J1866,'Vehicle numbers'!$A$5:$A$162,0),1,1,1,$L$6)),4,1,COUNTIF('Vehicle numbers'!$A$5:$A$162,J1866),4),
    MATCH(L$8,'Vehicle numbers'!$B$4:$D$4,0))*1000</f>
        <v>110872.51749712514</v>
      </c>
      <c r="M1866" s="184">
        <f ca="1">VLOOKUP(F1866,'Annual distance covered (GB)'!$A$8:$H$33,MATCH(J1866,'Annual distance covered (GB)'!$A$7:$H$7,0))</f>
        <v>15.6</v>
      </c>
      <c r="N1866" s="2">
        <f t="shared" ca="1" si="70"/>
        <v>837247.63746806257</v>
      </c>
      <c r="O1866" s="180">
        <f t="shared" ca="1" si="71"/>
        <v>7.5514442746352533</v>
      </c>
      <c r="P1866" s="180"/>
      <c r="Q1866" s="180"/>
      <c r="R1866" s="180"/>
      <c r="S1866" s="180"/>
      <c r="T1866" s="180"/>
    </row>
    <row r="1867" spans="1:20" x14ac:dyDescent="0.25">
      <c r="A1867" t="s">
        <v>243</v>
      </c>
      <c r="B1867" t="s">
        <v>237</v>
      </c>
      <c r="C1867" t="s">
        <v>238</v>
      </c>
      <c r="D1867" t="s">
        <v>267</v>
      </c>
      <c r="E1867" t="s">
        <v>229</v>
      </c>
      <c r="F1867">
        <v>2010</v>
      </c>
      <c r="G1867">
        <v>2.0397999999999999E-2</v>
      </c>
      <c r="H1867" t="s">
        <v>240</v>
      </c>
      <c r="I1867" t="s">
        <v>241</v>
      </c>
      <c r="J1867" t="s">
        <v>247</v>
      </c>
      <c r="K1867" s="183">
        <f ca="1">VLOOKUP(F1867,
    OFFSET(INDIRECT(ADDRESS(MATCH(J1867,'Vehicle numbers'!$A$5:$A$162,0),1,1,1,$L$6)),4,1,COUNTIF('Vehicle numbers'!$A$5:$A$162,J1867),4),
    MATCH(K$8,'Vehicle numbers'!$B$4:$D$4,0))*1000</f>
        <v>105347</v>
      </c>
      <c r="L1867" s="183">
        <f ca="1">VLOOKUP(F1867,
    OFFSET(INDIRECT(ADDRESS(MATCH(J1867,'Vehicle numbers'!$A$5:$A$162,0),1,1,1,$L$6)),4,1,COUNTIF('Vehicle numbers'!$A$5:$A$162,J1867),4),
    MATCH(L$8,'Vehicle numbers'!$B$4:$D$4,0))*1000</f>
        <v>110872.51749712514</v>
      </c>
      <c r="M1867" s="184">
        <f ca="1">VLOOKUP(F1867,'Annual distance covered (GB)'!$A$8:$H$33,MATCH(J1867,'Annual distance covered (GB)'!$A$7:$H$7,0))</f>
        <v>15.6</v>
      </c>
      <c r="N1867" s="2">
        <f t="shared" ref="N1867:N1930" ca="1" si="72">M1867*G1867*1000000*(L1867/K1867)</f>
        <v>334899.05498722498</v>
      </c>
      <c r="O1867" s="180">
        <f t="shared" ref="O1867:O1930" ca="1" si="73">N1867/L1867</f>
        <v>3.0205777098541007</v>
      </c>
      <c r="P1867" s="180"/>
      <c r="Q1867" s="180"/>
      <c r="R1867" s="180"/>
      <c r="S1867" s="180"/>
      <c r="T1867" s="180"/>
    </row>
    <row r="1868" spans="1:20" x14ac:dyDescent="0.25">
      <c r="A1868" t="s">
        <v>244</v>
      </c>
      <c r="B1868" t="s">
        <v>237</v>
      </c>
      <c r="C1868" t="s">
        <v>238</v>
      </c>
      <c r="D1868" t="s">
        <v>267</v>
      </c>
      <c r="E1868" t="s">
        <v>229</v>
      </c>
      <c r="F1868">
        <v>2010</v>
      </c>
      <c r="G1868">
        <v>5.0994999999999999E-3</v>
      </c>
      <c r="H1868" t="s">
        <v>240</v>
      </c>
      <c r="I1868" t="s">
        <v>241</v>
      </c>
      <c r="J1868" t="s">
        <v>247</v>
      </c>
      <c r="K1868" s="183">
        <f ca="1">VLOOKUP(F1868,
    OFFSET(INDIRECT(ADDRESS(MATCH(J1868,'Vehicle numbers'!$A$5:$A$162,0),1,1,1,$L$6)),4,1,COUNTIF('Vehicle numbers'!$A$5:$A$162,J1868),4),
    MATCH(K$8,'Vehicle numbers'!$B$4:$D$4,0))*1000</f>
        <v>105347</v>
      </c>
      <c r="L1868" s="183">
        <f ca="1">VLOOKUP(F1868,
    OFFSET(INDIRECT(ADDRESS(MATCH(J1868,'Vehicle numbers'!$A$5:$A$162,0),1,1,1,$L$6)),4,1,COUNTIF('Vehicle numbers'!$A$5:$A$162,J1868),4),
    MATCH(L$8,'Vehicle numbers'!$B$4:$D$4,0))*1000</f>
        <v>110872.51749712514</v>
      </c>
      <c r="M1868" s="184">
        <f ca="1">VLOOKUP(F1868,'Annual distance covered (GB)'!$A$8:$H$33,MATCH(J1868,'Annual distance covered (GB)'!$A$7:$H$7,0))</f>
        <v>15.6</v>
      </c>
      <c r="N1868" s="2">
        <f t="shared" ca="1" si="72"/>
        <v>83724.763746806246</v>
      </c>
      <c r="O1868" s="180">
        <f t="shared" ca="1" si="73"/>
        <v>0.75514442746352517</v>
      </c>
      <c r="P1868" s="180"/>
      <c r="Q1868" s="180"/>
      <c r="R1868" s="180"/>
      <c r="S1868" s="180"/>
      <c r="T1868" s="180"/>
    </row>
    <row r="1869" spans="1:20" x14ac:dyDescent="0.25">
      <c r="A1869" t="s">
        <v>246</v>
      </c>
      <c r="B1869" t="s">
        <v>237</v>
      </c>
      <c r="C1869" t="s">
        <v>238</v>
      </c>
      <c r="D1869" t="s">
        <v>267</v>
      </c>
      <c r="E1869" t="s">
        <v>229</v>
      </c>
      <c r="F1869">
        <v>2010</v>
      </c>
      <c r="G1869">
        <v>4.0796000000000001E-3</v>
      </c>
      <c r="H1869" t="s">
        <v>240</v>
      </c>
      <c r="I1869" t="s">
        <v>241</v>
      </c>
      <c r="J1869" t="s">
        <v>247</v>
      </c>
      <c r="K1869" s="183">
        <f ca="1">VLOOKUP(F1869,
    OFFSET(INDIRECT(ADDRESS(MATCH(J1869,'Vehicle numbers'!$A$5:$A$162,0),1,1,1,$L$6)),4,1,COUNTIF('Vehicle numbers'!$A$5:$A$162,J1869),4),
    MATCH(K$8,'Vehicle numbers'!$B$4:$D$4,0))*1000</f>
        <v>105347</v>
      </c>
      <c r="L1869" s="183">
        <f ca="1">VLOOKUP(F1869,
    OFFSET(INDIRECT(ADDRESS(MATCH(J1869,'Vehicle numbers'!$A$5:$A$162,0),1,1,1,$L$6)),4,1,COUNTIF('Vehicle numbers'!$A$5:$A$162,J1869),4),
    MATCH(L$8,'Vehicle numbers'!$B$4:$D$4,0))*1000</f>
        <v>110872.51749712514</v>
      </c>
      <c r="M1869" s="184">
        <f ca="1">VLOOKUP(F1869,'Annual distance covered (GB)'!$A$8:$H$33,MATCH(J1869,'Annual distance covered (GB)'!$A$7:$H$7,0))</f>
        <v>15.6</v>
      </c>
      <c r="N1869" s="2">
        <f t="shared" ca="1" si="72"/>
        <v>66979.810997445005</v>
      </c>
      <c r="O1869" s="180">
        <f t="shared" ca="1" si="73"/>
        <v>0.60411554197082029</v>
      </c>
      <c r="P1869" s="180"/>
      <c r="Q1869" s="180"/>
      <c r="R1869" s="180"/>
      <c r="S1869" s="180"/>
      <c r="T1869" s="180"/>
    </row>
    <row r="1870" spans="1:20" x14ac:dyDescent="0.25">
      <c r="A1870" t="s">
        <v>236</v>
      </c>
      <c r="B1870" t="s">
        <v>237</v>
      </c>
      <c r="C1870" t="s">
        <v>238</v>
      </c>
      <c r="D1870" t="s">
        <v>267</v>
      </c>
      <c r="E1870" t="s">
        <v>228</v>
      </c>
      <c r="F1870">
        <v>2010</v>
      </c>
      <c r="G1870">
        <v>4.7072879999999998E-2</v>
      </c>
      <c r="H1870" t="s">
        <v>240</v>
      </c>
      <c r="I1870" t="s">
        <v>241</v>
      </c>
      <c r="J1870" t="s">
        <v>247</v>
      </c>
      <c r="K1870" s="183">
        <f ca="1">VLOOKUP(F1870,
    OFFSET(INDIRECT(ADDRESS(MATCH(J1870,'Vehicle numbers'!$A$5:$A$162,0),1,1,1,$L$6)),4,1,COUNTIF('Vehicle numbers'!$A$5:$A$162,J1870),4),
    MATCH(K$8,'Vehicle numbers'!$B$4:$D$4,0))*1000</f>
        <v>105347</v>
      </c>
      <c r="L1870" s="183">
        <f ca="1">VLOOKUP(F1870,
    OFFSET(INDIRECT(ADDRESS(MATCH(J1870,'Vehicle numbers'!$A$5:$A$162,0),1,1,1,$L$6)),4,1,COUNTIF('Vehicle numbers'!$A$5:$A$162,J1870),4),
    MATCH(L$8,'Vehicle numbers'!$B$4:$D$4,0))*1000</f>
        <v>110872.51749712514</v>
      </c>
      <c r="M1870" s="184">
        <f ca="1">VLOOKUP(F1870,'Annual distance covered (GB)'!$A$8:$H$33,MATCH(J1870,'Annual distance covered (GB)'!$A$7:$H$7,0))</f>
        <v>15.6</v>
      </c>
      <c r="N1870" s="2">
        <f t="shared" ca="1" si="72"/>
        <v>772853.36932674993</v>
      </c>
      <c r="O1870" s="180">
        <f t="shared" ca="1" si="73"/>
        <v>6.9706486943149786</v>
      </c>
      <c r="P1870" s="180"/>
      <c r="Q1870" s="180"/>
      <c r="R1870" s="180"/>
      <c r="S1870" s="180"/>
      <c r="T1870" s="180"/>
    </row>
    <row r="1871" spans="1:20" x14ac:dyDescent="0.25">
      <c r="A1871" t="s">
        <v>243</v>
      </c>
      <c r="B1871" t="s">
        <v>237</v>
      </c>
      <c r="C1871" t="s">
        <v>238</v>
      </c>
      <c r="D1871" t="s">
        <v>267</v>
      </c>
      <c r="E1871" t="s">
        <v>228</v>
      </c>
      <c r="F1871">
        <v>2010</v>
      </c>
      <c r="G1871">
        <v>3.2951016E-2</v>
      </c>
      <c r="H1871" t="s">
        <v>240</v>
      </c>
      <c r="I1871" t="s">
        <v>241</v>
      </c>
      <c r="J1871" t="s">
        <v>247</v>
      </c>
      <c r="K1871" s="183">
        <f ca="1">VLOOKUP(F1871,
    OFFSET(INDIRECT(ADDRESS(MATCH(J1871,'Vehicle numbers'!$A$5:$A$162,0),1,1,1,$L$6)),4,1,COUNTIF('Vehicle numbers'!$A$5:$A$162,J1871),4),
    MATCH(K$8,'Vehicle numbers'!$B$4:$D$4,0))*1000</f>
        <v>105347</v>
      </c>
      <c r="L1871" s="183">
        <f ca="1">VLOOKUP(F1871,
    OFFSET(INDIRECT(ADDRESS(MATCH(J1871,'Vehicle numbers'!$A$5:$A$162,0),1,1,1,$L$6)),4,1,COUNTIF('Vehicle numbers'!$A$5:$A$162,J1871),4),
    MATCH(L$8,'Vehicle numbers'!$B$4:$D$4,0))*1000</f>
        <v>110872.51749712514</v>
      </c>
      <c r="M1871" s="184">
        <f ca="1">VLOOKUP(F1871,'Annual distance covered (GB)'!$A$8:$H$33,MATCH(J1871,'Annual distance covered (GB)'!$A$7:$H$7,0))</f>
        <v>15.6</v>
      </c>
      <c r="N1871" s="2">
        <f t="shared" ca="1" si="72"/>
        <v>540997.35852872487</v>
      </c>
      <c r="O1871" s="180">
        <f t="shared" ca="1" si="73"/>
        <v>4.879454086020484</v>
      </c>
      <c r="P1871" s="180"/>
      <c r="Q1871" s="180"/>
      <c r="R1871" s="180"/>
      <c r="S1871" s="180"/>
      <c r="T1871" s="180"/>
    </row>
    <row r="1872" spans="1:20" x14ac:dyDescent="0.25">
      <c r="A1872" t="s">
        <v>244</v>
      </c>
      <c r="B1872" t="s">
        <v>237</v>
      </c>
      <c r="C1872" t="s">
        <v>238</v>
      </c>
      <c r="D1872" t="s">
        <v>267</v>
      </c>
      <c r="E1872" t="s">
        <v>228</v>
      </c>
      <c r="F1872">
        <v>2010</v>
      </c>
      <c r="G1872">
        <v>4.64098816901408E-3</v>
      </c>
      <c r="H1872" t="s">
        <v>240</v>
      </c>
      <c r="I1872" t="s">
        <v>241</v>
      </c>
      <c r="J1872" t="s">
        <v>247</v>
      </c>
      <c r="K1872" s="183">
        <f ca="1">VLOOKUP(F1872,
    OFFSET(INDIRECT(ADDRESS(MATCH(J1872,'Vehicle numbers'!$A$5:$A$162,0),1,1,1,$L$6)),4,1,COUNTIF('Vehicle numbers'!$A$5:$A$162,J1872),4),
    MATCH(K$8,'Vehicle numbers'!$B$4:$D$4,0))*1000</f>
        <v>105347</v>
      </c>
      <c r="L1872" s="183">
        <f ca="1">VLOOKUP(F1872,
    OFFSET(INDIRECT(ADDRESS(MATCH(J1872,'Vehicle numbers'!$A$5:$A$162,0),1,1,1,$L$6)),4,1,COUNTIF('Vehicle numbers'!$A$5:$A$162,J1872),4),
    MATCH(L$8,'Vehicle numbers'!$B$4:$D$4,0))*1000</f>
        <v>110872.51749712514</v>
      </c>
      <c r="M1872" s="184">
        <f ca="1">VLOOKUP(F1872,'Annual distance covered (GB)'!$A$8:$H$33,MATCH(J1872,'Annual distance covered (GB)'!$A$7:$H$7,0))</f>
        <v>15.6</v>
      </c>
      <c r="N1872" s="2">
        <f t="shared" ca="1" si="72"/>
        <v>76196.811060383727</v>
      </c>
      <c r="O1872" s="180">
        <f t="shared" ca="1" si="73"/>
        <v>0.68724705436908173</v>
      </c>
      <c r="P1872" s="180"/>
      <c r="Q1872" s="180"/>
      <c r="R1872" s="180"/>
      <c r="S1872" s="180"/>
      <c r="T1872" s="180"/>
    </row>
    <row r="1873" spans="1:20" x14ac:dyDescent="0.25">
      <c r="A1873" t="s">
        <v>246</v>
      </c>
      <c r="B1873" t="s">
        <v>237</v>
      </c>
      <c r="C1873" t="s">
        <v>238</v>
      </c>
      <c r="D1873" t="s">
        <v>267</v>
      </c>
      <c r="E1873" t="s">
        <v>228</v>
      </c>
      <c r="F1873">
        <v>2010</v>
      </c>
      <c r="G1873">
        <v>3.71279053521126E-3</v>
      </c>
      <c r="H1873" t="s">
        <v>240</v>
      </c>
      <c r="I1873" t="s">
        <v>241</v>
      </c>
      <c r="J1873" t="s">
        <v>247</v>
      </c>
      <c r="K1873" s="183">
        <f ca="1">VLOOKUP(F1873,
    OFFSET(INDIRECT(ADDRESS(MATCH(J1873,'Vehicle numbers'!$A$5:$A$162,0),1,1,1,$L$6)),4,1,COUNTIF('Vehicle numbers'!$A$5:$A$162,J1873),4),
    MATCH(K$8,'Vehicle numbers'!$B$4:$D$4,0))*1000</f>
        <v>105347</v>
      </c>
      <c r="L1873" s="183">
        <f ca="1">VLOOKUP(F1873,
    OFFSET(INDIRECT(ADDRESS(MATCH(J1873,'Vehicle numbers'!$A$5:$A$162,0),1,1,1,$L$6)),4,1,COUNTIF('Vehicle numbers'!$A$5:$A$162,J1873),4),
    MATCH(L$8,'Vehicle numbers'!$B$4:$D$4,0))*1000</f>
        <v>110872.51749712514</v>
      </c>
      <c r="M1873" s="184">
        <f ca="1">VLOOKUP(F1873,'Annual distance covered (GB)'!$A$8:$H$33,MATCH(J1873,'Annual distance covered (GB)'!$A$7:$H$7,0))</f>
        <v>15.6</v>
      </c>
      <c r="N1873" s="2">
        <f t="shared" ca="1" si="72"/>
        <v>60957.448848306907</v>
      </c>
      <c r="O1873" s="180">
        <f t="shared" ca="1" si="73"/>
        <v>0.54979764349526472</v>
      </c>
      <c r="P1873" s="180"/>
      <c r="Q1873" s="180"/>
      <c r="R1873" s="180"/>
      <c r="S1873" s="180"/>
      <c r="T1873" s="180"/>
    </row>
    <row r="1874" spans="1:20" x14ac:dyDescent="0.25">
      <c r="A1874" t="s">
        <v>236</v>
      </c>
      <c r="B1874" t="s">
        <v>237</v>
      </c>
      <c r="C1874" t="s">
        <v>238</v>
      </c>
      <c r="D1874" t="s">
        <v>268</v>
      </c>
      <c r="E1874" t="s">
        <v>229</v>
      </c>
      <c r="F1874">
        <v>2010</v>
      </c>
      <c r="G1874">
        <v>8.4410000000000093E-3</v>
      </c>
      <c r="H1874" t="s">
        <v>240</v>
      </c>
      <c r="I1874" t="s">
        <v>241</v>
      </c>
      <c r="J1874" t="s">
        <v>245</v>
      </c>
      <c r="K1874" s="183">
        <f ca="1">VLOOKUP(F1874,
    OFFSET(INDIRECT(ADDRESS(MATCH(J1874,'Vehicle numbers'!$A$5:$A$162,0),1,1,1,$L$6)),4,1,COUNTIF('Vehicle numbers'!$A$5:$A$162,J1874),4),
    MATCH(K$8,'Vehicle numbers'!$B$4:$D$4,0))*1000</f>
        <v>284414</v>
      </c>
      <c r="L1874" s="183">
        <f ca="1">VLOOKUP(F1874,
    OFFSET(INDIRECT(ADDRESS(MATCH(J1874,'Vehicle numbers'!$A$5:$A$162,0),1,1,1,$L$6)),4,1,COUNTIF('Vehicle numbers'!$A$5:$A$162,J1874),4),
    MATCH(L$8,'Vehicle numbers'!$B$4:$D$4,0))*1000</f>
        <v>298819.34665167157</v>
      </c>
      <c r="M1874" s="184">
        <f ca="1">VLOOKUP(F1874,'Annual distance covered (GB)'!$A$8:$H$33,MATCH(J1874,'Annual distance covered (GB)'!$A$7:$H$7,0))</f>
        <v>12.4</v>
      </c>
      <c r="N1874" s="2">
        <f t="shared" ca="1" si="72"/>
        <v>109969.77259584921</v>
      </c>
      <c r="O1874" s="180">
        <f t="shared" ca="1" si="73"/>
        <v>0.36801423277335193</v>
      </c>
      <c r="P1874" s="180"/>
      <c r="Q1874" s="180"/>
      <c r="R1874" s="180"/>
      <c r="S1874" s="180"/>
      <c r="T1874" s="180"/>
    </row>
    <row r="1875" spans="1:20" x14ac:dyDescent="0.25">
      <c r="A1875" t="s">
        <v>243</v>
      </c>
      <c r="B1875" t="s">
        <v>237</v>
      </c>
      <c r="C1875" t="s">
        <v>238</v>
      </c>
      <c r="D1875" t="s">
        <v>268</v>
      </c>
      <c r="E1875" t="s">
        <v>229</v>
      </c>
      <c r="F1875">
        <v>2010</v>
      </c>
      <c r="G1875">
        <v>3.3763999999999999E-3</v>
      </c>
      <c r="H1875" t="s">
        <v>240</v>
      </c>
      <c r="I1875" t="s">
        <v>241</v>
      </c>
      <c r="J1875" t="s">
        <v>245</v>
      </c>
      <c r="K1875" s="183">
        <f ca="1">VLOOKUP(F1875,
    OFFSET(INDIRECT(ADDRESS(MATCH(J1875,'Vehicle numbers'!$A$5:$A$162,0),1,1,1,$L$6)),4,1,COUNTIF('Vehicle numbers'!$A$5:$A$162,J1875),4),
    MATCH(K$8,'Vehicle numbers'!$B$4:$D$4,0))*1000</f>
        <v>284414</v>
      </c>
      <c r="L1875" s="183">
        <f ca="1">VLOOKUP(F1875,
    OFFSET(INDIRECT(ADDRESS(MATCH(J1875,'Vehicle numbers'!$A$5:$A$162,0),1,1,1,$L$6)),4,1,COUNTIF('Vehicle numbers'!$A$5:$A$162,J1875),4),
    MATCH(L$8,'Vehicle numbers'!$B$4:$D$4,0))*1000</f>
        <v>298819.34665167157</v>
      </c>
      <c r="M1875" s="184">
        <f ca="1">VLOOKUP(F1875,'Annual distance covered (GB)'!$A$8:$H$33,MATCH(J1875,'Annual distance covered (GB)'!$A$7:$H$7,0))</f>
        <v>12.4</v>
      </c>
      <c r="N1875" s="2">
        <f t="shared" ca="1" si="72"/>
        <v>43987.909038339632</v>
      </c>
      <c r="O1875" s="180">
        <f t="shared" ca="1" si="73"/>
        <v>0.14720569310934062</v>
      </c>
      <c r="P1875" s="180"/>
      <c r="Q1875" s="180"/>
      <c r="R1875" s="180"/>
      <c r="S1875" s="180"/>
      <c r="T1875" s="180"/>
    </row>
    <row r="1876" spans="1:20" x14ac:dyDescent="0.25">
      <c r="A1876" t="s">
        <v>244</v>
      </c>
      <c r="B1876" t="s">
        <v>237</v>
      </c>
      <c r="C1876" t="s">
        <v>238</v>
      </c>
      <c r="D1876" t="s">
        <v>268</v>
      </c>
      <c r="E1876" t="s">
        <v>229</v>
      </c>
      <c r="F1876">
        <v>2010</v>
      </c>
      <c r="G1876">
        <v>8.4409999999999997E-4</v>
      </c>
      <c r="H1876" t="s">
        <v>240</v>
      </c>
      <c r="I1876" t="s">
        <v>241</v>
      </c>
      <c r="J1876" t="s">
        <v>245</v>
      </c>
      <c r="K1876" s="183">
        <f ca="1">VLOOKUP(F1876,
    OFFSET(INDIRECT(ADDRESS(MATCH(J1876,'Vehicle numbers'!$A$5:$A$162,0),1,1,1,$L$6)),4,1,COUNTIF('Vehicle numbers'!$A$5:$A$162,J1876),4),
    MATCH(K$8,'Vehicle numbers'!$B$4:$D$4,0))*1000</f>
        <v>284414</v>
      </c>
      <c r="L1876" s="183">
        <f ca="1">VLOOKUP(F1876,
    OFFSET(INDIRECT(ADDRESS(MATCH(J1876,'Vehicle numbers'!$A$5:$A$162,0),1,1,1,$L$6)),4,1,COUNTIF('Vehicle numbers'!$A$5:$A$162,J1876),4),
    MATCH(L$8,'Vehicle numbers'!$B$4:$D$4,0))*1000</f>
        <v>298819.34665167157</v>
      </c>
      <c r="M1876" s="184">
        <f ca="1">VLOOKUP(F1876,'Annual distance covered (GB)'!$A$8:$H$33,MATCH(J1876,'Annual distance covered (GB)'!$A$7:$H$7,0))</f>
        <v>12.4</v>
      </c>
      <c r="N1876" s="2">
        <f t="shared" ca="1" si="72"/>
        <v>10996.977259584908</v>
      </c>
      <c r="O1876" s="180">
        <f t="shared" ca="1" si="73"/>
        <v>3.6801423277335155E-2</v>
      </c>
      <c r="P1876" s="180"/>
      <c r="Q1876" s="180"/>
      <c r="R1876" s="180"/>
      <c r="S1876" s="180"/>
      <c r="T1876" s="180"/>
    </row>
    <row r="1877" spans="1:20" x14ac:dyDescent="0.25">
      <c r="A1877" t="s">
        <v>246</v>
      </c>
      <c r="B1877" t="s">
        <v>237</v>
      </c>
      <c r="C1877" t="s">
        <v>238</v>
      </c>
      <c r="D1877" t="s">
        <v>268</v>
      </c>
      <c r="E1877" t="s">
        <v>229</v>
      </c>
      <c r="F1877">
        <v>2010</v>
      </c>
      <c r="G1877">
        <v>6.7528E-4</v>
      </c>
      <c r="H1877" t="s">
        <v>240</v>
      </c>
      <c r="I1877" t="s">
        <v>241</v>
      </c>
      <c r="J1877" t="s">
        <v>245</v>
      </c>
      <c r="K1877" s="183">
        <f ca="1">VLOOKUP(F1877,
    OFFSET(INDIRECT(ADDRESS(MATCH(J1877,'Vehicle numbers'!$A$5:$A$162,0),1,1,1,$L$6)),4,1,COUNTIF('Vehicle numbers'!$A$5:$A$162,J1877),4),
    MATCH(K$8,'Vehicle numbers'!$B$4:$D$4,0))*1000</f>
        <v>284414</v>
      </c>
      <c r="L1877" s="183">
        <f ca="1">VLOOKUP(F1877,
    OFFSET(INDIRECT(ADDRESS(MATCH(J1877,'Vehicle numbers'!$A$5:$A$162,0),1,1,1,$L$6)),4,1,COUNTIF('Vehicle numbers'!$A$5:$A$162,J1877),4),
    MATCH(L$8,'Vehicle numbers'!$B$4:$D$4,0))*1000</f>
        <v>298819.34665167157</v>
      </c>
      <c r="M1877" s="184">
        <f ca="1">VLOOKUP(F1877,'Annual distance covered (GB)'!$A$8:$H$33,MATCH(J1877,'Annual distance covered (GB)'!$A$7:$H$7,0))</f>
        <v>12.4</v>
      </c>
      <c r="N1877" s="2">
        <f t="shared" ca="1" si="72"/>
        <v>8797.5818076679261</v>
      </c>
      <c r="O1877" s="180">
        <f t="shared" ca="1" si="73"/>
        <v>2.9441138621868122E-2</v>
      </c>
      <c r="P1877" s="180"/>
      <c r="Q1877" s="180"/>
      <c r="R1877" s="180"/>
      <c r="S1877" s="180"/>
      <c r="T1877" s="180"/>
    </row>
    <row r="1878" spans="1:20" x14ac:dyDescent="0.25">
      <c r="A1878" t="s">
        <v>236</v>
      </c>
      <c r="B1878" t="s">
        <v>237</v>
      </c>
      <c r="C1878" t="s">
        <v>238</v>
      </c>
      <c r="D1878" t="s">
        <v>268</v>
      </c>
      <c r="E1878" t="s">
        <v>228</v>
      </c>
      <c r="F1878">
        <v>2010</v>
      </c>
      <c r="G1878">
        <v>1.3984E-2</v>
      </c>
      <c r="H1878" t="s">
        <v>240</v>
      </c>
      <c r="I1878" t="s">
        <v>241</v>
      </c>
      <c r="J1878" t="s">
        <v>245</v>
      </c>
      <c r="K1878" s="183">
        <f ca="1">VLOOKUP(F1878,
    OFFSET(INDIRECT(ADDRESS(MATCH(J1878,'Vehicle numbers'!$A$5:$A$162,0),1,1,1,$L$6)),4,1,COUNTIF('Vehicle numbers'!$A$5:$A$162,J1878),4),
    MATCH(K$8,'Vehicle numbers'!$B$4:$D$4,0))*1000</f>
        <v>284414</v>
      </c>
      <c r="L1878" s="183">
        <f ca="1">VLOOKUP(F1878,
    OFFSET(INDIRECT(ADDRESS(MATCH(J1878,'Vehicle numbers'!$A$5:$A$162,0),1,1,1,$L$6)),4,1,COUNTIF('Vehicle numbers'!$A$5:$A$162,J1878),4),
    MATCH(L$8,'Vehicle numbers'!$B$4:$D$4,0))*1000</f>
        <v>298819.34665167157</v>
      </c>
      <c r="M1878" s="184">
        <f ca="1">VLOOKUP(F1878,'Annual distance covered (GB)'!$A$8:$H$33,MATCH(J1878,'Annual distance covered (GB)'!$A$7:$H$7,0))</f>
        <v>12.4</v>
      </c>
      <c r="N1878" s="2">
        <f t="shared" ca="1" si="72"/>
        <v>182184.25541764643</v>
      </c>
      <c r="O1878" s="180">
        <f t="shared" ca="1" si="73"/>
        <v>0.60968025483977584</v>
      </c>
      <c r="P1878" s="180"/>
      <c r="Q1878" s="180"/>
      <c r="R1878" s="180"/>
      <c r="S1878" s="180"/>
      <c r="T1878" s="180"/>
    </row>
    <row r="1879" spans="1:20" x14ac:dyDescent="0.25">
      <c r="A1879" t="s">
        <v>243</v>
      </c>
      <c r="B1879" t="s">
        <v>237</v>
      </c>
      <c r="C1879" t="s">
        <v>238</v>
      </c>
      <c r="D1879" t="s">
        <v>268</v>
      </c>
      <c r="E1879" t="s">
        <v>228</v>
      </c>
      <c r="F1879">
        <v>2010</v>
      </c>
      <c r="G1879">
        <v>9.7888000000000003E-3</v>
      </c>
      <c r="H1879" t="s">
        <v>240</v>
      </c>
      <c r="I1879" t="s">
        <v>241</v>
      </c>
      <c r="J1879" t="s">
        <v>245</v>
      </c>
      <c r="K1879" s="183">
        <f ca="1">VLOOKUP(F1879,
    OFFSET(INDIRECT(ADDRESS(MATCH(J1879,'Vehicle numbers'!$A$5:$A$162,0),1,1,1,$L$6)),4,1,COUNTIF('Vehicle numbers'!$A$5:$A$162,J1879),4),
    MATCH(K$8,'Vehicle numbers'!$B$4:$D$4,0))*1000</f>
        <v>284414</v>
      </c>
      <c r="L1879" s="183">
        <f ca="1">VLOOKUP(F1879,
    OFFSET(INDIRECT(ADDRESS(MATCH(J1879,'Vehicle numbers'!$A$5:$A$162,0),1,1,1,$L$6)),4,1,COUNTIF('Vehicle numbers'!$A$5:$A$162,J1879),4),
    MATCH(L$8,'Vehicle numbers'!$B$4:$D$4,0))*1000</f>
        <v>298819.34665167157</v>
      </c>
      <c r="M1879" s="184">
        <f ca="1">VLOOKUP(F1879,'Annual distance covered (GB)'!$A$8:$H$33,MATCH(J1879,'Annual distance covered (GB)'!$A$7:$H$7,0))</f>
        <v>12.4</v>
      </c>
      <c r="N1879" s="2">
        <f t="shared" ca="1" si="72"/>
        <v>127528.9787923525</v>
      </c>
      <c r="O1879" s="180">
        <f t="shared" ca="1" si="73"/>
        <v>0.42677617838784304</v>
      </c>
      <c r="P1879" s="180"/>
      <c r="Q1879" s="180"/>
      <c r="R1879" s="180"/>
      <c r="S1879" s="180"/>
      <c r="T1879" s="180"/>
    </row>
    <row r="1880" spans="1:20" x14ac:dyDescent="0.25">
      <c r="A1880" t="s">
        <v>244</v>
      </c>
      <c r="B1880" t="s">
        <v>237</v>
      </c>
      <c r="C1880" t="s">
        <v>238</v>
      </c>
      <c r="D1880" t="s">
        <v>268</v>
      </c>
      <c r="E1880" t="s">
        <v>228</v>
      </c>
      <c r="F1880">
        <v>2010</v>
      </c>
      <c r="G1880">
        <v>1.3787042253521099E-3</v>
      </c>
      <c r="H1880" t="s">
        <v>240</v>
      </c>
      <c r="I1880" t="s">
        <v>241</v>
      </c>
      <c r="J1880" t="s">
        <v>245</v>
      </c>
      <c r="K1880" s="183">
        <f ca="1">VLOOKUP(F1880,
    OFFSET(INDIRECT(ADDRESS(MATCH(J1880,'Vehicle numbers'!$A$5:$A$162,0),1,1,1,$L$6)),4,1,COUNTIF('Vehicle numbers'!$A$5:$A$162,J1880),4),
    MATCH(K$8,'Vehicle numbers'!$B$4:$D$4,0))*1000</f>
        <v>284414</v>
      </c>
      <c r="L1880" s="183">
        <f ca="1">VLOOKUP(F1880,
    OFFSET(INDIRECT(ADDRESS(MATCH(J1880,'Vehicle numbers'!$A$5:$A$162,0),1,1,1,$L$6)),4,1,COUNTIF('Vehicle numbers'!$A$5:$A$162,J1880),4),
    MATCH(L$8,'Vehicle numbers'!$B$4:$D$4,0))*1000</f>
        <v>298819.34665167157</v>
      </c>
      <c r="M1880" s="184">
        <f ca="1">VLOOKUP(F1880,'Annual distance covered (GB)'!$A$8:$H$33,MATCH(J1880,'Annual distance covered (GB)'!$A$7:$H$7,0))</f>
        <v>12.4</v>
      </c>
      <c r="N1880" s="2">
        <f t="shared" ca="1" si="72"/>
        <v>17961.82799892285</v>
      </c>
      <c r="O1880" s="180">
        <f t="shared" ca="1" si="73"/>
        <v>6.0109320899696082E-2</v>
      </c>
      <c r="P1880" s="180"/>
      <c r="Q1880" s="180"/>
      <c r="R1880" s="180"/>
      <c r="S1880" s="180"/>
      <c r="T1880" s="180"/>
    </row>
    <row r="1881" spans="1:20" x14ac:dyDescent="0.25">
      <c r="A1881" t="s">
        <v>246</v>
      </c>
      <c r="B1881" t="s">
        <v>237</v>
      </c>
      <c r="C1881" t="s">
        <v>238</v>
      </c>
      <c r="D1881" t="s">
        <v>268</v>
      </c>
      <c r="E1881" t="s">
        <v>228</v>
      </c>
      <c r="F1881">
        <v>2010</v>
      </c>
      <c r="G1881">
        <v>1.10296338028169E-3</v>
      </c>
      <c r="H1881" t="s">
        <v>240</v>
      </c>
      <c r="I1881" t="s">
        <v>241</v>
      </c>
      <c r="J1881" t="s">
        <v>245</v>
      </c>
      <c r="K1881" s="183">
        <f ca="1">VLOOKUP(F1881,
    OFFSET(INDIRECT(ADDRESS(MATCH(J1881,'Vehicle numbers'!$A$5:$A$162,0),1,1,1,$L$6)),4,1,COUNTIF('Vehicle numbers'!$A$5:$A$162,J1881),4),
    MATCH(K$8,'Vehicle numbers'!$B$4:$D$4,0))*1000</f>
        <v>284414</v>
      </c>
      <c r="L1881" s="183">
        <f ca="1">VLOOKUP(F1881,
    OFFSET(INDIRECT(ADDRESS(MATCH(J1881,'Vehicle numbers'!$A$5:$A$162,0),1,1,1,$L$6)),4,1,COUNTIF('Vehicle numbers'!$A$5:$A$162,J1881),4),
    MATCH(L$8,'Vehicle numbers'!$B$4:$D$4,0))*1000</f>
        <v>298819.34665167157</v>
      </c>
      <c r="M1881" s="184">
        <f ca="1">VLOOKUP(F1881,'Annual distance covered (GB)'!$A$8:$H$33,MATCH(J1881,'Annual distance covered (GB)'!$A$7:$H$7,0))</f>
        <v>12.4</v>
      </c>
      <c r="N1881" s="2">
        <f t="shared" ca="1" si="72"/>
        <v>14369.462399138309</v>
      </c>
      <c r="O1881" s="180">
        <f t="shared" ca="1" si="73"/>
        <v>4.8087456719756963E-2</v>
      </c>
      <c r="P1881" s="180"/>
      <c r="Q1881" s="180"/>
      <c r="R1881" s="180"/>
      <c r="S1881" s="180"/>
      <c r="T1881" s="180"/>
    </row>
    <row r="1882" spans="1:20" x14ac:dyDescent="0.25">
      <c r="A1882" t="s">
        <v>236</v>
      </c>
      <c r="B1882" t="s">
        <v>237</v>
      </c>
      <c r="C1882" t="s">
        <v>238</v>
      </c>
      <c r="D1882" t="s">
        <v>269</v>
      </c>
      <c r="E1882" t="s">
        <v>229</v>
      </c>
      <c r="F1882">
        <v>2010</v>
      </c>
      <c r="G1882">
        <v>2.7143E-2</v>
      </c>
      <c r="H1882" t="s">
        <v>240</v>
      </c>
      <c r="I1882" t="s">
        <v>241</v>
      </c>
      <c r="J1882" t="s">
        <v>245</v>
      </c>
      <c r="K1882" s="183">
        <f ca="1">VLOOKUP(F1882,
    OFFSET(INDIRECT(ADDRESS(MATCH(J1882,'Vehicle numbers'!$A$5:$A$162,0),1,1,1,$L$6)),4,1,COUNTIF('Vehicle numbers'!$A$5:$A$162,J1882),4),
    MATCH(K$8,'Vehicle numbers'!$B$4:$D$4,0))*1000</f>
        <v>284414</v>
      </c>
      <c r="L1882" s="183">
        <f ca="1">VLOOKUP(F1882,
    OFFSET(INDIRECT(ADDRESS(MATCH(J1882,'Vehicle numbers'!$A$5:$A$162,0),1,1,1,$L$6)),4,1,COUNTIF('Vehicle numbers'!$A$5:$A$162,J1882),4),
    MATCH(L$8,'Vehicle numbers'!$B$4:$D$4,0))*1000</f>
        <v>298819.34665167157</v>
      </c>
      <c r="M1882" s="184">
        <f ca="1">VLOOKUP(F1882,'Annual distance covered (GB)'!$A$8:$H$33,MATCH(J1882,'Annual distance covered (GB)'!$A$7:$H$7,0))</f>
        <v>12.4</v>
      </c>
      <c r="N1882" s="2">
        <f t="shared" ca="1" si="72"/>
        <v>353620.36933646863</v>
      </c>
      <c r="O1882" s="180">
        <f t="shared" ca="1" si="73"/>
        <v>1.183391816155323</v>
      </c>
      <c r="P1882" s="180"/>
      <c r="Q1882" s="180"/>
      <c r="R1882" s="180"/>
      <c r="S1882" s="180"/>
      <c r="T1882" s="180"/>
    </row>
    <row r="1883" spans="1:20" x14ac:dyDescent="0.25">
      <c r="A1883" t="s">
        <v>243</v>
      </c>
      <c r="B1883" t="s">
        <v>237</v>
      </c>
      <c r="C1883" t="s">
        <v>238</v>
      </c>
      <c r="D1883" t="s">
        <v>269</v>
      </c>
      <c r="E1883" t="s">
        <v>229</v>
      </c>
      <c r="F1883">
        <v>2010</v>
      </c>
      <c r="G1883">
        <v>1.0857199999999999E-2</v>
      </c>
      <c r="H1883" t="s">
        <v>240</v>
      </c>
      <c r="I1883" t="s">
        <v>241</v>
      </c>
      <c r="J1883" t="s">
        <v>245</v>
      </c>
      <c r="K1883" s="183">
        <f ca="1">VLOOKUP(F1883,
    OFFSET(INDIRECT(ADDRESS(MATCH(J1883,'Vehicle numbers'!$A$5:$A$162,0),1,1,1,$L$6)),4,1,COUNTIF('Vehicle numbers'!$A$5:$A$162,J1883),4),
    MATCH(K$8,'Vehicle numbers'!$B$4:$D$4,0))*1000</f>
        <v>284414</v>
      </c>
      <c r="L1883" s="183">
        <f ca="1">VLOOKUP(F1883,
    OFFSET(INDIRECT(ADDRESS(MATCH(J1883,'Vehicle numbers'!$A$5:$A$162,0),1,1,1,$L$6)),4,1,COUNTIF('Vehicle numbers'!$A$5:$A$162,J1883),4),
    MATCH(L$8,'Vehicle numbers'!$B$4:$D$4,0))*1000</f>
        <v>298819.34665167157</v>
      </c>
      <c r="M1883" s="184">
        <f ca="1">VLOOKUP(F1883,'Annual distance covered (GB)'!$A$8:$H$33,MATCH(J1883,'Annual distance covered (GB)'!$A$7:$H$7,0))</f>
        <v>12.4</v>
      </c>
      <c r="N1883" s="2">
        <f t="shared" ca="1" si="72"/>
        <v>141448.14773458743</v>
      </c>
      <c r="O1883" s="180">
        <f t="shared" ca="1" si="73"/>
        <v>0.47335672646212912</v>
      </c>
      <c r="P1883" s="180"/>
      <c r="Q1883" s="180"/>
      <c r="R1883" s="180"/>
      <c r="S1883" s="180"/>
      <c r="T1883" s="180"/>
    </row>
    <row r="1884" spans="1:20" x14ac:dyDescent="0.25">
      <c r="A1884" t="s">
        <v>244</v>
      </c>
      <c r="B1884" t="s">
        <v>237</v>
      </c>
      <c r="C1884" t="s">
        <v>238</v>
      </c>
      <c r="D1884" t="s">
        <v>269</v>
      </c>
      <c r="E1884" t="s">
        <v>229</v>
      </c>
      <c r="F1884">
        <v>2010</v>
      </c>
      <c r="G1884">
        <v>2.7142999999999998E-3</v>
      </c>
      <c r="H1884" t="s">
        <v>240</v>
      </c>
      <c r="I1884" t="s">
        <v>241</v>
      </c>
      <c r="J1884" t="s">
        <v>245</v>
      </c>
      <c r="K1884" s="183">
        <f ca="1">VLOOKUP(F1884,
    OFFSET(INDIRECT(ADDRESS(MATCH(J1884,'Vehicle numbers'!$A$5:$A$162,0),1,1,1,$L$6)),4,1,COUNTIF('Vehicle numbers'!$A$5:$A$162,J1884),4),
    MATCH(K$8,'Vehicle numbers'!$B$4:$D$4,0))*1000</f>
        <v>284414</v>
      </c>
      <c r="L1884" s="183">
        <f ca="1">VLOOKUP(F1884,
    OFFSET(INDIRECT(ADDRESS(MATCH(J1884,'Vehicle numbers'!$A$5:$A$162,0),1,1,1,$L$6)),4,1,COUNTIF('Vehicle numbers'!$A$5:$A$162,J1884),4),
    MATCH(L$8,'Vehicle numbers'!$B$4:$D$4,0))*1000</f>
        <v>298819.34665167157</v>
      </c>
      <c r="M1884" s="184">
        <f ca="1">VLOOKUP(F1884,'Annual distance covered (GB)'!$A$8:$H$33,MATCH(J1884,'Annual distance covered (GB)'!$A$7:$H$7,0))</f>
        <v>12.4</v>
      </c>
      <c r="N1884" s="2">
        <f t="shared" ca="1" si="72"/>
        <v>35362.036933646858</v>
      </c>
      <c r="O1884" s="180">
        <f t="shared" ca="1" si="73"/>
        <v>0.11833918161553228</v>
      </c>
      <c r="P1884" s="180"/>
      <c r="Q1884" s="180"/>
      <c r="R1884" s="180"/>
      <c r="S1884" s="180"/>
      <c r="T1884" s="180"/>
    </row>
    <row r="1885" spans="1:20" x14ac:dyDescent="0.25">
      <c r="A1885" t="s">
        <v>246</v>
      </c>
      <c r="B1885" t="s">
        <v>237</v>
      </c>
      <c r="C1885" t="s">
        <v>238</v>
      </c>
      <c r="D1885" t="s">
        <v>269</v>
      </c>
      <c r="E1885" t="s">
        <v>229</v>
      </c>
      <c r="F1885">
        <v>2010</v>
      </c>
      <c r="G1885">
        <v>2.1714400000000002E-3</v>
      </c>
      <c r="H1885" t="s">
        <v>240</v>
      </c>
      <c r="I1885" t="s">
        <v>241</v>
      </c>
      <c r="J1885" t="s">
        <v>245</v>
      </c>
      <c r="K1885" s="183">
        <f ca="1">VLOOKUP(F1885,
    OFFSET(INDIRECT(ADDRESS(MATCH(J1885,'Vehicle numbers'!$A$5:$A$162,0),1,1,1,$L$6)),4,1,COUNTIF('Vehicle numbers'!$A$5:$A$162,J1885),4),
    MATCH(K$8,'Vehicle numbers'!$B$4:$D$4,0))*1000</f>
        <v>284414</v>
      </c>
      <c r="L1885" s="183">
        <f ca="1">VLOOKUP(F1885,
    OFFSET(INDIRECT(ADDRESS(MATCH(J1885,'Vehicle numbers'!$A$5:$A$162,0),1,1,1,$L$6)),4,1,COUNTIF('Vehicle numbers'!$A$5:$A$162,J1885),4),
    MATCH(L$8,'Vehicle numbers'!$B$4:$D$4,0))*1000</f>
        <v>298819.34665167157</v>
      </c>
      <c r="M1885" s="184">
        <f ca="1">VLOOKUP(F1885,'Annual distance covered (GB)'!$A$8:$H$33,MATCH(J1885,'Annual distance covered (GB)'!$A$7:$H$7,0))</f>
        <v>12.4</v>
      </c>
      <c r="N1885" s="2">
        <f t="shared" ca="1" si="72"/>
        <v>28289.629546917487</v>
      </c>
      <c r="O1885" s="180">
        <f t="shared" ca="1" si="73"/>
        <v>9.4671345292425824E-2</v>
      </c>
      <c r="P1885" s="180"/>
      <c r="Q1885" s="180"/>
      <c r="R1885" s="180"/>
      <c r="S1885" s="180"/>
      <c r="T1885" s="180"/>
    </row>
    <row r="1886" spans="1:20" x14ac:dyDescent="0.25">
      <c r="A1886" t="s">
        <v>236</v>
      </c>
      <c r="B1886" t="s">
        <v>237</v>
      </c>
      <c r="C1886" t="s">
        <v>238</v>
      </c>
      <c r="D1886" t="s">
        <v>269</v>
      </c>
      <c r="E1886" t="s">
        <v>228</v>
      </c>
      <c r="F1886">
        <v>2010</v>
      </c>
      <c r="G1886">
        <v>1.7388480000000001E-2</v>
      </c>
      <c r="H1886" t="s">
        <v>240</v>
      </c>
      <c r="I1886" t="s">
        <v>241</v>
      </c>
      <c r="J1886" t="s">
        <v>245</v>
      </c>
      <c r="K1886" s="183">
        <f ca="1">VLOOKUP(F1886,
    OFFSET(INDIRECT(ADDRESS(MATCH(J1886,'Vehicle numbers'!$A$5:$A$162,0),1,1,1,$L$6)),4,1,COUNTIF('Vehicle numbers'!$A$5:$A$162,J1886),4),
    MATCH(K$8,'Vehicle numbers'!$B$4:$D$4,0))*1000</f>
        <v>284414</v>
      </c>
      <c r="L1886" s="183">
        <f ca="1">VLOOKUP(F1886,
    OFFSET(INDIRECT(ADDRESS(MATCH(J1886,'Vehicle numbers'!$A$5:$A$162,0),1,1,1,$L$6)),4,1,COUNTIF('Vehicle numbers'!$A$5:$A$162,J1886),4),
    MATCH(L$8,'Vehicle numbers'!$B$4:$D$4,0))*1000</f>
        <v>298819.34665167157</v>
      </c>
      <c r="M1886" s="184">
        <f ca="1">VLOOKUP(F1886,'Annual distance covered (GB)'!$A$8:$H$33,MATCH(J1886,'Annual distance covered (GB)'!$A$7:$H$7,0))</f>
        <v>12.4</v>
      </c>
      <c r="N1886" s="2">
        <f t="shared" ca="1" si="72"/>
        <v>226537.99210845516</v>
      </c>
      <c r="O1886" s="180">
        <f t="shared" ca="1" si="73"/>
        <v>0.75811019148143211</v>
      </c>
      <c r="P1886" s="180"/>
      <c r="Q1886" s="180"/>
      <c r="R1886" s="180"/>
      <c r="S1886" s="180"/>
      <c r="T1886" s="180"/>
    </row>
    <row r="1887" spans="1:20" x14ac:dyDescent="0.25">
      <c r="A1887" t="s">
        <v>243</v>
      </c>
      <c r="B1887" t="s">
        <v>237</v>
      </c>
      <c r="C1887" t="s">
        <v>238</v>
      </c>
      <c r="D1887" t="s">
        <v>269</v>
      </c>
      <c r="E1887" t="s">
        <v>228</v>
      </c>
      <c r="F1887">
        <v>2010</v>
      </c>
      <c r="G1887">
        <v>1.2171936E-2</v>
      </c>
      <c r="H1887" t="s">
        <v>240</v>
      </c>
      <c r="I1887" t="s">
        <v>241</v>
      </c>
      <c r="J1887" t="s">
        <v>245</v>
      </c>
      <c r="K1887" s="183">
        <f ca="1">VLOOKUP(F1887,
    OFFSET(INDIRECT(ADDRESS(MATCH(J1887,'Vehicle numbers'!$A$5:$A$162,0),1,1,1,$L$6)),4,1,COUNTIF('Vehicle numbers'!$A$5:$A$162,J1887),4),
    MATCH(K$8,'Vehicle numbers'!$B$4:$D$4,0))*1000</f>
        <v>284414</v>
      </c>
      <c r="L1887" s="183">
        <f ca="1">VLOOKUP(F1887,
    OFFSET(INDIRECT(ADDRESS(MATCH(J1887,'Vehicle numbers'!$A$5:$A$162,0),1,1,1,$L$6)),4,1,COUNTIF('Vehicle numbers'!$A$5:$A$162,J1887),4),
    MATCH(L$8,'Vehicle numbers'!$B$4:$D$4,0))*1000</f>
        <v>298819.34665167157</v>
      </c>
      <c r="M1887" s="184">
        <f ca="1">VLOOKUP(F1887,'Annual distance covered (GB)'!$A$8:$H$33,MATCH(J1887,'Annual distance covered (GB)'!$A$7:$H$7,0))</f>
        <v>12.4</v>
      </c>
      <c r="N1887" s="2">
        <f t="shared" ca="1" si="72"/>
        <v>158576.59447591857</v>
      </c>
      <c r="O1887" s="180">
        <f t="shared" ca="1" si="73"/>
        <v>0.53067713403700234</v>
      </c>
      <c r="P1887" s="180"/>
      <c r="Q1887" s="180"/>
      <c r="R1887" s="180"/>
      <c r="S1887" s="180"/>
      <c r="T1887" s="180"/>
    </row>
    <row r="1888" spans="1:20" x14ac:dyDescent="0.25">
      <c r="A1888" t="s">
        <v>244</v>
      </c>
      <c r="B1888" t="s">
        <v>237</v>
      </c>
      <c r="C1888" t="s">
        <v>238</v>
      </c>
      <c r="D1888" t="s">
        <v>269</v>
      </c>
      <c r="E1888" t="s">
        <v>228</v>
      </c>
      <c r="F1888">
        <v>2010</v>
      </c>
      <c r="G1888">
        <v>1.71435718309859E-3</v>
      </c>
      <c r="H1888" t="s">
        <v>240</v>
      </c>
      <c r="I1888" t="s">
        <v>241</v>
      </c>
      <c r="J1888" t="s">
        <v>245</v>
      </c>
      <c r="K1888" s="183">
        <f ca="1">VLOOKUP(F1888,
    OFFSET(INDIRECT(ADDRESS(MATCH(J1888,'Vehicle numbers'!$A$5:$A$162,0),1,1,1,$L$6)),4,1,COUNTIF('Vehicle numbers'!$A$5:$A$162,J1888),4),
    MATCH(K$8,'Vehicle numbers'!$B$4:$D$4,0))*1000</f>
        <v>284414</v>
      </c>
      <c r="L1888" s="183">
        <f ca="1">VLOOKUP(F1888,
    OFFSET(INDIRECT(ADDRESS(MATCH(J1888,'Vehicle numbers'!$A$5:$A$162,0),1,1,1,$L$6)),4,1,COUNTIF('Vehicle numbers'!$A$5:$A$162,J1888),4),
    MATCH(L$8,'Vehicle numbers'!$B$4:$D$4,0))*1000</f>
        <v>298819.34665167157</v>
      </c>
      <c r="M1888" s="184">
        <f ca="1">VLOOKUP(F1888,'Annual distance covered (GB)'!$A$8:$H$33,MATCH(J1888,'Annual distance covered (GB)'!$A$7:$H$7,0))</f>
        <v>12.4</v>
      </c>
      <c r="N1888" s="2">
        <f t="shared" ca="1" si="72"/>
        <v>22334.731616326542</v>
      </c>
      <c r="O1888" s="180">
        <f t="shared" ca="1" si="73"/>
        <v>7.4743258315070685E-2</v>
      </c>
      <c r="P1888" s="180"/>
      <c r="Q1888" s="180"/>
      <c r="R1888" s="180"/>
      <c r="S1888" s="180"/>
      <c r="T1888" s="180"/>
    </row>
    <row r="1889" spans="1:20" x14ac:dyDescent="0.25">
      <c r="A1889" t="s">
        <v>246</v>
      </c>
      <c r="B1889" t="s">
        <v>237</v>
      </c>
      <c r="C1889" t="s">
        <v>238</v>
      </c>
      <c r="D1889" t="s">
        <v>269</v>
      </c>
      <c r="E1889" t="s">
        <v>228</v>
      </c>
      <c r="F1889">
        <v>2010</v>
      </c>
      <c r="G1889">
        <v>1.37148574647887E-3</v>
      </c>
      <c r="H1889" t="s">
        <v>240</v>
      </c>
      <c r="I1889" t="s">
        <v>241</v>
      </c>
      <c r="J1889" t="s">
        <v>245</v>
      </c>
      <c r="K1889" s="183">
        <f ca="1">VLOOKUP(F1889,
    OFFSET(INDIRECT(ADDRESS(MATCH(J1889,'Vehicle numbers'!$A$5:$A$162,0),1,1,1,$L$6)),4,1,COUNTIF('Vehicle numbers'!$A$5:$A$162,J1889),4),
    MATCH(K$8,'Vehicle numbers'!$B$4:$D$4,0))*1000</f>
        <v>284414</v>
      </c>
      <c r="L1889" s="183">
        <f ca="1">VLOOKUP(F1889,
    OFFSET(INDIRECT(ADDRESS(MATCH(J1889,'Vehicle numbers'!$A$5:$A$162,0),1,1,1,$L$6)),4,1,COUNTIF('Vehicle numbers'!$A$5:$A$162,J1889),4),
    MATCH(L$8,'Vehicle numbers'!$B$4:$D$4,0))*1000</f>
        <v>298819.34665167157</v>
      </c>
      <c r="M1889" s="184">
        <f ca="1">VLOOKUP(F1889,'Annual distance covered (GB)'!$A$8:$H$33,MATCH(J1889,'Annual distance covered (GB)'!$A$7:$H$7,0))</f>
        <v>12.4</v>
      </c>
      <c r="N1889" s="2">
        <f t="shared" ca="1" si="72"/>
        <v>17867.785293061206</v>
      </c>
      <c r="O1889" s="180">
        <f t="shared" ca="1" si="73"/>
        <v>5.9794606652056458E-2</v>
      </c>
      <c r="P1889" s="180"/>
      <c r="Q1889" s="180"/>
      <c r="R1889" s="180"/>
      <c r="S1889" s="180"/>
      <c r="T1889" s="180"/>
    </row>
    <row r="1890" spans="1:20" x14ac:dyDescent="0.25">
      <c r="A1890" t="s">
        <v>236</v>
      </c>
      <c r="B1890" t="s">
        <v>237</v>
      </c>
      <c r="C1890" t="s">
        <v>238</v>
      </c>
      <c r="D1890" t="s">
        <v>270</v>
      </c>
      <c r="E1890" t="s">
        <v>229</v>
      </c>
      <c r="F1890">
        <v>2010</v>
      </c>
      <c r="G1890">
        <v>5.0994999999999902E-2</v>
      </c>
      <c r="H1890" t="s">
        <v>240</v>
      </c>
      <c r="I1890" t="s">
        <v>241</v>
      </c>
      <c r="J1890" t="s">
        <v>245</v>
      </c>
      <c r="K1890" s="183">
        <f ca="1">VLOOKUP(F1890,
    OFFSET(INDIRECT(ADDRESS(MATCH(J1890,'Vehicle numbers'!$A$5:$A$162,0),1,1,1,$L$6)),4,1,COUNTIF('Vehicle numbers'!$A$5:$A$162,J1890),4),
    MATCH(K$8,'Vehicle numbers'!$B$4:$D$4,0))*1000</f>
        <v>284414</v>
      </c>
      <c r="L1890" s="183">
        <f ca="1">VLOOKUP(F1890,
    OFFSET(INDIRECT(ADDRESS(MATCH(J1890,'Vehicle numbers'!$A$5:$A$162,0),1,1,1,$L$6)),4,1,COUNTIF('Vehicle numbers'!$A$5:$A$162,J1890),4),
    MATCH(L$8,'Vehicle numbers'!$B$4:$D$4,0))*1000</f>
        <v>298819.34665167157</v>
      </c>
      <c r="M1890" s="184">
        <f ca="1">VLOOKUP(F1890,'Annual distance covered (GB)'!$A$8:$H$33,MATCH(J1890,'Annual distance covered (GB)'!$A$7:$H$7,0))</f>
        <v>12.4</v>
      </c>
      <c r="N1890" s="2">
        <f t="shared" ca="1" si="72"/>
        <v>664365.42513035343</v>
      </c>
      <c r="O1890" s="180">
        <f t="shared" ca="1" si="73"/>
        <v>2.2233012439612634</v>
      </c>
      <c r="P1890" s="180"/>
      <c r="Q1890" s="180"/>
      <c r="R1890" s="180"/>
      <c r="S1890" s="180"/>
      <c r="T1890" s="180"/>
    </row>
    <row r="1891" spans="1:20" x14ac:dyDescent="0.25">
      <c r="A1891" t="s">
        <v>243</v>
      </c>
      <c r="B1891" t="s">
        <v>237</v>
      </c>
      <c r="C1891" t="s">
        <v>238</v>
      </c>
      <c r="D1891" t="s">
        <v>270</v>
      </c>
      <c r="E1891" t="s">
        <v>229</v>
      </c>
      <c r="F1891">
        <v>2010</v>
      </c>
      <c r="G1891">
        <v>2.0397999999999999E-2</v>
      </c>
      <c r="H1891" t="s">
        <v>240</v>
      </c>
      <c r="I1891" t="s">
        <v>241</v>
      </c>
      <c r="J1891" t="s">
        <v>245</v>
      </c>
      <c r="K1891" s="183">
        <f ca="1">VLOOKUP(F1891,
    OFFSET(INDIRECT(ADDRESS(MATCH(J1891,'Vehicle numbers'!$A$5:$A$162,0),1,1,1,$L$6)),4,1,COUNTIF('Vehicle numbers'!$A$5:$A$162,J1891),4),
    MATCH(K$8,'Vehicle numbers'!$B$4:$D$4,0))*1000</f>
        <v>284414</v>
      </c>
      <c r="L1891" s="183">
        <f ca="1">VLOOKUP(F1891,
    OFFSET(INDIRECT(ADDRESS(MATCH(J1891,'Vehicle numbers'!$A$5:$A$162,0),1,1,1,$L$6)),4,1,COUNTIF('Vehicle numbers'!$A$5:$A$162,J1891),4),
    MATCH(L$8,'Vehicle numbers'!$B$4:$D$4,0))*1000</f>
        <v>298819.34665167157</v>
      </c>
      <c r="M1891" s="184">
        <f ca="1">VLOOKUP(F1891,'Annual distance covered (GB)'!$A$8:$H$33,MATCH(J1891,'Annual distance covered (GB)'!$A$7:$H$7,0))</f>
        <v>12.4</v>
      </c>
      <c r="N1891" s="2">
        <f t="shared" ca="1" si="72"/>
        <v>265746.17005214188</v>
      </c>
      <c r="O1891" s="180">
        <f t="shared" ca="1" si="73"/>
        <v>0.88932049758450715</v>
      </c>
      <c r="P1891" s="180"/>
      <c r="Q1891" s="180"/>
      <c r="R1891" s="180"/>
      <c r="S1891" s="180"/>
      <c r="T1891" s="180"/>
    </row>
    <row r="1892" spans="1:20" x14ac:dyDescent="0.25">
      <c r="A1892" t="s">
        <v>244</v>
      </c>
      <c r="B1892" t="s">
        <v>237</v>
      </c>
      <c r="C1892" t="s">
        <v>238</v>
      </c>
      <c r="D1892" t="s">
        <v>270</v>
      </c>
      <c r="E1892" t="s">
        <v>229</v>
      </c>
      <c r="F1892">
        <v>2010</v>
      </c>
      <c r="G1892">
        <v>5.0994999999999999E-3</v>
      </c>
      <c r="H1892" t="s">
        <v>240</v>
      </c>
      <c r="I1892" t="s">
        <v>241</v>
      </c>
      <c r="J1892" t="s">
        <v>245</v>
      </c>
      <c r="K1892" s="183">
        <f ca="1">VLOOKUP(F1892,
    OFFSET(INDIRECT(ADDRESS(MATCH(J1892,'Vehicle numbers'!$A$5:$A$162,0),1,1,1,$L$6)),4,1,COUNTIF('Vehicle numbers'!$A$5:$A$162,J1892),4),
    MATCH(K$8,'Vehicle numbers'!$B$4:$D$4,0))*1000</f>
        <v>284414</v>
      </c>
      <c r="L1892" s="183">
        <f ca="1">VLOOKUP(F1892,
    OFFSET(INDIRECT(ADDRESS(MATCH(J1892,'Vehicle numbers'!$A$5:$A$162,0),1,1,1,$L$6)),4,1,COUNTIF('Vehicle numbers'!$A$5:$A$162,J1892),4),
    MATCH(L$8,'Vehicle numbers'!$B$4:$D$4,0))*1000</f>
        <v>298819.34665167157</v>
      </c>
      <c r="M1892" s="184">
        <f ca="1">VLOOKUP(F1892,'Annual distance covered (GB)'!$A$8:$H$33,MATCH(J1892,'Annual distance covered (GB)'!$A$7:$H$7,0))</f>
        <v>12.4</v>
      </c>
      <c r="N1892" s="2">
        <f t="shared" ca="1" si="72"/>
        <v>66436.542513035471</v>
      </c>
      <c r="O1892" s="180">
        <f t="shared" ca="1" si="73"/>
        <v>0.22233012439612679</v>
      </c>
      <c r="P1892" s="180"/>
      <c r="Q1892" s="180"/>
      <c r="R1892" s="180"/>
      <c r="S1892" s="180"/>
      <c r="T1892" s="180"/>
    </row>
    <row r="1893" spans="1:20" x14ac:dyDescent="0.25">
      <c r="A1893" t="s">
        <v>246</v>
      </c>
      <c r="B1893" t="s">
        <v>237</v>
      </c>
      <c r="C1893" t="s">
        <v>238</v>
      </c>
      <c r="D1893" t="s">
        <v>270</v>
      </c>
      <c r="E1893" t="s">
        <v>229</v>
      </c>
      <c r="F1893">
        <v>2010</v>
      </c>
      <c r="G1893">
        <v>4.0796000000000001E-3</v>
      </c>
      <c r="H1893" t="s">
        <v>240</v>
      </c>
      <c r="I1893" t="s">
        <v>241</v>
      </c>
      <c r="J1893" t="s">
        <v>245</v>
      </c>
      <c r="K1893" s="183">
        <f ca="1">VLOOKUP(F1893,
    OFFSET(INDIRECT(ADDRESS(MATCH(J1893,'Vehicle numbers'!$A$5:$A$162,0),1,1,1,$L$6)),4,1,COUNTIF('Vehicle numbers'!$A$5:$A$162,J1893),4),
    MATCH(K$8,'Vehicle numbers'!$B$4:$D$4,0))*1000</f>
        <v>284414</v>
      </c>
      <c r="L1893" s="183">
        <f ca="1">VLOOKUP(F1893,
    OFFSET(INDIRECT(ADDRESS(MATCH(J1893,'Vehicle numbers'!$A$5:$A$162,0),1,1,1,$L$6)),4,1,COUNTIF('Vehicle numbers'!$A$5:$A$162,J1893),4),
    MATCH(L$8,'Vehicle numbers'!$B$4:$D$4,0))*1000</f>
        <v>298819.34665167157</v>
      </c>
      <c r="M1893" s="184">
        <f ca="1">VLOOKUP(F1893,'Annual distance covered (GB)'!$A$8:$H$33,MATCH(J1893,'Annual distance covered (GB)'!$A$7:$H$7,0))</f>
        <v>12.4</v>
      </c>
      <c r="N1893" s="2">
        <f t="shared" ca="1" si="72"/>
        <v>53149.234010428372</v>
      </c>
      <c r="O1893" s="180">
        <f t="shared" ca="1" si="73"/>
        <v>0.17786409951690141</v>
      </c>
      <c r="P1893" s="180"/>
      <c r="Q1893" s="180"/>
      <c r="R1893" s="180"/>
      <c r="S1893" s="180"/>
      <c r="T1893" s="180"/>
    </row>
    <row r="1894" spans="1:20" x14ac:dyDescent="0.25">
      <c r="A1894" t="s">
        <v>236</v>
      </c>
      <c r="B1894" t="s">
        <v>237</v>
      </c>
      <c r="C1894" t="s">
        <v>238</v>
      </c>
      <c r="D1894" t="s">
        <v>270</v>
      </c>
      <c r="E1894" t="s">
        <v>228</v>
      </c>
      <c r="F1894">
        <v>2010</v>
      </c>
      <c r="G1894">
        <v>2.0737760000000001E-2</v>
      </c>
      <c r="H1894" t="s">
        <v>240</v>
      </c>
      <c r="I1894" t="s">
        <v>241</v>
      </c>
      <c r="J1894" t="s">
        <v>245</v>
      </c>
      <c r="K1894" s="183">
        <f ca="1">VLOOKUP(F1894,
    OFFSET(INDIRECT(ADDRESS(MATCH(J1894,'Vehicle numbers'!$A$5:$A$162,0),1,1,1,$L$6)),4,1,COUNTIF('Vehicle numbers'!$A$5:$A$162,J1894),4),
    MATCH(K$8,'Vehicle numbers'!$B$4:$D$4,0))*1000</f>
        <v>284414</v>
      </c>
      <c r="L1894" s="183">
        <f ca="1">VLOOKUP(F1894,
    OFFSET(INDIRECT(ADDRESS(MATCH(J1894,'Vehicle numbers'!$A$5:$A$162,0),1,1,1,$L$6)),4,1,COUNTIF('Vehicle numbers'!$A$5:$A$162,J1894),4),
    MATCH(L$8,'Vehicle numbers'!$B$4:$D$4,0))*1000</f>
        <v>298819.34665167157</v>
      </c>
      <c r="M1894" s="184">
        <f ca="1">VLOOKUP(F1894,'Annual distance covered (GB)'!$A$8:$H$33,MATCH(J1894,'Annual distance covered (GB)'!$A$7:$H$7,0))</f>
        <v>12.4</v>
      </c>
      <c r="N1894" s="2">
        <f t="shared" ca="1" si="72"/>
        <v>270172.58042261528</v>
      </c>
      <c r="O1894" s="180">
        <f t="shared" ca="1" si="73"/>
        <v>0.90413349553819444</v>
      </c>
      <c r="P1894" s="180"/>
      <c r="Q1894" s="180"/>
      <c r="R1894" s="180"/>
      <c r="S1894" s="180"/>
      <c r="T1894" s="180"/>
    </row>
    <row r="1895" spans="1:20" x14ac:dyDescent="0.25">
      <c r="A1895" t="s">
        <v>243</v>
      </c>
      <c r="B1895" t="s">
        <v>237</v>
      </c>
      <c r="C1895" t="s">
        <v>238</v>
      </c>
      <c r="D1895" t="s">
        <v>270</v>
      </c>
      <c r="E1895" t="s">
        <v>228</v>
      </c>
      <c r="F1895">
        <v>2010</v>
      </c>
      <c r="G1895">
        <v>1.4516431999999999E-2</v>
      </c>
      <c r="H1895" t="s">
        <v>240</v>
      </c>
      <c r="I1895" t="s">
        <v>241</v>
      </c>
      <c r="J1895" t="s">
        <v>245</v>
      </c>
      <c r="K1895" s="183">
        <f ca="1">VLOOKUP(F1895,
    OFFSET(INDIRECT(ADDRESS(MATCH(J1895,'Vehicle numbers'!$A$5:$A$162,0),1,1,1,$L$6)),4,1,COUNTIF('Vehicle numbers'!$A$5:$A$162,J1895),4),
    MATCH(K$8,'Vehicle numbers'!$B$4:$D$4,0))*1000</f>
        <v>284414</v>
      </c>
      <c r="L1895" s="183">
        <f ca="1">VLOOKUP(F1895,
    OFFSET(INDIRECT(ADDRESS(MATCH(J1895,'Vehicle numbers'!$A$5:$A$162,0),1,1,1,$L$6)),4,1,COUNTIF('Vehicle numbers'!$A$5:$A$162,J1895),4),
    MATCH(L$8,'Vehicle numbers'!$B$4:$D$4,0))*1000</f>
        <v>298819.34665167157</v>
      </c>
      <c r="M1895" s="184">
        <f ca="1">VLOOKUP(F1895,'Annual distance covered (GB)'!$A$8:$H$33,MATCH(J1895,'Annual distance covered (GB)'!$A$7:$H$7,0))</f>
        <v>12.4</v>
      </c>
      <c r="N1895" s="2">
        <f t="shared" ca="1" si="72"/>
        <v>189120.80629583067</v>
      </c>
      <c r="O1895" s="180">
        <f t="shared" ca="1" si="73"/>
        <v>0.63289344687673599</v>
      </c>
      <c r="P1895" s="180"/>
      <c r="Q1895" s="180"/>
      <c r="R1895" s="180"/>
      <c r="S1895" s="180"/>
      <c r="T1895" s="180"/>
    </row>
    <row r="1896" spans="1:20" x14ac:dyDescent="0.25">
      <c r="A1896" t="s">
        <v>244</v>
      </c>
      <c r="B1896" t="s">
        <v>237</v>
      </c>
      <c r="C1896" t="s">
        <v>238</v>
      </c>
      <c r="D1896" t="s">
        <v>270</v>
      </c>
      <c r="E1896" t="s">
        <v>228</v>
      </c>
      <c r="F1896">
        <v>2010</v>
      </c>
      <c r="G1896">
        <v>2.0445678873239402E-3</v>
      </c>
      <c r="H1896" t="s">
        <v>240</v>
      </c>
      <c r="I1896" t="s">
        <v>241</v>
      </c>
      <c r="J1896" t="s">
        <v>245</v>
      </c>
      <c r="K1896" s="183">
        <f ca="1">VLOOKUP(F1896,
    OFFSET(INDIRECT(ADDRESS(MATCH(J1896,'Vehicle numbers'!$A$5:$A$162,0),1,1,1,$L$6)),4,1,COUNTIF('Vehicle numbers'!$A$5:$A$162,J1896),4),
    MATCH(K$8,'Vehicle numbers'!$B$4:$D$4,0))*1000</f>
        <v>284414</v>
      </c>
      <c r="L1896" s="183">
        <f ca="1">VLOOKUP(F1896,
    OFFSET(INDIRECT(ADDRESS(MATCH(J1896,'Vehicle numbers'!$A$5:$A$162,0),1,1,1,$L$6)),4,1,COUNTIF('Vehicle numbers'!$A$5:$A$162,J1896),4),
    MATCH(L$8,'Vehicle numbers'!$B$4:$D$4,0))*1000</f>
        <v>298819.34665167157</v>
      </c>
      <c r="M1896" s="184">
        <f ca="1">VLOOKUP(F1896,'Annual distance covered (GB)'!$A$8:$H$33,MATCH(J1896,'Annual distance covered (GB)'!$A$7:$H$7,0))</f>
        <v>12.4</v>
      </c>
      <c r="N1896" s="2">
        <f t="shared" ca="1" si="72"/>
        <v>26636.733281102865</v>
      </c>
      <c r="O1896" s="180">
        <f t="shared" ca="1" si="73"/>
        <v>8.913992209531478E-2</v>
      </c>
      <c r="P1896" s="180"/>
      <c r="Q1896" s="180"/>
      <c r="R1896" s="180"/>
      <c r="S1896" s="180"/>
      <c r="T1896" s="180"/>
    </row>
    <row r="1897" spans="1:20" x14ac:dyDescent="0.25">
      <c r="A1897" t="s">
        <v>246</v>
      </c>
      <c r="B1897" t="s">
        <v>237</v>
      </c>
      <c r="C1897" t="s">
        <v>238</v>
      </c>
      <c r="D1897" t="s">
        <v>270</v>
      </c>
      <c r="E1897" t="s">
        <v>228</v>
      </c>
      <c r="F1897">
        <v>2010</v>
      </c>
      <c r="G1897">
        <v>1.6356543098591499E-3</v>
      </c>
      <c r="H1897" t="s">
        <v>240</v>
      </c>
      <c r="I1897" t="s">
        <v>241</v>
      </c>
      <c r="J1897" t="s">
        <v>245</v>
      </c>
      <c r="K1897" s="183">
        <f ca="1">VLOOKUP(F1897,
    OFFSET(INDIRECT(ADDRESS(MATCH(J1897,'Vehicle numbers'!$A$5:$A$162,0),1,1,1,$L$6)),4,1,COUNTIF('Vehicle numbers'!$A$5:$A$162,J1897),4),
    MATCH(K$8,'Vehicle numbers'!$B$4:$D$4,0))*1000</f>
        <v>284414</v>
      </c>
      <c r="L1897" s="183">
        <f ca="1">VLOOKUP(F1897,
    OFFSET(INDIRECT(ADDRESS(MATCH(J1897,'Vehicle numbers'!$A$5:$A$162,0),1,1,1,$L$6)),4,1,COUNTIF('Vehicle numbers'!$A$5:$A$162,J1897),4),
    MATCH(L$8,'Vehicle numbers'!$B$4:$D$4,0))*1000</f>
        <v>298819.34665167157</v>
      </c>
      <c r="M1897" s="184">
        <f ca="1">VLOOKUP(F1897,'Annual distance covered (GB)'!$A$8:$H$33,MATCH(J1897,'Annual distance covered (GB)'!$A$7:$H$7,0))</f>
        <v>12.4</v>
      </c>
      <c r="N1897" s="2">
        <f t="shared" ca="1" si="72"/>
        <v>21309.386624882263</v>
      </c>
      <c r="O1897" s="180">
        <f t="shared" ca="1" si="73"/>
        <v>7.1311937676251727E-2</v>
      </c>
      <c r="P1897" s="180"/>
      <c r="Q1897" s="180"/>
      <c r="R1897" s="180"/>
      <c r="S1897" s="180"/>
      <c r="T1897" s="180"/>
    </row>
    <row r="1898" spans="1:20" x14ac:dyDescent="0.25">
      <c r="A1898" t="s">
        <v>236</v>
      </c>
      <c r="B1898" t="s">
        <v>237</v>
      </c>
      <c r="C1898" t="s">
        <v>238</v>
      </c>
      <c r="D1898" t="s">
        <v>257</v>
      </c>
      <c r="E1898" t="s">
        <v>229</v>
      </c>
      <c r="F1898">
        <v>2010</v>
      </c>
      <c r="G1898">
        <v>2.1209999999999901E-3</v>
      </c>
      <c r="H1898" t="s">
        <v>240</v>
      </c>
      <c r="I1898" t="s">
        <v>241</v>
      </c>
      <c r="J1898" t="s">
        <v>188</v>
      </c>
      <c r="K1898" s="183">
        <f ca="1">VLOOKUP(F1898,
    OFFSET(INDIRECT(ADDRESS(MATCH(J1898,'Vehicle numbers'!$A$5:$A$162,0),1,1,1,$L$6)),4,1,COUNTIF('Vehicle numbers'!$A$5:$A$162,J1898),4),
    MATCH(K$8,'Vehicle numbers'!$B$4:$D$4,0))*1000</f>
        <v>3207791</v>
      </c>
      <c r="L1898" s="183">
        <f ca="1">VLOOKUP(F1898,
    OFFSET(INDIRECT(ADDRESS(MATCH(J1898,'Vehicle numbers'!$A$5:$A$162,0),1,1,1,$L$6)),4,1,COUNTIF('Vehicle numbers'!$A$5:$A$162,J1898),4),
    MATCH(L$8,'Vehicle numbers'!$B$4:$D$4,0))*1000</f>
        <v>3299840.4360234737</v>
      </c>
      <c r="M1898" s="184">
        <f>VLOOKUP(F1898,'Annual distance covered (GB)'!$A$8:$H$33,MATCH(J1898,'Annual distance covered (GB)'!$A$7:$H$7,0))</f>
        <v>66.7</v>
      </c>
      <c r="N1898" s="2">
        <f t="shared" ca="1" si="72"/>
        <v>145530.28435223614</v>
      </c>
      <c r="O1898" s="180">
        <f t="shared" ca="1" si="73"/>
        <v>4.4102218629580095E-2</v>
      </c>
      <c r="P1898" s="180"/>
      <c r="Q1898" s="180"/>
      <c r="R1898" s="180"/>
      <c r="S1898" s="180"/>
      <c r="T1898" s="180"/>
    </row>
    <row r="1899" spans="1:20" x14ac:dyDescent="0.25">
      <c r="A1899" t="s">
        <v>243</v>
      </c>
      <c r="B1899" t="s">
        <v>237</v>
      </c>
      <c r="C1899" t="s">
        <v>238</v>
      </c>
      <c r="D1899" t="s">
        <v>257</v>
      </c>
      <c r="E1899" t="s">
        <v>229</v>
      </c>
      <c r="F1899">
        <v>2010</v>
      </c>
      <c r="G1899">
        <v>8.4839999999999601E-4</v>
      </c>
      <c r="H1899" t="s">
        <v>240</v>
      </c>
      <c r="I1899" t="s">
        <v>241</v>
      </c>
      <c r="J1899" t="s">
        <v>188</v>
      </c>
      <c r="K1899" s="183">
        <f ca="1">VLOOKUP(F1899,
    OFFSET(INDIRECT(ADDRESS(MATCH(J1899,'Vehicle numbers'!$A$5:$A$162,0),1,1,1,$L$6)),4,1,COUNTIF('Vehicle numbers'!$A$5:$A$162,J1899),4),
    MATCH(K$8,'Vehicle numbers'!$B$4:$D$4,0))*1000</f>
        <v>3207791</v>
      </c>
      <c r="L1899" s="183">
        <f ca="1">VLOOKUP(F1899,
    OFFSET(INDIRECT(ADDRESS(MATCH(J1899,'Vehicle numbers'!$A$5:$A$162,0),1,1,1,$L$6)),4,1,COUNTIF('Vehicle numbers'!$A$5:$A$162,J1899),4),
    MATCH(L$8,'Vehicle numbers'!$B$4:$D$4,0))*1000</f>
        <v>3299840.4360234737</v>
      </c>
      <c r="M1899" s="184">
        <f>VLOOKUP(F1899,'Annual distance covered (GB)'!$A$8:$H$33,MATCH(J1899,'Annual distance covered (GB)'!$A$7:$H$7,0))</f>
        <v>66.7</v>
      </c>
      <c r="N1899" s="2">
        <f t="shared" ca="1" si="72"/>
        <v>58212.113740894456</v>
      </c>
      <c r="O1899" s="180">
        <f t="shared" ca="1" si="73"/>
        <v>1.7640887451832038E-2</v>
      </c>
      <c r="P1899" s="180"/>
      <c r="Q1899" s="180"/>
      <c r="R1899" s="180"/>
      <c r="S1899" s="180"/>
      <c r="T1899" s="180"/>
    </row>
    <row r="1900" spans="1:20" x14ac:dyDescent="0.25">
      <c r="A1900" t="s">
        <v>244</v>
      </c>
      <c r="B1900" t="s">
        <v>237</v>
      </c>
      <c r="C1900" t="s">
        <v>238</v>
      </c>
      <c r="D1900" t="s">
        <v>257</v>
      </c>
      <c r="E1900" t="s">
        <v>229</v>
      </c>
      <c r="F1900">
        <v>2010</v>
      </c>
      <c r="G1900">
        <v>2.12099999999999E-4</v>
      </c>
      <c r="H1900" t="s">
        <v>240</v>
      </c>
      <c r="I1900" t="s">
        <v>241</v>
      </c>
      <c r="J1900" t="s">
        <v>188</v>
      </c>
      <c r="K1900" s="183">
        <f ca="1">VLOOKUP(F1900,
    OFFSET(INDIRECT(ADDRESS(MATCH(J1900,'Vehicle numbers'!$A$5:$A$162,0),1,1,1,$L$6)),4,1,COUNTIF('Vehicle numbers'!$A$5:$A$162,J1900),4),
    MATCH(K$8,'Vehicle numbers'!$B$4:$D$4,0))*1000</f>
        <v>3207791</v>
      </c>
      <c r="L1900" s="183">
        <f ca="1">VLOOKUP(F1900,
    OFFSET(INDIRECT(ADDRESS(MATCH(J1900,'Vehicle numbers'!$A$5:$A$162,0),1,1,1,$L$6)),4,1,COUNTIF('Vehicle numbers'!$A$5:$A$162,J1900),4),
    MATCH(L$8,'Vehicle numbers'!$B$4:$D$4,0))*1000</f>
        <v>3299840.4360234737</v>
      </c>
      <c r="M1900" s="184">
        <f>VLOOKUP(F1900,'Annual distance covered (GB)'!$A$8:$H$33,MATCH(J1900,'Annual distance covered (GB)'!$A$7:$H$7,0))</f>
        <v>66.7</v>
      </c>
      <c r="N1900" s="2">
        <f t="shared" ca="1" si="72"/>
        <v>14553.028435223614</v>
      </c>
      <c r="O1900" s="180">
        <f t="shared" ca="1" si="73"/>
        <v>4.4102218629580095E-3</v>
      </c>
      <c r="P1900" s="180"/>
      <c r="Q1900" s="180"/>
      <c r="R1900" s="180"/>
      <c r="S1900" s="180"/>
      <c r="T1900" s="180"/>
    </row>
    <row r="1901" spans="1:20" x14ac:dyDescent="0.25">
      <c r="A1901" t="s">
        <v>246</v>
      </c>
      <c r="B1901" t="s">
        <v>237</v>
      </c>
      <c r="C1901" t="s">
        <v>238</v>
      </c>
      <c r="D1901" t="s">
        <v>257</v>
      </c>
      <c r="E1901" t="s">
        <v>229</v>
      </c>
      <c r="F1901">
        <v>2010</v>
      </c>
      <c r="G1901">
        <v>1.6967999999999901E-4</v>
      </c>
      <c r="H1901" t="s">
        <v>240</v>
      </c>
      <c r="I1901" t="s">
        <v>241</v>
      </c>
      <c r="J1901" t="s">
        <v>188</v>
      </c>
      <c r="K1901" s="183">
        <f ca="1">VLOOKUP(F1901,
    OFFSET(INDIRECT(ADDRESS(MATCH(J1901,'Vehicle numbers'!$A$5:$A$162,0),1,1,1,$L$6)),4,1,COUNTIF('Vehicle numbers'!$A$5:$A$162,J1901),4),
    MATCH(K$8,'Vehicle numbers'!$B$4:$D$4,0))*1000</f>
        <v>3207791</v>
      </c>
      <c r="L1901" s="183">
        <f ca="1">VLOOKUP(F1901,
    OFFSET(INDIRECT(ADDRESS(MATCH(J1901,'Vehicle numbers'!$A$5:$A$162,0),1,1,1,$L$6)),4,1,COUNTIF('Vehicle numbers'!$A$5:$A$162,J1901),4),
    MATCH(L$8,'Vehicle numbers'!$B$4:$D$4,0))*1000</f>
        <v>3299840.4360234737</v>
      </c>
      <c r="M1901" s="184">
        <f>VLOOKUP(F1901,'Annual distance covered (GB)'!$A$8:$H$33,MATCH(J1901,'Annual distance covered (GB)'!$A$7:$H$7,0))</f>
        <v>66.7</v>
      </c>
      <c r="N1901" s="2">
        <f t="shared" ca="1" si="72"/>
        <v>11642.422748178878</v>
      </c>
      <c r="O1901" s="180">
        <f t="shared" ca="1" si="73"/>
        <v>3.5281774903664037E-3</v>
      </c>
      <c r="P1901" s="180"/>
      <c r="Q1901" s="180"/>
      <c r="R1901" s="180"/>
      <c r="S1901" s="180"/>
      <c r="T1901" s="180"/>
    </row>
    <row r="1902" spans="1:20" x14ac:dyDescent="0.25">
      <c r="A1902" t="s">
        <v>236</v>
      </c>
      <c r="B1902" t="s">
        <v>237</v>
      </c>
      <c r="C1902" t="s">
        <v>238</v>
      </c>
      <c r="D1902" t="s">
        <v>257</v>
      </c>
      <c r="E1902" t="s">
        <v>228</v>
      </c>
      <c r="F1902">
        <v>2010</v>
      </c>
      <c r="G1902">
        <v>9.1459999999999701E-3</v>
      </c>
      <c r="H1902" t="s">
        <v>240</v>
      </c>
      <c r="I1902" t="s">
        <v>241</v>
      </c>
      <c r="J1902" t="s">
        <v>188</v>
      </c>
      <c r="K1902" s="183">
        <f ca="1">VLOOKUP(F1902,
    OFFSET(INDIRECT(ADDRESS(MATCH(J1902,'Vehicle numbers'!$A$5:$A$162,0),1,1,1,$L$6)),4,1,COUNTIF('Vehicle numbers'!$A$5:$A$162,J1902),4),
    MATCH(K$8,'Vehicle numbers'!$B$4:$D$4,0))*1000</f>
        <v>3207791</v>
      </c>
      <c r="L1902" s="183">
        <f ca="1">VLOOKUP(F1902,
    OFFSET(INDIRECT(ADDRESS(MATCH(J1902,'Vehicle numbers'!$A$5:$A$162,0),1,1,1,$L$6)),4,1,COUNTIF('Vehicle numbers'!$A$5:$A$162,J1902),4),
    MATCH(L$8,'Vehicle numbers'!$B$4:$D$4,0))*1000</f>
        <v>3299840.4360234737</v>
      </c>
      <c r="M1902" s="184">
        <f>VLOOKUP(F1902,'Annual distance covered (GB)'!$A$8:$H$33,MATCH(J1902,'Annual distance covered (GB)'!$A$7:$H$7,0))</f>
        <v>66.7</v>
      </c>
      <c r="N1902" s="2">
        <f t="shared" ca="1" si="72"/>
        <v>627543.60239771509</v>
      </c>
      <c r="O1902" s="180">
        <f t="shared" ca="1" si="73"/>
        <v>0.19017392342580863</v>
      </c>
      <c r="P1902" s="180"/>
      <c r="Q1902" s="180"/>
      <c r="R1902" s="180"/>
      <c r="S1902" s="180"/>
      <c r="T1902" s="180"/>
    </row>
    <row r="1903" spans="1:20" x14ac:dyDescent="0.25">
      <c r="A1903" t="s">
        <v>243</v>
      </c>
      <c r="B1903" t="s">
        <v>237</v>
      </c>
      <c r="C1903" t="s">
        <v>238</v>
      </c>
      <c r="D1903" t="s">
        <v>257</v>
      </c>
      <c r="E1903" t="s">
        <v>228</v>
      </c>
      <c r="F1903">
        <v>2010</v>
      </c>
      <c r="G1903">
        <v>6.4021999999999803E-3</v>
      </c>
      <c r="H1903" t="s">
        <v>240</v>
      </c>
      <c r="I1903" t="s">
        <v>241</v>
      </c>
      <c r="J1903" t="s">
        <v>188</v>
      </c>
      <c r="K1903" s="183">
        <f ca="1">VLOOKUP(F1903,
    OFFSET(INDIRECT(ADDRESS(MATCH(J1903,'Vehicle numbers'!$A$5:$A$162,0),1,1,1,$L$6)),4,1,COUNTIF('Vehicle numbers'!$A$5:$A$162,J1903),4),
    MATCH(K$8,'Vehicle numbers'!$B$4:$D$4,0))*1000</f>
        <v>3207791</v>
      </c>
      <c r="L1903" s="183">
        <f ca="1">VLOOKUP(F1903,
    OFFSET(INDIRECT(ADDRESS(MATCH(J1903,'Vehicle numbers'!$A$5:$A$162,0),1,1,1,$L$6)),4,1,COUNTIF('Vehicle numbers'!$A$5:$A$162,J1903),4),
    MATCH(L$8,'Vehicle numbers'!$B$4:$D$4,0))*1000</f>
        <v>3299840.4360234737</v>
      </c>
      <c r="M1903" s="184">
        <f>VLOOKUP(F1903,'Annual distance covered (GB)'!$A$8:$H$33,MATCH(J1903,'Annual distance covered (GB)'!$A$7:$H$7,0))</f>
        <v>66.7</v>
      </c>
      <c r="N1903" s="2">
        <f t="shared" ca="1" si="72"/>
        <v>439280.52167840063</v>
      </c>
      <c r="O1903" s="180">
        <f t="shared" ca="1" si="73"/>
        <v>0.13312174639806607</v>
      </c>
      <c r="P1903" s="180"/>
      <c r="Q1903" s="180"/>
      <c r="R1903" s="180"/>
      <c r="S1903" s="180"/>
      <c r="T1903" s="180"/>
    </row>
    <row r="1904" spans="1:20" x14ac:dyDescent="0.25">
      <c r="A1904" t="s">
        <v>244</v>
      </c>
      <c r="B1904" t="s">
        <v>237</v>
      </c>
      <c r="C1904" t="s">
        <v>238</v>
      </c>
      <c r="D1904" t="s">
        <v>257</v>
      </c>
      <c r="E1904" t="s">
        <v>228</v>
      </c>
      <c r="F1904">
        <v>2010</v>
      </c>
      <c r="G1904">
        <v>9.0171830985915095E-4</v>
      </c>
      <c r="H1904" t="s">
        <v>240</v>
      </c>
      <c r="I1904" t="s">
        <v>241</v>
      </c>
      <c r="J1904" t="s">
        <v>188</v>
      </c>
      <c r="K1904" s="183">
        <f ca="1">VLOOKUP(F1904,
    OFFSET(INDIRECT(ADDRESS(MATCH(J1904,'Vehicle numbers'!$A$5:$A$162,0),1,1,1,$L$6)),4,1,COUNTIF('Vehicle numbers'!$A$5:$A$162,J1904),4),
    MATCH(K$8,'Vehicle numbers'!$B$4:$D$4,0))*1000</f>
        <v>3207791</v>
      </c>
      <c r="L1904" s="183">
        <f ca="1">VLOOKUP(F1904,
    OFFSET(INDIRECT(ADDRESS(MATCH(J1904,'Vehicle numbers'!$A$5:$A$162,0),1,1,1,$L$6)),4,1,COUNTIF('Vehicle numbers'!$A$5:$A$162,J1904),4),
    MATCH(L$8,'Vehicle numbers'!$B$4:$D$4,0))*1000</f>
        <v>3299840.4360234737</v>
      </c>
      <c r="M1904" s="184">
        <f>VLOOKUP(F1904,'Annual distance covered (GB)'!$A$8:$H$33,MATCH(J1904,'Annual distance covered (GB)'!$A$7:$H$7,0))</f>
        <v>66.7</v>
      </c>
      <c r="N1904" s="2">
        <f t="shared" ca="1" si="72"/>
        <v>61870.496011042254</v>
      </c>
      <c r="O1904" s="180">
        <f t="shared" ca="1" si="73"/>
        <v>1.8749541746206463E-2</v>
      </c>
      <c r="P1904" s="180"/>
      <c r="Q1904" s="180"/>
      <c r="R1904" s="180"/>
      <c r="S1904" s="180"/>
      <c r="T1904" s="180"/>
    </row>
    <row r="1905" spans="1:20" x14ac:dyDescent="0.25">
      <c r="A1905" t="s">
        <v>246</v>
      </c>
      <c r="B1905" t="s">
        <v>237</v>
      </c>
      <c r="C1905" t="s">
        <v>238</v>
      </c>
      <c r="D1905" t="s">
        <v>257</v>
      </c>
      <c r="E1905" t="s">
        <v>228</v>
      </c>
      <c r="F1905">
        <v>2010</v>
      </c>
      <c r="G1905">
        <v>7.2137464788732104E-4</v>
      </c>
      <c r="H1905" t="s">
        <v>240</v>
      </c>
      <c r="I1905" t="s">
        <v>241</v>
      </c>
      <c r="J1905" t="s">
        <v>188</v>
      </c>
      <c r="K1905" s="183">
        <f ca="1">VLOOKUP(F1905,
    OFFSET(INDIRECT(ADDRESS(MATCH(J1905,'Vehicle numbers'!$A$5:$A$162,0),1,1,1,$L$6)),4,1,COUNTIF('Vehicle numbers'!$A$5:$A$162,J1905),4),
    MATCH(K$8,'Vehicle numbers'!$B$4:$D$4,0))*1000</f>
        <v>3207791</v>
      </c>
      <c r="L1905" s="183">
        <f ca="1">VLOOKUP(F1905,
    OFFSET(INDIRECT(ADDRESS(MATCH(J1905,'Vehicle numbers'!$A$5:$A$162,0),1,1,1,$L$6)),4,1,COUNTIF('Vehicle numbers'!$A$5:$A$162,J1905),4),
    MATCH(L$8,'Vehicle numbers'!$B$4:$D$4,0))*1000</f>
        <v>3299840.4360234737</v>
      </c>
      <c r="M1905" s="184">
        <f>VLOOKUP(F1905,'Annual distance covered (GB)'!$A$8:$H$33,MATCH(J1905,'Annual distance covered (GB)'!$A$7:$H$7,0))</f>
        <v>66.7</v>
      </c>
      <c r="N1905" s="2">
        <f t="shared" ca="1" si="72"/>
        <v>49496.396808833822</v>
      </c>
      <c r="O1905" s="180">
        <f t="shared" ca="1" si="73"/>
        <v>1.4999633396965176E-2</v>
      </c>
      <c r="P1905" s="180"/>
      <c r="Q1905" s="180"/>
      <c r="R1905" s="180"/>
      <c r="S1905" s="180"/>
      <c r="T1905" s="180"/>
    </row>
    <row r="1906" spans="1:20" x14ac:dyDescent="0.25">
      <c r="A1906" t="s">
        <v>236</v>
      </c>
      <c r="B1906" t="s">
        <v>237</v>
      </c>
      <c r="C1906" t="s">
        <v>238</v>
      </c>
      <c r="D1906" t="s">
        <v>258</v>
      </c>
      <c r="E1906" t="s">
        <v>229</v>
      </c>
      <c r="F1906">
        <v>2010</v>
      </c>
      <c r="G1906">
        <v>8.6219999999999908E-3</v>
      </c>
      <c r="H1906" t="s">
        <v>240</v>
      </c>
      <c r="I1906" t="s">
        <v>241</v>
      </c>
      <c r="J1906" t="s">
        <v>188</v>
      </c>
      <c r="K1906" s="183">
        <f ca="1">VLOOKUP(F1906,
    OFFSET(INDIRECT(ADDRESS(MATCH(J1906,'Vehicle numbers'!$A$5:$A$162,0),1,1,1,$L$6)),4,1,COUNTIF('Vehicle numbers'!$A$5:$A$162,J1906),4),
    MATCH(K$8,'Vehicle numbers'!$B$4:$D$4,0))*1000</f>
        <v>3207791</v>
      </c>
      <c r="L1906" s="183">
        <f ca="1">VLOOKUP(F1906,
    OFFSET(INDIRECT(ADDRESS(MATCH(J1906,'Vehicle numbers'!$A$5:$A$162,0),1,1,1,$L$6)),4,1,COUNTIF('Vehicle numbers'!$A$5:$A$162,J1906),4),
    MATCH(L$8,'Vehicle numbers'!$B$4:$D$4,0))*1000</f>
        <v>3299840.4360234737</v>
      </c>
      <c r="M1906" s="184">
        <f>VLOOKUP(F1906,'Annual distance covered (GB)'!$A$8:$H$33,MATCH(J1906,'Annual distance covered (GB)'!$A$7:$H$7,0))</f>
        <v>66.7</v>
      </c>
      <c r="N1906" s="2">
        <f t="shared" ca="1" si="72"/>
        <v>591589.86878122785</v>
      </c>
      <c r="O1906" s="180">
        <f t="shared" ca="1" si="73"/>
        <v>0.1792783258011508</v>
      </c>
      <c r="P1906" s="180"/>
      <c r="Q1906" s="180"/>
      <c r="R1906" s="180"/>
      <c r="S1906" s="180"/>
      <c r="T1906" s="180"/>
    </row>
    <row r="1907" spans="1:20" x14ac:dyDescent="0.25">
      <c r="A1907" t="s">
        <v>243</v>
      </c>
      <c r="B1907" t="s">
        <v>237</v>
      </c>
      <c r="C1907" t="s">
        <v>238</v>
      </c>
      <c r="D1907" t="s">
        <v>258</v>
      </c>
      <c r="E1907" t="s">
        <v>229</v>
      </c>
      <c r="F1907">
        <v>2010</v>
      </c>
      <c r="G1907">
        <v>3.4488000000000001E-3</v>
      </c>
      <c r="H1907" t="s">
        <v>240</v>
      </c>
      <c r="I1907" t="s">
        <v>241</v>
      </c>
      <c r="J1907" t="s">
        <v>188</v>
      </c>
      <c r="K1907" s="183">
        <f ca="1">VLOOKUP(F1907,
    OFFSET(INDIRECT(ADDRESS(MATCH(J1907,'Vehicle numbers'!$A$5:$A$162,0),1,1,1,$L$6)),4,1,COUNTIF('Vehicle numbers'!$A$5:$A$162,J1907),4),
    MATCH(K$8,'Vehicle numbers'!$B$4:$D$4,0))*1000</f>
        <v>3207791</v>
      </c>
      <c r="L1907" s="183">
        <f ca="1">VLOOKUP(F1907,
    OFFSET(INDIRECT(ADDRESS(MATCH(J1907,'Vehicle numbers'!$A$5:$A$162,0),1,1,1,$L$6)),4,1,COUNTIF('Vehicle numbers'!$A$5:$A$162,J1907),4),
    MATCH(L$8,'Vehicle numbers'!$B$4:$D$4,0))*1000</f>
        <v>3299840.4360234737</v>
      </c>
      <c r="M1907" s="184">
        <f>VLOOKUP(F1907,'Annual distance covered (GB)'!$A$8:$H$33,MATCH(J1907,'Annual distance covered (GB)'!$A$7:$H$7,0))</f>
        <v>66.7</v>
      </c>
      <c r="N1907" s="2">
        <f t="shared" ca="1" si="72"/>
        <v>236635.94751249146</v>
      </c>
      <c r="O1907" s="180">
        <f t="shared" ca="1" si="73"/>
        <v>7.1711330320460412E-2</v>
      </c>
      <c r="P1907" s="180"/>
      <c r="Q1907" s="180"/>
      <c r="R1907" s="180"/>
      <c r="S1907" s="180"/>
      <c r="T1907" s="180"/>
    </row>
    <row r="1908" spans="1:20" x14ac:dyDescent="0.25">
      <c r="A1908" t="s">
        <v>244</v>
      </c>
      <c r="B1908" t="s">
        <v>237</v>
      </c>
      <c r="C1908" t="s">
        <v>238</v>
      </c>
      <c r="D1908" t="s">
        <v>258</v>
      </c>
      <c r="E1908" t="s">
        <v>229</v>
      </c>
      <c r="F1908">
        <v>2010</v>
      </c>
      <c r="G1908">
        <v>8.6220000000000003E-4</v>
      </c>
      <c r="H1908" t="s">
        <v>240</v>
      </c>
      <c r="I1908" t="s">
        <v>241</v>
      </c>
      <c r="J1908" t="s">
        <v>188</v>
      </c>
      <c r="K1908" s="183">
        <f ca="1">VLOOKUP(F1908,
    OFFSET(INDIRECT(ADDRESS(MATCH(J1908,'Vehicle numbers'!$A$5:$A$162,0),1,1,1,$L$6)),4,1,COUNTIF('Vehicle numbers'!$A$5:$A$162,J1908),4),
    MATCH(K$8,'Vehicle numbers'!$B$4:$D$4,0))*1000</f>
        <v>3207791</v>
      </c>
      <c r="L1908" s="183">
        <f ca="1">VLOOKUP(F1908,
    OFFSET(INDIRECT(ADDRESS(MATCH(J1908,'Vehicle numbers'!$A$5:$A$162,0),1,1,1,$L$6)),4,1,COUNTIF('Vehicle numbers'!$A$5:$A$162,J1908),4),
    MATCH(L$8,'Vehicle numbers'!$B$4:$D$4,0))*1000</f>
        <v>3299840.4360234737</v>
      </c>
      <c r="M1908" s="184">
        <f>VLOOKUP(F1908,'Annual distance covered (GB)'!$A$8:$H$33,MATCH(J1908,'Annual distance covered (GB)'!$A$7:$H$7,0))</f>
        <v>66.7</v>
      </c>
      <c r="N1908" s="2">
        <f t="shared" ca="1" si="72"/>
        <v>59158.986878122865</v>
      </c>
      <c r="O1908" s="180">
        <f t="shared" ca="1" si="73"/>
        <v>1.7927832580115103E-2</v>
      </c>
      <c r="P1908" s="180"/>
      <c r="Q1908" s="180"/>
      <c r="R1908" s="180"/>
      <c r="S1908" s="180"/>
      <c r="T1908" s="180"/>
    </row>
    <row r="1909" spans="1:20" x14ac:dyDescent="0.25">
      <c r="A1909" t="s">
        <v>246</v>
      </c>
      <c r="B1909" t="s">
        <v>237</v>
      </c>
      <c r="C1909" t="s">
        <v>238</v>
      </c>
      <c r="D1909" t="s">
        <v>258</v>
      </c>
      <c r="E1909" t="s">
        <v>229</v>
      </c>
      <c r="F1909">
        <v>2010</v>
      </c>
      <c r="G1909">
        <v>6.8975999999999998E-4</v>
      </c>
      <c r="H1909" t="s">
        <v>240</v>
      </c>
      <c r="I1909" t="s">
        <v>241</v>
      </c>
      <c r="J1909" t="s">
        <v>188</v>
      </c>
      <c r="K1909" s="183">
        <f ca="1">VLOOKUP(F1909,
    OFFSET(INDIRECT(ADDRESS(MATCH(J1909,'Vehicle numbers'!$A$5:$A$162,0),1,1,1,$L$6)),4,1,COUNTIF('Vehicle numbers'!$A$5:$A$162,J1909),4),
    MATCH(K$8,'Vehicle numbers'!$B$4:$D$4,0))*1000</f>
        <v>3207791</v>
      </c>
      <c r="L1909" s="183">
        <f ca="1">VLOOKUP(F1909,
    OFFSET(INDIRECT(ADDRESS(MATCH(J1909,'Vehicle numbers'!$A$5:$A$162,0),1,1,1,$L$6)),4,1,COUNTIF('Vehicle numbers'!$A$5:$A$162,J1909),4),
    MATCH(L$8,'Vehicle numbers'!$B$4:$D$4,0))*1000</f>
        <v>3299840.4360234737</v>
      </c>
      <c r="M1909" s="184">
        <f>VLOOKUP(F1909,'Annual distance covered (GB)'!$A$8:$H$33,MATCH(J1909,'Annual distance covered (GB)'!$A$7:$H$7,0))</f>
        <v>66.7</v>
      </c>
      <c r="N1909" s="2">
        <f t="shared" ca="1" si="72"/>
        <v>47327.189502498295</v>
      </c>
      <c r="O1909" s="180">
        <f t="shared" ca="1" si="73"/>
        <v>1.4342266064092085E-2</v>
      </c>
      <c r="P1909" s="180"/>
      <c r="Q1909" s="180"/>
      <c r="R1909" s="180"/>
      <c r="S1909" s="180"/>
      <c r="T1909" s="180"/>
    </row>
    <row r="1910" spans="1:20" x14ac:dyDescent="0.25">
      <c r="A1910" t="s">
        <v>236</v>
      </c>
      <c r="B1910" t="s">
        <v>237</v>
      </c>
      <c r="C1910" t="s">
        <v>238</v>
      </c>
      <c r="D1910" t="s">
        <v>258</v>
      </c>
      <c r="E1910" t="s">
        <v>228</v>
      </c>
      <c r="F1910">
        <v>2010</v>
      </c>
      <c r="G1910">
        <v>1.0741000000000001E-2</v>
      </c>
      <c r="H1910" t="s">
        <v>240</v>
      </c>
      <c r="I1910" t="s">
        <v>241</v>
      </c>
      <c r="J1910" t="s">
        <v>188</v>
      </c>
      <c r="K1910" s="183">
        <f ca="1">VLOOKUP(F1910,
    OFFSET(INDIRECT(ADDRESS(MATCH(J1910,'Vehicle numbers'!$A$5:$A$162,0),1,1,1,$L$6)),4,1,COUNTIF('Vehicle numbers'!$A$5:$A$162,J1910),4),
    MATCH(K$8,'Vehicle numbers'!$B$4:$D$4,0))*1000</f>
        <v>3207791</v>
      </c>
      <c r="L1910" s="183">
        <f ca="1">VLOOKUP(F1910,
    OFFSET(INDIRECT(ADDRESS(MATCH(J1910,'Vehicle numbers'!$A$5:$A$162,0),1,1,1,$L$6)),4,1,COUNTIF('Vehicle numbers'!$A$5:$A$162,J1910),4),
    MATCH(L$8,'Vehicle numbers'!$B$4:$D$4,0))*1000</f>
        <v>3299840.4360234737</v>
      </c>
      <c r="M1910" s="184">
        <f>VLOOKUP(F1910,'Annual distance covered (GB)'!$A$8:$H$33,MATCH(J1910,'Annual distance covered (GB)'!$A$7:$H$7,0))</f>
        <v>66.7</v>
      </c>
      <c r="N1910" s="2">
        <f t="shared" ca="1" si="72"/>
        <v>736982.92514256283</v>
      </c>
      <c r="O1910" s="180">
        <f t="shared" ca="1" si="73"/>
        <v>0.22333895818025554</v>
      </c>
      <c r="P1910" s="180"/>
      <c r="Q1910" s="180"/>
      <c r="R1910" s="180"/>
      <c r="S1910" s="180"/>
      <c r="T1910" s="180"/>
    </row>
    <row r="1911" spans="1:20" x14ac:dyDescent="0.25">
      <c r="A1911" t="s">
        <v>243</v>
      </c>
      <c r="B1911" t="s">
        <v>237</v>
      </c>
      <c r="C1911" t="s">
        <v>238</v>
      </c>
      <c r="D1911" t="s">
        <v>258</v>
      </c>
      <c r="E1911" t="s">
        <v>228</v>
      </c>
      <c r="F1911">
        <v>2010</v>
      </c>
      <c r="G1911">
        <v>7.5186999999999997E-3</v>
      </c>
      <c r="H1911" t="s">
        <v>240</v>
      </c>
      <c r="I1911" t="s">
        <v>241</v>
      </c>
      <c r="J1911" t="s">
        <v>188</v>
      </c>
      <c r="K1911" s="183">
        <f ca="1">VLOOKUP(F1911,
    OFFSET(INDIRECT(ADDRESS(MATCH(J1911,'Vehicle numbers'!$A$5:$A$162,0),1,1,1,$L$6)),4,1,COUNTIF('Vehicle numbers'!$A$5:$A$162,J1911),4),
    MATCH(K$8,'Vehicle numbers'!$B$4:$D$4,0))*1000</f>
        <v>3207791</v>
      </c>
      <c r="L1911" s="183">
        <f ca="1">VLOOKUP(F1911,
    OFFSET(INDIRECT(ADDRESS(MATCH(J1911,'Vehicle numbers'!$A$5:$A$162,0),1,1,1,$L$6)),4,1,COUNTIF('Vehicle numbers'!$A$5:$A$162,J1911),4),
    MATCH(L$8,'Vehicle numbers'!$B$4:$D$4,0))*1000</f>
        <v>3299840.4360234737</v>
      </c>
      <c r="M1911" s="184">
        <f>VLOOKUP(F1911,'Annual distance covered (GB)'!$A$8:$H$33,MATCH(J1911,'Annual distance covered (GB)'!$A$7:$H$7,0))</f>
        <v>66.7</v>
      </c>
      <c r="N1911" s="2">
        <f t="shared" ca="1" si="72"/>
        <v>515888.04759979394</v>
      </c>
      <c r="O1911" s="180">
        <f t="shared" ca="1" si="73"/>
        <v>0.15633727072617887</v>
      </c>
      <c r="P1911" s="180"/>
      <c r="Q1911" s="180"/>
      <c r="R1911" s="180"/>
      <c r="S1911" s="180"/>
      <c r="T1911" s="180"/>
    </row>
    <row r="1912" spans="1:20" x14ac:dyDescent="0.25">
      <c r="A1912" t="s">
        <v>244</v>
      </c>
      <c r="B1912" t="s">
        <v>237</v>
      </c>
      <c r="C1912" t="s">
        <v>238</v>
      </c>
      <c r="D1912" t="s">
        <v>258</v>
      </c>
      <c r="E1912" t="s">
        <v>228</v>
      </c>
      <c r="F1912">
        <v>2010</v>
      </c>
      <c r="G1912">
        <v>1.05897183098591E-3</v>
      </c>
      <c r="H1912" t="s">
        <v>240</v>
      </c>
      <c r="I1912" t="s">
        <v>241</v>
      </c>
      <c r="J1912" t="s">
        <v>188</v>
      </c>
      <c r="K1912" s="183">
        <f ca="1">VLOOKUP(F1912,
    OFFSET(INDIRECT(ADDRESS(MATCH(J1912,'Vehicle numbers'!$A$5:$A$162,0),1,1,1,$L$6)),4,1,COUNTIF('Vehicle numbers'!$A$5:$A$162,J1912),4),
    MATCH(K$8,'Vehicle numbers'!$B$4:$D$4,0))*1000</f>
        <v>3207791</v>
      </c>
      <c r="L1912" s="183">
        <f ca="1">VLOOKUP(F1912,
    OFFSET(INDIRECT(ADDRESS(MATCH(J1912,'Vehicle numbers'!$A$5:$A$162,0),1,1,1,$L$6)),4,1,COUNTIF('Vehicle numbers'!$A$5:$A$162,J1912),4),
    MATCH(L$8,'Vehicle numbers'!$B$4:$D$4,0))*1000</f>
        <v>3299840.4360234737</v>
      </c>
      <c r="M1912" s="184">
        <f>VLOOKUP(F1912,'Annual distance covered (GB)'!$A$8:$H$33,MATCH(J1912,'Annual distance covered (GB)'!$A$7:$H$7,0))</f>
        <v>66.7</v>
      </c>
      <c r="N1912" s="2">
        <f t="shared" ca="1" si="72"/>
        <v>72660.288394336807</v>
      </c>
      <c r="O1912" s="180">
        <f t="shared" ca="1" si="73"/>
        <v>2.2019333905095504E-2</v>
      </c>
      <c r="P1912" s="180"/>
      <c r="Q1912" s="180"/>
      <c r="R1912" s="180"/>
      <c r="S1912" s="180"/>
      <c r="T1912" s="180"/>
    </row>
    <row r="1913" spans="1:20" x14ac:dyDescent="0.25">
      <c r="A1913" t="s">
        <v>246</v>
      </c>
      <c r="B1913" t="s">
        <v>237</v>
      </c>
      <c r="C1913" t="s">
        <v>238</v>
      </c>
      <c r="D1913" t="s">
        <v>258</v>
      </c>
      <c r="E1913" t="s">
        <v>228</v>
      </c>
      <c r="F1913">
        <v>2010</v>
      </c>
      <c r="G1913">
        <v>8.47177464788731E-4</v>
      </c>
      <c r="H1913" t="s">
        <v>240</v>
      </c>
      <c r="I1913" t="s">
        <v>241</v>
      </c>
      <c r="J1913" t="s">
        <v>188</v>
      </c>
      <c r="K1913" s="183">
        <f ca="1">VLOOKUP(F1913,
    OFFSET(INDIRECT(ADDRESS(MATCH(J1913,'Vehicle numbers'!$A$5:$A$162,0),1,1,1,$L$6)),4,1,COUNTIF('Vehicle numbers'!$A$5:$A$162,J1913),4),
    MATCH(K$8,'Vehicle numbers'!$B$4:$D$4,0))*1000</f>
        <v>3207791</v>
      </c>
      <c r="L1913" s="183">
        <f ca="1">VLOOKUP(F1913,
    OFFSET(INDIRECT(ADDRESS(MATCH(J1913,'Vehicle numbers'!$A$5:$A$162,0),1,1,1,$L$6)),4,1,COUNTIF('Vehicle numbers'!$A$5:$A$162,J1913),4),
    MATCH(L$8,'Vehicle numbers'!$B$4:$D$4,0))*1000</f>
        <v>3299840.4360234737</v>
      </c>
      <c r="M1913" s="184">
        <f>VLOOKUP(F1913,'Annual distance covered (GB)'!$A$8:$H$33,MATCH(J1913,'Annual distance covered (GB)'!$A$7:$H$7,0))</f>
        <v>66.7</v>
      </c>
      <c r="N1913" s="2">
        <f t="shared" ca="1" si="72"/>
        <v>58128.230715469646</v>
      </c>
      <c r="O1913" s="180">
        <f t="shared" ca="1" si="73"/>
        <v>1.7615467124076464E-2</v>
      </c>
      <c r="P1913" s="180"/>
      <c r="Q1913" s="180"/>
      <c r="R1913" s="180"/>
      <c r="S1913" s="180"/>
      <c r="T1913" s="180"/>
    </row>
    <row r="1914" spans="1:20" x14ac:dyDescent="0.25">
      <c r="A1914" t="s">
        <v>236</v>
      </c>
      <c r="B1914" t="s">
        <v>237</v>
      </c>
      <c r="C1914" t="s">
        <v>238</v>
      </c>
      <c r="D1914" t="s">
        <v>259</v>
      </c>
      <c r="E1914" t="s">
        <v>229</v>
      </c>
      <c r="F1914">
        <v>2010</v>
      </c>
      <c r="G1914">
        <v>1.8218999999999999E-2</v>
      </c>
      <c r="H1914" t="s">
        <v>240</v>
      </c>
      <c r="I1914" t="s">
        <v>241</v>
      </c>
      <c r="J1914" t="s">
        <v>188</v>
      </c>
      <c r="K1914" s="183">
        <f ca="1">VLOOKUP(F1914,
    OFFSET(INDIRECT(ADDRESS(MATCH(J1914,'Vehicle numbers'!$A$5:$A$162,0),1,1,1,$L$6)),4,1,COUNTIF('Vehicle numbers'!$A$5:$A$162,J1914),4),
    MATCH(K$8,'Vehicle numbers'!$B$4:$D$4,0))*1000</f>
        <v>3207791</v>
      </c>
      <c r="L1914" s="183">
        <f ca="1">VLOOKUP(F1914,
    OFFSET(INDIRECT(ADDRESS(MATCH(J1914,'Vehicle numbers'!$A$5:$A$162,0),1,1,1,$L$6)),4,1,COUNTIF('Vehicle numbers'!$A$5:$A$162,J1914),4),
    MATCH(L$8,'Vehicle numbers'!$B$4:$D$4,0))*1000</f>
        <v>3299840.4360234737</v>
      </c>
      <c r="M1914" s="184">
        <f>VLOOKUP(F1914,'Annual distance covered (GB)'!$A$8:$H$33,MATCH(J1914,'Annual distance covered (GB)'!$A$7:$H$7,0))</f>
        <v>66.7</v>
      </c>
      <c r="N1914" s="2">
        <f t="shared" ca="1" si="72"/>
        <v>1250078.3831274882</v>
      </c>
      <c r="O1914" s="180">
        <f t="shared" ca="1" si="73"/>
        <v>0.37882994870925196</v>
      </c>
      <c r="P1914" s="180"/>
      <c r="Q1914" s="180"/>
      <c r="R1914" s="180"/>
      <c r="S1914" s="180"/>
      <c r="T1914" s="180"/>
    </row>
    <row r="1915" spans="1:20" x14ac:dyDescent="0.25">
      <c r="A1915" t="s">
        <v>243</v>
      </c>
      <c r="B1915" t="s">
        <v>237</v>
      </c>
      <c r="C1915" t="s">
        <v>238</v>
      </c>
      <c r="D1915" t="s">
        <v>259</v>
      </c>
      <c r="E1915" t="s">
        <v>229</v>
      </c>
      <c r="F1915">
        <v>2010</v>
      </c>
      <c r="G1915">
        <v>7.2876E-3</v>
      </c>
      <c r="H1915" t="s">
        <v>240</v>
      </c>
      <c r="I1915" t="s">
        <v>241</v>
      </c>
      <c r="J1915" t="s">
        <v>188</v>
      </c>
      <c r="K1915" s="183">
        <f ca="1">VLOOKUP(F1915,
    OFFSET(INDIRECT(ADDRESS(MATCH(J1915,'Vehicle numbers'!$A$5:$A$162,0),1,1,1,$L$6)),4,1,COUNTIF('Vehicle numbers'!$A$5:$A$162,J1915),4),
    MATCH(K$8,'Vehicle numbers'!$B$4:$D$4,0))*1000</f>
        <v>3207791</v>
      </c>
      <c r="L1915" s="183">
        <f ca="1">VLOOKUP(F1915,
    OFFSET(INDIRECT(ADDRESS(MATCH(J1915,'Vehicle numbers'!$A$5:$A$162,0),1,1,1,$L$6)),4,1,COUNTIF('Vehicle numbers'!$A$5:$A$162,J1915),4),
    MATCH(L$8,'Vehicle numbers'!$B$4:$D$4,0))*1000</f>
        <v>3299840.4360234737</v>
      </c>
      <c r="M1915" s="184">
        <f>VLOOKUP(F1915,'Annual distance covered (GB)'!$A$8:$H$33,MATCH(J1915,'Annual distance covered (GB)'!$A$7:$H$7,0))</f>
        <v>66.7</v>
      </c>
      <c r="N1915" s="2">
        <f t="shared" ca="1" si="72"/>
        <v>500031.35325099534</v>
      </c>
      <c r="O1915" s="180">
        <f t="shared" ca="1" si="73"/>
        <v>0.15153197948370081</v>
      </c>
      <c r="P1915" s="180"/>
      <c r="Q1915" s="180"/>
      <c r="R1915" s="180"/>
      <c r="S1915" s="180"/>
      <c r="T1915" s="180"/>
    </row>
    <row r="1916" spans="1:20" x14ac:dyDescent="0.25">
      <c r="A1916" t="s">
        <v>244</v>
      </c>
      <c r="B1916" t="s">
        <v>237</v>
      </c>
      <c r="C1916" t="s">
        <v>238</v>
      </c>
      <c r="D1916" t="s">
        <v>259</v>
      </c>
      <c r="E1916" t="s">
        <v>229</v>
      </c>
      <c r="F1916">
        <v>2010</v>
      </c>
      <c r="G1916">
        <v>1.8219E-3</v>
      </c>
      <c r="H1916" t="s">
        <v>240</v>
      </c>
      <c r="I1916" t="s">
        <v>241</v>
      </c>
      <c r="J1916" t="s">
        <v>188</v>
      </c>
      <c r="K1916" s="183">
        <f ca="1">VLOOKUP(F1916,
    OFFSET(INDIRECT(ADDRESS(MATCH(J1916,'Vehicle numbers'!$A$5:$A$162,0),1,1,1,$L$6)),4,1,COUNTIF('Vehicle numbers'!$A$5:$A$162,J1916),4),
    MATCH(K$8,'Vehicle numbers'!$B$4:$D$4,0))*1000</f>
        <v>3207791</v>
      </c>
      <c r="L1916" s="183">
        <f ca="1">VLOOKUP(F1916,
    OFFSET(INDIRECT(ADDRESS(MATCH(J1916,'Vehicle numbers'!$A$5:$A$162,0),1,1,1,$L$6)),4,1,COUNTIF('Vehicle numbers'!$A$5:$A$162,J1916),4),
    MATCH(L$8,'Vehicle numbers'!$B$4:$D$4,0))*1000</f>
        <v>3299840.4360234737</v>
      </c>
      <c r="M1916" s="184">
        <f>VLOOKUP(F1916,'Annual distance covered (GB)'!$A$8:$H$33,MATCH(J1916,'Annual distance covered (GB)'!$A$7:$H$7,0))</f>
        <v>66.7</v>
      </c>
      <c r="N1916" s="2">
        <f t="shared" ca="1" si="72"/>
        <v>125007.83831274883</v>
      </c>
      <c r="O1916" s="180">
        <f t="shared" ca="1" si="73"/>
        <v>3.7882994870925203E-2</v>
      </c>
      <c r="P1916" s="180"/>
      <c r="Q1916" s="180"/>
      <c r="R1916" s="180"/>
      <c r="S1916" s="180"/>
      <c r="T1916" s="180"/>
    </row>
    <row r="1917" spans="1:20" x14ac:dyDescent="0.25">
      <c r="A1917" t="s">
        <v>246</v>
      </c>
      <c r="B1917" t="s">
        <v>237</v>
      </c>
      <c r="C1917" t="s">
        <v>238</v>
      </c>
      <c r="D1917" t="s">
        <v>259</v>
      </c>
      <c r="E1917" t="s">
        <v>229</v>
      </c>
      <c r="F1917">
        <v>2010</v>
      </c>
      <c r="G1917">
        <v>1.4575199999999999E-3</v>
      </c>
      <c r="H1917" t="s">
        <v>240</v>
      </c>
      <c r="I1917" t="s">
        <v>241</v>
      </c>
      <c r="J1917" t="s">
        <v>188</v>
      </c>
      <c r="K1917" s="183">
        <f ca="1">VLOOKUP(F1917,
    OFFSET(INDIRECT(ADDRESS(MATCH(J1917,'Vehicle numbers'!$A$5:$A$162,0),1,1,1,$L$6)),4,1,COUNTIF('Vehicle numbers'!$A$5:$A$162,J1917),4),
    MATCH(K$8,'Vehicle numbers'!$B$4:$D$4,0))*1000</f>
        <v>3207791</v>
      </c>
      <c r="L1917" s="183">
        <f ca="1">VLOOKUP(F1917,
    OFFSET(INDIRECT(ADDRESS(MATCH(J1917,'Vehicle numbers'!$A$5:$A$162,0),1,1,1,$L$6)),4,1,COUNTIF('Vehicle numbers'!$A$5:$A$162,J1917),4),
    MATCH(L$8,'Vehicle numbers'!$B$4:$D$4,0))*1000</f>
        <v>3299840.4360234737</v>
      </c>
      <c r="M1917" s="184">
        <f>VLOOKUP(F1917,'Annual distance covered (GB)'!$A$8:$H$33,MATCH(J1917,'Annual distance covered (GB)'!$A$7:$H$7,0))</f>
        <v>66.7</v>
      </c>
      <c r="N1917" s="2">
        <f t="shared" ca="1" si="72"/>
        <v>100006.27065019905</v>
      </c>
      <c r="O1917" s="180">
        <f t="shared" ca="1" si="73"/>
        <v>3.0306395896740154E-2</v>
      </c>
      <c r="P1917" s="180"/>
      <c r="Q1917" s="180"/>
      <c r="R1917" s="180"/>
      <c r="S1917" s="180"/>
      <c r="T1917" s="180"/>
    </row>
    <row r="1918" spans="1:20" x14ac:dyDescent="0.25">
      <c r="A1918" t="s">
        <v>236</v>
      </c>
      <c r="B1918" t="s">
        <v>237</v>
      </c>
      <c r="C1918" t="s">
        <v>238</v>
      </c>
      <c r="D1918" t="s">
        <v>259</v>
      </c>
      <c r="E1918" t="s">
        <v>228</v>
      </c>
      <c r="F1918">
        <v>2010</v>
      </c>
      <c r="G1918">
        <v>1.3802E-2</v>
      </c>
      <c r="H1918" t="s">
        <v>240</v>
      </c>
      <c r="I1918" t="s">
        <v>241</v>
      </c>
      <c r="J1918" t="s">
        <v>188</v>
      </c>
      <c r="K1918" s="183">
        <f ca="1">VLOOKUP(F1918,
    OFFSET(INDIRECT(ADDRESS(MATCH(J1918,'Vehicle numbers'!$A$5:$A$162,0),1,1,1,$L$6)),4,1,COUNTIF('Vehicle numbers'!$A$5:$A$162,J1918),4),
    MATCH(K$8,'Vehicle numbers'!$B$4:$D$4,0))*1000</f>
        <v>3207791</v>
      </c>
      <c r="L1918" s="183">
        <f ca="1">VLOOKUP(F1918,
    OFFSET(INDIRECT(ADDRESS(MATCH(J1918,'Vehicle numbers'!$A$5:$A$162,0),1,1,1,$L$6)),4,1,COUNTIF('Vehicle numbers'!$A$5:$A$162,J1918),4),
    MATCH(L$8,'Vehicle numbers'!$B$4:$D$4,0))*1000</f>
        <v>3299840.4360234737</v>
      </c>
      <c r="M1918" s="184">
        <f>VLOOKUP(F1918,'Annual distance covered (GB)'!$A$8:$H$33,MATCH(J1918,'Annual distance covered (GB)'!$A$7:$H$7,0))</f>
        <v>66.7</v>
      </c>
      <c r="N1918" s="2">
        <f t="shared" ca="1" si="72"/>
        <v>947010.36521903472</v>
      </c>
      <c r="O1918" s="180">
        <f t="shared" ca="1" si="73"/>
        <v>0.28698671453345936</v>
      </c>
      <c r="P1918" s="180"/>
      <c r="Q1918" s="180"/>
      <c r="R1918" s="180"/>
      <c r="S1918" s="180"/>
      <c r="T1918" s="180"/>
    </row>
    <row r="1919" spans="1:20" x14ac:dyDescent="0.25">
      <c r="A1919" t="s">
        <v>243</v>
      </c>
      <c r="B1919" t="s">
        <v>237</v>
      </c>
      <c r="C1919" t="s">
        <v>238</v>
      </c>
      <c r="D1919" t="s">
        <v>259</v>
      </c>
      <c r="E1919" t="s">
        <v>228</v>
      </c>
      <c r="F1919">
        <v>2010</v>
      </c>
      <c r="G1919">
        <v>9.6614000000000005E-3</v>
      </c>
      <c r="H1919" t="s">
        <v>240</v>
      </c>
      <c r="I1919" t="s">
        <v>241</v>
      </c>
      <c r="J1919" t="s">
        <v>188</v>
      </c>
      <c r="K1919" s="183">
        <f ca="1">VLOOKUP(F1919,
    OFFSET(INDIRECT(ADDRESS(MATCH(J1919,'Vehicle numbers'!$A$5:$A$162,0),1,1,1,$L$6)),4,1,COUNTIF('Vehicle numbers'!$A$5:$A$162,J1919),4),
    MATCH(K$8,'Vehicle numbers'!$B$4:$D$4,0))*1000</f>
        <v>3207791</v>
      </c>
      <c r="L1919" s="183">
        <f ca="1">VLOOKUP(F1919,
    OFFSET(INDIRECT(ADDRESS(MATCH(J1919,'Vehicle numbers'!$A$5:$A$162,0),1,1,1,$L$6)),4,1,COUNTIF('Vehicle numbers'!$A$5:$A$162,J1919),4),
    MATCH(L$8,'Vehicle numbers'!$B$4:$D$4,0))*1000</f>
        <v>3299840.4360234737</v>
      </c>
      <c r="M1919" s="184">
        <f>VLOOKUP(F1919,'Annual distance covered (GB)'!$A$8:$H$33,MATCH(J1919,'Annual distance covered (GB)'!$A$7:$H$7,0))</f>
        <v>66.7</v>
      </c>
      <c r="N1919" s="2">
        <f t="shared" ca="1" si="72"/>
        <v>662907.25565332442</v>
      </c>
      <c r="O1919" s="180">
        <f t="shared" ca="1" si="73"/>
        <v>0.20089070017342159</v>
      </c>
      <c r="P1919" s="180"/>
      <c r="Q1919" s="180"/>
      <c r="R1919" s="180"/>
      <c r="S1919" s="180"/>
      <c r="T1919" s="180"/>
    </row>
    <row r="1920" spans="1:20" x14ac:dyDescent="0.25">
      <c r="A1920" t="s">
        <v>244</v>
      </c>
      <c r="B1920" t="s">
        <v>237</v>
      </c>
      <c r="C1920" t="s">
        <v>238</v>
      </c>
      <c r="D1920" t="s">
        <v>259</v>
      </c>
      <c r="E1920" t="s">
        <v>228</v>
      </c>
      <c r="F1920">
        <v>2010</v>
      </c>
      <c r="G1920">
        <v>1.3607605633802801E-3</v>
      </c>
      <c r="H1920" t="s">
        <v>240</v>
      </c>
      <c r="I1920" t="s">
        <v>241</v>
      </c>
      <c r="J1920" t="s">
        <v>188</v>
      </c>
      <c r="K1920" s="183">
        <f ca="1">VLOOKUP(F1920,
    OFFSET(INDIRECT(ADDRESS(MATCH(J1920,'Vehicle numbers'!$A$5:$A$162,0),1,1,1,$L$6)),4,1,COUNTIF('Vehicle numbers'!$A$5:$A$162,J1920),4),
    MATCH(K$8,'Vehicle numbers'!$B$4:$D$4,0))*1000</f>
        <v>3207791</v>
      </c>
      <c r="L1920" s="183">
        <f ca="1">VLOOKUP(F1920,
    OFFSET(INDIRECT(ADDRESS(MATCH(J1920,'Vehicle numbers'!$A$5:$A$162,0),1,1,1,$L$6)),4,1,COUNTIF('Vehicle numbers'!$A$5:$A$162,J1920),4),
    MATCH(L$8,'Vehicle numbers'!$B$4:$D$4,0))*1000</f>
        <v>3299840.4360234737</v>
      </c>
      <c r="M1920" s="184">
        <f>VLOOKUP(F1920,'Annual distance covered (GB)'!$A$8:$H$33,MATCH(J1920,'Annual distance covered (GB)'!$A$7:$H$7,0))</f>
        <v>66.7</v>
      </c>
      <c r="N1920" s="2">
        <f t="shared" ca="1" si="72"/>
        <v>93367.219106101911</v>
      </c>
      <c r="O1920" s="180">
        <f t="shared" ca="1" si="73"/>
        <v>2.8294464813157935E-2</v>
      </c>
      <c r="P1920" s="180"/>
      <c r="Q1920" s="180"/>
      <c r="R1920" s="180"/>
      <c r="S1920" s="180"/>
      <c r="T1920" s="180"/>
    </row>
    <row r="1921" spans="1:20" x14ac:dyDescent="0.25">
      <c r="A1921" t="s">
        <v>246</v>
      </c>
      <c r="B1921" t="s">
        <v>237</v>
      </c>
      <c r="C1921" t="s">
        <v>238</v>
      </c>
      <c r="D1921" t="s">
        <v>259</v>
      </c>
      <c r="E1921" t="s">
        <v>228</v>
      </c>
      <c r="F1921">
        <v>2010</v>
      </c>
      <c r="G1921">
        <v>1.0886084507042201E-3</v>
      </c>
      <c r="H1921" t="s">
        <v>240</v>
      </c>
      <c r="I1921" t="s">
        <v>241</v>
      </c>
      <c r="J1921" t="s">
        <v>188</v>
      </c>
      <c r="K1921" s="183">
        <f ca="1">VLOOKUP(F1921,
    OFFSET(INDIRECT(ADDRESS(MATCH(J1921,'Vehicle numbers'!$A$5:$A$162,0),1,1,1,$L$6)),4,1,COUNTIF('Vehicle numbers'!$A$5:$A$162,J1921),4),
    MATCH(K$8,'Vehicle numbers'!$B$4:$D$4,0))*1000</f>
        <v>3207791</v>
      </c>
      <c r="L1921" s="183">
        <f ca="1">VLOOKUP(F1921,
    OFFSET(INDIRECT(ADDRESS(MATCH(J1921,'Vehicle numbers'!$A$5:$A$162,0),1,1,1,$L$6)),4,1,COUNTIF('Vehicle numbers'!$A$5:$A$162,J1921),4),
    MATCH(L$8,'Vehicle numbers'!$B$4:$D$4,0))*1000</f>
        <v>3299840.4360234737</v>
      </c>
      <c r="M1921" s="184">
        <f>VLOOKUP(F1921,'Annual distance covered (GB)'!$A$8:$H$33,MATCH(J1921,'Annual distance covered (GB)'!$A$7:$H$7,0))</f>
        <v>66.7</v>
      </c>
      <c r="N1921" s="2">
        <f t="shared" ca="1" si="72"/>
        <v>74693.775284881252</v>
      </c>
      <c r="O1921" s="180">
        <f t="shared" ca="1" si="73"/>
        <v>2.2635571850526264E-2</v>
      </c>
      <c r="P1921" s="180"/>
      <c r="Q1921" s="180"/>
      <c r="R1921" s="180"/>
      <c r="S1921" s="180"/>
      <c r="T1921" s="180"/>
    </row>
    <row r="1922" spans="1:20" x14ac:dyDescent="0.25">
      <c r="A1922" t="s">
        <v>236</v>
      </c>
      <c r="B1922" t="s">
        <v>237</v>
      </c>
      <c r="C1922" t="s">
        <v>238</v>
      </c>
      <c r="D1922" t="s">
        <v>260</v>
      </c>
      <c r="E1922" t="s">
        <v>229</v>
      </c>
      <c r="F1922">
        <v>2010</v>
      </c>
      <c r="G1922">
        <v>5.8399999999999902E-3</v>
      </c>
      <c r="H1922" t="s">
        <v>240</v>
      </c>
      <c r="I1922" t="s">
        <v>241</v>
      </c>
      <c r="J1922" t="s">
        <v>3</v>
      </c>
      <c r="K1922" s="183">
        <f ca="1">VLOOKUP(F1922,
    OFFSET(INDIRECT(ADDRESS(MATCH(J1922,'Vehicle numbers'!$A$5:$A$162,0),1,1,1,$L$6)),4,1,COUNTIF('Vehicle numbers'!$A$5:$A$162,J1922),4),
    MATCH(K$8,'Vehicle numbers'!$B$4:$D$4,0))*1000</f>
        <v>1234369</v>
      </c>
      <c r="L1922" s="183">
        <f ca="1">VLOOKUP(F1922,
    OFFSET(INDIRECT(ADDRESS(MATCH(J1922,'Vehicle numbers'!$A$5:$A$162,0),1,1,1,$L$6)),4,1,COUNTIF('Vehicle numbers'!$A$5:$A$162,J1922),4),
    MATCH(L$8,'Vehicle numbers'!$B$4:$D$4,0))*1000</f>
        <v>1257051.9863263676</v>
      </c>
      <c r="M1922" s="184">
        <f>VLOOKUP(F1922,'Annual distance covered (GB)'!$A$8:$H$33,MATCH(J1922,'Annual distance covered (GB)'!$A$7:$H$7,0))</f>
        <v>4.7</v>
      </c>
      <c r="N1922" s="2">
        <f t="shared" ca="1" si="72"/>
        <v>27952.389375207968</v>
      </c>
      <c r="O1922" s="180">
        <f t="shared" ca="1" si="73"/>
        <v>2.2236462516475996E-2</v>
      </c>
      <c r="P1922" s="180"/>
      <c r="Q1922" s="180"/>
      <c r="R1922" s="180"/>
      <c r="S1922" s="180"/>
      <c r="T1922" s="180"/>
    </row>
    <row r="1923" spans="1:20" x14ac:dyDescent="0.25">
      <c r="A1923" t="s">
        <v>243</v>
      </c>
      <c r="B1923" t="s">
        <v>237</v>
      </c>
      <c r="C1923" t="s">
        <v>238</v>
      </c>
      <c r="D1923" t="s">
        <v>260</v>
      </c>
      <c r="E1923" t="s">
        <v>229</v>
      </c>
      <c r="F1923">
        <v>2010</v>
      </c>
      <c r="G1923">
        <v>2.336E-3</v>
      </c>
      <c r="H1923" t="s">
        <v>240</v>
      </c>
      <c r="I1923" t="s">
        <v>241</v>
      </c>
      <c r="J1923" t="s">
        <v>3</v>
      </c>
      <c r="K1923" s="183">
        <f ca="1">VLOOKUP(F1923,
    OFFSET(INDIRECT(ADDRESS(MATCH(J1923,'Vehicle numbers'!$A$5:$A$162,0),1,1,1,$L$6)),4,1,COUNTIF('Vehicle numbers'!$A$5:$A$162,J1923),4),
    MATCH(K$8,'Vehicle numbers'!$B$4:$D$4,0))*1000</f>
        <v>1234369</v>
      </c>
      <c r="L1923" s="183">
        <f ca="1">VLOOKUP(F1923,
    OFFSET(INDIRECT(ADDRESS(MATCH(J1923,'Vehicle numbers'!$A$5:$A$162,0),1,1,1,$L$6)),4,1,COUNTIF('Vehicle numbers'!$A$5:$A$162,J1923),4),
    MATCH(L$8,'Vehicle numbers'!$B$4:$D$4,0))*1000</f>
        <v>1257051.9863263676</v>
      </c>
      <c r="M1923" s="184">
        <f>VLOOKUP(F1923,'Annual distance covered (GB)'!$A$8:$H$33,MATCH(J1923,'Annual distance covered (GB)'!$A$7:$H$7,0))</f>
        <v>4.7</v>
      </c>
      <c r="N1923" s="2">
        <f t="shared" ca="1" si="72"/>
        <v>11180.955750083203</v>
      </c>
      <c r="O1923" s="180">
        <f t="shared" ca="1" si="73"/>
        <v>8.8945850065904105E-3</v>
      </c>
      <c r="P1923" s="180"/>
      <c r="Q1923" s="180"/>
      <c r="R1923" s="180"/>
      <c r="S1923" s="180"/>
      <c r="T1923" s="180"/>
    </row>
    <row r="1924" spans="1:20" x14ac:dyDescent="0.25">
      <c r="A1924" t="s">
        <v>244</v>
      </c>
      <c r="B1924" t="s">
        <v>237</v>
      </c>
      <c r="C1924" t="s">
        <v>238</v>
      </c>
      <c r="D1924" t="s">
        <v>260</v>
      </c>
      <c r="E1924" t="s">
        <v>229</v>
      </c>
      <c r="F1924">
        <v>2010</v>
      </c>
      <c r="G1924">
        <v>5.8399999999999999E-4</v>
      </c>
      <c r="H1924" t="s">
        <v>240</v>
      </c>
      <c r="I1924" t="s">
        <v>241</v>
      </c>
      <c r="J1924" t="s">
        <v>3</v>
      </c>
      <c r="K1924" s="183">
        <f ca="1">VLOOKUP(F1924,
    OFFSET(INDIRECT(ADDRESS(MATCH(J1924,'Vehicle numbers'!$A$5:$A$162,0),1,1,1,$L$6)),4,1,COUNTIF('Vehicle numbers'!$A$5:$A$162,J1924),4),
    MATCH(K$8,'Vehicle numbers'!$B$4:$D$4,0))*1000</f>
        <v>1234369</v>
      </c>
      <c r="L1924" s="183">
        <f ca="1">VLOOKUP(F1924,
    OFFSET(INDIRECT(ADDRESS(MATCH(J1924,'Vehicle numbers'!$A$5:$A$162,0),1,1,1,$L$6)),4,1,COUNTIF('Vehicle numbers'!$A$5:$A$162,J1924),4),
    MATCH(L$8,'Vehicle numbers'!$B$4:$D$4,0))*1000</f>
        <v>1257051.9863263676</v>
      </c>
      <c r="M1924" s="184">
        <f>VLOOKUP(F1924,'Annual distance covered (GB)'!$A$8:$H$33,MATCH(J1924,'Annual distance covered (GB)'!$A$7:$H$7,0))</f>
        <v>4.7</v>
      </c>
      <c r="N1924" s="2">
        <f t="shared" ca="1" si="72"/>
        <v>2795.2389375208008</v>
      </c>
      <c r="O1924" s="180">
        <f t="shared" ca="1" si="73"/>
        <v>2.2236462516476026E-3</v>
      </c>
      <c r="P1924" s="180"/>
      <c r="Q1924" s="180"/>
      <c r="R1924" s="180"/>
      <c r="S1924" s="180"/>
      <c r="T1924" s="180"/>
    </row>
    <row r="1925" spans="1:20" x14ac:dyDescent="0.25">
      <c r="A1925" t="s">
        <v>246</v>
      </c>
      <c r="B1925" t="s">
        <v>237</v>
      </c>
      <c r="C1925" t="s">
        <v>238</v>
      </c>
      <c r="D1925" t="s">
        <v>260</v>
      </c>
      <c r="E1925" t="s">
        <v>229</v>
      </c>
      <c r="F1925">
        <v>2010</v>
      </c>
      <c r="G1925">
        <v>4.6720000000000003E-4</v>
      </c>
      <c r="H1925" t="s">
        <v>240</v>
      </c>
      <c r="I1925" t="s">
        <v>241</v>
      </c>
      <c r="J1925" t="s">
        <v>3</v>
      </c>
      <c r="K1925" s="183">
        <f ca="1">VLOOKUP(F1925,
    OFFSET(INDIRECT(ADDRESS(MATCH(J1925,'Vehicle numbers'!$A$5:$A$162,0),1,1,1,$L$6)),4,1,COUNTIF('Vehicle numbers'!$A$5:$A$162,J1925),4),
    MATCH(K$8,'Vehicle numbers'!$B$4:$D$4,0))*1000</f>
        <v>1234369</v>
      </c>
      <c r="L1925" s="183">
        <f ca="1">VLOOKUP(F1925,
    OFFSET(INDIRECT(ADDRESS(MATCH(J1925,'Vehicle numbers'!$A$5:$A$162,0),1,1,1,$L$6)),4,1,COUNTIF('Vehicle numbers'!$A$5:$A$162,J1925),4),
    MATCH(L$8,'Vehicle numbers'!$B$4:$D$4,0))*1000</f>
        <v>1257051.9863263676</v>
      </c>
      <c r="M1925" s="184">
        <f>VLOOKUP(F1925,'Annual distance covered (GB)'!$A$8:$H$33,MATCH(J1925,'Annual distance covered (GB)'!$A$7:$H$7,0))</f>
        <v>4.7</v>
      </c>
      <c r="N1925" s="2">
        <f t="shared" ca="1" si="72"/>
        <v>2236.1911500166411</v>
      </c>
      <c r="O1925" s="180">
        <f t="shared" ca="1" si="73"/>
        <v>1.7789170013180824E-3</v>
      </c>
      <c r="P1925" s="180"/>
      <c r="Q1925" s="180"/>
      <c r="R1925" s="180"/>
      <c r="S1925" s="180"/>
      <c r="T1925" s="180"/>
    </row>
    <row r="1926" spans="1:20" x14ac:dyDescent="0.25">
      <c r="A1926" t="s">
        <v>236</v>
      </c>
      <c r="B1926" t="s">
        <v>237</v>
      </c>
      <c r="C1926" t="s">
        <v>238</v>
      </c>
      <c r="D1926" t="s">
        <v>260</v>
      </c>
      <c r="E1926" t="s">
        <v>228</v>
      </c>
      <c r="F1926">
        <v>2010</v>
      </c>
      <c r="G1926">
        <v>3.7569999999999999E-3</v>
      </c>
      <c r="H1926" t="s">
        <v>240</v>
      </c>
      <c r="I1926" t="s">
        <v>241</v>
      </c>
      <c r="J1926" t="s">
        <v>3</v>
      </c>
      <c r="K1926" s="183">
        <f ca="1">VLOOKUP(F1926,
    OFFSET(INDIRECT(ADDRESS(MATCH(J1926,'Vehicle numbers'!$A$5:$A$162,0),1,1,1,$L$6)),4,1,COUNTIF('Vehicle numbers'!$A$5:$A$162,J1926),4),
    MATCH(K$8,'Vehicle numbers'!$B$4:$D$4,0))*1000</f>
        <v>1234369</v>
      </c>
      <c r="L1926" s="183">
        <f ca="1">VLOOKUP(F1926,
    OFFSET(INDIRECT(ADDRESS(MATCH(J1926,'Vehicle numbers'!$A$5:$A$162,0),1,1,1,$L$6)),4,1,COUNTIF('Vehicle numbers'!$A$5:$A$162,J1926),4),
    MATCH(L$8,'Vehicle numbers'!$B$4:$D$4,0))*1000</f>
        <v>1257051.9863263676</v>
      </c>
      <c r="M1926" s="184">
        <f>VLOOKUP(F1926,'Annual distance covered (GB)'!$A$8:$H$33,MATCH(J1926,'Annual distance covered (GB)'!$A$7:$H$7,0))</f>
        <v>4.7</v>
      </c>
      <c r="N1926" s="2">
        <f t="shared" ca="1" si="72"/>
        <v>17982.384740180911</v>
      </c>
      <c r="O1926" s="180">
        <f t="shared" ca="1" si="73"/>
        <v>1.4305203711369941E-2</v>
      </c>
      <c r="P1926" s="180"/>
      <c r="Q1926" s="180"/>
      <c r="R1926" s="180"/>
      <c r="S1926" s="180"/>
      <c r="T1926" s="180"/>
    </row>
    <row r="1927" spans="1:20" x14ac:dyDescent="0.25">
      <c r="A1927" t="s">
        <v>243</v>
      </c>
      <c r="B1927" t="s">
        <v>237</v>
      </c>
      <c r="C1927" t="s">
        <v>238</v>
      </c>
      <c r="D1927" t="s">
        <v>260</v>
      </c>
      <c r="E1927" t="s">
        <v>228</v>
      </c>
      <c r="F1927">
        <v>2010</v>
      </c>
      <c r="G1927">
        <v>2.6299000000000001E-3</v>
      </c>
      <c r="H1927" t="s">
        <v>240</v>
      </c>
      <c r="I1927" t="s">
        <v>241</v>
      </c>
      <c r="J1927" t="s">
        <v>3</v>
      </c>
      <c r="K1927" s="183">
        <f ca="1">VLOOKUP(F1927,
    OFFSET(INDIRECT(ADDRESS(MATCH(J1927,'Vehicle numbers'!$A$5:$A$162,0),1,1,1,$L$6)),4,1,COUNTIF('Vehicle numbers'!$A$5:$A$162,J1927),4),
    MATCH(K$8,'Vehicle numbers'!$B$4:$D$4,0))*1000</f>
        <v>1234369</v>
      </c>
      <c r="L1927" s="183">
        <f ca="1">VLOOKUP(F1927,
    OFFSET(INDIRECT(ADDRESS(MATCH(J1927,'Vehicle numbers'!$A$5:$A$162,0),1,1,1,$L$6)),4,1,COUNTIF('Vehicle numbers'!$A$5:$A$162,J1927),4),
    MATCH(L$8,'Vehicle numbers'!$B$4:$D$4,0))*1000</f>
        <v>1257051.9863263676</v>
      </c>
      <c r="M1927" s="184">
        <f>VLOOKUP(F1927,'Annual distance covered (GB)'!$A$8:$H$33,MATCH(J1927,'Annual distance covered (GB)'!$A$7:$H$7,0))</f>
        <v>4.7</v>
      </c>
      <c r="N1927" s="2">
        <f t="shared" ca="1" si="72"/>
        <v>12587.669318126636</v>
      </c>
      <c r="O1927" s="180">
        <f t="shared" ca="1" si="73"/>
        <v>1.0013642597958958E-2</v>
      </c>
      <c r="P1927" s="180"/>
      <c r="Q1927" s="180"/>
      <c r="R1927" s="180"/>
      <c r="S1927" s="180"/>
      <c r="T1927" s="180"/>
    </row>
    <row r="1928" spans="1:20" x14ac:dyDescent="0.25">
      <c r="A1928" t="s">
        <v>244</v>
      </c>
      <c r="B1928" t="s">
        <v>237</v>
      </c>
      <c r="C1928" t="s">
        <v>238</v>
      </c>
      <c r="D1928" t="s">
        <v>260</v>
      </c>
      <c r="E1928" t="s">
        <v>228</v>
      </c>
      <c r="F1928">
        <v>2010</v>
      </c>
      <c r="G1928">
        <v>3.7040845070422499E-4</v>
      </c>
      <c r="H1928" t="s">
        <v>240</v>
      </c>
      <c r="I1928" t="s">
        <v>241</v>
      </c>
      <c r="J1928" t="s">
        <v>3</v>
      </c>
      <c r="K1928" s="183">
        <f ca="1">VLOOKUP(F1928,
    OFFSET(INDIRECT(ADDRESS(MATCH(J1928,'Vehicle numbers'!$A$5:$A$162,0),1,1,1,$L$6)),4,1,COUNTIF('Vehicle numbers'!$A$5:$A$162,J1928),4),
    MATCH(K$8,'Vehicle numbers'!$B$4:$D$4,0))*1000</f>
        <v>1234369</v>
      </c>
      <c r="L1928" s="183">
        <f ca="1">VLOOKUP(F1928,
    OFFSET(INDIRECT(ADDRESS(MATCH(J1928,'Vehicle numbers'!$A$5:$A$162,0),1,1,1,$L$6)),4,1,COUNTIF('Vehicle numbers'!$A$5:$A$162,J1928),4),
    MATCH(L$8,'Vehicle numbers'!$B$4:$D$4,0))*1000</f>
        <v>1257051.9863263676</v>
      </c>
      <c r="M1928" s="184">
        <f>VLOOKUP(F1928,'Annual distance covered (GB)'!$A$8:$H$33,MATCH(J1928,'Annual distance covered (GB)'!$A$7:$H$7,0))</f>
        <v>4.7</v>
      </c>
      <c r="N1928" s="2">
        <f t="shared" ca="1" si="72"/>
        <v>1772.9111715671302</v>
      </c>
      <c r="O1928" s="180">
        <f t="shared" ca="1" si="73"/>
        <v>1.4103721968956266E-3</v>
      </c>
      <c r="P1928" s="180"/>
      <c r="Q1928" s="180"/>
      <c r="R1928" s="180"/>
      <c r="S1928" s="180"/>
      <c r="T1928" s="180"/>
    </row>
    <row r="1929" spans="1:20" x14ac:dyDescent="0.25">
      <c r="A1929" t="s">
        <v>246</v>
      </c>
      <c r="B1929" t="s">
        <v>237</v>
      </c>
      <c r="C1929" t="s">
        <v>238</v>
      </c>
      <c r="D1929" t="s">
        <v>260</v>
      </c>
      <c r="E1929" t="s">
        <v>228</v>
      </c>
      <c r="F1929">
        <v>2010</v>
      </c>
      <c r="G1929">
        <v>2.9632676056337998E-4</v>
      </c>
      <c r="H1929" t="s">
        <v>240</v>
      </c>
      <c r="I1929" t="s">
        <v>241</v>
      </c>
      <c r="J1929" t="s">
        <v>3</v>
      </c>
      <c r="K1929" s="183">
        <f ca="1">VLOOKUP(F1929,
    OFFSET(INDIRECT(ADDRESS(MATCH(J1929,'Vehicle numbers'!$A$5:$A$162,0),1,1,1,$L$6)),4,1,COUNTIF('Vehicle numbers'!$A$5:$A$162,J1929),4),
    MATCH(K$8,'Vehicle numbers'!$B$4:$D$4,0))*1000</f>
        <v>1234369</v>
      </c>
      <c r="L1929" s="183">
        <f ca="1">VLOOKUP(F1929,
    OFFSET(INDIRECT(ADDRESS(MATCH(J1929,'Vehicle numbers'!$A$5:$A$162,0),1,1,1,$L$6)),4,1,COUNTIF('Vehicle numbers'!$A$5:$A$162,J1929),4),
    MATCH(L$8,'Vehicle numbers'!$B$4:$D$4,0))*1000</f>
        <v>1257051.9863263676</v>
      </c>
      <c r="M1929" s="184">
        <f>VLOOKUP(F1929,'Annual distance covered (GB)'!$A$8:$H$33,MATCH(J1929,'Annual distance covered (GB)'!$A$7:$H$7,0))</f>
        <v>4.7</v>
      </c>
      <c r="N1929" s="2">
        <f t="shared" ca="1" si="72"/>
        <v>1418.3289372537042</v>
      </c>
      <c r="O1929" s="180">
        <f t="shared" ca="1" si="73"/>
        <v>1.1282977575165012E-3</v>
      </c>
      <c r="P1929" s="180"/>
      <c r="Q1929" s="180"/>
      <c r="R1929" s="180"/>
      <c r="S1929" s="180"/>
      <c r="T1929" s="180"/>
    </row>
    <row r="1930" spans="1:20" x14ac:dyDescent="0.25">
      <c r="A1930" t="s">
        <v>236</v>
      </c>
      <c r="B1930" t="s">
        <v>237</v>
      </c>
      <c r="C1930" t="s">
        <v>238</v>
      </c>
      <c r="D1930" t="s">
        <v>261</v>
      </c>
      <c r="E1930" t="s">
        <v>229</v>
      </c>
      <c r="F1930">
        <v>2010</v>
      </c>
      <c r="G1930">
        <v>5.8399999999999902E-3</v>
      </c>
      <c r="H1930" t="s">
        <v>240</v>
      </c>
      <c r="I1930" t="s">
        <v>241</v>
      </c>
      <c r="J1930" t="s">
        <v>3</v>
      </c>
      <c r="K1930" s="183">
        <f ca="1">VLOOKUP(F1930,
    OFFSET(INDIRECT(ADDRESS(MATCH(J1930,'Vehicle numbers'!$A$5:$A$162,0),1,1,1,$L$6)),4,1,COUNTIF('Vehicle numbers'!$A$5:$A$162,J1930),4),
    MATCH(K$8,'Vehicle numbers'!$B$4:$D$4,0))*1000</f>
        <v>1234369</v>
      </c>
      <c r="L1930" s="183">
        <f ca="1">VLOOKUP(F1930,
    OFFSET(INDIRECT(ADDRESS(MATCH(J1930,'Vehicle numbers'!$A$5:$A$162,0),1,1,1,$L$6)),4,1,COUNTIF('Vehicle numbers'!$A$5:$A$162,J1930),4),
    MATCH(L$8,'Vehicle numbers'!$B$4:$D$4,0))*1000</f>
        <v>1257051.9863263676</v>
      </c>
      <c r="M1930" s="184">
        <f>VLOOKUP(F1930,'Annual distance covered (GB)'!$A$8:$H$33,MATCH(J1930,'Annual distance covered (GB)'!$A$7:$H$7,0))</f>
        <v>4.7</v>
      </c>
      <c r="N1930" s="2">
        <f t="shared" ca="1" si="72"/>
        <v>27952.389375207968</v>
      </c>
      <c r="O1930" s="180">
        <f t="shared" ca="1" si="73"/>
        <v>2.2236462516475996E-2</v>
      </c>
      <c r="P1930" s="180"/>
      <c r="Q1930" s="180"/>
      <c r="R1930" s="180"/>
      <c r="S1930" s="180"/>
      <c r="T1930" s="180"/>
    </row>
    <row r="1931" spans="1:20" x14ac:dyDescent="0.25">
      <c r="A1931" t="s">
        <v>243</v>
      </c>
      <c r="B1931" t="s">
        <v>237</v>
      </c>
      <c r="C1931" t="s">
        <v>238</v>
      </c>
      <c r="D1931" t="s">
        <v>261</v>
      </c>
      <c r="E1931" t="s">
        <v>229</v>
      </c>
      <c r="F1931">
        <v>2010</v>
      </c>
      <c r="G1931">
        <v>2.336E-3</v>
      </c>
      <c r="H1931" t="s">
        <v>240</v>
      </c>
      <c r="I1931" t="s">
        <v>241</v>
      </c>
      <c r="J1931" t="s">
        <v>3</v>
      </c>
      <c r="K1931" s="183">
        <f ca="1">VLOOKUP(F1931,
    OFFSET(INDIRECT(ADDRESS(MATCH(J1931,'Vehicle numbers'!$A$5:$A$162,0),1,1,1,$L$6)),4,1,COUNTIF('Vehicle numbers'!$A$5:$A$162,J1931),4),
    MATCH(K$8,'Vehicle numbers'!$B$4:$D$4,0))*1000</f>
        <v>1234369</v>
      </c>
      <c r="L1931" s="183">
        <f ca="1">VLOOKUP(F1931,
    OFFSET(INDIRECT(ADDRESS(MATCH(J1931,'Vehicle numbers'!$A$5:$A$162,0),1,1,1,$L$6)),4,1,COUNTIF('Vehicle numbers'!$A$5:$A$162,J1931),4),
    MATCH(L$8,'Vehicle numbers'!$B$4:$D$4,0))*1000</f>
        <v>1257051.9863263676</v>
      </c>
      <c r="M1931" s="184">
        <f>VLOOKUP(F1931,'Annual distance covered (GB)'!$A$8:$H$33,MATCH(J1931,'Annual distance covered (GB)'!$A$7:$H$7,0))</f>
        <v>4.7</v>
      </c>
      <c r="N1931" s="2">
        <f t="shared" ref="N1931:N1994" ca="1" si="74">M1931*G1931*1000000*(L1931/K1931)</f>
        <v>11180.955750083203</v>
      </c>
      <c r="O1931" s="180">
        <f t="shared" ref="O1931:O1994" ca="1" si="75">N1931/L1931</f>
        <v>8.8945850065904105E-3</v>
      </c>
      <c r="P1931" s="180"/>
      <c r="Q1931" s="180"/>
      <c r="R1931" s="180"/>
      <c r="S1931" s="180"/>
      <c r="T1931" s="180"/>
    </row>
    <row r="1932" spans="1:20" x14ac:dyDescent="0.25">
      <c r="A1932" t="s">
        <v>244</v>
      </c>
      <c r="B1932" t="s">
        <v>237</v>
      </c>
      <c r="C1932" t="s">
        <v>238</v>
      </c>
      <c r="D1932" t="s">
        <v>261</v>
      </c>
      <c r="E1932" t="s">
        <v>229</v>
      </c>
      <c r="F1932">
        <v>2010</v>
      </c>
      <c r="G1932">
        <v>5.8399999999999999E-4</v>
      </c>
      <c r="H1932" t="s">
        <v>240</v>
      </c>
      <c r="I1932" t="s">
        <v>241</v>
      </c>
      <c r="J1932" t="s">
        <v>3</v>
      </c>
      <c r="K1932" s="183">
        <f ca="1">VLOOKUP(F1932,
    OFFSET(INDIRECT(ADDRESS(MATCH(J1932,'Vehicle numbers'!$A$5:$A$162,0),1,1,1,$L$6)),4,1,COUNTIF('Vehicle numbers'!$A$5:$A$162,J1932),4),
    MATCH(K$8,'Vehicle numbers'!$B$4:$D$4,0))*1000</f>
        <v>1234369</v>
      </c>
      <c r="L1932" s="183">
        <f ca="1">VLOOKUP(F1932,
    OFFSET(INDIRECT(ADDRESS(MATCH(J1932,'Vehicle numbers'!$A$5:$A$162,0),1,1,1,$L$6)),4,1,COUNTIF('Vehicle numbers'!$A$5:$A$162,J1932),4),
    MATCH(L$8,'Vehicle numbers'!$B$4:$D$4,0))*1000</f>
        <v>1257051.9863263676</v>
      </c>
      <c r="M1932" s="184">
        <f>VLOOKUP(F1932,'Annual distance covered (GB)'!$A$8:$H$33,MATCH(J1932,'Annual distance covered (GB)'!$A$7:$H$7,0))</f>
        <v>4.7</v>
      </c>
      <c r="N1932" s="2">
        <f t="shared" ca="1" si="74"/>
        <v>2795.2389375208008</v>
      </c>
      <c r="O1932" s="180">
        <f t="shared" ca="1" si="75"/>
        <v>2.2236462516476026E-3</v>
      </c>
      <c r="P1932" s="180"/>
      <c r="Q1932" s="180"/>
      <c r="R1932" s="180"/>
      <c r="S1932" s="180"/>
      <c r="T1932" s="180"/>
    </row>
    <row r="1933" spans="1:20" x14ac:dyDescent="0.25">
      <c r="A1933" t="s">
        <v>246</v>
      </c>
      <c r="B1933" t="s">
        <v>237</v>
      </c>
      <c r="C1933" t="s">
        <v>238</v>
      </c>
      <c r="D1933" t="s">
        <v>261</v>
      </c>
      <c r="E1933" t="s">
        <v>229</v>
      </c>
      <c r="F1933">
        <v>2010</v>
      </c>
      <c r="G1933">
        <v>4.6720000000000003E-4</v>
      </c>
      <c r="H1933" t="s">
        <v>240</v>
      </c>
      <c r="I1933" t="s">
        <v>241</v>
      </c>
      <c r="J1933" t="s">
        <v>3</v>
      </c>
      <c r="K1933" s="183">
        <f ca="1">VLOOKUP(F1933,
    OFFSET(INDIRECT(ADDRESS(MATCH(J1933,'Vehicle numbers'!$A$5:$A$162,0),1,1,1,$L$6)),4,1,COUNTIF('Vehicle numbers'!$A$5:$A$162,J1933),4),
    MATCH(K$8,'Vehicle numbers'!$B$4:$D$4,0))*1000</f>
        <v>1234369</v>
      </c>
      <c r="L1933" s="183">
        <f ca="1">VLOOKUP(F1933,
    OFFSET(INDIRECT(ADDRESS(MATCH(J1933,'Vehicle numbers'!$A$5:$A$162,0),1,1,1,$L$6)),4,1,COUNTIF('Vehicle numbers'!$A$5:$A$162,J1933),4),
    MATCH(L$8,'Vehicle numbers'!$B$4:$D$4,0))*1000</f>
        <v>1257051.9863263676</v>
      </c>
      <c r="M1933" s="184">
        <f>VLOOKUP(F1933,'Annual distance covered (GB)'!$A$8:$H$33,MATCH(J1933,'Annual distance covered (GB)'!$A$7:$H$7,0))</f>
        <v>4.7</v>
      </c>
      <c r="N1933" s="2">
        <f t="shared" ca="1" si="74"/>
        <v>2236.1911500166411</v>
      </c>
      <c r="O1933" s="180">
        <f t="shared" ca="1" si="75"/>
        <v>1.7789170013180824E-3</v>
      </c>
      <c r="P1933" s="180"/>
      <c r="Q1933" s="180"/>
      <c r="R1933" s="180"/>
      <c r="S1933" s="180"/>
      <c r="T1933" s="180"/>
    </row>
    <row r="1934" spans="1:20" x14ac:dyDescent="0.25">
      <c r="A1934" t="s">
        <v>236</v>
      </c>
      <c r="B1934" t="s">
        <v>237</v>
      </c>
      <c r="C1934" t="s">
        <v>238</v>
      </c>
      <c r="D1934" t="s">
        <v>261</v>
      </c>
      <c r="E1934" t="s">
        <v>228</v>
      </c>
      <c r="F1934">
        <v>2010</v>
      </c>
      <c r="G1934">
        <v>3.7569999999999999E-3</v>
      </c>
      <c r="H1934" t="s">
        <v>240</v>
      </c>
      <c r="I1934" t="s">
        <v>241</v>
      </c>
      <c r="J1934" t="s">
        <v>3</v>
      </c>
      <c r="K1934" s="183">
        <f ca="1">VLOOKUP(F1934,
    OFFSET(INDIRECT(ADDRESS(MATCH(J1934,'Vehicle numbers'!$A$5:$A$162,0),1,1,1,$L$6)),4,1,COUNTIF('Vehicle numbers'!$A$5:$A$162,J1934),4),
    MATCH(K$8,'Vehicle numbers'!$B$4:$D$4,0))*1000</f>
        <v>1234369</v>
      </c>
      <c r="L1934" s="183">
        <f ca="1">VLOOKUP(F1934,
    OFFSET(INDIRECT(ADDRESS(MATCH(J1934,'Vehicle numbers'!$A$5:$A$162,0),1,1,1,$L$6)),4,1,COUNTIF('Vehicle numbers'!$A$5:$A$162,J1934),4),
    MATCH(L$8,'Vehicle numbers'!$B$4:$D$4,0))*1000</f>
        <v>1257051.9863263676</v>
      </c>
      <c r="M1934" s="184">
        <f>VLOOKUP(F1934,'Annual distance covered (GB)'!$A$8:$H$33,MATCH(J1934,'Annual distance covered (GB)'!$A$7:$H$7,0))</f>
        <v>4.7</v>
      </c>
      <c r="N1934" s="2">
        <f t="shared" ca="1" si="74"/>
        <v>17982.384740180911</v>
      </c>
      <c r="O1934" s="180">
        <f t="shared" ca="1" si="75"/>
        <v>1.4305203711369941E-2</v>
      </c>
      <c r="P1934" s="180"/>
      <c r="Q1934" s="180"/>
      <c r="R1934" s="180"/>
      <c r="S1934" s="180"/>
      <c r="T1934" s="180"/>
    </row>
    <row r="1935" spans="1:20" x14ac:dyDescent="0.25">
      <c r="A1935" t="s">
        <v>243</v>
      </c>
      <c r="B1935" t="s">
        <v>237</v>
      </c>
      <c r="C1935" t="s">
        <v>238</v>
      </c>
      <c r="D1935" t="s">
        <v>261</v>
      </c>
      <c r="E1935" t="s">
        <v>228</v>
      </c>
      <c r="F1935">
        <v>2010</v>
      </c>
      <c r="G1935">
        <v>2.6299000000000001E-3</v>
      </c>
      <c r="H1935" t="s">
        <v>240</v>
      </c>
      <c r="I1935" t="s">
        <v>241</v>
      </c>
      <c r="J1935" t="s">
        <v>3</v>
      </c>
      <c r="K1935" s="183">
        <f ca="1">VLOOKUP(F1935,
    OFFSET(INDIRECT(ADDRESS(MATCH(J1935,'Vehicle numbers'!$A$5:$A$162,0),1,1,1,$L$6)),4,1,COUNTIF('Vehicle numbers'!$A$5:$A$162,J1935),4),
    MATCH(K$8,'Vehicle numbers'!$B$4:$D$4,0))*1000</f>
        <v>1234369</v>
      </c>
      <c r="L1935" s="183">
        <f ca="1">VLOOKUP(F1935,
    OFFSET(INDIRECT(ADDRESS(MATCH(J1935,'Vehicle numbers'!$A$5:$A$162,0),1,1,1,$L$6)),4,1,COUNTIF('Vehicle numbers'!$A$5:$A$162,J1935),4),
    MATCH(L$8,'Vehicle numbers'!$B$4:$D$4,0))*1000</f>
        <v>1257051.9863263676</v>
      </c>
      <c r="M1935" s="184">
        <f>VLOOKUP(F1935,'Annual distance covered (GB)'!$A$8:$H$33,MATCH(J1935,'Annual distance covered (GB)'!$A$7:$H$7,0))</f>
        <v>4.7</v>
      </c>
      <c r="N1935" s="2">
        <f t="shared" ca="1" si="74"/>
        <v>12587.669318126636</v>
      </c>
      <c r="O1935" s="180">
        <f t="shared" ca="1" si="75"/>
        <v>1.0013642597958958E-2</v>
      </c>
      <c r="P1935" s="180"/>
      <c r="Q1935" s="180"/>
      <c r="R1935" s="180"/>
      <c r="S1935" s="180"/>
      <c r="T1935" s="180"/>
    </row>
    <row r="1936" spans="1:20" x14ac:dyDescent="0.25">
      <c r="A1936" t="s">
        <v>244</v>
      </c>
      <c r="B1936" t="s">
        <v>237</v>
      </c>
      <c r="C1936" t="s">
        <v>238</v>
      </c>
      <c r="D1936" t="s">
        <v>261</v>
      </c>
      <c r="E1936" t="s">
        <v>228</v>
      </c>
      <c r="F1936">
        <v>2010</v>
      </c>
      <c r="G1936">
        <v>3.7040845070422499E-4</v>
      </c>
      <c r="H1936" t="s">
        <v>240</v>
      </c>
      <c r="I1936" t="s">
        <v>241</v>
      </c>
      <c r="J1936" t="s">
        <v>3</v>
      </c>
      <c r="K1936" s="183">
        <f ca="1">VLOOKUP(F1936,
    OFFSET(INDIRECT(ADDRESS(MATCH(J1936,'Vehicle numbers'!$A$5:$A$162,0),1,1,1,$L$6)),4,1,COUNTIF('Vehicle numbers'!$A$5:$A$162,J1936),4),
    MATCH(K$8,'Vehicle numbers'!$B$4:$D$4,0))*1000</f>
        <v>1234369</v>
      </c>
      <c r="L1936" s="183">
        <f ca="1">VLOOKUP(F1936,
    OFFSET(INDIRECT(ADDRESS(MATCH(J1936,'Vehicle numbers'!$A$5:$A$162,0),1,1,1,$L$6)),4,1,COUNTIF('Vehicle numbers'!$A$5:$A$162,J1936),4),
    MATCH(L$8,'Vehicle numbers'!$B$4:$D$4,0))*1000</f>
        <v>1257051.9863263676</v>
      </c>
      <c r="M1936" s="184">
        <f>VLOOKUP(F1936,'Annual distance covered (GB)'!$A$8:$H$33,MATCH(J1936,'Annual distance covered (GB)'!$A$7:$H$7,0))</f>
        <v>4.7</v>
      </c>
      <c r="N1936" s="2">
        <f t="shared" ca="1" si="74"/>
        <v>1772.9111715671302</v>
      </c>
      <c r="O1936" s="180">
        <f t="shared" ca="1" si="75"/>
        <v>1.4103721968956266E-3</v>
      </c>
      <c r="P1936" s="180"/>
      <c r="Q1936" s="180"/>
      <c r="R1936" s="180"/>
      <c r="S1936" s="180"/>
      <c r="T1936" s="180"/>
    </row>
    <row r="1937" spans="1:20" x14ac:dyDescent="0.25">
      <c r="A1937" t="s">
        <v>246</v>
      </c>
      <c r="B1937" t="s">
        <v>237</v>
      </c>
      <c r="C1937" t="s">
        <v>238</v>
      </c>
      <c r="D1937" t="s">
        <v>261</v>
      </c>
      <c r="E1937" t="s">
        <v>228</v>
      </c>
      <c r="F1937">
        <v>2010</v>
      </c>
      <c r="G1937">
        <v>2.9632676056337998E-4</v>
      </c>
      <c r="H1937" t="s">
        <v>240</v>
      </c>
      <c r="I1937" t="s">
        <v>241</v>
      </c>
      <c r="J1937" t="s">
        <v>3</v>
      </c>
      <c r="K1937" s="183">
        <f ca="1">VLOOKUP(F1937,
    OFFSET(INDIRECT(ADDRESS(MATCH(J1937,'Vehicle numbers'!$A$5:$A$162,0),1,1,1,$L$6)),4,1,COUNTIF('Vehicle numbers'!$A$5:$A$162,J1937),4),
    MATCH(K$8,'Vehicle numbers'!$B$4:$D$4,0))*1000</f>
        <v>1234369</v>
      </c>
      <c r="L1937" s="183">
        <f ca="1">VLOOKUP(F1937,
    OFFSET(INDIRECT(ADDRESS(MATCH(J1937,'Vehicle numbers'!$A$5:$A$162,0),1,1,1,$L$6)),4,1,COUNTIF('Vehicle numbers'!$A$5:$A$162,J1937),4),
    MATCH(L$8,'Vehicle numbers'!$B$4:$D$4,0))*1000</f>
        <v>1257051.9863263676</v>
      </c>
      <c r="M1937" s="184">
        <f>VLOOKUP(F1937,'Annual distance covered (GB)'!$A$8:$H$33,MATCH(J1937,'Annual distance covered (GB)'!$A$7:$H$7,0))</f>
        <v>4.7</v>
      </c>
      <c r="N1937" s="2">
        <f t="shared" ca="1" si="74"/>
        <v>1418.3289372537042</v>
      </c>
      <c r="O1937" s="180">
        <f t="shared" ca="1" si="75"/>
        <v>1.1282977575165012E-3</v>
      </c>
      <c r="P1937" s="180"/>
      <c r="Q1937" s="180"/>
      <c r="R1937" s="180"/>
      <c r="S1937" s="180"/>
      <c r="T1937" s="180"/>
    </row>
    <row r="1938" spans="1:20" x14ac:dyDescent="0.25">
      <c r="A1938" t="s">
        <v>236</v>
      </c>
      <c r="B1938" t="s">
        <v>237</v>
      </c>
      <c r="C1938" t="s">
        <v>238</v>
      </c>
      <c r="D1938" t="s">
        <v>262</v>
      </c>
      <c r="E1938" t="s">
        <v>229</v>
      </c>
      <c r="F1938">
        <v>2010</v>
      </c>
      <c r="G1938">
        <v>6.8000000000000102E-4</v>
      </c>
      <c r="H1938" t="s">
        <v>240</v>
      </c>
      <c r="I1938" t="s">
        <v>241</v>
      </c>
      <c r="J1938" t="s">
        <v>3</v>
      </c>
      <c r="K1938" s="183">
        <f ca="1">VLOOKUP(F1938,
    OFFSET(INDIRECT(ADDRESS(MATCH(J1938,'Vehicle numbers'!$A$5:$A$162,0),1,1,1,$L$6)),4,1,COUNTIF('Vehicle numbers'!$A$5:$A$162,J1938),4),
    MATCH(K$8,'Vehicle numbers'!$B$4:$D$4,0))*1000</f>
        <v>1234369</v>
      </c>
      <c r="L1938" s="183">
        <f ca="1">VLOOKUP(F1938,
    OFFSET(INDIRECT(ADDRESS(MATCH(J1938,'Vehicle numbers'!$A$5:$A$162,0),1,1,1,$L$6)),4,1,COUNTIF('Vehicle numbers'!$A$5:$A$162,J1938),4),
    MATCH(L$8,'Vehicle numbers'!$B$4:$D$4,0))*1000</f>
        <v>1257051.9863263676</v>
      </c>
      <c r="M1938" s="184">
        <f>VLOOKUP(F1938,'Annual distance covered (GB)'!$A$8:$H$33,MATCH(J1938,'Annual distance covered (GB)'!$A$7:$H$7,0))</f>
        <v>4.7</v>
      </c>
      <c r="N1938" s="2">
        <f t="shared" ca="1" si="74"/>
        <v>3254.7302697160067</v>
      </c>
      <c r="O1938" s="180">
        <f t="shared" ca="1" si="75"/>
        <v>2.589177142329405E-3</v>
      </c>
      <c r="P1938" s="180"/>
      <c r="Q1938" s="180"/>
      <c r="R1938" s="180"/>
      <c r="S1938" s="180"/>
      <c r="T1938" s="180"/>
    </row>
    <row r="1939" spans="1:20" x14ac:dyDescent="0.25">
      <c r="A1939" t="s">
        <v>243</v>
      </c>
      <c r="B1939" t="s">
        <v>237</v>
      </c>
      <c r="C1939" t="s">
        <v>238</v>
      </c>
      <c r="D1939" t="s">
        <v>262</v>
      </c>
      <c r="E1939" t="s">
        <v>229</v>
      </c>
      <c r="F1939">
        <v>2010</v>
      </c>
      <c r="G1939">
        <v>2.72E-4</v>
      </c>
      <c r="H1939" t="s">
        <v>240</v>
      </c>
      <c r="I1939" t="s">
        <v>241</v>
      </c>
      <c r="J1939" t="s">
        <v>3</v>
      </c>
      <c r="K1939" s="183">
        <f ca="1">VLOOKUP(F1939,
    OFFSET(INDIRECT(ADDRESS(MATCH(J1939,'Vehicle numbers'!$A$5:$A$162,0),1,1,1,$L$6)),4,1,COUNTIF('Vehicle numbers'!$A$5:$A$162,J1939),4),
    MATCH(K$8,'Vehicle numbers'!$B$4:$D$4,0))*1000</f>
        <v>1234369</v>
      </c>
      <c r="L1939" s="183">
        <f ca="1">VLOOKUP(F1939,
    OFFSET(INDIRECT(ADDRESS(MATCH(J1939,'Vehicle numbers'!$A$5:$A$162,0),1,1,1,$L$6)),4,1,COUNTIF('Vehicle numbers'!$A$5:$A$162,J1939),4),
    MATCH(L$8,'Vehicle numbers'!$B$4:$D$4,0))*1000</f>
        <v>1257051.9863263676</v>
      </c>
      <c r="M1939" s="184">
        <f>VLOOKUP(F1939,'Annual distance covered (GB)'!$A$8:$H$33,MATCH(J1939,'Annual distance covered (GB)'!$A$7:$H$7,0))</f>
        <v>4.7</v>
      </c>
      <c r="N1939" s="2">
        <f t="shared" ca="1" si="74"/>
        <v>1301.8921078864007</v>
      </c>
      <c r="O1939" s="180">
        <f t="shared" ca="1" si="75"/>
        <v>1.0356708569317604E-3</v>
      </c>
      <c r="P1939" s="180"/>
      <c r="Q1939" s="180"/>
      <c r="R1939" s="180"/>
      <c r="S1939" s="180"/>
      <c r="T1939" s="180"/>
    </row>
    <row r="1940" spans="1:20" x14ac:dyDescent="0.25">
      <c r="A1940" t="s">
        <v>244</v>
      </c>
      <c r="B1940" t="s">
        <v>237</v>
      </c>
      <c r="C1940" t="s">
        <v>238</v>
      </c>
      <c r="D1940" t="s">
        <v>262</v>
      </c>
      <c r="E1940" t="s">
        <v>229</v>
      </c>
      <c r="F1940">
        <v>2010</v>
      </c>
      <c r="G1940" s="189">
        <v>6.7999999999999999E-5</v>
      </c>
      <c r="H1940" t="s">
        <v>240</v>
      </c>
      <c r="I1940" t="s">
        <v>241</v>
      </c>
      <c r="J1940" t="s">
        <v>3</v>
      </c>
      <c r="K1940" s="183">
        <f ca="1">VLOOKUP(F1940,
    OFFSET(INDIRECT(ADDRESS(MATCH(J1940,'Vehicle numbers'!$A$5:$A$162,0),1,1,1,$L$6)),4,1,COUNTIF('Vehicle numbers'!$A$5:$A$162,J1940),4),
    MATCH(K$8,'Vehicle numbers'!$B$4:$D$4,0))*1000</f>
        <v>1234369</v>
      </c>
      <c r="L1940" s="183">
        <f ca="1">VLOOKUP(F1940,
    OFFSET(INDIRECT(ADDRESS(MATCH(J1940,'Vehicle numbers'!$A$5:$A$162,0),1,1,1,$L$6)),4,1,COUNTIF('Vehicle numbers'!$A$5:$A$162,J1940),4),
    MATCH(L$8,'Vehicle numbers'!$B$4:$D$4,0))*1000</f>
        <v>1257051.9863263676</v>
      </c>
      <c r="M1940" s="184">
        <f>VLOOKUP(F1940,'Annual distance covered (GB)'!$A$8:$H$33,MATCH(J1940,'Annual distance covered (GB)'!$A$7:$H$7,0))</f>
        <v>4.7</v>
      </c>
      <c r="N1940" s="2">
        <f t="shared" ca="1" si="74"/>
        <v>325.47302697160018</v>
      </c>
      <c r="O1940" s="180">
        <f t="shared" ca="1" si="75"/>
        <v>2.589177142329401E-4</v>
      </c>
      <c r="P1940" s="180"/>
      <c r="Q1940" s="180"/>
      <c r="R1940" s="180"/>
      <c r="S1940" s="180"/>
      <c r="T1940" s="180"/>
    </row>
    <row r="1941" spans="1:20" x14ac:dyDescent="0.25">
      <c r="A1941" t="s">
        <v>246</v>
      </c>
      <c r="B1941" t="s">
        <v>237</v>
      </c>
      <c r="C1941" t="s">
        <v>238</v>
      </c>
      <c r="D1941" t="s">
        <v>262</v>
      </c>
      <c r="E1941" t="s">
        <v>229</v>
      </c>
      <c r="F1941">
        <v>2010</v>
      </c>
      <c r="G1941" s="189">
        <v>5.4400000000000001E-5</v>
      </c>
      <c r="H1941" t="s">
        <v>240</v>
      </c>
      <c r="I1941" t="s">
        <v>241</v>
      </c>
      <c r="J1941" t="s">
        <v>3</v>
      </c>
      <c r="K1941" s="183">
        <f ca="1">VLOOKUP(F1941,
    OFFSET(INDIRECT(ADDRESS(MATCH(J1941,'Vehicle numbers'!$A$5:$A$162,0),1,1,1,$L$6)),4,1,COUNTIF('Vehicle numbers'!$A$5:$A$162,J1941),4),
    MATCH(K$8,'Vehicle numbers'!$B$4:$D$4,0))*1000</f>
        <v>1234369</v>
      </c>
      <c r="L1941" s="183">
        <f ca="1">VLOOKUP(F1941,
    OFFSET(INDIRECT(ADDRESS(MATCH(J1941,'Vehicle numbers'!$A$5:$A$162,0),1,1,1,$L$6)),4,1,COUNTIF('Vehicle numbers'!$A$5:$A$162,J1941),4),
    MATCH(L$8,'Vehicle numbers'!$B$4:$D$4,0))*1000</f>
        <v>1257051.9863263676</v>
      </c>
      <c r="M1941" s="184">
        <f>VLOOKUP(F1941,'Annual distance covered (GB)'!$A$8:$H$33,MATCH(J1941,'Annual distance covered (GB)'!$A$7:$H$7,0))</f>
        <v>4.7</v>
      </c>
      <c r="N1941" s="2">
        <f t="shared" ca="1" si="74"/>
        <v>260.37842157728011</v>
      </c>
      <c r="O1941" s="180">
        <f t="shared" ca="1" si="75"/>
        <v>2.0713417138635206E-4</v>
      </c>
      <c r="P1941" s="180"/>
      <c r="Q1941" s="180"/>
      <c r="R1941" s="180"/>
      <c r="S1941" s="180"/>
      <c r="T1941" s="180"/>
    </row>
    <row r="1942" spans="1:20" x14ac:dyDescent="0.25">
      <c r="A1942" t="s">
        <v>236</v>
      </c>
      <c r="B1942" t="s">
        <v>237</v>
      </c>
      <c r="C1942" t="s">
        <v>238</v>
      </c>
      <c r="D1942" t="s">
        <v>262</v>
      </c>
      <c r="E1942" t="s">
        <v>228</v>
      </c>
      <c r="F1942">
        <v>2010</v>
      </c>
      <c r="G1942">
        <v>2.49E-3</v>
      </c>
      <c r="H1942" t="s">
        <v>240</v>
      </c>
      <c r="I1942" t="s">
        <v>241</v>
      </c>
      <c r="J1942" t="s">
        <v>3</v>
      </c>
      <c r="K1942" s="183">
        <f ca="1">VLOOKUP(F1942,
    OFFSET(INDIRECT(ADDRESS(MATCH(J1942,'Vehicle numbers'!$A$5:$A$162,0),1,1,1,$L$6)),4,1,COUNTIF('Vehicle numbers'!$A$5:$A$162,J1942),4),
    MATCH(K$8,'Vehicle numbers'!$B$4:$D$4,0))*1000</f>
        <v>1234369</v>
      </c>
      <c r="L1942" s="183">
        <f ca="1">VLOOKUP(F1942,
    OFFSET(INDIRECT(ADDRESS(MATCH(J1942,'Vehicle numbers'!$A$5:$A$162,0),1,1,1,$L$6)),4,1,COUNTIF('Vehicle numbers'!$A$5:$A$162,J1942),4),
    MATCH(L$8,'Vehicle numbers'!$B$4:$D$4,0))*1000</f>
        <v>1257051.9863263676</v>
      </c>
      <c r="M1942" s="184">
        <f>VLOOKUP(F1942,'Annual distance covered (GB)'!$A$8:$H$33,MATCH(J1942,'Annual distance covered (GB)'!$A$7:$H$7,0))</f>
        <v>4.7</v>
      </c>
      <c r="N1942" s="2">
        <f t="shared" ca="1" si="74"/>
        <v>11918.056428813004</v>
      </c>
      <c r="O1942" s="180">
        <f t="shared" ca="1" si="75"/>
        <v>9.4809574770591282E-3</v>
      </c>
      <c r="P1942" s="180"/>
      <c r="Q1942" s="180"/>
      <c r="R1942" s="180"/>
      <c r="S1942" s="180"/>
      <c r="T1942" s="180"/>
    </row>
    <row r="1943" spans="1:20" x14ac:dyDescent="0.25">
      <c r="A1943" t="s">
        <v>243</v>
      </c>
      <c r="B1943" t="s">
        <v>237</v>
      </c>
      <c r="C1943" t="s">
        <v>238</v>
      </c>
      <c r="D1943" t="s">
        <v>262</v>
      </c>
      <c r="E1943" t="s">
        <v>228</v>
      </c>
      <c r="F1943">
        <v>2010</v>
      </c>
      <c r="G1943">
        <v>1.743E-3</v>
      </c>
      <c r="H1943" t="s">
        <v>240</v>
      </c>
      <c r="I1943" t="s">
        <v>241</v>
      </c>
      <c r="J1943" t="s">
        <v>3</v>
      </c>
      <c r="K1943" s="183">
        <f ca="1">VLOOKUP(F1943,
    OFFSET(INDIRECT(ADDRESS(MATCH(J1943,'Vehicle numbers'!$A$5:$A$162,0),1,1,1,$L$6)),4,1,COUNTIF('Vehicle numbers'!$A$5:$A$162,J1943),4),
    MATCH(K$8,'Vehicle numbers'!$B$4:$D$4,0))*1000</f>
        <v>1234369</v>
      </c>
      <c r="L1943" s="183">
        <f ca="1">VLOOKUP(F1943,
    OFFSET(INDIRECT(ADDRESS(MATCH(J1943,'Vehicle numbers'!$A$5:$A$162,0),1,1,1,$L$6)),4,1,COUNTIF('Vehicle numbers'!$A$5:$A$162,J1943),4),
    MATCH(L$8,'Vehicle numbers'!$B$4:$D$4,0))*1000</f>
        <v>1257051.9863263676</v>
      </c>
      <c r="M1943" s="184">
        <f>VLOOKUP(F1943,'Annual distance covered (GB)'!$A$8:$H$33,MATCH(J1943,'Annual distance covered (GB)'!$A$7:$H$7,0))</f>
        <v>4.7</v>
      </c>
      <c r="N1943" s="2">
        <f t="shared" ca="1" si="74"/>
        <v>8342.6395001691035</v>
      </c>
      <c r="O1943" s="180">
        <f t="shared" ca="1" si="75"/>
        <v>6.6366702339413905E-3</v>
      </c>
      <c r="P1943" s="180"/>
      <c r="Q1943" s="180"/>
      <c r="R1943" s="180"/>
      <c r="S1943" s="180"/>
      <c r="T1943" s="180"/>
    </row>
    <row r="1944" spans="1:20" x14ac:dyDescent="0.25">
      <c r="A1944" t="s">
        <v>244</v>
      </c>
      <c r="B1944" t="s">
        <v>237</v>
      </c>
      <c r="C1944" t="s">
        <v>238</v>
      </c>
      <c r="D1944" t="s">
        <v>262</v>
      </c>
      <c r="E1944" t="s">
        <v>228</v>
      </c>
      <c r="F1944">
        <v>2010</v>
      </c>
      <c r="G1944">
        <v>2.4549295774647798E-4</v>
      </c>
      <c r="H1944" t="s">
        <v>240</v>
      </c>
      <c r="I1944" t="s">
        <v>241</v>
      </c>
      <c r="J1944" t="s">
        <v>3</v>
      </c>
      <c r="K1944" s="183">
        <f ca="1">VLOOKUP(F1944,
    OFFSET(INDIRECT(ADDRESS(MATCH(J1944,'Vehicle numbers'!$A$5:$A$162,0),1,1,1,$L$6)),4,1,COUNTIF('Vehicle numbers'!$A$5:$A$162,J1944),4),
    MATCH(K$8,'Vehicle numbers'!$B$4:$D$4,0))*1000</f>
        <v>1234369</v>
      </c>
      <c r="L1944" s="183">
        <f ca="1">VLOOKUP(F1944,
    OFFSET(INDIRECT(ADDRESS(MATCH(J1944,'Vehicle numbers'!$A$5:$A$162,0),1,1,1,$L$6)),4,1,COUNTIF('Vehicle numbers'!$A$5:$A$162,J1944),4),
    MATCH(L$8,'Vehicle numbers'!$B$4:$D$4,0))*1000</f>
        <v>1257051.9863263676</v>
      </c>
      <c r="M1944" s="184">
        <f>VLOOKUP(F1944,'Annual distance covered (GB)'!$A$8:$H$33,MATCH(J1944,'Annual distance covered (GB)'!$A$7:$H$7,0))</f>
        <v>4.7</v>
      </c>
      <c r="N1944" s="2">
        <f t="shared" ca="1" si="74"/>
        <v>1175.0196479111371</v>
      </c>
      <c r="O1944" s="180">
        <f t="shared" ca="1" si="75"/>
        <v>9.3474228647061504E-4</v>
      </c>
      <c r="P1944" s="180"/>
      <c r="Q1944" s="180"/>
      <c r="R1944" s="180"/>
      <c r="S1944" s="180"/>
      <c r="T1944" s="180"/>
    </row>
    <row r="1945" spans="1:20" x14ac:dyDescent="0.25">
      <c r="A1945" t="s">
        <v>246</v>
      </c>
      <c r="B1945" t="s">
        <v>237</v>
      </c>
      <c r="C1945" t="s">
        <v>238</v>
      </c>
      <c r="D1945" t="s">
        <v>262</v>
      </c>
      <c r="E1945" t="s">
        <v>228</v>
      </c>
      <c r="F1945">
        <v>2010</v>
      </c>
      <c r="G1945">
        <v>1.96394366197183E-4</v>
      </c>
      <c r="H1945" t="s">
        <v>240</v>
      </c>
      <c r="I1945" t="s">
        <v>241</v>
      </c>
      <c r="J1945" t="s">
        <v>3</v>
      </c>
      <c r="K1945" s="183">
        <f ca="1">VLOOKUP(F1945,
    OFFSET(INDIRECT(ADDRESS(MATCH(J1945,'Vehicle numbers'!$A$5:$A$162,0),1,1,1,$L$6)),4,1,COUNTIF('Vehicle numbers'!$A$5:$A$162,J1945),4),
    MATCH(K$8,'Vehicle numbers'!$B$4:$D$4,0))*1000</f>
        <v>1234369</v>
      </c>
      <c r="L1945" s="183">
        <f ca="1">VLOOKUP(F1945,
    OFFSET(INDIRECT(ADDRESS(MATCH(J1945,'Vehicle numbers'!$A$5:$A$162,0),1,1,1,$L$6)),4,1,COUNTIF('Vehicle numbers'!$A$5:$A$162,J1945),4),
    MATCH(L$8,'Vehicle numbers'!$B$4:$D$4,0))*1000</f>
        <v>1257051.9863263676</v>
      </c>
      <c r="M1945" s="184">
        <f>VLOOKUP(F1945,'Annual distance covered (GB)'!$A$8:$H$33,MATCH(J1945,'Annual distance covered (GB)'!$A$7:$H$7,0))</f>
        <v>4.7</v>
      </c>
      <c r="N1945" s="2">
        <f t="shared" ca="1" si="74"/>
        <v>940.01571832891261</v>
      </c>
      <c r="O1945" s="180">
        <f t="shared" ca="1" si="75"/>
        <v>7.4779382917649435E-4</v>
      </c>
      <c r="P1945" s="180"/>
      <c r="Q1945" s="180"/>
      <c r="R1945" s="180"/>
      <c r="S1945" s="180"/>
      <c r="T1945" s="180"/>
    </row>
    <row r="1946" spans="1:20" x14ac:dyDescent="0.25">
      <c r="A1946" t="s">
        <v>236</v>
      </c>
      <c r="B1946" t="s">
        <v>237</v>
      </c>
      <c r="C1946" t="s">
        <v>238</v>
      </c>
      <c r="D1946" t="s">
        <v>263</v>
      </c>
      <c r="E1946" t="s">
        <v>229</v>
      </c>
      <c r="F1946">
        <v>2010</v>
      </c>
      <c r="G1946">
        <v>2.764E-3</v>
      </c>
      <c r="H1946" t="s">
        <v>240</v>
      </c>
      <c r="I1946" t="s">
        <v>241</v>
      </c>
      <c r="J1946" t="s">
        <v>3</v>
      </c>
      <c r="K1946" s="183">
        <f ca="1">VLOOKUP(F1946,
    OFFSET(INDIRECT(ADDRESS(MATCH(J1946,'Vehicle numbers'!$A$5:$A$162,0),1,1,1,$L$6)),4,1,COUNTIF('Vehicle numbers'!$A$5:$A$162,J1946),4),
    MATCH(K$8,'Vehicle numbers'!$B$4:$D$4,0))*1000</f>
        <v>1234369</v>
      </c>
      <c r="L1946" s="183">
        <f ca="1">VLOOKUP(F1946,
    OFFSET(INDIRECT(ADDRESS(MATCH(J1946,'Vehicle numbers'!$A$5:$A$162,0),1,1,1,$L$6)),4,1,COUNTIF('Vehicle numbers'!$A$5:$A$162,J1946),4),
    MATCH(L$8,'Vehicle numbers'!$B$4:$D$4,0))*1000</f>
        <v>1257051.9863263676</v>
      </c>
      <c r="M1946" s="184">
        <f>VLOOKUP(F1946,'Annual distance covered (GB)'!$A$8:$H$33,MATCH(J1946,'Annual distance covered (GB)'!$A$7:$H$7,0))</f>
        <v>4.7</v>
      </c>
      <c r="N1946" s="2">
        <f t="shared" ca="1" si="74"/>
        <v>13229.521272786807</v>
      </c>
      <c r="O1946" s="180">
        <f t="shared" ca="1" si="75"/>
        <v>1.0524243560880095E-2</v>
      </c>
      <c r="P1946" s="180"/>
      <c r="Q1946" s="180"/>
      <c r="R1946" s="180"/>
      <c r="S1946" s="180"/>
      <c r="T1946" s="180"/>
    </row>
    <row r="1947" spans="1:20" x14ac:dyDescent="0.25">
      <c r="A1947" t="s">
        <v>243</v>
      </c>
      <c r="B1947" t="s">
        <v>237</v>
      </c>
      <c r="C1947" t="s">
        <v>238</v>
      </c>
      <c r="D1947" t="s">
        <v>263</v>
      </c>
      <c r="E1947" t="s">
        <v>229</v>
      </c>
      <c r="F1947">
        <v>2010</v>
      </c>
      <c r="G1947">
        <v>1.1056E-3</v>
      </c>
      <c r="H1947" t="s">
        <v>240</v>
      </c>
      <c r="I1947" t="s">
        <v>241</v>
      </c>
      <c r="J1947" t="s">
        <v>3</v>
      </c>
      <c r="K1947" s="183">
        <f ca="1">VLOOKUP(F1947,
    OFFSET(INDIRECT(ADDRESS(MATCH(J1947,'Vehicle numbers'!$A$5:$A$162,0),1,1,1,$L$6)),4,1,COUNTIF('Vehicle numbers'!$A$5:$A$162,J1947),4),
    MATCH(K$8,'Vehicle numbers'!$B$4:$D$4,0))*1000</f>
        <v>1234369</v>
      </c>
      <c r="L1947" s="183">
        <f ca="1">VLOOKUP(F1947,
    OFFSET(INDIRECT(ADDRESS(MATCH(J1947,'Vehicle numbers'!$A$5:$A$162,0),1,1,1,$L$6)),4,1,COUNTIF('Vehicle numbers'!$A$5:$A$162,J1947),4),
    MATCH(L$8,'Vehicle numbers'!$B$4:$D$4,0))*1000</f>
        <v>1257051.9863263676</v>
      </c>
      <c r="M1947" s="184">
        <f>VLOOKUP(F1947,'Annual distance covered (GB)'!$A$8:$H$33,MATCH(J1947,'Annual distance covered (GB)'!$A$7:$H$7,0))</f>
        <v>4.7</v>
      </c>
      <c r="N1947" s="2">
        <f t="shared" ca="1" si="74"/>
        <v>5291.8085091147223</v>
      </c>
      <c r="O1947" s="180">
        <f t="shared" ca="1" si="75"/>
        <v>4.2096974243520371E-3</v>
      </c>
      <c r="P1947" s="180"/>
      <c r="Q1947" s="180"/>
      <c r="R1947" s="180"/>
      <c r="S1947" s="180"/>
      <c r="T1947" s="180"/>
    </row>
    <row r="1948" spans="1:20" x14ac:dyDescent="0.25">
      <c r="A1948" t="s">
        <v>244</v>
      </c>
      <c r="B1948" t="s">
        <v>237</v>
      </c>
      <c r="C1948" t="s">
        <v>238</v>
      </c>
      <c r="D1948" t="s">
        <v>263</v>
      </c>
      <c r="E1948" t="s">
        <v>229</v>
      </c>
      <c r="F1948">
        <v>2010</v>
      </c>
      <c r="G1948">
        <v>2.764E-4</v>
      </c>
      <c r="H1948" t="s">
        <v>240</v>
      </c>
      <c r="I1948" t="s">
        <v>241</v>
      </c>
      <c r="J1948" t="s">
        <v>3</v>
      </c>
      <c r="K1948" s="183">
        <f ca="1">VLOOKUP(F1948,
    OFFSET(INDIRECT(ADDRESS(MATCH(J1948,'Vehicle numbers'!$A$5:$A$162,0),1,1,1,$L$6)),4,1,COUNTIF('Vehicle numbers'!$A$5:$A$162,J1948),4),
    MATCH(K$8,'Vehicle numbers'!$B$4:$D$4,0))*1000</f>
        <v>1234369</v>
      </c>
      <c r="L1948" s="183">
        <f ca="1">VLOOKUP(F1948,
    OFFSET(INDIRECT(ADDRESS(MATCH(J1948,'Vehicle numbers'!$A$5:$A$162,0),1,1,1,$L$6)),4,1,COUNTIF('Vehicle numbers'!$A$5:$A$162,J1948),4),
    MATCH(L$8,'Vehicle numbers'!$B$4:$D$4,0))*1000</f>
        <v>1257051.9863263676</v>
      </c>
      <c r="M1948" s="184">
        <f>VLOOKUP(F1948,'Annual distance covered (GB)'!$A$8:$H$33,MATCH(J1948,'Annual distance covered (GB)'!$A$7:$H$7,0))</f>
        <v>4.7</v>
      </c>
      <c r="N1948" s="2">
        <f t="shared" ca="1" si="74"/>
        <v>1322.9521272786806</v>
      </c>
      <c r="O1948" s="180">
        <f t="shared" ca="1" si="75"/>
        <v>1.0524243560880093E-3</v>
      </c>
      <c r="P1948" s="180"/>
      <c r="Q1948" s="180"/>
      <c r="R1948" s="180"/>
      <c r="S1948" s="180"/>
      <c r="T1948" s="180"/>
    </row>
    <row r="1949" spans="1:20" x14ac:dyDescent="0.25">
      <c r="A1949" t="s">
        <v>246</v>
      </c>
      <c r="B1949" t="s">
        <v>237</v>
      </c>
      <c r="C1949" t="s">
        <v>238</v>
      </c>
      <c r="D1949" t="s">
        <v>263</v>
      </c>
      <c r="E1949" t="s">
        <v>229</v>
      </c>
      <c r="F1949">
        <v>2010</v>
      </c>
      <c r="G1949">
        <v>2.2112E-4</v>
      </c>
      <c r="H1949" t="s">
        <v>240</v>
      </c>
      <c r="I1949" t="s">
        <v>241</v>
      </c>
      <c r="J1949" t="s">
        <v>3</v>
      </c>
      <c r="K1949" s="183">
        <f ca="1">VLOOKUP(F1949,
    OFFSET(INDIRECT(ADDRESS(MATCH(J1949,'Vehicle numbers'!$A$5:$A$162,0),1,1,1,$L$6)),4,1,COUNTIF('Vehicle numbers'!$A$5:$A$162,J1949),4),
    MATCH(K$8,'Vehicle numbers'!$B$4:$D$4,0))*1000</f>
        <v>1234369</v>
      </c>
      <c r="L1949" s="183">
        <f ca="1">VLOOKUP(F1949,
    OFFSET(INDIRECT(ADDRESS(MATCH(J1949,'Vehicle numbers'!$A$5:$A$162,0),1,1,1,$L$6)),4,1,COUNTIF('Vehicle numbers'!$A$5:$A$162,J1949),4),
    MATCH(L$8,'Vehicle numbers'!$B$4:$D$4,0))*1000</f>
        <v>1257051.9863263676</v>
      </c>
      <c r="M1949" s="184">
        <f>VLOOKUP(F1949,'Annual distance covered (GB)'!$A$8:$H$33,MATCH(J1949,'Annual distance covered (GB)'!$A$7:$H$7,0))</f>
        <v>4.7</v>
      </c>
      <c r="N1949" s="2">
        <f t="shared" ca="1" si="74"/>
        <v>1058.3617018229445</v>
      </c>
      <c r="O1949" s="180">
        <f t="shared" ca="1" si="75"/>
        <v>8.4193948487040749E-4</v>
      </c>
      <c r="P1949" s="180"/>
      <c r="Q1949" s="180"/>
      <c r="R1949" s="180"/>
      <c r="S1949" s="180"/>
      <c r="T1949" s="180"/>
    </row>
    <row r="1950" spans="1:20" x14ac:dyDescent="0.25">
      <c r="A1950" t="s">
        <v>236</v>
      </c>
      <c r="B1950" t="s">
        <v>237</v>
      </c>
      <c r="C1950" t="s">
        <v>238</v>
      </c>
      <c r="D1950" t="s">
        <v>263</v>
      </c>
      <c r="E1950" t="s">
        <v>228</v>
      </c>
      <c r="F1950">
        <v>2010</v>
      </c>
      <c r="G1950">
        <v>2.9239999999999999E-3</v>
      </c>
      <c r="H1950" t="s">
        <v>240</v>
      </c>
      <c r="I1950" t="s">
        <v>241</v>
      </c>
      <c r="J1950" t="s">
        <v>3</v>
      </c>
      <c r="K1950" s="183">
        <f ca="1">VLOOKUP(F1950,
    OFFSET(INDIRECT(ADDRESS(MATCH(J1950,'Vehicle numbers'!$A$5:$A$162,0),1,1,1,$L$6)),4,1,COUNTIF('Vehicle numbers'!$A$5:$A$162,J1950),4),
    MATCH(K$8,'Vehicle numbers'!$B$4:$D$4,0))*1000</f>
        <v>1234369</v>
      </c>
      <c r="L1950" s="183">
        <f ca="1">VLOOKUP(F1950,
    OFFSET(INDIRECT(ADDRESS(MATCH(J1950,'Vehicle numbers'!$A$5:$A$162,0),1,1,1,$L$6)),4,1,COUNTIF('Vehicle numbers'!$A$5:$A$162,J1950),4),
    MATCH(L$8,'Vehicle numbers'!$B$4:$D$4,0))*1000</f>
        <v>1257051.9863263676</v>
      </c>
      <c r="M1950" s="184">
        <f>VLOOKUP(F1950,'Annual distance covered (GB)'!$A$8:$H$33,MATCH(J1950,'Annual distance covered (GB)'!$A$7:$H$7,0))</f>
        <v>4.7</v>
      </c>
      <c r="N1950" s="2">
        <f t="shared" ca="1" si="74"/>
        <v>13995.340159778805</v>
      </c>
      <c r="O1950" s="180">
        <f t="shared" ca="1" si="75"/>
        <v>1.1133461712016422E-2</v>
      </c>
      <c r="P1950" s="180"/>
      <c r="Q1950" s="180"/>
      <c r="R1950" s="180"/>
      <c r="S1950" s="180"/>
      <c r="T1950" s="180"/>
    </row>
    <row r="1951" spans="1:20" x14ac:dyDescent="0.25">
      <c r="A1951" t="s">
        <v>243</v>
      </c>
      <c r="B1951" t="s">
        <v>237</v>
      </c>
      <c r="C1951" t="s">
        <v>238</v>
      </c>
      <c r="D1951" t="s">
        <v>263</v>
      </c>
      <c r="E1951" t="s">
        <v>228</v>
      </c>
      <c r="F1951">
        <v>2010</v>
      </c>
      <c r="G1951">
        <v>2.0468000000000001E-3</v>
      </c>
      <c r="H1951" t="s">
        <v>240</v>
      </c>
      <c r="I1951" t="s">
        <v>241</v>
      </c>
      <c r="J1951" t="s">
        <v>3</v>
      </c>
      <c r="K1951" s="183">
        <f ca="1">VLOOKUP(F1951,
    OFFSET(INDIRECT(ADDRESS(MATCH(J1951,'Vehicle numbers'!$A$5:$A$162,0),1,1,1,$L$6)),4,1,COUNTIF('Vehicle numbers'!$A$5:$A$162,J1951),4),
    MATCH(K$8,'Vehicle numbers'!$B$4:$D$4,0))*1000</f>
        <v>1234369</v>
      </c>
      <c r="L1951" s="183">
        <f ca="1">VLOOKUP(F1951,
    OFFSET(INDIRECT(ADDRESS(MATCH(J1951,'Vehicle numbers'!$A$5:$A$162,0),1,1,1,$L$6)),4,1,COUNTIF('Vehicle numbers'!$A$5:$A$162,J1951),4),
    MATCH(L$8,'Vehicle numbers'!$B$4:$D$4,0))*1000</f>
        <v>1257051.9863263676</v>
      </c>
      <c r="M1951" s="184">
        <f>VLOOKUP(F1951,'Annual distance covered (GB)'!$A$8:$H$33,MATCH(J1951,'Annual distance covered (GB)'!$A$7:$H$7,0))</f>
        <v>4.7</v>
      </c>
      <c r="N1951" s="2">
        <f t="shared" ca="1" si="74"/>
        <v>9796.7381118451649</v>
      </c>
      <c r="O1951" s="180">
        <f t="shared" ca="1" si="75"/>
        <v>7.7934231984114971E-3</v>
      </c>
      <c r="P1951" s="180"/>
      <c r="Q1951" s="180"/>
      <c r="R1951" s="180"/>
      <c r="S1951" s="180"/>
      <c r="T1951" s="180"/>
    </row>
    <row r="1952" spans="1:20" x14ac:dyDescent="0.25">
      <c r="A1952" t="s">
        <v>244</v>
      </c>
      <c r="B1952" t="s">
        <v>237</v>
      </c>
      <c r="C1952" t="s">
        <v>238</v>
      </c>
      <c r="D1952" t="s">
        <v>263</v>
      </c>
      <c r="E1952" t="s">
        <v>228</v>
      </c>
      <c r="F1952">
        <v>2010</v>
      </c>
      <c r="G1952">
        <v>2.8828169014084501E-4</v>
      </c>
      <c r="H1952" t="s">
        <v>240</v>
      </c>
      <c r="I1952" t="s">
        <v>241</v>
      </c>
      <c r="J1952" t="s">
        <v>3</v>
      </c>
      <c r="K1952" s="183">
        <f ca="1">VLOOKUP(F1952,
    OFFSET(INDIRECT(ADDRESS(MATCH(J1952,'Vehicle numbers'!$A$5:$A$162,0),1,1,1,$L$6)),4,1,COUNTIF('Vehicle numbers'!$A$5:$A$162,J1952),4),
    MATCH(K$8,'Vehicle numbers'!$B$4:$D$4,0))*1000</f>
        <v>1234369</v>
      </c>
      <c r="L1952" s="183">
        <f ca="1">VLOOKUP(F1952,
    OFFSET(INDIRECT(ADDRESS(MATCH(J1952,'Vehicle numbers'!$A$5:$A$162,0),1,1,1,$L$6)),4,1,COUNTIF('Vehicle numbers'!$A$5:$A$162,J1952),4),
    MATCH(L$8,'Vehicle numbers'!$B$4:$D$4,0))*1000</f>
        <v>1257051.9863263676</v>
      </c>
      <c r="M1952" s="184">
        <f>VLOOKUP(F1952,'Annual distance covered (GB)'!$A$8:$H$33,MATCH(J1952,'Annual distance covered (GB)'!$A$7:$H$7,0))</f>
        <v>4.7</v>
      </c>
      <c r="N1952" s="2">
        <f t="shared" ca="1" si="74"/>
        <v>1379.8222692739666</v>
      </c>
      <c r="O1952" s="180">
        <f t="shared" ca="1" si="75"/>
        <v>1.0976652392128868E-3</v>
      </c>
      <c r="P1952" s="180"/>
      <c r="Q1952" s="180"/>
      <c r="R1952" s="180"/>
      <c r="S1952" s="180"/>
      <c r="T1952" s="180"/>
    </row>
    <row r="1953" spans="1:20" x14ac:dyDescent="0.25">
      <c r="A1953" t="s">
        <v>246</v>
      </c>
      <c r="B1953" t="s">
        <v>237</v>
      </c>
      <c r="C1953" t="s">
        <v>238</v>
      </c>
      <c r="D1953" t="s">
        <v>263</v>
      </c>
      <c r="E1953" t="s">
        <v>228</v>
      </c>
      <c r="F1953">
        <v>2010</v>
      </c>
      <c r="G1953">
        <v>2.3062535211267599E-4</v>
      </c>
      <c r="H1953" t="s">
        <v>240</v>
      </c>
      <c r="I1953" t="s">
        <v>241</v>
      </c>
      <c r="J1953" t="s">
        <v>3</v>
      </c>
      <c r="K1953" s="183">
        <f ca="1">VLOOKUP(F1953,
    OFFSET(INDIRECT(ADDRESS(MATCH(J1953,'Vehicle numbers'!$A$5:$A$162,0),1,1,1,$L$6)),4,1,COUNTIF('Vehicle numbers'!$A$5:$A$162,J1953),4),
    MATCH(K$8,'Vehicle numbers'!$B$4:$D$4,0))*1000</f>
        <v>1234369</v>
      </c>
      <c r="L1953" s="183">
        <f ca="1">VLOOKUP(F1953,
    OFFSET(INDIRECT(ADDRESS(MATCH(J1953,'Vehicle numbers'!$A$5:$A$162,0),1,1,1,$L$6)),4,1,COUNTIF('Vehicle numbers'!$A$5:$A$162,J1953),4),
    MATCH(L$8,'Vehicle numbers'!$B$4:$D$4,0))*1000</f>
        <v>1257051.9863263676</v>
      </c>
      <c r="M1953" s="184">
        <f>VLOOKUP(F1953,'Annual distance covered (GB)'!$A$8:$H$33,MATCH(J1953,'Annual distance covered (GB)'!$A$7:$H$7,0))</f>
        <v>4.7</v>
      </c>
      <c r="N1953" s="2">
        <f t="shared" ca="1" si="74"/>
        <v>1103.8578154191732</v>
      </c>
      <c r="O1953" s="180">
        <f t="shared" ca="1" si="75"/>
        <v>8.7813219137030925E-4</v>
      </c>
      <c r="P1953" s="180"/>
      <c r="Q1953" s="180"/>
      <c r="R1953" s="180"/>
      <c r="S1953" s="180"/>
      <c r="T1953" s="180"/>
    </row>
    <row r="1954" spans="1:20" x14ac:dyDescent="0.25">
      <c r="A1954" t="s">
        <v>236</v>
      </c>
      <c r="B1954" t="s">
        <v>237</v>
      </c>
      <c r="C1954" t="s">
        <v>238</v>
      </c>
      <c r="D1954" t="s">
        <v>264</v>
      </c>
      <c r="E1954" t="s">
        <v>229</v>
      </c>
      <c r="F1954">
        <v>2010</v>
      </c>
      <c r="G1954">
        <v>5.8399999999999902E-3</v>
      </c>
      <c r="H1954" t="s">
        <v>240</v>
      </c>
      <c r="I1954" t="s">
        <v>241</v>
      </c>
      <c r="J1954" t="s">
        <v>3</v>
      </c>
      <c r="K1954" s="183">
        <f ca="1">VLOOKUP(F1954,
    OFFSET(INDIRECT(ADDRESS(MATCH(J1954,'Vehicle numbers'!$A$5:$A$162,0),1,1,1,$L$6)),4,1,COUNTIF('Vehicle numbers'!$A$5:$A$162,J1954),4),
    MATCH(K$8,'Vehicle numbers'!$B$4:$D$4,0))*1000</f>
        <v>1234369</v>
      </c>
      <c r="L1954" s="183">
        <f ca="1">VLOOKUP(F1954,
    OFFSET(INDIRECT(ADDRESS(MATCH(J1954,'Vehicle numbers'!$A$5:$A$162,0),1,1,1,$L$6)),4,1,COUNTIF('Vehicle numbers'!$A$5:$A$162,J1954),4),
    MATCH(L$8,'Vehicle numbers'!$B$4:$D$4,0))*1000</f>
        <v>1257051.9863263676</v>
      </c>
      <c r="M1954" s="184">
        <f>VLOOKUP(F1954,'Annual distance covered (GB)'!$A$8:$H$33,MATCH(J1954,'Annual distance covered (GB)'!$A$7:$H$7,0))</f>
        <v>4.7</v>
      </c>
      <c r="N1954" s="2">
        <f t="shared" ca="1" si="74"/>
        <v>27952.389375207968</v>
      </c>
      <c r="O1954" s="180">
        <f t="shared" ca="1" si="75"/>
        <v>2.2236462516475996E-2</v>
      </c>
      <c r="P1954" s="180"/>
      <c r="Q1954" s="180"/>
      <c r="R1954" s="180"/>
      <c r="S1954" s="180"/>
      <c r="T1954" s="180"/>
    </row>
    <row r="1955" spans="1:20" x14ac:dyDescent="0.25">
      <c r="A1955" t="s">
        <v>243</v>
      </c>
      <c r="B1955" t="s">
        <v>237</v>
      </c>
      <c r="C1955" t="s">
        <v>238</v>
      </c>
      <c r="D1955" t="s">
        <v>264</v>
      </c>
      <c r="E1955" t="s">
        <v>229</v>
      </c>
      <c r="F1955">
        <v>2010</v>
      </c>
      <c r="G1955">
        <v>2.336E-3</v>
      </c>
      <c r="H1955" t="s">
        <v>240</v>
      </c>
      <c r="I1955" t="s">
        <v>241</v>
      </c>
      <c r="J1955" t="s">
        <v>3</v>
      </c>
      <c r="K1955" s="183">
        <f ca="1">VLOOKUP(F1955,
    OFFSET(INDIRECT(ADDRESS(MATCH(J1955,'Vehicle numbers'!$A$5:$A$162,0),1,1,1,$L$6)),4,1,COUNTIF('Vehicle numbers'!$A$5:$A$162,J1955),4),
    MATCH(K$8,'Vehicle numbers'!$B$4:$D$4,0))*1000</f>
        <v>1234369</v>
      </c>
      <c r="L1955" s="183">
        <f ca="1">VLOOKUP(F1955,
    OFFSET(INDIRECT(ADDRESS(MATCH(J1955,'Vehicle numbers'!$A$5:$A$162,0),1,1,1,$L$6)),4,1,COUNTIF('Vehicle numbers'!$A$5:$A$162,J1955),4),
    MATCH(L$8,'Vehicle numbers'!$B$4:$D$4,0))*1000</f>
        <v>1257051.9863263676</v>
      </c>
      <c r="M1955" s="184">
        <f>VLOOKUP(F1955,'Annual distance covered (GB)'!$A$8:$H$33,MATCH(J1955,'Annual distance covered (GB)'!$A$7:$H$7,0))</f>
        <v>4.7</v>
      </c>
      <c r="N1955" s="2">
        <f t="shared" ca="1" si="74"/>
        <v>11180.955750083203</v>
      </c>
      <c r="O1955" s="180">
        <f t="shared" ca="1" si="75"/>
        <v>8.8945850065904105E-3</v>
      </c>
      <c r="P1955" s="180"/>
      <c r="Q1955" s="180"/>
      <c r="R1955" s="180"/>
      <c r="S1955" s="180"/>
      <c r="T1955" s="180"/>
    </row>
    <row r="1956" spans="1:20" x14ac:dyDescent="0.25">
      <c r="A1956" t="s">
        <v>244</v>
      </c>
      <c r="B1956" t="s">
        <v>237</v>
      </c>
      <c r="C1956" t="s">
        <v>238</v>
      </c>
      <c r="D1956" t="s">
        <v>264</v>
      </c>
      <c r="E1956" t="s">
        <v>229</v>
      </c>
      <c r="F1956">
        <v>2010</v>
      </c>
      <c r="G1956">
        <v>5.8399999999999999E-4</v>
      </c>
      <c r="H1956" t="s">
        <v>240</v>
      </c>
      <c r="I1956" t="s">
        <v>241</v>
      </c>
      <c r="J1956" t="s">
        <v>3</v>
      </c>
      <c r="K1956" s="183">
        <f ca="1">VLOOKUP(F1956,
    OFFSET(INDIRECT(ADDRESS(MATCH(J1956,'Vehicle numbers'!$A$5:$A$162,0),1,1,1,$L$6)),4,1,COUNTIF('Vehicle numbers'!$A$5:$A$162,J1956),4),
    MATCH(K$8,'Vehicle numbers'!$B$4:$D$4,0))*1000</f>
        <v>1234369</v>
      </c>
      <c r="L1956" s="183">
        <f ca="1">VLOOKUP(F1956,
    OFFSET(INDIRECT(ADDRESS(MATCH(J1956,'Vehicle numbers'!$A$5:$A$162,0),1,1,1,$L$6)),4,1,COUNTIF('Vehicle numbers'!$A$5:$A$162,J1956),4),
    MATCH(L$8,'Vehicle numbers'!$B$4:$D$4,0))*1000</f>
        <v>1257051.9863263676</v>
      </c>
      <c r="M1956" s="184">
        <f>VLOOKUP(F1956,'Annual distance covered (GB)'!$A$8:$H$33,MATCH(J1956,'Annual distance covered (GB)'!$A$7:$H$7,0))</f>
        <v>4.7</v>
      </c>
      <c r="N1956" s="2">
        <f t="shared" ca="1" si="74"/>
        <v>2795.2389375208008</v>
      </c>
      <c r="O1956" s="180">
        <f t="shared" ca="1" si="75"/>
        <v>2.2236462516476026E-3</v>
      </c>
      <c r="P1956" s="180"/>
      <c r="Q1956" s="180"/>
      <c r="R1956" s="180"/>
      <c r="S1956" s="180"/>
      <c r="T1956" s="180"/>
    </row>
    <row r="1957" spans="1:20" x14ac:dyDescent="0.25">
      <c r="A1957" t="s">
        <v>246</v>
      </c>
      <c r="B1957" t="s">
        <v>237</v>
      </c>
      <c r="C1957" t="s">
        <v>238</v>
      </c>
      <c r="D1957" t="s">
        <v>264</v>
      </c>
      <c r="E1957" t="s">
        <v>229</v>
      </c>
      <c r="F1957">
        <v>2010</v>
      </c>
      <c r="G1957">
        <v>4.6720000000000003E-4</v>
      </c>
      <c r="H1957" t="s">
        <v>240</v>
      </c>
      <c r="I1957" t="s">
        <v>241</v>
      </c>
      <c r="J1957" t="s">
        <v>3</v>
      </c>
      <c r="K1957" s="183">
        <f ca="1">VLOOKUP(F1957,
    OFFSET(INDIRECT(ADDRESS(MATCH(J1957,'Vehicle numbers'!$A$5:$A$162,0),1,1,1,$L$6)),4,1,COUNTIF('Vehicle numbers'!$A$5:$A$162,J1957),4),
    MATCH(K$8,'Vehicle numbers'!$B$4:$D$4,0))*1000</f>
        <v>1234369</v>
      </c>
      <c r="L1957" s="183">
        <f ca="1">VLOOKUP(F1957,
    OFFSET(INDIRECT(ADDRESS(MATCH(J1957,'Vehicle numbers'!$A$5:$A$162,0),1,1,1,$L$6)),4,1,COUNTIF('Vehicle numbers'!$A$5:$A$162,J1957),4),
    MATCH(L$8,'Vehicle numbers'!$B$4:$D$4,0))*1000</f>
        <v>1257051.9863263676</v>
      </c>
      <c r="M1957" s="184">
        <f>VLOOKUP(F1957,'Annual distance covered (GB)'!$A$8:$H$33,MATCH(J1957,'Annual distance covered (GB)'!$A$7:$H$7,0))</f>
        <v>4.7</v>
      </c>
      <c r="N1957" s="2">
        <f t="shared" ca="1" si="74"/>
        <v>2236.1911500166411</v>
      </c>
      <c r="O1957" s="180">
        <f t="shared" ca="1" si="75"/>
        <v>1.7789170013180824E-3</v>
      </c>
      <c r="P1957" s="180"/>
      <c r="Q1957" s="180"/>
      <c r="R1957" s="180"/>
      <c r="S1957" s="180"/>
      <c r="T1957" s="180"/>
    </row>
    <row r="1958" spans="1:20" x14ac:dyDescent="0.25">
      <c r="A1958" t="s">
        <v>236</v>
      </c>
      <c r="B1958" t="s">
        <v>237</v>
      </c>
      <c r="C1958" t="s">
        <v>238</v>
      </c>
      <c r="D1958" t="s">
        <v>264</v>
      </c>
      <c r="E1958" t="s">
        <v>228</v>
      </c>
      <c r="F1958">
        <v>2010</v>
      </c>
      <c r="G1958">
        <v>3.7569999999999899E-3</v>
      </c>
      <c r="H1958" t="s">
        <v>240</v>
      </c>
      <c r="I1958" t="s">
        <v>241</v>
      </c>
      <c r="J1958" t="s">
        <v>3</v>
      </c>
      <c r="K1958" s="183">
        <f ca="1">VLOOKUP(F1958,
    OFFSET(INDIRECT(ADDRESS(MATCH(J1958,'Vehicle numbers'!$A$5:$A$162,0),1,1,1,$L$6)),4,1,COUNTIF('Vehicle numbers'!$A$5:$A$162,J1958),4),
    MATCH(K$8,'Vehicle numbers'!$B$4:$D$4,0))*1000</f>
        <v>1234369</v>
      </c>
      <c r="L1958" s="183">
        <f ca="1">VLOOKUP(F1958,
    OFFSET(INDIRECT(ADDRESS(MATCH(J1958,'Vehicle numbers'!$A$5:$A$162,0),1,1,1,$L$6)),4,1,COUNTIF('Vehicle numbers'!$A$5:$A$162,J1958),4),
    MATCH(L$8,'Vehicle numbers'!$B$4:$D$4,0))*1000</f>
        <v>1257051.9863263676</v>
      </c>
      <c r="M1958" s="184">
        <f>VLOOKUP(F1958,'Annual distance covered (GB)'!$A$8:$H$33,MATCH(J1958,'Annual distance covered (GB)'!$A$7:$H$7,0))</f>
        <v>4.7</v>
      </c>
      <c r="N1958" s="2">
        <f t="shared" ca="1" si="74"/>
        <v>17982.384740180856</v>
      </c>
      <c r="O1958" s="180">
        <f t="shared" ca="1" si="75"/>
        <v>1.4305203711369898E-2</v>
      </c>
      <c r="P1958" s="180"/>
      <c r="Q1958" s="180"/>
      <c r="R1958" s="180"/>
      <c r="S1958" s="180"/>
      <c r="T1958" s="180"/>
    </row>
    <row r="1959" spans="1:20" x14ac:dyDescent="0.25">
      <c r="A1959" t="s">
        <v>243</v>
      </c>
      <c r="B1959" t="s">
        <v>237</v>
      </c>
      <c r="C1959" t="s">
        <v>238</v>
      </c>
      <c r="D1959" t="s">
        <v>264</v>
      </c>
      <c r="E1959" t="s">
        <v>228</v>
      </c>
      <c r="F1959">
        <v>2010</v>
      </c>
      <c r="G1959">
        <v>2.6298999999999901E-3</v>
      </c>
      <c r="H1959" t="s">
        <v>240</v>
      </c>
      <c r="I1959" t="s">
        <v>241</v>
      </c>
      <c r="J1959" t="s">
        <v>3</v>
      </c>
      <c r="K1959" s="183">
        <f ca="1">VLOOKUP(F1959,
    OFFSET(INDIRECT(ADDRESS(MATCH(J1959,'Vehicle numbers'!$A$5:$A$162,0),1,1,1,$L$6)),4,1,COUNTIF('Vehicle numbers'!$A$5:$A$162,J1959),4),
    MATCH(K$8,'Vehicle numbers'!$B$4:$D$4,0))*1000</f>
        <v>1234369</v>
      </c>
      <c r="L1959" s="183">
        <f ca="1">VLOOKUP(F1959,
    OFFSET(INDIRECT(ADDRESS(MATCH(J1959,'Vehicle numbers'!$A$5:$A$162,0),1,1,1,$L$6)),4,1,COUNTIF('Vehicle numbers'!$A$5:$A$162,J1959),4),
    MATCH(L$8,'Vehicle numbers'!$B$4:$D$4,0))*1000</f>
        <v>1257051.9863263676</v>
      </c>
      <c r="M1959" s="184">
        <f>VLOOKUP(F1959,'Annual distance covered (GB)'!$A$8:$H$33,MATCH(J1959,'Annual distance covered (GB)'!$A$7:$H$7,0))</f>
        <v>4.7</v>
      </c>
      <c r="N1959" s="2">
        <f t="shared" ca="1" si="74"/>
        <v>12587.669318126589</v>
      </c>
      <c r="O1959" s="180">
        <f t="shared" ca="1" si="75"/>
        <v>1.001364259795892E-2</v>
      </c>
      <c r="P1959" s="180"/>
      <c r="Q1959" s="180"/>
      <c r="R1959" s="180"/>
      <c r="S1959" s="180"/>
      <c r="T1959" s="180"/>
    </row>
    <row r="1960" spans="1:20" x14ac:dyDescent="0.25">
      <c r="A1960" t="s">
        <v>244</v>
      </c>
      <c r="B1960" t="s">
        <v>237</v>
      </c>
      <c r="C1960" t="s">
        <v>238</v>
      </c>
      <c r="D1960" t="s">
        <v>264</v>
      </c>
      <c r="E1960" t="s">
        <v>228</v>
      </c>
      <c r="F1960">
        <v>2010</v>
      </c>
      <c r="G1960">
        <v>3.7040845070422299E-4</v>
      </c>
      <c r="H1960" t="s">
        <v>240</v>
      </c>
      <c r="I1960" t="s">
        <v>241</v>
      </c>
      <c r="J1960" t="s">
        <v>3</v>
      </c>
      <c r="K1960" s="183">
        <f ca="1">VLOOKUP(F1960,
    OFFSET(INDIRECT(ADDRESS(MATCH(J1960,'Vehicle numbers'!$A$5:$A$162,0),1,1,1,$L$6)),4,1,COUNTIF('Vehicle numbers'!$A$5:$A$162,J1960),4),
    MATCH(K$8,'Vehicle numbers'!$B$4:$D$4,0))*1000</f>
        <v>1234369</v>
      </c>
      <c r="L1960" s="183">
        <f ca="1">VLOOKUP(F1960,
    OFFSET(INDIRECT(ADDRESS(MATCH(J1960,'Vehicle numbers'!$A$5:$A$162,0),1,1,1,$L$6)),4,1,COUNTIF('Vehicle numbers'!$A$5:$A$162,J1960),4),
    MATCH(L$8,'Vehicle numbers'!$B$4:$D$4,0))*1000</f>
        <v>1257051.9863263676</v>
      </c>
      <c r="M1960" s="184">
        <f>VLOOKUP(F1960,'Annual distance covered (GB)'!$A$8:$H$33,MATCH(J1960,'Annual distance covered (GB)'!$A$7:$H$7,0))</f>
        <v>4.7</v>
      </c>
      <c r="N1960" s="2">
        <f t="shared" ca="1" si="74"/>
        <v>1772.9111715671206</v>
      </c>
      <c r="O1960" s="180">
        <f t="shared" ca="1" si="75"/>
        <v>1.410372196895619E-3</v>
      </c>
      <c r="P1960" s="180"/>
      <c r="Q1960" s="180"/>
      <c r="R1960" s="180"/>
      <c r="S1960" s="180"/>
      <c r="T1960" s="180"/>
    </row>
    <row r="1961" spans="1:20" x14ac:dyDescent="0.25">
      <c r="A1961" t="s">
        <v>246</v>
      </c>
      <c r="B1961" t="s">
        <v>237</v>
      </c>
      <c r="C1961" t="s">
        <v>238</v>
      </c>
      <c r="D1961" t="s">
        <v>264</v>
      </c>
      <c r="E1961" t="s">
        <v>228</v>
      </c>
      <c r="F1961">
        <v>2010</v>
      </c>
      <c r="G1961">
        <v>2.9632676056337901E-4</v>
      </c>
      <c r="H1961" t="s">
        <v>240</v>
      </c>
      <c r="I1961" t="s">
        <v>241</v>
      </c>
      <c r="J1961" t="s">
        <v>3</v>
      </c>
      <c r="K1961" s="183">
        <f ca="1">VLOOKUP(F1961,
    OFFSET(INDIRECT(ADDRESS(MATCH(J1961,'Vehicle numbers'!$A$5:$A$162,0),1,1,1,$L$6)),4,1,COUNTIF('Vehicle numbers'!$A$5:$A$162,J1961),4),
    MATCH(K$8,'Vehicle numbers'!$B$4:$D$4,0))*1000</f>
        <v>1234369</v>
      </c>
      <c r="L1961" s="183">
        <f ca="1">VLOOKUP(F1961,
    OFFSET(INDIRECT(ADDRESS(MATCH(J1961,'Vehicle numbers'!$A$5:$A$162,0),1,1,1,$L$6)),4,1,COUNTIF('Vehicle numbers'!$A$5:$A$162,J1961),4),
    MATCH(L$8,'Vehicle numbers'!$B$4:$D$4,0))*1000</f>
        <v>1257051.9863263676</v>
      </c>
      <c r="M1961" s="184">
        <f>VLOOKUP(F1961,'Annual distance covered (GB)'!$A$8:$H$33,MATCH(J1961,'Annual distance covered (GB)'!$A$7:$H$7,0))</f>
        <v>4.7</v>
      </c>
      <c r="N1961" s="2">
        <f t="shared" ca="1" si="74"/>
        <v>1418.3289372536995</v>
      </c>
      <c r="O1961" s="180">
        <f t="shared" ca="1" si="75"/>
        <v>1.1282977575164976E-3</v>
      </c>
      <c r="P1961" s="180"/>
      <c r="Q1961" s="180"/>
      <c r="R1961" s="180"/>
      <c r="S1961" s="180"/>
      <c r="T1961" s="180"/>
    </row>
    <row r="1962" spans="1:20" x14ac:dyDescent="0.25">
      <c r="A1962" t="s">
        <v>236</v>
      </c>
      <c r="B1962" t="s">
        <v>237</v>
      </c>
      <c r="C1962" t="s">
        <v>238</v>
      </c>
      <c r="D1962" t="s">
        <v>239</v>
      </c>
      <c r="E1962" t="s">
        <v>229</v>
      </c>
      <c r="F1962">
        <v>2011</v>
      </c>
      <c r="G1962">
        <v>8.4409999999999902E-3</v>
      </c>
      <c r="H1962" t="s">
        <v>240</v>
      </c>
      <c r="I1962" t="s">
        <v>241</v>
      </c>
      <c r="J1962" t="s">
        <v>242</v>
      </c>
      <c r="K1962" s="183">
        <f ca="1">VLOOKUP(F1962,
    OFFSET(INDIRECT(ADDRESS(MATCH(J1962,'Vehicle numbers'!$A$5:$A$162,0),1,1,1,$L$6)),4,1,COUNTIF('Vehicle numbers'!$A$5:$A$162,J1962),4),
    MATCH(K$8,'Vehicle numbers'!$B$4:$D$4,0))*1000</f>
        <v>168062</v>
      </c>
      <c r="L1962" s="183">
        <f ca="1">VLOOKUP(F1962,
    OFFSET(INDIRECT(ADDRESS(MATCH(J1962,'Vehicle numbers'!$A$5:$A$162,0),1,1,1,$L$6)),4,1,COUNTIF('Vehicle numbers'!$A$5:$A$162,J1962),4),
    MATCH(L$8,'Vehicle numbers'!$B$4:$D$4,0))*1000</f>
        <v>173934.02516577567</v>
      </c>
      <c r="M1962" s="184">
        <f>VLOOKUP(F1962,'Annual distance covered (GB)'!$A$8:$H$33,MATCH(J1962,'Annual distance covered (GB)'!$A$7:$H$7,0))</f>
        <v>4.7</v>
      </c>
      <c r="N1962" s="2">
        <f t="shared" ca="1" si="74"/>
        <v>41058.849711381874</v>
      </c>
      <c r="O1962" s="180">
        <f t="shared" ca="1" si="75"/>
        <v>0.23605990646309072</v>
      </c>
      <c r="P1962" s="180"/>
      <c r="Q1962" s="180"/>
      <c r="R1962" s="180"/>
      <c r="S1962" s="180"/>
      <c r="T1962" s="180"/>
    </row>
    <row r="1963" spans="1:20" x14ac:dyDescent="0.25">
      <c r="A1963" t="s">
        <v>243</v>
      </c>
      <c r="B1963" t="s">
        <v>237</v>
      </c>
      <c r="C1963" t="s">
        <v>238</v>
      </c>
      <c r="D1963" t="s">
        <v>239</v>
      </c>
      <c r="E1963" t="s">
        <v>229</v>
      </c>
      <c r="F1963">
        <v>2011</v>
      </c>
      <c r="G1963">
        <v>3.3763999999999999E-3</v>
      </c>
      <c r="H1963" t="s">
        <v>240</v>
      </c>
      <c r="I1963" t="s">
        <v>241</v>
      </c>
      <c r="J1963" t="s">
        <v>242</v>
      </c>
      <c r="K1963" s="183">
        <f ca="1">VLOOKUP(F1963,
    OFFSET(INDIRECT(ADDRESS(MATCH(J1963,'Vehicle numbers'!$A$5:$A$162,0),1,1,1,$L$6)),4,1,COUNTIF('Vehicle numbers'!$A$5:$A$162,J1963),4),
    MATCH(K$8,'Vehicle numbers'!$B$4:$D$4,0))*1000</f>
        <v>168062</v>
      </c>
      <c r="L1963" s="183">
        <f ca="1">VLOOKUP(F1963,
    OFFSET(INDIRECT(ADDRESS(MATCH(J1963,'Vehicle numbers'!$A$5:$A$162,0),1,1,1,$L$6)),4,1,COUNTIF('Vehicle numbers'!$A$5:$A$162,J1963),4),
    MATCH(L$8,'Vehicle numbers'!$B$4:$D$4,0))*1000</f>
        <v>173934.02516577567</v>
      </c>
      <c r="M1963" s="184">
        <f>VLOOKUP(F1963,'Annual distance covered (GB)'!$A$8:$H$33,MATCH(J1963,'Annual distance covered (GB)'!$A$7:$H$7,0))</f>
        <v>4.7</v>
      </c>
      <c r="N1963" s="2">
        <f t="shared" ca="1" si="74"/>
        <v>16423.539884552767</v>
      </c>
      <c r="O1963" s="180">
        <f t="shared" ca="1" si="75"/>
        <v>9.4423962585236387E-2</v>
      </c>
      <c r="P1963" s="180"/>
      <c r="Q1963" s="180"/>
      <c r="R1963" s="180"/>
      <c r="S1963" s="180"/>
      <c r="T1963" s="180"/>
    </row>
    <row r="1964" spans="1:20" x14ac:dyDescent="0.25">
      <c r="A1964" t="s">
        <v>244</v>
      </c>
      <c r="B1964" t="s">
        <v>237</v>
      </c>
      <c r="C1964" t="s">
        <v>238</v>
      </c>
      <c r="D1964" t="s">
        <v>239</v>
      </c>
      <c r="E1964" t="s">
        <v>229</v>
      </c>
      <c r="F1964">
        <v>2011</v>
      </c>
      <c r="G1964">
        <v>8.4409999999999997E-4</v>
      </c>
      <c r="H1964" t="s">
        <v>240</v>
      </c>
      <c r="I1964" t="s">
        <v>241</v>
      </c>
      <c r="J1964" t="s">
        <v>242</v>
      </c>
      <c r="K1964" s="183">
        <f ca="1">VLOOKUP(F1964,
    OFFSET(INDIRECT(ADDRESS(MATCH(J1964,'Vehicle numbers'!$A$5:$A$162,0),1,1,1,$L$6)),4,1,COUNTIF('Vehicle numbers'!$A$5:$A$162,J1964),4),
    MATCH(K$8,'Vehicle numbers'!$B$4:$D$4,0))*1000</f>
        <v>168062</v>
      </c>
      <c r="L1964" s="183">
        <f ca="1">VLOOKUP(F1964,
    OFFSET(INDIRECT(ADDRESS(MATCH(J1964,'Vehicle numbers'!$A$5:$A$162,0),1,1,1,$L$6)),4,1,COUNTIF('Vehicle numbers'!$A$5:$A$162,J1964),4),
    MATCH(L$8,'Vehicle numbers'!$B$4:$D$4,0))*1000</f>
        <v>173934.02516577567</v>
      </c>
      <c r="M1964" s="184">
        <f>VLOOKUP(F1964,'Annual distance covered (GB)'!$A$8:$H$33,MATCH(J1964,'Annual distance covered (GB)'!$A$7:$H$7,0))</f>
        <v>4.7</v>
      </c>
      <c r="N1964" s="2">
        <f t="shared" ca="1" si="74"/>
        <v>4105.8849711381918</v>
      </c>
      <c r="O1964" s="180">
        <f t="shared" ca="1" si="75"/>
        <v>2.3605990646309097E-2</v>
      </c>
      <c r="P1964" s="180"/>
      <c r="Q1964" s="180"/>
      <c r="R1964" s="180"/>
      <c r="S1964" s="180"/>
      <c r="T1964" s="180"/>
    </row>
    <row r="1965" spans="1:20" x14ac:dyDescent="0.25">
      <c r="A1965" t="s">
        <v>246</v>
      </c>
      <c r="B1965" t="s">
        <v>237</v>
      </c>
      <c r="C1965" t="s">
        <v>238</v>
      </c>
      <c r="D1965" t="s">
        <v>239</v>
      </c>
      <c r="E1965" t="s">
        <v>229</v>
      </c>
      <c r="F1965">
        <v>2011</v>
      </c>
      <c r="G1965">
        <v>6.7528E-4</v>
      </c>
      <c r="H1965" t="s">
        <v>240</v>
      </c>
      <c r="I1965" t="s">
        <v>241</v>
      </c>
      <c r="J1965" t="s">
        <v>242</v>
      </c>
      <c r="K1965" s="183">
        <f ca="1">VLOOKUP(F1965,
    OFFSET(INDIRECT(ADDRESS(MATCH(J1965,'Vehicle numbers'!$A$5:$A$162,0),1,1,1,$L$6)),4,1,COUNTIF('Vehicle numbers'!$A$5:$A$162,J1965),4),
    MATCH(K$8,'Vehicle numbers'!$B$4:$D$4,0))*1000</f>
        <v>168062</v>
      </c>
      <c r="L1965" s="183">
        <f ca="1">VLOOKUP(F1965,
    OFFSET(INDIRECT(ADDRESS(MATCH(J1965,'Vehicle numbers'!$A$5:$A$162,0),1,1,1,$L$6)),4,1,COUNTIF('Vehicle numbers'!$A$5:$A$162,J1965),4),
    MATCH(L$8,'Vehicle numbers'!$B$4:$D$4,0))*1000</f>
        <v>173934.02516577567</v>
      </c>
      <c r="M1965" s="184">
        <f>VLOOKUP(F1965,'Annual distance covered (GB)'!$A$8:$H$33,MATCH(J1965,'Annual distance covered (GB)'!$A$7:$H$7,0))</f>
        <v>4.7</v>
      </c>
      <c r="N1965" s="2">
        <f t="shared" ca="1" si="74"/>
        <v>3284.707976910554</v>
      </c>
      <c r="O1965" s="180">
        <f t="shared" ca="1" si="75"/>
        <v>1.8884792517047281E-2</v>
      </c>
      <c r="P1965" s="180"/>
      <c r="Q1965" s="180"/>
      <c r="R1965" s="180"/>
      <c r="S1965" s="180"/>
      <c r="T1965" s="180"/>
    </row>
    <row r="1966" spans="1:20" x14ac:dyDescent="0.25">
      <c r="A1966" t="s">
        <v>236</v>
      </c>
      <c r="B1966" t="s">
        <v>237</v>
      </c>
      <c r="C1966" t="s">
        <v>238</v>
      </c>
      <c r="D1966" t="s">
        <v>239</v>
      </c>
      <c r="E1966" t="s">
        <v>228</v>
      </c>
      <c r="F1966">
        <v>2011</v>
      </c>
      <c r="G1966">
        <v>1.3984E-2</v>
      </c>
      <c r="H1966" t="s">
        <v>240</v>
      </c>
      <c r="I1966" t="s">
        <v>241</v>
      </c>
      <c r="J1966" t="s">
        <v>242</v>
      </c>
      <c r="K1966" s="183">
        <f ca="1">VLOOKUP(F1966,
    OFFSET(INDIRECT(ADDRESS(MATCH(J1966,'Vehicle numbers'!$A$5:$A$162,0),1,1,1,$L$6)),4,1,COUNTIF('Vehicle numbers'!$A$5:$A$162,J1966),4),
    MATCH(K$8,'Vehicle numbers'!$B$4:$D$4,0))*1000</f>
        <v>168062</v>
      </c>
      <c r="L1966" s="183">
        <f ca="1">VLOOKUP(F1966,
    OFFSET(INDIRECT(ADDRESS(MATCH(J1966,'Vehicle numbers'!$A$5:$A$162,0),1,1,1,$L$6)),4,1,COUNTIF('Vehicle numbers'!$A$5:$A$162,J1966),4),
    MATCH(L$8,'Vehicle numbers'!$B$4:$D$4,0))*1000</f>
        <v>173934.02516577567</v>
      </c>
      <c r="M1966" s="184">
        <f>VLOOKUP(F1966,'Annual distance covered (GB)'!$A$8:$H$33,MATCH(J1966,'Annual distance covered (GB)'!$A$7:$H$7,0))</f>
        <v>4.7</v>
      </c>
      <c r="N1966" s="2">
        <f t="shared" ca="1" si="74"/>
        <v>68021.200611771681</v>
      </c>
      <c r="O1966" s="180">
        <f t="shared" ca="1" si="75"/>
        <v>0.39107472242386737</v>
      </c>
      <c r="P1966" s="180"/>
      <c r="Q1966" s="180"/>
      <c r="R1966" s="180"/>
      <c r="S1966" s="180"/>
      <c r="T1966" s="180"/>
    </row>
    <row r="1967" spans="1:20" x14ac:dyDescent="0.25">
      <c r="A1967" t="s">
        <v>243</v>
      </c>
      <c r="B1967" t="s">
        <v>237</v>
      </c>
      <c r="C1967" t="s">
        <v>238</v>
      </c>
      <c r="D1967" t="s">
        <v>239</v>
      </c>
      <c r="E1967" t="s">
        <v>228</v>
      </c>
      <c r="F1967">
        <v>2011</v>
      </c>
      <c r="G1967">
        <v>9.7888000000000003E-3</v>
      </c>
      <c r="H1967" t="s">
        <v>240</v>
      </c>
      <c r="I1967" t="s">
        <v>241</v>
      </c>
      <c r="J1967" t="s">
        <v>242</v>
      </c>
      <c r="K1967" s="183">
        <f ca="1">VLOOKUP(F1967,
    OFFSET(INDIRECT(ADDRESS(MATCH(J1967,'Vehicle numbers'!$A$5:$A$162,0),1,1,1,$L$6)),4,1,COUNTIF('Vehicle numbers'!$A$5:$A$162,J1967),4),
    MATCH(K$8,'Vehicle numbers'!$B$4:$D$4,0))*1000</f>
        <v>168062</v>
      </c>
      <c r="L1967" s="183">
        <f ca="1">VLOOKUP(F1967,
    OFFSET(INDIRECT(ADDRESS(MATCH(J1967,'Vehicle numbers'!$A$5:$A$162,0),1,1,1,$L$6)),4,1,COUNTIF('Vehicle numbers'!$A$5:$A$162,J1967),4),
    MATCH(L$8,'Vehicle numbers'!$B$4:$D$4,0))*1000</f>
        <v>173934.02516577567</v>
      </c>
      <c r="M1967" s="184">
        <f>VLOOKUP(F1967,'Annual distance covered (GB)'!$A$8:$H$33,MATCH(J1967,'Annual distance covered (GB)'!$A$7:$H$7,0))</f>
        <v>4.7</v>
      </c>
      <c r="N1967" s="2">
        <f t="shared" ca="1" si="74"/>
        <v>47614.840428240175</v>
      </c>
      <c r="O1967" s="180">
        <f t="shared" ca="1" si="75"/>
        <v>0.27375230569670717</v>
      </c>
      <c r="P1967" s="180"/>
      <c r="Q1967" s="180"/>
      <c r="R1967" s="180"/>
      <c r="S1967" s="180"/>
      <c r="T1967" s="180"/>
    </row>
    <row r="1968" spans="1:20" x14ac:dyDescent="0.25">
      <c r="A1968" t="s">
        <v>244</v>
      </c>
      <c r="B1968" t="s">
        <v>237</v>
      </c>
      <c r="C1968" t="s">
        <v>238</v>
      </c>
      <c r="D1968" t="s">
        <v>239</v>
      </c>
      <c r="E1968" t="s">
        <v>228</v>
      </c>
      <c r="F1968">
        <v>2011</v>
      </c>
      <c r="G1968">
        <v>1.3787042253521099E-3</v>
      </c>
      <c r="H1968" t="s">
        <v>240</v>
      </c>
      <c r="I1968" t="s">
        <v>241</v>
      </c>
      <c r="J1968" t="s">
        <v>242</v>
      </c>
      <c r="K1968" s="183">
        <f ca="1">VLOOKUP(F1968,
    OFFSET(INDIRECT(ADDRESS(MATCH(J1968,'Vehicle numbers'!$A$5:$A$162,0),1,1,1,$L$6)),4,1,COUNTIF('Vehicle numbers'!$A$5:$A$162,J1968),4),
    MATCH(K$8,'Vehicle numbers'!$B$4:$D$4,0))*1000</f>
        <v>168062</v>
      </c>
      <c r="L1968" s="183">
        <f ca="1">VLOOKUP(F1968,
    OFFSET(INDIRECT(ADDRESS(MATCH(J1968,'Vehicle numbers'!$A$5:$A$162,0),1,1,1,$L$6)),4,1,COUNTIF('Vehicle numbers'!$A$5:$A$162,J1968),4),
    MATCH(L$8,'Vehicle numbers'!$B$4:$D$4,0))*1000</f>
        <v>173934.02516577567</v>
      </c>
      <c r="M1968" s="184">
        <f>VLOOKUP(F1968,'Annual distance covered (GB)'!$A$8:$H$33,MATCH(J1968,'Annual distance covered (GB)'!$A$7:$H$7,0))</f>
        <v>4.7</v>
      </c>
      <c r="N1968" s="2">
        <f t="shared" ca="1" si="74"/>
        <v>6706.3155532732517</v>
      </c>
      <c r="O1968" s="180">
        <f t="shared" ca="1" si="75"/>
        <v>3.8556662774184035E-2</v>
      </c>
      <c r="P1968" s="180"/>
      <c r="Q1968" s="180"/>
      <c r="R1968" s="180"/>
      <c r="S1968" s="180"/>
      <c r="T1968" s="180"/>
    </row>
    <row r="1969" spans="1:20" x14ac:dyDescent="0.25">
      <c r="A1969" t="s">
        <v>246</v>
      </c>
      <c r="B1969" t="s">
        <v>237</v>
      </c>
      <c r="C1969" t="s">
        <v>238</v>
      </c>
      <c r="D1969" t="s">
        <v>239</v>
      </c>
      <c r="E1969" t="s">
        <v>228</v>
      </c>
      <c r="F1969">
        <v>2011</v>
      </c>
      <c r="G1969">
        <v>1.10296338028169E-3</v>
      </c>
      <c r="H1969" t="s">
        <v>240</v>
      </c>
      <c r="I1969" t="s">
        <v>241</v>
      </c>
      <c r="J1969" t="s">
        <v>242</v>
      </c>
      <c r="K1969" s="183">
        <f ca="1">VLOOKUP(F1969,
    OFFSET(INDIRECT(ADDRESS(MATCH(J1969,'Vehicle numbers'!$A$5:$A$162,0),1,1,1,$L$6)),4,1,COUNTIF('Vehicle numbers'!$A$5:$A$162,J1969),4),
    MATCH(K$8,'Vehicle numbers'!$B$4:$D$4,0))*1000</f>
        <v>168062</v>
      </c>
      <c r="L1969" s="183">
        <f ca="1">VLOOKUP(F1969,
    OFFSET(INDIRECT(ADDRESS(MATCH(J1969,'Vehicle numbers'!$A$5:$A$162,0),1,1,1,$L$6)),4,1,COUNTIF('Vehicle numbers'!$A$5:$A$162,J1969),4),
    MATCH(L$8,'Vehicle numbers'!$B$4:$D$4,0))*1000</f>
        <v>173934.02516577567</v>
      </c>
      <c r="M1969" s="184">
        <f>VLOOKUP(F1969,'Annual distance covered (GB)'!$A$8:$H$33,MATCH(J1969,'Annual distance covered (GB)'!$A$7:$H$7,0))</f>
        <v>4.7</v>
      </c>
      <c r="N1969" s="2">
        <f t="shared" ca="1" si="74"/>
        <v>5365.0524426186103</v>
      </c>
      <c r="O1969" s="180">
        <f t="shared" ca="1" si="75"/>
        <v>3.0845330219347277E-2</v>
      </c>
      <c r="P1969" s="180"/>
      <c r="Q1969" s="180"/>
      <c r="R1969" s="180"/>
      <c r="S1969" s="180"/>
      <c r="T1969" s="180"/>
    </row>
    <row r="1970" spans="1:20" x14ac:dyDescent="0.25">
      <c r="A1970" t="s">
        <v>236</v>
      </c>
      <c r="B1970" t="s">
        <v>237</v>
      </c>
      <c r="C1970" t="s">
        <v>238</v>
      </c>
      <c r="D1970" t="s">
        <v>248</v>
      </c>
      <c r="E1970" t="s">
        <v>229</v>
      </c>
      <c r="F1970">
        <v>2011</v>
      </c>
      <c r="G1970">
        <v>2.7143E-2</v>
      </c>
      <c r="H1970" t="s">
        <v>240</v>
      </c>
      <c r="I1970" t="s">
        <v>241</v>
      </c>
      <c r="J1970" t="s">
        <v>242</v>
      </c>
      <c r="K1970" s="183">
        <f ca="1">VLOOKUP(F1970,
    OFFSET(INDIRECT(ADDRESS(MATCH(J1970,'Vehicle numbers'!$A$5:$A$162,0),1,1,1,$L$6)),4,1,COUNTIF('Vehicle numbers'!$A$5:$A$162,J1970),4),
    MATCH(K$8,'Vehicle numbers'!$B$4:$D$4,0))*1000</f>
        <v>168062</v>
      </c>
      <c r="L1970" s="183">
        <f ca="1">VLOOKUP(F1970,
    OFFSET(INDIRECT(ADDRESS(MATCH(J1970,'Vehicle numbers'!$A$5:$A$162,0),1,1,1,$L$6)),4,1,COUNTIF('Vehicle numbers'!$A$5:$A$162,J1970),4),
    MATCH(L$8,'Vehicle numbers'!$B$4:$D$4,0))*1000</f>
        <v>173934.02516577567</v>
      </c>
      <c r="M1970" s="184">
        <f>VLOOKUP(F1970,'Annual distance covered (GB)'!$A$8:$H$33,MATCH(J1970,'Annual distance covered (GB)'!$A$7:$H$7,0))</f>
        <v>4.7</v>
      </c>
      <c r="N1970" s="2">
        <f t="shared" ca="1" si="74"/>
        <v>132029.42278356111</v>
      </c>
      <c r="O1970" s="180">
        <f t="shared" ca="1" si="75"/>
        <v>0.7590776023134318</v>
      </c>
      <c r="P1970" s="180"/>
      <c r="Q1970" s="180"/>
      <c r="R1970" s="180"/>
      <c r="S1970" s="180"/>
      <c r="T1970" s="180"/>
    </row>
    <row r="1971" spans="1:20" x14ac:dyDescent="0.25">
      <c r="A1971" t="s">
        <v>243</v>
      </c>
      <c r="B1971" t="s">
        <v>237</v>
      </c>
      <c r="C1971" t="s">
        <v>238</v>
      </c>
      <c r="D1971" t="s">
        <v>248</v>
      </c>
      <c r="E1971" t="s">
        <v>229</v>
      </c>
      <c r="F1971">
        <v>2011</v>
      </c>
      <c r="G1971">
        <v>1.0857199999999999E-2</v>
      </c>
      <c r="H1971" t="s">
        <v>240</v>
      </c>
      <c r="I1971" t="s">
        <v>241</v>
      </c>
      <c r="J1971" t="s">
        <v>242</v>
      </c>
      <c r="K1971" s="183">
        <f ca="1">VLOOKUP(F1971,
    OFFSET(INDIRECT(ADDRESS(MATCH(J1971,'Vehicle numbers'!$A$5:$A$162,0),1,1,1,$L$6)),4,1,COUNTIF('Vehicle numbers'!$A$5:$A$162,J1971),4),
    MATCH(K$8,'Vehicle numbers'!$B$4:$D$4,0))*1000</f>
        <v>168062</v>
      </c>
      <c r="L1971" s="183">
        <f ca="1">VLOOKUP(F1971,
    OFFSET(INDIRECT(ADDRESS(MATCH(J1971,'Vehicle numbers'!$A$5:$A$162,0),1,1,1,$L$6)),4,1,COUNTIF('Vehicle numbers'!$A$5:$A$162,J1971),4),
    MATCH(L$8,'Vehicle numbers'!$B$4:$D$4,0))*1000</f>
        <v>173934.02516577567</v>
      </c>
      <c r="M1971" s="184">
        <f>VLOOKUP(F1971,'Annual distance covered (GB)'!$A$8:$H$33,MATCH(J1971,'Annual distance covered (GB)'!$A$7:$H$7,0))</f>
        <v>4.7</v>
      </c>
      <c r="N1971" s="2">
        <f t="shared" ca="1" si="74"/>
        <v>52811.769113424445</v>
      </c>
      <c r="O1971" s="180">
        <f t="shared" ca="1" si="75"/>
        <v>0.30363104092537274</v>
      </c>
      <c r="P1971" s="180"/>
      <c r="Q1971" s="180"/>
      <c r="R1971" s="180"/>
      <c r="S1971" s="180"/>
      <c r="T1971" s="180"/>
    </row>
    <row r="1972" spans="1:20" x14ac:dyDescent="0.25">
      <c r="A1972" t="s">
        <v>244</v>
      </c>
      <c r="B1972" t="s">
        <v>237</v>
      </c>
      <c r="C1972" t="s">
        <v>238</v>
      </c>
      <c r="D1972" t="s">
        <v>248</v>
      </c>
      <c r="E1972" t="s">
        <v>229</v>
      </c>
      <c r="F1972">
        <v>2011</v>
      </c>
      <c r="G1972">
        <v>2.7142999999999998E-3</v>
      </c>
      <c r="H1972" t="s">
        <v>240</v>
      </c>
      <c r="I1972" t="s">
        <v>241</v>
      </c>
      <c r="J1972" t="s">
        <v>242</v>
      </c>
      <c r="K1972" s="183">
        <f ca="1">VLOOKUP(F1972,
    OFFSET(INDIRECT(ADDRESS(MATCH(J1972,'Vehicle numbers'!$A$5:$A$162,0),1,1,1,$L$6)),4,1,COUNTIF('Vehicle numbers'!$A$5:$A$162,J1972),4),
    MATCH(K$8,'Vehicle numbers'!$B$4:$D$4,0))*1000</f>
        <v>168062</v>
      </c>
      <c r="L1972" s="183">
        <f ca="1">VLOOKUP(F1972,
    OFFSET(INDIRECT(ADDRESS(MATCH(J1972,'Vehicle numbers'!$A$5:$A$162,0),1,1,1,$L$6)),4,1,COUNTIF('Vehicle numbers'!$A$5:$A$162,J1972),4),
    MATCH(L$8,'Vehicle numbers'!$B$4:$D$4,0))*1000</f>
        <v>173934.02516577567</v>
      </c>
      <c r="M1972" s="184">
        <f>VLOOKUP(F1972,'Annual distance covered (GB)'!$A$8:$H$33,MATCH(J1972,'Annual distance covered (GB)'!$A$7:$H$7,0))</f>
        <v>4.7</v>
      </c>
      <c r="N1972" s="2">
        <f t="shared" ca="1" si="74"/>
        <v>13202.942278356111</v>
      </c>
      <c r="O1972" s="180">
        <f t="shared" ca="1" si="75"/>
        <v>7.5907760231343185E-2</v>
      </c>
      <c r="P1972" s="180"/>
      <c r="Q1972" s="180"/>
      <c r="R1972" s="180"/>
      <c r="S1972" s="180"/>
      <c r="T1972" s="180"/>
    </row>
    <row r="1973" spans="1:20" x14ac:dyDescent="0.25">
      <c r="A1973" t="s">
        <v>246</v>
      </c>
      <c r="B1973" t="s">
        <v>237</v>
      </c>
      <c r="C1973" t="s">
        <v>238</v>
      </c>
      <c r="D1973" t="s">
        <v>248</v>
      </c>
      <c r="E1973" t="s">
        <v>229</v>
      </c>
      <c r="F1973">
        <v>2011</v>
      </c>
      <c r="G1973">
        <v>2.1714400000000002E-3</v>
      </c>
      <c r="H1973" t="s">
        <v>240</v>
      </c>
      <c r="I1973" t="s">
        <v>241</v>
      </c>
      <c r="J1973" t="s">
        <v>242</v>
      </c>
      <c r="K1973" s="183">
        <f ca="1">VLOOKUP(F1973,
    OFFSET(INDIRECT(ADDRESS(MATCH(J1973,'Vehicle numbers'!$A$5:$A$162,0),1,1,1,$L$6)),4,1,COUNTIF('Vehicle numbers'!$A$5:$A$162,J1973),4),
    MATCH(K$8,'Vehicle numbers'!$B$4:$D$4,0))*1000</f>
        <v>168062</v>
      </c>
      <c r="L1973" s="183">
        <f ca="1">VLOOKUP(F1973,
    OFFSET(INDIRECT(ADDRESS(MATCH(J1973,'Vehicle numbers'!$A$5:$A$162,0),1,1,1,$L$6)),4,1,COUNTIF('Vehicle numbers'!$A$5:$A$162,J1973),4),
    MATCH(L$8,'Vehicle numbers'!$B$4:$D$4,0))*1000</f>
        <v>173934.02516577567</v>
      </c>
      <c r="M1973" s="184">
        <f>VLOOKUP(F1973,'Annual distance covered (GB)'!$A$8:$H$33,MATCH(J1973,'Annual distance covered (GB)'!$A$7:$H$7,0))</f>
        <v>4.7</v>
      </c>
      <c r="N1973" s="2">
        <f t="shared" ca="1" si="74"/>
        <v>10562.35382268489</v>
      </c>
      <c r="O1973" s="180">
        <f t="shared" ca="1" si="75"/>
        <v>6.0726208185074557E-2</v>
      </c>
      <c r="P1973" s="180"/>
      <c r="Q1973" s="180"/>
      <c r="R1973" s="180"/>
      <c r="S1973" s="180"/>
      <c r="T1973" s="180"/>
    </row>
    <row r="1974" spans="1:20" x14ac:dyDescent="0.25">
      <c r="A1974" t="s">
        <v>236</v>
      </c>
      <c r="B1974" t="s">
        <v>237</v>
      </c>
      <c r="C1974" t="s">
        <v>238</v>
      </c>
      <c r="D1974" t="s">
        <v>248</v>
      </c>
      <c r="E1974" t="s">
        <v>228</v>
      </c>
      <c r="F1974">
        <v>2011</v>
      </c>
      <c r="G1974">
        <v>1.68578987779569E-2</v>
      </c>
      <c r="H1974" t="s">
        <v>240</v>
      </c>
      <c r="I1974" t="s">
        <v>241</v>
      </c>
      <c r="J1974" t="s">
        <v>242</v>
      </c>
      <c r="K1974" s="183">
        <f ca="1">VLOOKUP(F1974,
    OFFSET(INDIRECT(ADDRESS(MATCH(J1974,'Vehicle numbers'!$A$5:$A$162,0),1,1,1,$L$6)),4,1,COUNTIF('Vehicle numbers'!$A$5:$A$162,J1974),4),
    MATCH(K$8,'Vehicle numbers'!$B$4:$D$4,0))*1000</f>
        <v>168062</v>
      </c>
      <c r="L1974" s="183">
        <f ca="1">VLOOKUP(F1974,
    OFFSET(INDIRECT(ADDRESS(MATCH(J1974,'Vehicle numbers'!$A$5:$A$162,0),1,1,1,$L$6)),4,1,COUNTIF('Vehicle numbers'!$A$5:$A$162,J1974),4),
    MATCH(L$8,'Vehicle numbers'!$B$4:$D$4,0))*1000</f>
        <v>173934.02516577567</v>
      </c>
      <c r="M1974" s="184">
        <f>VLOOKUP(F1974,'Annual distance covered (GB)'!$A$8:$H$33,MATCH(J1974,'Annual distance covered (GB)'!$A$7:$H$7,0))</f>
        <v>4.7</v>
      </c>
      <c r="N1974" s="2">
        <f t="shared" ca="1" si="74"/>
        <v>82000.465865871505</v>
      </c>
      <c r="O1974" s="180">
        <f t="shared" ca="1" si="75"/>
        <v>0.47144580128998487</v>
      </c>
      <c r="P1974" s="180"/>
      <c r="Q1974" s="180"/>
      <c r="R1974" s="180"/>
      <c r="S1974" s="180"/>
      <c r="T1974" s="180"/>
    </row>
    <row r="1975" spans="1:20" x14ac:dyDescent="0.25">
      <c r="A1975" t="s">
        <v>243</v>
      </c>
      <c r="B1975" t="s">
        <v>237</v>
      </c>
      <c r="C1975" t="s">
        <v>238</v>
      </c>
      <c r="D1975" t="s">
        <v>248</v>
      </c>
      <c r="E1975" t="s">
        <v>228</v>
      </c>
      <c r="F1975">
        <v>2011</v>
      </c>
      <c r="G1975">
        <v>1.1800529144569799E-2</v>
      </c>
      <c r="H1975" t="s">
        <v>240</v>
      </c>
      <c r="I1975" t="s">
        <v>241</v>
      </c>
      <c r="J1975" t="s">
        <v>242</v>
      </c>
      <c r="K1975" s="183">
        <f ca="1">VLOOKUP(F1975,
    OFFSET(INDIRECT(ADDRESS(MATCH(J1975,'Vehicle numbers'!$A$5:$A$162,0),1,1,1,$L$6)),4,1,COUNTIF('Vehicle numbers'!$A$5:$A$162,J1975),4),
    MATCH(K$8,'Vehicle numbers'!$B$4:$D$4,0))*1000</f>
        <v>168062</v>
      </c>
      <c r="L1975" s="183">
        <f ca="1">VLOOKUP(F1975,
    OFFSET(INDIRECT(ADDRESS(MATCH(J1975,'Vehicle numbers'!$A$5:$A$162,0),1,1,1,$L$6)),4,1,COUNTIF('Vehicle numbers'!$A$5:$A$162,J1975),4),
    MATCH(L$8,'Vehicle numbers'!$B$4:$D$4,0))*1000</f>
        <v>173934.02516577567</v>
      </c>
      <c r="M1975" s="184">
        <f>VLOOKUP(F1975,'Annual distance covered (GB)'!$A$8:$H$33,MATCH(J1975,'Annual distance covered (GB)'!$A$7:$H$7,0))</f>
        <v>4.7</v>
      </c>
      <c r="N1975" s="2">
        <f t="shared" ca="1" si="74"/>
        <v>57400.326106109897</v>
      </c>
      <c r="O1975" s="180">
        <f t="shared" ca="1" si="75"/>
        <v>0.33001206090298851</v>
      </c>
      <c r="P1975" s="180"/>
      <c r="Q1975" s="180"/>
      <c r="R1975" s="180"/>
      <c r="S1975" s="180"/>
      <c r="T1975" s="180"/>
    </row>
    <row r="1976" spans="1:20" x14ac:dyDescent="0.25">
      <c r="A1976" t="s">
        <v>244</v>
      </c>
      <c r="B1976" t="s">
        <v>237</v>
      </c>
      <c r="C1976" t="s">
        <v>238</v>
      </c>
      <c r="D1976" t="s">
        <v>248</v>
      </c>
      <c r="E1976" t="s">
        <v>228</v>
      </c>
      <c r="F1976">
        <v>2011</v>
      </c>
      <c r="G1976">
        <v>1.66204635839011E-3</v>
      </c>
      <c r="H1976" t="s">
        <v>240</v>
      </c>
      <c r="I1976" t="s">
        <v>241</v>
      </c>
      <c r="J1976" t="s">
        <v>242</v>
      </c>
      <c r="K1976" s="183">
        <f ca="1">VLOOKUP(F1976,
    OFFSET(INDIRECT(ADDRESS(MATCH(J1976,'Vehicle numbers'!$A$5:$A$162,0),1,1,1,$L$6)),4,1,COUNTIF('Vehicle numbers'!$A$5:$A$162,J1976),4),
    MATCH(K$8,'Vehicle numbers'!$B$4:$D$4,0))*1000</f>
        <v>168062</v>
      </c>
      <c r="L1976" s="183">
        <f ca="1">VLOOKUP(F1976,
    OFFSET(INDIRECT(ADDRESS(MATCH(J1976,'Vehicle numbers'!$A$5:$A$162,0),1,1,1,$L$6)),4,1,COUNTIF('Vehicle numbers'!$A$5:$A$162,J1976),4),
    MATCH(L$8,'Vehicle numbers'!$B$4:$D$4,0))*1000</f>
        <v>173934.02516577567</v>
      </c>
      <c r="M1976" s="184">
        <f>VLOOKUP(F1976,'Annual distance covered (GB)'!$A$8:$H$33,MATCH(J1976,'Annual distance covered (GB)'!$A$7:$H$7,0))</f>
        <v>4.7</v>
      </c>
      <c r="N1976" s="2">
        <f t="shared" ca="1" si="74"/>
        <v>8084.552972691522</v>
      </c>
      <c r="O1976" s="180">
        <f t="shared" ca="1" si="75"/>
        <v>4.6480571958167322E-2</v>
      </c>
      <c r="P1976" s="180"/>
      <c r="Q1976" s="180"/>
      <c r="R1976" s="180"/>
      <c r="S1976" s="180"/>
      <c r="T1976" s="180"/>
    </row>
    <row r="1977" spans="1:20" x14ac:dyDescent="0.25">
      <c r="A1977" t="s">
        <v>246</v>
      </c>
      <c r="B1977" t="s">
        <v>237</v>
      </c>
      <c r="C1977" t="s">
        <v>238</v>
      </c>
      <c r="D1977" t="s">
        <v>248</v>
      </c>
      <c r="E1977" t="s">
        <v>228</v>
      </c>
      <c r="F1977">
        <v>2011</v>
      </c>
      <c r="G1977">
        <v>1.32963708671209E-3</v>
      </c>
      <c r="H1977" t="s">
        <v>240</v>
      </c>
      <c r="I1977" t="s">
        <v>241</v>
      </c>
      <c r="J1977" t="s">
        <v>242</v>
      </c>
      <c r="K1977" s="183">
        <f ca="1">VLOOKUP(F1977,
    OFFSET(INDIRECT(ADDRESS(MATCH(J1977,'Vehicle numbers'!$A$5:$A$162,0),1,1,1,$L$6)),4,1,COUNTIF('Vehicle numbers'!$A$5:$A$162,J1977),4),
    MATCH(K$8,'Vehicle numbers'!$B$4:$D$4,0))*1000</f>
        <v>168062</v>
      </c>
      <c r="L1977" s="183">
        <f ca="1">VLOOKUP(F1977,
    OFFSET(INDIRECT(ADDRESS(MATCH(J1977,'Vehicle numbers'!$A$5:$A$162,0),1,1,1,$L$6)),4,1,COUNTIF('Vehicle numbers'!$A$5:$A$162,J1977),4),
    MATCH(L$8,'Vehicle numbers'!$B$4:$D$4,0))*1000</f>
        <v>173934.02516577567</v>
      </c>
      <c r="M1977" s="184">
        <f>VLOOKUP(F1977,'Annual distance covered (GB)'!$A$8:$H$33,MATCH(J1977,'Annual distance covered (GB)'!$A$7:$H$7,0))</f>
        <v>4.7</v>
      </c>
      <c r="N1977" s="2">
        <f t="shared" ca="1" si="74"/>
        <v>6467.6423781532285</v>
      </c>
      <c r="O1977" s="180">
        <f t="shared" ca="1" si="75"/>
        <v>3.7184457566533921E-2</v>
      </c>
      <c r="P1977" s="180"/>
      <c r="Q1977" s="180"/>
      <c r="R1977" s="180"/>
      <c r="S1977" s="180"/>
      <c r="T1977" s="180"/>
    </row>
    <row r="1978" spans="1:20" x14ac:dyDescent="0.25">
      <c r="A1978" t="s">
        <v>236</v>
      </c>
      <c r="B1978" t="s">
        <v>237</v>
      </c>
      <c r="C1978" t="s">
        <v>238</v>
      </c>
      <c r="D1978" t="s">
        <v>249</v>
      </c>
      <c r="E1978" t="s">
        <v>229</v>
      </c>
      <c r="F1978">
        <v>2011</v>
      </c>
      <c r="G1978">
        <v>5.3594999999999997E-2</v>
      </c>
      <c r="H1978" t="s">
        <v>240</v>
      </c>
      <c r="I1978" t="s">
        <v>241</v>
      </c>
      <c r="J1978" t="s">
        <v>242</v>
      </c>
      <c r="K1978" s="183">
        <f ca="1">VLOOKUP(F1978,
    OFFSET(INDIRECT(ADDRESS(MATCH(J1978,'Vehicle numbers'!$A$5:$A$162,0),1,1,1,$L$6)),4,1,COUNTIF('Vehicle numbers'!$A$5:$A$162,J1978),4),
    MATCH(K$8,'Vehicle numbers'!$B$4:$D$4,0))*1000</f>
        <v>168062</v>
      </c>
      <c r="L1978" s="183">
        <f ca="1">VLOOKUP(F1978,
    OFFSET(INDIRECT(ADDRESS(MATCH(J1978,'Vehicle numbers'!$A$5:$A$162,0),1,1,1,$L$6)),4,1,COUNTIF('Vehicle numbers'!$A$5:$A$162,J1978),4),
    MATCH(L$8,'Vehicle numbers'!$B$4:$D$4,0))*1000</f>
        <v>173934.02516577567</v>
      </c>
      <c r="M1978" s="184">
        <f>VLOOKUP(F1978,'Annual distance covered (GB)'!$A$8:$H$33,MATCH(J1978,'Annual distance covered (GB)'!$A$7:$H$7,0))</f>
        <v>4.7</v>
      </c>
      <c r="N1978" s="2">
        <f t="shared" ca="1" si="74"/>
        <v>260697.6721101189</v>
      </c>
      <c r="O1978" s="180">
        <f t="shared" ca="1" si="75"/>
        <v>1.4988307886375263</v>
      </c>
      <c r="P1978" s="180"/>
      <c r="Q1978" s="180"/>
      <c r="R1978" s="180"/>
      <c r="S1978" s="180"/>
      <c r="T1978" s="180"/>
    </row>
    <row r="1979" spans="1:20" x14ac:dyDescent="0.25">
      <c r="A1979" t="s">
        <v>243</v>
      </c>
      <c r="B1979" t="s">
        <v>237</v>
      </c>
      <c r="C1979" t="s">
        <v>238</v>
      </c>
      <c r="D1979" t="s">
        <v>249</v>
      </c>
      <c r="E1979" t="s">
        <v>229</v>
      </c>
      <c r="F1979">
        <v>2011</v>
      </c>
      <c r="G1979">
        <v>2.1437999999999999E-2</v>
      </c>
      <c r="H1979" t="s">
        <v>240</v>
      </c>
      <c r="I1979" t="s">
        <v>241</v>
      </c>
      <c r="J1979" t="s">
        <v>242</v>
      </c>
      <c r="K1979" s="183">
        <f ca="1">VLOOKUP(F1979,
    OFFSET(INDIRECT(ADDRESS(MATCH(J1979,'Vehicle numbers'!$A$5:$A$162,0),1,1,1,$L$6)),4,1,COUNTIF('Vehicle numbers'!$A$5:$A$162,J1979),4),
    MATCH(K$8,'Vehicle numbers'!$B$4:$D$4,0))*1000</f>
        <v>168062</v>
      </c>
      <c r="L1979" s="183">
        <f ca="1">VLOOKUP(F1979,
    OFFSET(INDIRECT(ADDRESS(MATCH(J1979,'Vehicle numbers'!$A$5:$A$162,0),1,1,1,$L$6)),4,1,COUNTIF('Vehicle numbers'!$A$5:$A$162,J1979),4),
    MATCH(L$8,'Vehicle numbers'!$B$4:$D$4,0))*1000</f>
        <v>173934.02516577567</v>
      </c>
      <c r="M1979" s="184">
        <f>VLOOKUP(F1979,'Annual distance covered (GB)'!$A$8:$H$33,MATCH(J1979,'Annual distance covered (GB)'!$A$7:$H$7,0))</f>
        <v>4.7</v>
      </c>
      <c r="N1979" s="2">
        <f t="shared" ca="1" si="74"/>
        <v>104279.06884404758</v>
      </c>
      <c r="O1979" s="180">
        <f t="shared" ca="1" si="75"/>
        <v>0.59953231545501062</v>
      </c>
      <c r="P1979" s="180"/>
      <c r="Q1979" s="180"/>
      <c r="R1979" s="180"/>
      <c r="S1979" s="180"/>
      <c r="T1979" s="180"/>
    </row>
    <row r="1980" spans="1:20" x14ac:dyDescent="0.25">
      <c r="A1980" t="s">
        <v>244</v>
      </c>
      <c r="B1980" t="s">
        <v>237</v>
      </c>
      <c r="C1980" t="s">
        <v>238</v>
      </c>
      <c r="D1980" t="s">
        <v>249</v>
      </c>
      <c r="E1980" t="s">
        <v>229</v>
      </c>
      <c r="F1980">
        <v>2011</v>
      </c>
      <c r="G1980">
        <v>5.3594999999999997E-3</v>
      </c>
      <c r="H1980" t="s">
        <v>240</v>
      </c>
      <c r="I1980" t="s">
        <v>241</v>
      </c>
      <c r="J1980" t="s">
        <v>242</v>
      </c>
      <c r="K1980" s="183">
        <f ca="1">VLOOKUP(F1980,
    OFFSET(INDIRECT(ADDRESS(MATCH(J1980,'Vehicle numbers'!$A$5:$A$162,0),1,1,1,$L$6)),4,1,COUNTIF('Vehicle numbers'!$A$5:$A$162,J1980),4),
    MATCH(K$8,'Vehicle numbers'!$B$4:$D$4,0))*1000</f>
        <v>168062</v>
      </c>
      <c r="L1980" s="183">
        <f ca="1">VLOOKUP(F1980,
    OFFSET(INDIRECT(ADDRESS(MATCH(J1980,'Vehicle numbers'!$A$5:$A$162,0),1,1,1,$L$6)),4,1,COUNTIF('Vehicle numbers'!$A$5:$A$162,J1980),4),
    MATCH(L$8,'Vehicle numbers'!$B$4:$D$4,0))*1000</f>
        <v>173934.02516577567</v>
      </c>
      <c r="M1980" s="184">
        <f>VLOOKUP(F1980,'Annual distance covered (GB)'!$A$8:$H$33,MATCH(J1980,'Annual distance covered (GB)'!$A$7:$H$7,0))</f>
        <v>4.7</v>
      </c>
      <c r="N1980" s="2">
        <f t="shared" ca="1" si="74"/>
        <v>26069.767211011895</v>
      </c>
      <c r="O1980" s="180">
        <f t="shared" ca="1" si="75"/>
        <v>0.14988307886375266</v>
      </c>
      <c r="P1980" s="180"/>
      <c r="Q1980" s="180"/>
      <c r="R1980" s="180"/>
      <c r="S1980" s="180"/>
      <c r="T1980" s="180"/>
    </row>
    <row r="1981" spans="1:20" x14ac:dyDescent="0.25">
      <c r="A1981" t="s">
        <v>246</v>
      </c>
      <c r="B1981" t="s">
        <v>237</v>
      </c>
      <c r="C1981" t="s">
        <v>238</v>
      </c>
      <c r="D1981" t="s">
        <v>249</v>
      </c>
      <c r="E1981" t="s">
        <v>229</v>
      </c>
      <c r="F1981">
        <v>2011</v>
      </c>
      <c r="G1981">
        <v>4.2875999999999999E-3</v>
      </c>
      <c r="H1981" t="s">
        <v>240</v>
      </c>
      <c r="I1981" t="s">
        <v>241</v>
      </c>
      <c r="J1981" t="s">
        <v>242</v>
      </c>
      <c r="K1981" s="183">
        <f ca="1">VLOOKUP(F1981,
    OFFSET(INDIRECT(ADDRESS(MATCH(J1981,'Vehicle numbers'!$A$5:$A$162,0),1,1,1,$L$6)),4,1,COUNTIF('Vehicle numbers'!$A$5:$A$162,J1981),4),
    MATCH(K$8,'Vehicle numbers'!$B$4:$D$4,0))*1000</f>
        <v>168062</v>
      </c>
      <c r="L1981" s="183">
        <f ca="1">VLOOKUP(F1981,
    OFFSET(INDIRECT(ADDRESS(MATCH(J1981,'Vehicle numbers'!$A$5:$A$162,0),1,1,1,$L$6)),4,1,COUNTIF('Vehicle numbers'!$A$5:$A$162,J1981),4),
    MATCH(L$8,'Vehicle numbers'!$B$4:$D$4,0))*1000</f>
        <v>173934.02516577567</v>
      </c>
      <c r="M1981" s="184">
        <f>VLOOKUP(F1981,'Annual distance covered (GB)'!$A$8:$H$33,MATCH(J1981,'Annual distance covered (GB)'!$A$7:$H$7,0))</f>
        <v>4.7</v>
      </c>
      <c r="N1981" s="2">
        <f t="shared" ca="1" si="74"/>
        <v>20855.813768809516</v>
      </c>
      <c r="O1981" s="180">
        <f t="shared" ca="1" si="75"/>
        <v>0.11990646309100213</v>
      </c>
      <c r="P1981" s="180"/>
      <c r="Q1981" s="180"/>
      <c r="R1981" s="180"/>
      <c r="S1981" s="180"/>
      <c r="T1981" s="180"/>
    </row>
    <row r="1982" spans="1:20" x14ac:dyDescent="0.25">
      <c r="A1982" t="s">
        <v>236</v>
      </c>
      <c r="B1982" t="s">
        <v>237</v>
      </c>
      <c r="C1982" t="s">
        <v>238</v>
      </c>
      <c r="D1982" t="s">
        <v>249</v>
      </c>
      <c r="E1982" t="s">
        <v>228</v>
      </c>
      <c r="F1982">
        <v>2011</v>
      </c>
      <c r="G1982">
        <v>2.13876886732094E-2</v>
      </c>
      <c r="H1982" t="s">
        <v>240</v>
      </c>
      <c r="I1982" t="s">
        <v>241</v>
      </c>
      <c r="J1982" t="s">
        <v>242</v>
      </c>
      <c r="K1982" s="183">
        <f ca="1">VLOOKUP(F1982,
    OFFSET(INDIRECT(ADDRESS(MATCH(J1982,'Vehicle numbers'!$A$5:$A$162,0),1,1,1,$L$6)),4,1,COUNTIF('Vehicle numbers'!$A$5:$A$162,J1982),4),
    MATCH(K$8,'Vehicle numbers'!$B$4:$D$4,0))*1000</f>
        <v>168062</v>
      </c>
      <c r="L1982" s="183">
        <f ca="1">VLOOKUP(F1982,
    OFFSET(INDIRECT(ADDRESS(MATCH(J1982,'Vehicle numbers'!$A$5:$A$162,0),1,1,1,$L$6)),4,1,COUNTIF('Vehicle numbers'!$A$5:$A$162,J1982),4),
    MATCH(L$8,'Vehicle numbers'!$B$4:$D$4,0))*1000</f>
        <v>173934.02516577567</v>
      </c>
      <c r="M1982" s="184">
        <f>VLOOKUP(F1982,'Annual distance covered (GB)'!$A$8:$H$33,MATCH(J1982,'Annual distance covered (GB)'!$A$7:$H$7,0))</f>
        <v>4.7</v>
      </c>
      <c r="N1982" s="2">
        <f t="shared" ca="1" si="74"/>
        <v>104034.34366865657</v>
      </c>
      <c r="O1982" s="180">
        <f t="shared" ca="1" si="75"/>
        <v>0.59812531544361114</v>
      </c>
      <c r="P1982" s="180"/>
      <c r="Q1982" s="180"/>
      <c r="R1982" s="180"/>
      <c r="S1982" s="180"/>
      <c r="T1982" s="180"/>
    </row>
    <row r="1983" spans="1:20" x14ac:dyDescent="0.25">
      <c r="A1983" t="s">
        <v>243</v>
      </c>
      <c r="B1983" t="s">
        <v>237</v>
      </c>
      <c r="C1983" t="s">
        <v>238</v>
      </c>
      <c r="D1983" t="s">
        <v>249</v>
      </c>
      <c r="E1983" t="s">
        <v>228</v>
      </c>
      <c r="F1983">
        <v>2011</v>
      </c>
      <c r="G1983">
        <v>1.4971382071246601E-2</v>
      </c>
      <c r="H1983" t="s">
        <v>240</v>
      </c>
      <c r="I1983" t="s">
        <v>241</v>
      </c>
      <c r="J1983" t="s">
        <v>242</v>
      </c>
      <c r="K1983" s="183">
        <f ca="1">VLOOKUP(F1983,
    OFFSET(INDIRECT(ADDRESS(MATCH(J1983,'Vehicle numbers'!$A$5:$A$162,0),1,1,1,$L$6)),4,1,COUNTIF('Vehicle numbers'!$A$5:$A$162,J1983),4),
    MATCH(K$8,'Vehicle numbers'!$B$4:$D$4,0))*1000</f>
        <v>168062</v>
      </c>
      <c r="L1983" s="183">
        <f ca="1">VLOOKUP(F1983,
    OFFSET(INDIRECT(ADDRESS(MATCH(J1983,'Vehicle numbers'!$A$5:$A$162,0),1,1,1,$L$6)),4,1,COUNTIF('Vehicle numbers'!$A$5:$A$162,J1983),4),
    MATCH(L$8,'Vehicle numbers'!$B$4:$D$4,0))*1000</f>
        <v>173934.02516577567</v>
      </c>
      <c r="M1983" s="184">
        <f>VLOOKUP(F1983,'Annual distance covered (GB)'!$A$8:$H$33,MATCH(J1983,'Annual distance covered (GB)'!$A$7:$H$7,0))</f>
        <v>4.7</v>
      </c>
      <c r="N1983" s="2">
        <f t="shared" ca="1" si="74"/>
        <v>72824.040568059703</v>
      </c>
      <c r="O1983" s="180">
        <f t="shared" ca="1" si="75"/>
        <v>0.41868772081052841</v>
      </c>
      <c r="P1983" s="180"/>
      <c r="Q1983" s="180"/>
      <c r="R1983" s="180"/>
      <c r="S1983" s="180"/>
      <c r="T1983" s="180"/>
    </row>
    <row r="1984" spans="1:20" x14ac:dyDescent="0.25">
      <c r="A1984" t="s">
        <v>244</v>
      </c>
      <c r="B1984" t="s">
        <v>237</v>
      </c>
      <c r="C1984" t="s">
        <v>238</v>
      </c>
      <c r="D1984" t="s">
        <v>249</v>
      </c>
      <c r="E1984" t="s">
        <v>228</v>
      </c>
      <c r="F1984">
        <v>2011</v>
      </c>
      <c r="G1984">
        <v>2.1086453621474099E-3</v>
      </c>
      <c r="H1984" t="s">
        <v>240</v>
      </c>
      <c r="I1984" t="s">
        <v>241</v>
      </c>
      <c r="J1984" t="s">
        <v>242</v>
      </c>
      <c r="K1984" s="183">
        <f ca="1">VLOOKUP(F1984,
    OFFSET(INDIRECT(ADDRESS(MATCH(J1984,'Vehicle numbers'!$A$5:$A$162,0),1,1,1,$L$6)),4,1,COUNTIF('Vehicle numbers'!$A$5:$A$162,J1984),4),
    MATCH(K$8,'Vehicle numbers'!$B$4:$D$4,0))*1000</f>
        <v>168062</v>
      </c>
      <c r="L1984" s="183">
        <f ca="1">VLOOKUP(F1984,
    OFFSET(INDIRECT(ADDRESS(MATCH(J1984,'Vehicle numbers'!$A$5:$A$162,0),1,1,1,$L$6)),4,1,COUNTIF('Vehicle numbers'!$A$5:$A$162,J1984),4),
    MATCH(L$8,'Vehicle numbers'!$B$4:$D$4,0))*1000</f>
        <v>173934.02516577567</v>
      </c>
      <c r="M1984" s="184">
        <f>VLOOKUP(F1984,'Annual distance covered (GB)'!$A$8:$H$33,MATCH(J1984,'Annual distance covered (GB)'!$A$7:$H$7,0))</f>
        <v>4.7</v>
      </c>
      <c r="N1984" s="2">
        <f t="shared" ca="1" si="74"/>
        <v>10256.907122261937</v>
      </c>
      <c r="O1984" s="180">
        <f t="shared" ca="1" si="75"/>
        <v>5.8970101522609668E-2</v>
      </c>
      <c r="P1984" s="180"/>
      <c r="Q1984" s="180"/>
      <c r="R1984" s="180"/>
      <c r="S1984" s="180"/>
      <c r="T1984" s="180"/>
    </row>
    <row r="1985" spans="1:20" x14ac:dyDescent="0.25">
      <c r="A1985" t="s">
        <v>246</v>
      </c>
      <c r="B1985" t="s">
        <v>237</v>
      </c>
      <c r="C1985" t="s">
        <v>238</v>
      </c>
      <c r="D1985" t="s">
        <v>249</v>
      </c>
      <c r="E1985" t="s">
        <v>228</v>
      </c>
      <c r="F1985">
        <v>2011</v>
      </c>
      <c r="G1985">
        <v>1.6869162897179199E-3</v>
      </c>
      <c r="H1985" t="s">
        <v>240</v>
      </c>
      <c r="I1985" t="s">
        <v>241</v>
      </c>
      <c r="J1985" t="s">
        <v>242</v>
      </c>
      <c r="K1985" s="183">
        <f ca="1">VLOOKUP(F1985,
    OFFSET(INDIRECT(ADDRESS(MATCH(J1985,'Vehicle numbers'!$A$5:$A$162,0),1,1,1,$L$6)),4,1,COUNTIF('Vehicle numbers'!$A$5:$A$162,J1985),4),
    MATCH(K$8,'Vehicle numbers'!$B$4:$D$4,0))*1000</f>
        <v>168062</v>
      </c>
      <c r="L1985" s="183">
        <f ca="1">VLOOKUP(F1985,
    OFFSET(INDIRECT(ADDRESS(MATCH(J1985,'Vehicle numbers'!$A$5:$A$162,0),1,1,1,$L$6)),4,1,COUNTIF('Vehicle numbers'!$A$5:$A$162,J1985),4),
    MATCH(L$8,'Vehicle numbers'!$B$4:$D$4,0))*1000</f>
        <v>173934.02516577567</v>
      </c>
      <c r="M1985" s="184">
        <f>VLOOKUP(F1985,'Annual distance covered (GB)'!$A$8:$H$33,MATCH(J1985,'Annual distance covered (GB)'!$A$7:$H$7,0))</f>
        <v>4.7</v>
      </c>
      <c r="N1985" s="2">
        <f t="shared" ca="1" si="74"/>
        <v>8205.5256978095113</v>
      </c>
      <c r="O1985" s="180">
        <f t="shared" ca="1" si="75"/>
        <v>4.7176081218087515E-2</v>
      </c>
      <c r="P1985" s="180"/>
      <c r="Q1985" s="180"/>
      <c r="R1985" s="180"/>
      <c r="S1985" s="180"/>
      <c r="T1985" s="180"/>
    </row>
    <row r="1986" spans="1:20" x14ac:dyDescent="0.25">
      <c r="A1986" t="s">
        <v>236</v>
      </c>
      <c r="B1986" t="s">
        <v>237</v>
      </c>
      <c r="C1986" t="s">
        <v>238</v>
      </c>
      <c r="D1986" t="s">
        <v>250</v>
      </c>
      <c r="E1986" t="s">
        <v>229</v>
      </c>
      <c r="F1986">
        <v>2011</v>
      </c>
      <c r="G1986">
        <v>1.3600000000000001E-3</v>
      </c>
      <c r="H1986" t="s">
        <v>240</v>
      </c>
      <c r="I1986" t="s">
        <v>241</v>
      </c>
      <c r="J1986" t="s">
        <v>2</v>
      </c>
      <c r="K1986" s="183">
        <f ca="1">VLOOKUP(F1986,
    OFFSET(INDIRECT(ADDRESS(MATCH(J1986,'Vehicle numbers'!$A$5:$A$162,0),1,1,1,$L$6)),4,1,COUNTIF('Vehicle numbers'!$A$5:$A$162,J1986),4),
    MATCH(K$8,'Vehicle numbers'!$B$4:$D$4,0))*1000</f>
        <v>28467289</v>
      </c>
      <c r="L1986" s="183">
        <f ca="1">VLOOKUP(F1986,
    OFFSET(INDIRECT(ADDRESS(MATCH(J1986,'Vehicle numbers'!$A$5:$A$162,0),1,1,1,$L$6)),4,1,COUNTIF('Vehicle numbers'!$A$5:$A$162,J1986),4),
    MATCH(L$8,'Vehicle numbers'!$B$4:$D$4,0))*1000</f>
        <v>29342159.918542709</v>
      </c>
      <c r="M1986" s="184">
        <f>VLOOKUP(F1986,'Annual distance covered (GB)'!$A$8:$H$33,MATCH(J1986,'Annual distance covered (GB)'!$A$7:$H$7,0))</f>
        <v>393.2</v>
      </c>
      <c r="N1986" s="2">
        <f t="shared" ca="1" si="74"/>
        <v>551186.26507640223</v>
      </c>
      <c r="O1986" s="180">
        <f t="shared" ca="1" si="75"/>
        <v>1.8784788393443434E-2</v>
      </c>
      <c r="P1986" s="180"/>
      <c r="Q1986" s="180"/>
      <c r="R1986" s="180"/>
      <c r="S1986" s="180"/>
      <c r="T1986" s="180"/>
    </row>
    <row r="1987" spans="1:20" x14ac:dyDescent="0.25">
      <c r="A1987" t="s">
        <v>243</v>
      </c>
      <c r="B1987" t="s">
        <v>237</v>
      </c>
      <c r="C1987" t="s">
        <v>238</v>
      </c>
      <c r="D1987" t="s">
        <v>250</v>
      </c>
      <c r="E1987" t="s">
        <v>229</v>
      </c>
      <c r="F1987">
        <v>2011</v>
      </c>
      <c r="G1987">
        <v>5.44E-4</v>
      </c>
      <c r="H1987" t="s">
        <v>240</v>
      </c>
      <c r="I1987" t="s">
        <v>241</v>
      </c>
      <c r="J1987" t="s">
        <v>2</v>
      </c>
      <c r="K1987" s="183">
        <f ca="1">VLOOKUP(F1987,
    OFFSET(INDIRECT(ADDRESS(MATCH(J1987,'Vehicle numbers'!$A$5:$A$162,0),1,1,1,$L$6)),4,1,COUNTIF('Vehicle numbers'!$A$5:$A$162,J1987),4),
    MATCH(K$8,'Vehicle numbers'!$B$4:$D$4,0))*1000</f>
        <v>28467289</v>
      </c>
      <c r="L1987" s="183">
        <f ca="1">VLOOKUP(F1987,
    OFFSET(INDIRECT(ADDRESS(MATCH(J1987,'Vehicle numbers'!$A$5:$A$162,0),1,1,1,$L$6)),4,1,COUNTIF('Vehicle numbers'!$A$5:$A$162,J1987),4),
    MATCH(L$8,'Vehicle numbers'!$B$4:$D$4,0))*1000</f>
        <v>29342159.918542709</v>
      </c>
      <c r="M1987" s="184">
        <f>VLOOKUP(F1987,'Annual distance covered (GB)'!$A$8:$H$33,MATCH(J1987,'Annual distance covered (GB)'!$A$7:$H$7,0))</f>
        <v>393.2</v>
      </c>
      <c r="N1987" s="2">
        <f t="shared" ca="1" si="74"/>
        <v>220474.50603056088</v>
      </c>
      <c r="O1987" s="180">
        <f t="shared" ca="1" si="75"/>
        <v>7.5139153573773728E-3</v>
      </c>
      <c r="P1987" s="180"/>
      <c r="Q1987" s="180"/>
      <c r="R1987" s="180"/>
      <c r="S1987" s="180"/>
      <c r="T1987" s="180"/>
    </row>
    <row r="1988" spans="1:20" x14ac:dyDescent="0.25">
      <c r="A1988" t="s">
        <v>244</v>
      </c>
      <c r="B1988" t="s">
        <v>237</v>
      </c>
      <c r="C1988" t="s">
        <v>238</v>
      </c>
      <c r="D1988" t="s">
        <v>250</v>
      </c>
      <c r="E1988" t="s">
        <v>229</v>
      </c>
      <c r="F1988">
        <v>2011</v>
      </c>
      <c r="G1988">
        <v>1.36E-4</v>
      </c>
      <c r="H1988" t="s">
        <v>240</v>
      </c>
      <c r="I1988" t="s">
        <v>241</v>
      </c>
      <c r="J1988" t="s">
        <v>2</v>
      </c>
      <c r="K1988" s="183">
        <f ca="1">VLOOKUP(F1988,
    OFFSET(INDIRECT(ADDRESS(MATCH(J1988,'Vehicle numbers'!$A$5:$A$162,0),1,1,1,$L$6)),4,1,COUNTIF('Vehicle numbers'!$A$5:$A$162,J1988),4),
    MATCH(K$8,'Vehicle numbers'!$B$4:$D$4,0))*1000</f>
        <v>28467289</v>
      </c>
      <c r="L1988" s="183">
        <f ca="1">VLOOKUP(F1988,
    OFFSET(INDIRECT(ADDRESS(MATCH(J1988,'Vehicle numbers'!$A$5:$A$162,0),1,1,1,$L$6)),4,1,COUNTIF('Vehicle numbers'!$A$5:$A$162,J1988),4),
    MATCH(L$8,'Vehicle numbers'!$B$4:$D$4,0))*1000</f>
        <v>29342159.918542709</v>
      </c>
      <c r="M1988" s="184">
        <f>VLOOKUP(F1988,'Annual distance covered (GB)'!$A$8:$H$33,MATCH(J1988,'Annual distance covered (GB)'!$A$7:$H$7,0))</f>
        <v>393.2</v>
      </c>
      <c r="N1988" s="2">
        <f t="shared" ca="1" si="74"/>
        <v>55118.62650764022</v>
      </c>
      <c r="O1988" s="180">
        <f t="shared" ca="1" si="75"/>
        <v>1.8784788393443432E-3</v>
      </c>
      <c r="P1988" s="180"/>
      <c r="Q1988" s="180"/>
      <c r="R1988" s="180"/>
      <c r="S1988" s="180"/>
      <c r="T1988" s="180"/>
    </row>
    <row r="1989" spans="1:20" x14ac:dyDescent="0.25">
      <c r="A1989" t="s">
        <v>246</v>
      </c>
      <c r="B1989" t="s">
        <v>237</v>
      </c>
      <c r="C1989" t="s">
        <v>238</v>
      </c>
      <c r="D1989" t="s">
        <v>250</v>
      </c>
      <c r="E1989" t="s">
        <v>229</v>
      </c>
      <c r="F1989">
        <v>2011</v>
      </c>
      <c r="G1989">
        <v>1.088E-4</v>
      </c>
      <c r="H1989" t="s">
        <v>240</v>
      </c>
      <c r="I1989" t="s">
        <v>241</v>
      </c>
      <c r="J1989" t="s">
        <v>2</v>
      </c>
      <c r="K1989" s="183">
        <f ca="1">VLOOKUP(F1989,
    OFFSET(INDIRECT(ADDRESS(MATCH(J1989,'Vehicle numbers'!$A$5:$A$162,0),1,1,1,$L$6)),4,1,COUNTIF('Vehicle numbers'!$A$5:$A$162,J1989),4),
    MATCH(K$8,'Vehicle numbers'!$B$4:$D$4,0))*1000</f>
        <v>28467289</v>
      </c>
      <c r="L1989" s="183">
        <f ca="1">VLOOKUP(F1989,
    OFFSET(INDIRECT(ADDRESS(MATCH(J1989,'Vehicle numbers'!$A$5:$A$162,0),1,1,1,$L$6)),4,1,COUNTIF('Vehicle numbers'!$A$5:$A$162,J1989),4),
    MATCH(L$8,'Vehicle numbers'!$B$4:$D$4,0))*1000</f>
        <v>29342159.918542709</v>
      </c>
      <c r="M1989" s="184">
        <f>VLOOKUP(F1989,'Annual distance covered (GB)'!$A$8:$H$33,MATCH(J1989,'Annual distance covered (GB)'!$A$7:$H$7,0))</f>
        <v>393.2</v>
      </c>
      <c r="N1989" s="2">
        <f t="shared" ca="1" si="74"/>
        <v>44094.901206112176</v>
      </c>
      <c r="O1989" s="180">
        <f t="shared" ca="1" si="75"/>
        <v>1.5027830714754746E-3</v>
      </c>
      <c r="P1989" s="180"/>
      <c r="Q1989" s="180"/>
      <c r="R1989" s="180"/>
      <c r="S1989" s="180"/>
      <c r="T1989" s="180"/>
    </row>
    <row r="1990" spans="1:20" x14ac:dyDescent="0.25">
      <c r="A1990" t="s">
        <v>236</v>
      </c>
      <c r="B1990" t="s">
        <v>237</v>
      </c>
      <c r="C1990" t="s">
        <v>238</v>
      </c>
      <c r="D1990" t="s">
        <v>250</v>
      </c>
      <c r="E1990" t="s">
        <v>228</v>
      </c>
      <c r="F1990">
        <v>2011</v>
      </c>
      <c r="G1990">
        <v>5.7910000000000001E-3</v>
      </c>
      <c r="H1990" t="s">
        <v>240</v>
      </c>
      <c r="I1990" t="s">
        <v>241</v>
      </c>
      <c r="J1990" t="s">
        <v>2</v>
      </c>
      <c r="K1990" s="183">
        <f ca="1">VLOOKUP(F1990,
    OFFSET(INDIRECT(ADDRESS(MATCH(J1990,'Vehicle numbers'!$A$5:$A$162,0),1,1,1,$L$6)),4,1,COUNTIF('Vehicle numbers'!$A$5:$A$162,J1990),4),
    MATCH(K$8,'Vehicle numbers'!$B$4:$D$4,0))*1000</f>
        <v>28467289</v>
      </c>
      <c r="L1990" s="183">
        <f ca="1">VLOOKUP(F1990,
    OFFSET(INDIRECT(ADDRESS(MATCH(J1990,'Vehicle numbers'!$A$5:$A$162,0),1,1,1,$L$6)),4,1,COUNTIF('Vehicle numbers'!$A$5:$A$162,J1990),4),
    MATCH(L$8,'Vehicle numbers'!$B$4:$D$4,0))*1000</f>
        <v>29342159.918542709</v>
      </c>
      <c r="M1990" s="184">
        <f>VLOOKUP(F1990,'Annual distance covered (GB)'!$A$8:$H$33,MATCH(J1990,'Annual distance covered (GB)'!$A$7:$H$7,0))</f>
        <v>393.2</v>
      </c>
      <c r="N1990" s="2">
        <f t="shared" ca="1" si="74"/>
        <v>2346999.7507775333</v>
      </c>
      <c r="O1990" s="180">
        <f t="shared" ca="1" si="75"/>
        <v>7.9987286460610971E-2</v>
      </c>
      <c r="P1990" s="180"/>
      <c r="Q1990" s="180"/>
      <c r="R1990" s="180"/>
      <c r="S1990" s="180"/>
      <c r="T1990" s="180"/>
    </row>
    <row r="1991" spans="1:20" x14ac:dyDescent="0.25">
      <c r="A1991" t="s">
        <v>243</v>
      </c>
      <c r="B1991" t="s">
        <v>237</v>
      </c>
      <c r="C1991" t="s">
        <v>238</v>
      </c>
      <c r="D1991" t="s">
        <v>250</v>
      </c>
      <c r="E1991" t="s">
        <v>228</v>
      </c>
      <c r="F1991">
        <v>2011</v>
      </c>
      <c r="G1991">
        <v>4.0537000000000004E-3</v>
      </c>
      <c r="H1991" t="s">
        <v>240</v>
      </c>
      <c r="I1991" t="s">
        <v>241</v>
      </c>
      <c r="J1991" t="s">
        <v>2</v>
      </c>
      <c r="K1991" s="183">
        <f ca="1">VLOOKUP(F1991,
    OFFSET(INDIRECT(ADDRESS(MATCH(J1991,'Vehicle numbers'!$A$5:$A$162,0),1,1,1,$L$6)),4,1,COUNTIF('Vehicle numbers'!$A$5:$A$162,J1991),4),
    MATCH(K$8,'Vehicle numbers'!$B$4:$D$4,0))*1000</f>
        <v>28467289</v>
      </c>
      <c r="L1991" s="183">
        <f ca="1">VLOOKUP(F1991,
    OFFSET(INDIRECT(ADDRESS(MATCH(J1991,'Vehicle numbers'!$A$5:$A$162,0),1,1,1,$L$6)),4,1,COUNTIF('Vehicle numbers'!$A$5:$A$162,J1991),4),
    MATCH(L$8,'Vehicle numbers'!$B$4:$D$4,0))*1000</f>
        <v>29342159.918542709</v>
      </c>
      <c r="M1991" s="184">
        <f>VLOOKUP(F1991,'Annual distance covered (GB)'!$A$8:$H$33,MATCH(J1991,'Annual distance covered (GB)'!$A$7:$H$7,0))</f>
        <v>393.2</v>
      </c>
      <c r="N1991" s="2">
        <f t="shared" ca="1" si="74"/>
        <v>1642899.8255442735</v>
      </c>
      <c r="O1991" s="180">
        <f t="shared" ca="1" si="75"/>
        <v>5.5991100522427686E-2</v>
      </c>
      <c r="P1991" s="180"/>
      <c r="Q1991" s="180"/>
      <c r="R1991" s="180"/>
      <c r="S1991" s="180"/>
      <c r="T1991" s="180"/>
    </row>
    <row r="1992" spans="1:20" x14ac:dyDescent="0.25">
      <c r="A1992" t="s">
        <v>244</v>
      </c>
      <c r="B1992" t="s">
        <v>237</v>
      </c>
      <c r="C1992" t="s">
        <v>238</v>
      </c>
      <c r="D1992" t="s">
        <v>250</v>
      </c>
      <c r="E1992" t="s">
        <v>228</v>
      </c>
      <c r="F1992">
        <v>2011</v>
      </c>
      <c r="G1992">
        <v>5.7094366197182997E-4</v>
      </c>
      <c r="H1992" t="s">
        <v>240</v>
      </c>
      <c r="I1992" t="s">
        <v>241</v>
      </c>
      <c r="J1992" t="s">
        <v>2</v>
      </c>
      <c r="K1992" s="183">
        <f ca="1">VLOOKUP(F1992,
    OFFSET(INDIRECT(ADDRESS(MATCH(J1992,'Vehicle numbers'!$A$5:$A$162,0),1,1,1,$L$6)),4,1,COUNTIF('Vehicle numbers'!$A$5:$A$162,J1992),4),
    MATCH(K$8,'Vehicle numbers'!$B$4:$D$4,0))*1000</f>
        <v>28467289</v>
      </c>
      <c r="L1992" s="183">
        <f ca="1">VLOOKUP(F1992,
    OFFSET(INDIRECT(ADDRESS(MATCH(J1992,'Vehicle numbers'!$A$5:$A$162,0),1,1,1,$L$6)),4,1,COUNTIF('Vehicle numbers'!$A$5:$A$162,J1992),4),
    MATCH(L$8,'Vehicle numbers'!$B$4:$D$4,0))*1000</f>
        <v>29342159.918542709</v>
      </c>
      <c r="M1992" s="184">
        <f>VLOOKUP(F1992,'Annual distance covered (GB)'!$A$8:$H$33,MATCH(J1992,'Annual distance covered (GB)'!$A$7:$H$7,0))</f>
        <v>393.2</v>
      </c>
      <c r="N1992" s="2">
        <f t="shared" ca="1" si="74"/>
        <v>231394.34162595356</v>
      </c>
      <c r="O1992" s="180">
        <f t="shared" ca="1" si="75"/>
        <v>7.8860704961165613E-3</v>
      </c>
      <c r="P1992" s="180"/>
      <c r="Q1992" s="180"/>
      <c r="R1992" s="180"/>
      <c r="S1992" s="180"/>
      <c r="T1992" s="180"/>
    </row>
    <row r="1993" spans="1:20" x14ac:dyDescent="0.25">
      <c r="A1993" t="s">
        <v>246</v>
      </c>
      <c r="B1993" t="s">
        <v>237</v>
      </c>
      <c r="C1993" t="s">
        <v>238</v>
      </c>
      <c r="D1993" t="s">
        <v>250</v>
      </c>
      <c r="E1993" t="s">
        <v>228</v>
      </c>
      <c r="F1993">
        <v>2011</v>
      </c>
      <c r="G1993">
        <v>4.5675492957746402E-4</v>
      </c>
      <c r="H1993" t="s">
        <v>240</v>
      </c>
      <c r="I1993" t="s">
        <v>241</v>
      </c>
      <c r="J1993" t="s">
        <v>2</v>
      </c>
      <c r="K1993" s="183">
        <f ca="1">VLOOKUP(F1993,
    OFFSET(INDIRECT(ADDRESS(MATCH(J1993,'Vehicle numbers'!$A$5:$A$162,0),1,1,1,$L$6)),4,1,COUNTIF('Vehicle numbers'!$A$5:$A$162,J1993),4),
    MATCH(K$8,'Vehicle numbers'!$B$4:$D$4,0))*1000</f>
        <v>28467289</v>
      </c>
      <c r="L1993" s="183">
        <f ca="1">VLOOKUP(F1993,
    OFFSET(INDIRECT(ADDRESS(MATCH(J1993,'Vehicle numbers'!$A$5:$A$162,0),1,1,1,$L$6)),4,1,COUNTIF('Vehicle numbers'!$A$5:$A$162,J1993),4),
    MATCH(L$8,'Vehicle numbers'!$B$4:$D$4,0))*1000</f>
        <v>29342159.918542709</v>
      </c>
      <c r="M1993" s="184">
        <f>VLOOKUP(F1993,'Annual distance covered (GB)'!$A$8:$H$33,MATCH(J1993,'Annual distance covered (GB)'!$A$7:$H$7,0))</f>
        <v>393.2</v>
      </c>
      <c r="N1993" s="2">
        <f t="shared" ca="1" si="74"/>
        <v>185115.47330076288</v>
      </c>
      <c r="O1993" s="180">
        <f t="shared" ca="1" si="75"/>
        <v>6.3088563968932499E-3</v>
      </c>
      <c r="P1993" s="180"/>
      <c r="Q1993" s="180"/>
      <c r="R1993" s="180"/>
      <c r="S1993" s="180"/>
      <c r="T1993" s="180"/>
    </row>
    <row r="1994" spans="1:20" x14ac:dyDescent="0.25">
      <c r="A1994" t="s">
        <v>236</v>
      </c>
      <c r="B1994" t="s">
        <v>237</v>
      </c>
      <c r="C1994" t="s">
        <v>238</v>
      </c>
      <c r="D1994" t="s">
        <v>255</v>
      </c>
      <c r="E1994" t="s">
        <v>229</v>
      </c>
      <c r="F1994">
        <v>2011</v>
      </c>
      <c r="G1994">
        <v>5.5269999999999903E-3</v>
      </c>
      <c r="H1994" t="s">
        <v>240</v>
      </c>
      <c r="I1994" t="s">
        <v>241</v>
      </c>
      <c r="J1994" t="s">
        <v>2</v>
      </c>
      <c r="K1994" s="183">
        <f ca="1">VLOOKUP(F1994,
    OFFSET(INDIRECT(ADDRESS(MATCH(J1994,'Vehicle numbers'!$A$5:$A$162,0),1,1,1,$L$6)),4,1,COUNTIF('Vehicle numbers'!$A$5:$A$162,J1994),4),
    MATCH(K$8,'Vehicle numbers'!$B$4:$D$4,0))*1000</f>
        <v>28467289</v>
      </c>
      <c r="L1994" s="183">
        <f ca="1">VLOOKUP(F1994,
    OFFSET(INDIRECT(ADDRESS(MATCH(J1994,'Vehicle numbers'!$A$5:$A$162,0),1,1,1,$L$6)),4,1,COUNTIF('Vehicle numbers'!$A$5:$A$162,J1994),4),
    MATCH(L$8,'Vehicle numbers'!$B$4:$D$4,0))*1000</f>
        <v>29342159.918542709</v>
      </c>
      <c r="M1994" s="184">
        <f>VLOOKUP(F1994,'Annual distance covered (GB)'!$A$8:$H$33,MATCH(J1994,'Annual distance covered (GB)'!$A$7:$H$7,0))</f>
        <v>393.2</v>
      </c>
      <c r="N1994" s="2">
        <f t="shared" ca="1" si="74"/>
        <v>2240004.7699097572</v>
      </c>
      <c r="O1994" s="180">
        <f t="shared" ca="1" si="75"/>
        <v>7.6340827537177705E-2</v>
      </c>
      <c r="P1994" s="180"/>
      <c r="Q1994" s="180"/>
      <c r="R1994" s="180"/>
      <c r="S1994" s="180"/>
      <c r="T1994" s="180"/>
    </row>
    <row r="1995" spans="1:20" x14ac:dyDescent="0.25">
      <c r="A1995" t="s">
        <v>243</v>
      </c>
      <c r="B1995" t="s">
        <v>237</v>
      </c>
      <c r="C1995" t="s">
        <v>238</v>
      </c>
      <c r="D1995" t="s">
        <v>255</v>
      </c>
      <c r="E1995" t="s">
        <v>229</v>
      </c>
      <c r="F1995">
        <v>2011</v>
      </c>
      <c r="G1995">
        <v>2.2108000000000002E-3</v>
      </c>
      <c r="H1995" t="s">
        <v>240</v>
      </c>
      <c r="I1995" t="s">
        <v>241</v>
      </c>
      <c r="J1995" t="s">
        <v>2</v>
      </c>
      <c r="K1995" s="183">
        <f ca="1">VLOOKUP(F1995,
    OFFSET(INDIRECT(ADDRESS(MATCH(J1995,'Vehicle numbers'!$A$5:$A$162,0),1,1,1,$L$6)),4,1,COUNTIF('Vehicle numbers'!$A$5:$A$162,J1995),4),
    MATCH(K$8,'Vehicle numbers'!$B$4:$D$4,0))*1000</f>
        <v>28467289</v>
      </c>
      <c r="L1995" s="183">
        <f ca="1">VLOOKUP(F1995,
    OFFSET(INDIRECT(ADDRESS(MATCH(J1995,'Vehicle numbers'!$A$5:$A$162,0),1,1,1,$L$6)),4,1,COUNTIF('Vehicle numbers'!$A$5:$A$162,J1995),4),
    MATCH(L$8,'Vehicle numbers'!$B$4:$D$4,0))*1000</f>
        <v>29342159.918542709</v>
      </c>
      <c r="M1995" s="184">
        <f>VLOOKUP(F1995,'Annual distance covered (GB)'!$A$8:$H$33,MATCH(J1995,'Annual distance covered (GB)'!$A$7:$H$7,0))</f>
        <v>393.2</v>
      </c>
      <c r="N1995" s="2">
        <f t="shared" ref="N1995:N2058" ca="1" si="76">M1995*G1995*1000000*(L1995/K1995)</f>
        <v>896001.90796390455</v>
      </c>
      <c r="O1995" s="180">
        <f t="shared" ref="O1995:O2058" ca="1" si="77">N1995/L1995</f>
        <v>3.0536331014871139E-2</v>
      </c>
      <c r="P1995" s="180"/>
      <c r="Q1995" s="180"/>
      <c r="R1995" s="180"/>
      <c r="S1995" s="180"/>
      <c r="T1995" s="180"/>
    </row>
    <row r="1996" spans="1:20" x14ac:dyDescent="0.25">
      <c r="A1996" t="s">
        <v>244</v>
      </c>
      <c r="B1996" t="s">
        <v>237</v>
      </c>
      <c r="C1996" t="s">
        <v>238</v>
      </c>
      <c r="D1996" t="s">
        <v>255</v>
      </c>
      <c r="E1996" t="s">
        <v>229</v>
      </c>
      <c r="F1996">
        <v>2011</v>
      </c>
      <c r="G1996">
        <v>5.5270000000000004E-4</v>
      </c>
      <c r="H1996" t="s">
        <v>240</v>
      </c>
      <c r="I1996" t="s">
        <v>241</v>
      </c>
      <c r="J1996" t="s">
        <v>2</v>
      </c>
      <c r="K1996" s="183">
        <f ca="1">VLOOKUP(F1996,
    OFFSET(INDIRECT(ADDRESS(MATCH(J1996,'Vehicle numbers'!$A$5:$A$162,0),1,1,1,$L$6)),4,1,COUNTIF('Vehicle numbers'!$A$5:$A$162,J1996),4),
    MATCH(K$8,'Vehicle numbers'!$B$4:$D$4,0))*1000</f>
        <v>28467289</v>
      </c>
      <c r="L1996" s="183">
        <f ca="1">VLOOKUP(F1996,
    OFFSET(INDIRECT(ADDRESS(MATCH(J1996,'Vehicle numbers'!$A$5:$A$162,0),1,1,1,$L$6)),4,1,COUNTIF('Vehicle numbers'!$A$5:$A$162,J1996),4),
    MATCH(L$8,'Vehicle numbers'!$B$4:$D$4,0))*1000</f>
        <v>29342159.918542709</v>
      </c>
      <c r="M1996" s="184">
        <f>VLOOKUP(F1996,'Annual distance covered (GB)'!$A$8:$H$33,MATCH(J1996,'Annual distance covered (GB)'!$A$7:$H$7,0))</f>
        <v>393.2</v>
      </c>
      <c r="N1996" s="2">
        <f t="shared" ca="1" si="76"/>
        <v>224000.47699097614</v>
      </c>
      <c r="O1996" s="180">
        <f t="shared" ca="1" si="77"/>
        <v>7.6340827537177847E-3</v>
      </c>
      <c r="P1996" s="180"/>
      <c r="Q1996" s="180"/>
      <c r="R1996" s="180"/>
      <c r="S1996" s="180"/>
      <c r="T1996" s="180"/>
    </row>
    <row r="1997" spans="1:20" x14ac:dyDescent="0.25">
      <c r="A1997" t="s">
        <v>246</v>
      </c>
      <c r="B1997" t="s">
        <v>237</v>
      </c>
      <c r="C1997" t="s">
        <v>238</v>
      </c>
      <c r="D1997" t="s">
        <v>255</v>
      </c>
      <c r="E1997" t="s">
        <v>229</v>
      </c>
      <c r="F1997">
        <v>2011</v>
      </c>
      <c r="G1997">
        <v>4.4215999999999998E-4</v>
      </c>
      <c r="H1997" t="s">
        <v>240</v>
      </c>
      <c r="I1997" t="s">
        <v>241</v>
      </c>
      <c r="J1997" t="s">
        <v>2</v>
      </c>
      <c r="K1997" s="183">
        <f ca="1">VLOOKUP(F1997,
    OFFSET(INDIRECT(ADDRESS(MATCH(J1997,'Vehicle numbers'!$A$5:$A$162,0),1,1,1,$L$6)),4,1,COUNTIF('Vehicle numbers'!$A$5:$A$162,J1997),4),
    MATCH(K$8,'Vehicle numbers'!$B$4:$D$4,0))*1000</f>
        <v>28467289</v>
      </c>
      <c r="L1997" s="183">
        <f ca="1">VLOOKUP(F1997,
    OFFSET(INDIRECT(ADDRESS(MATCH(J1997,'Vehicle numbers'!$A$5:$A$162,0),1,1,1,$L$6)),4,1,COUNTIF('Vehicle numbers'!$A$5:$A$162,J1997),4),
    MATCH(L$8,'Vehicle numbers'!$B$4:$D$4,0))*1000</f>
        <v>29342159.918542709</v>
      </c>
      <c r="M1997" s="184">
        <f>VLOOKUP(F1997,'Annual distance covered (GB)'!$A$8:$H$33,MATCH(J1997,'Annual distance covered (GB)'!$A$7:$H$7,0))</f>
        <v>393.2</v>
      </c>
      <c r="N1997" s="2">
        <f t="shared" ca="1" si="76"/>
        <v>179200.38159278088</v>
      </c>
      <c r="O1997" s="180">
        <f t="shared" ca="1" si="77"/>
        <v>6.1072662029742269E-3</v>
      </c>
      <c r="P1997" s="180"/>
      <c r="Q1997" s="180"/>
      <c r="R1997" s="180"/>
      <c r="S1997" s="180"/>
      <c r="T1997" s="180"/>
    </row>
    <row r="1998" spans="1:20" x14ac:dyDescent="0.25">
      <c r="A1998" t="s">
        <v>236</v>
      </c>
      <c r="B1998" t="s">
        <v>237</v>
      </c>
      <c r="C1998" t="s">
        <v>238</v>
      </c>
      <c r="D1998" t="s">
        <v>255</v>
      </c>
      <c r="E1998" t="s">
        <v>228</v>
      </c>
      <c r="F1998">
        <v>2011</v>
      </c>
      <c r="G1998">
        <v>6.7999999999999901E-3</v>
      </c>
      <c r="H1998" t="s">
        <v>240</v>
      </c>
      <c r="I1998" t="s">
        <v>241</v>
      </c>
      <c r="J1998" t="s">
        <v>2</v>
      </c>
      <c r="K1998" s="183">
        <f ca="1">VLOOKUP(F1998,
    OFFSET(INDIRECT(ADDRESS(MATCH(J1998,'Vehicle numbers'!$A$5:$A$162,0),1,1,1,$L$6)),4,1,COUNTIF('Vehicle numbers'!$A$5:$A$162,J1998),4),
    MATCH(K$8,'Vehicle numbers'!$B$4:$D$4,0))*1000</f>
        <v>28467289</v>
      </c>
      <c r="L1998" s="183">
        <f ca="1">VLOOKUP(F1998,
    OFFSET(INDIRECT(ADDRESS(MATCH(J1998,'Vehicle numbers'!$A$5:$A$162,0),1,1,1,$L$6)),4,1,COUNTIF('Vehicle numbers'!$A$5:$A$162,J1998),4),
    MATCH(L$8,'Vehicle numbers'!$B$4:$D$4,0))*1000</f>
        <v>29342159.918542709</v>
      </c>
      <c r="M1998" s="184">
        <f>VLOOKUP(F1998,'Annual distance covered (GB)'!$A$8:$H$33,MATCH(J1998,'Annual distance covered (GB)'!$A$7:$H$7,0))</f>
        <v>393.2</v>
      </c>
      <c r="N1998" s="2">
        <f t="shared" ca="1" si="76"/>
        <v>2755931.3253820073</v>
      </c>
      <c r="O1998" s="180">
        <f t="shared" ca="1" si="77"/>
        <v>9.3923941967217039E-2</v>
      </c>
      <c r="P1998" s="180"/>
      <c r="Q1998" s="180"/>
      <c r="R1998" s="180"/>
      <c r="S1998" s="180"/>
      <c r="T1998" s="180"/>
    </row>
    <row r="1999" spans="1:20" x14ac:dyDescent="0.25">
      <c r="A1999" t="s">
        <v>243</v>
      </c>
      <c r="B1999" t="s">
        <v>237</v>
      </c>
      <c r="C1999" t="s">
        <v>238</v>
      </c>
      <c r="D1999" t="s">
        <v>255</v>
      </c>
      <c r="E1999" t="s">
        <v>228</v>
      </c>
      <c r="F1999">
        <v>2011</v>
      </c>
      <c r="G1999">
        <v>4.7599999999999899E-3</v>
      </c>
      <c r="H1999" t="s">
        <v>240</v>
      </c>
      <c r="I1999" t="s">
        <v>241</v>
      </c>
      <c r="J1999" t="s">
        <v>2</v>
      </c>
      <c r="K1999" s="183">
        <f ca="1">VLOOKUP(F1999,
    OFFSET(INDIRECT(ADDRESS(MATCH(J1999,'Vehicle numbers'!$A$5:$A$162,0),1,1,1,$L$6)),4,1,COUNTIF('Vehicle numbers'!$A$5:$A$162,J1999),4),
    MATCH(K$8,'Vehicle numbers'!$B$4:$D$4,0))*1000</f>
        <v>28467289</v>
      </c>
      <c r="L1999" s="183">
        <f ca="1">VLOOKUP(F1999,
    OFFSET(INDIRECT(ADDRESS(MATCH(J1999,'Vehicle numbers'!$A$5:$A$162,0),1,1,1,$L$6)),4,1,COUNTIF('Vehicle numbers'!$A$5:$A$162,J1999),4),
    MATCH(L$8,'Vehicle numbers'!$B$4:$D$4,0))*1000</f>
        <v>29342159.918542709</v>
      </c>
      <c r="M1999" s="184">
        <f>VLOOKUP(F1999,'Annual distance covered (GB)'!$A$8:$H$33,MATCH(J1999,'Annual distance covered (GB)'!$A$7:$H$7,0))</f>
        <v>393.2</v>
      </c>
      <c r="N1999" s="2">
        <f t="shared" ca="1" si="76"/>
        <v>1929151.9277674037</v>
      </c>
      <c r="O1999" s="180">
        <f t="shared" ca="1" si="77"/>
        <v>6.5746759377051878E-2</v>
      </c>
      <c r="P1999" s="180"/>
      <c r="Q1999" s="180"/>
      <c r="R1999" s="180"/>
      <c r="S1999" s="180"/>
      <c r="T1999" s="180"/>
    </row>
    <row r="2000" spans="1:20" x14ac:dyDescent="0.25">
      <c r="A2000" t="s">
        <v>244</v>
      </c>
      <c r="B2000" t="s">
        <v>237</v>
      </c>
      <c r="C2000" t="s">
        <v>238</v>
      </c>
      <c r="D2000" t="s">
        <v>255</v>
      </c>
      <c r="E2000" t="s">
        <v>228</v>
      </c>
      <c r="F2000">
        <v>2011</v>
      </c>
      <c r="G2000">
        <v>6.7042253521126501E-4</v>
      </c>
      <c r="H2000" t="s">
        <v>240</v>
      </c>
      <c r="I2000" t="s">
        <v>241</v>
      </c>
      <c r="J2000" t="s">
        <v>2</v>
      </c>
      <c r="K2000" s="183">
        <f ca="1">VLOOKUP(F2000,
    OFFSET(INDIRECT(ADDRESS(MATCH(J2000,'Vehicle numbers'!$A$5:$A$162,0),1,1,1,$L$6)),4,1,COUNTIF('Vehicle numbers'!$A$5:$A$162,J2000),4),
    MATCH(K$8,'Vehicle numbers'!$B$4:$D$4,0))*1000</f>
        <v>28467289</v>
      </c>
      <c r="L2000" s="183">
        <f ca="1">VLOOKUP(F2000,
    OFFSET(INDIRECT(ADDRESS(MATCH(J2000,'Vehicle numbers'!$A$5:$A$162,0),1,1,1,$L$6)),4,1,COUNTIF('Vehicle numbers'!$A$5:$A$162,J2000),4),
    MATCH(L$8,'Vehicle numbers'!$B$4:$D$4,0))*1000</f>
        <v>29342159.918542709</v>
      </c>
      <c r="M2000" s="184">
        <f>VLOOKUP(F2000,'Annual distance covered (GB)'!$A$8:$H$33,MATCH(J2000,'Annual distance covered (GB)'!$A$7:$H$7,0))</f>
        <v>393.2</v>
      </c>
      <c r="N2000" s="2">
        <f t="shared" ca="1" si="76"/>
        <v>271711.53912216902</v>
      </c>
      <c r="O2000" s="180">
        <f t="shared" ca="1" si="77"/>
        <v>9.260106954514331E-3</v>
      </c>
      <c r="P2000" s="180"/>
      <c r="Q2000" s="180"/>
      <c r="R2000" s="180"/>
      <c r="S2000" s="180"/>
      <c r="T2000" s="180"/>
    </row>
    <row r="2001" spans="1:20" x14ac:dyDescent="0.25">
      <c r="A2001" t="s">
        <v>246</v>
      </c>
      <c r="B2001" t="s">
        <v>237</v>
      </c>
      <c r="C2001" t="s">
        <v>238</v>
      </c>
      <c r="D2001" t="s">
        <v>255</v>
      </c>
      <c r="E2001" t="s">
        <v>228</v>
      </c>
      <c r="F2001">
        <v>2011</v>
      </c>
      <c r="G2001">
        <v>5.3633802816901196E-4</v>
      </c>
      <c r="H2001" t="s">
        <v>240</v>
      </c>
      <c r="I2001" t="s">
        <v>241</v>
      </c>
      <c r="J2001" t="s">
        <v>2</v>
      </c>
      <c r="K2001" s="183">
        <f ca="1">VLOOKUP(F2001,
    OFFSET(INDIRECT(ADDRESS(MATCH(J2001,'Vehicle numbers'!$A$5:$A$162,0),1,1,1,$L$6)),4,1,COUNTIF('Vehicle numbers'!$A$5:$A$162,J2001),4),
    MATCH(K$8,'Vehicle numbers'!$B$4:$D$4,0))*1000</f>
        <v>28467289</v>
      </c>
      <c r="L2001" s="183">
        <f ca="1">VLOOKUP(F2001,
    OFFSET(INDIRECT(ADDRESS(MATCH(J2001,'Vehicle numbers'!$A$5:$A$162,0),1,1,1,$L$6)),4,1,COUNTIF('Vehicle numbers'!$A$5:$A$162,J2001),4),
    MATCH(L$8,'Vehicle numbers'!$B$4:$D$4,0))*1000</f>
        <v>29342159.918542709</v>
      </c>
      <c r="M2001" s="184">
        <f>VLOOKUP(F2001,'Annual distance covered (GB)'!$A$8:$H$33,MATCH(J2001,'Annual distance covered (GB)'!$A$7:$H$7,0))</f>
        <v>393.2</v>
      </c>
      <c r="N2001" s="2">
        <f t="shared" ca="1" si="76"/>
        <v>217369.23129773524</v>
      </c>
      <c r="O2001" s="180">
        <f t="shared" ca="1" si="77"/>
        <v>7.4080855636114665E-3</v>
      </c>
      <c r="P2001" s="180"/>
      <c r="Q2001" s="180"/>
      <c r="R2001" s="180"/>
      <c r="S2001" s="180"/>
      <c r="T2001" s="180"/>
    </row>
    <row r="2002" spans="1:20" x14ac:dyDescent="0.25">
      <c r="A2002" t="s">
        <v>236</v>
      </c>
      <c r="B2002" t="s">
        <v>237</v>
      </c>
      <c r="C2002" t="s">
        <v>238</v>
      </c>
      <c r="D2002" t="s">
        <v>256</v>
      </c>
      <c r="E2002" t="s">
        <v>229</v>
      </c>
      <c r="F2002">
        <v>2011</v>
      </c>
      <c r="G2002">
        <v>1.17237575625959E-2</v>
      </c>
      <c r="H2002" t="s">
        <v>240</v>
      </c>
      <c r="I2002" t="s">
        <v>241</v>
      </c>
      <c r="J2002" t="s">
        <v>2</v>
      </c>
      <c r="K2002" s="183">
        <f ca="1">VLOOKUP(F2002,
    OFFSET(INDIRECT(ADDRESS(MATCH(J2002,'Vehicle numbers'!$A$5:$A$162,0),1,1,1,$L$6)),4,1,COUNTIF('Vehicle numbers'!$A$5:$A$162,J2002),4),
    MATCH(K$8,'Vehicle numbers'!$B$4:$D$4,0))*1000</f>
        <v>28467289</v>
      </c>
      <c r="L2002" s="183">
        <f ca="1">VLOOKUP(F2002,
    OFFSET(INDIRECT(ADDRESS(MATCH(J2002,'Vehicle numbers'!$A$5:$A$162,0),1,1,1,$L$6)),4,1,COUNTIF('Vehicle numbers'!$A$5:$A$162,J2002),4),
    MATCH(L$8,'Vehicle numbers'!$B$4:$D$4,0))*1000</f>
        <v>29342159.918542709</v>
      </c>
      <c r="M2002" s="184">
        <f>VLOOKUP(F2002,'Annual distance covered (GB)'!$A$8:$H$33,MATCH(J2002,'Annual distance covered (GB)'!$A$7:$H$7,0))</f>
        <v>393.2</v>
      </c>
      <c r="N2002" s="2">
        <f t="shared" ca="1" si="76"/>
        <v>4751451.5761679849</v>
      </c>
      <c r="O2002" s="180">
        <f t="shared" ca="1" si="77"/>
        <v>0.1619325771980854</v>
      </c>
      <c r="P2002" s="180"/>
      <c r="Q2002" s="180"/>
      <c r="R2002" s="180"/>
      <c r="S2002" s="180"/>
      <c r="T2002" s="180"/>
    </row>
    <row r="2003" spans="1:20" x14ac:dyDescent="0.25">
      <c r="A2003" t="s">
        <v>243</v>
      </c>
      <c r="B2003" t="s">
        <v>237</v>
      </c>
      <c r="C2003" t="s">
        <v>238</v>
      </c>
      <c r="D2003" t="s">
        <v>256</v>
      </c>
      <c r="E2003" t="s">
        <v>229</v>
      </c>
      <c r="F2003">
        <v>2011</v>
      </c>
      <c r="G2003">
        <v>4.6895030250383597E-3</v>
      </c>
      <c r="H2003" t="s">
        <v>240</v>
      </c>
      <c r="I2003" t="s">
        <v>241</v>
      </c>
      <c r="J2003" t="s">
        <v>2</v>
      </c>
      <c r="K2003" s="183">
        <f ca="1">VLOOKUP(F2003,
    OFFSET(INDIRECT(ADDRESS(MATCH(J2003,'Vehicle numbers'!$A$5:$A$162,0),1,1,1,$L$6)),4,1,COUNTIF('Vehicle numbers'!$A$5:$A$162,J2003),4),
    MATCH(K$8,'Vehicle numbers'!$B$4:$D$4,0))*1000</f>
        <v>28467289</v>
      </c>
      <c r="L2003" s="183">
        <f ca="1">VLOOKUP(F2003,
    OFFSET(INDIRECT(ADDRESS(MATCH(J2003,'Vehicle numbers'!$A$5:$A$162,0),1,1,1,$L$6)),4,1,COUNTIF('Vehicle numbers'!$A$5:$A$162,J2003),4),
    MATCH(L$8,'Vehicle numbers'!$B$4:$D$4,0))*1000</f>
        <v>29342159.918542709</v>
      </c>
      <c r="M2003" s="184">
        <f>VLOOKUP(F2003,'Annual distance covered (GB)'!$A$8:$H$33,MATCH(J2003,'Annual distance covered (GB)'!$A$7:$H$7,0))</f>
        <v>393.2</v>
      </c>
      <c r="N2003" s="2">
        <f t="shared" ca="1" si="76"/>
        <v>1900580.6304671937</v>
      </c>
      <c r="O2003" s="180">
        <f t="shared" ca="1" si="77"/>
        <v>6.4773030879234153E-2</v>
      </c>
      <c r="P2003" s="180"/>
      <c r="Q2003" s="180"/>
      <c r="R2003" s="180"/>
      <c r="S2003" s="180"/>
      <c r="T2003" s="180"/>
    </row>
    <row r="2004" spans="1:20" x14ac:dyDescent="0.25">
      <c r="A2004" t="s">
        <v>244</v>
      </c>
      <c r="B2004" t="s">
        <v>237</v>
      </c>
      <c r="C2004" t="s">
        <v>238</v>
      </c>
      <c r="D2004" t="s">
        <v>256</v>
      </c>
      <c r="E2004" t="s">
        <v>229</v>
      </c>
      <c r="F2004">
        <v>2011</v>
      </c>
      <c r="G2004">
        <v>1.1723757562595899E-3</v>
      </c>
      <c r="H2004" t="s">
        <v>240</v>
      </c>
      <c r="I2004" t="s">
        <v>241</v>
      </c>
      <c r="J2004" t="s">
        <v>2</v>
      </c>
      <c r="K2004" s="183">
        <f ca="1">VLOOKUP(F2004,
    OFFSET(INDIRECT(ADDRESS(MATCH(J2004,'Vehicle numbers'!$A$5:$A$162,0),1,1,1,$L$6)),4,1,COUNTIF('Vehicle numbers'!$A$5:$A$162,J2004),4),
    MATCH(K$8,'Vehicle numbers'!$B$4:$D$4,0))*1000</f>
        <v>28467289</v>
      </c>
      <c r="L2004" s="183">
        <f ca="1">VLOOKUP(F2004,
    OFFSET(INDIRECT(ADDRESS(MATCH(J2004,'Vehicle numbers'!$A$5:$A$162,0),1,1,1,$L$6)),4,1,COUNTIF('Vehicle numbers'!$A$5:$A$162,J2004),4),
    MATCH(L$8,'Vehicle numbers'!$B$4:$D$4,0))*1000</f>
        <v>29342159.918542709</v>
      </c>
      <c r="M2004" s="184">
        <f>VLOOKUP(F2004,'Annual distance covered (GB)'!$A$8:$H$33,MATCH(J2004,'Annual distance covered (GB)'!$A$7:$H$7,0))</f>
        <v>393.2</v>
      </c>
      <c r="N2004" s="2">
        <f t="shared" ca="1" si="76"/>
        <v>475145.15761679842</v>
      </c>
      <c r="O2004" s="180">
        <f t="shared" ca="1" si="77"/>
        <v>1.6193257719808538E-2</v>
      </c>
      <c r="P2004" s="180"/>
      <c r="Q2004" s="180"/>
      <c r="R2004" s="180"/>
      <c r="S2004" s="180"/>
      <c r="T2004" s="180"/>
    </row>
    <row r="2005" spans="1:20" x14ac:dyDescent="0.25">
      <c r="A2005" t="s">
        <v>246</v>
      </c>
      <c r="B2005" t="s">
        <v>237</v>
      </c>
      <c r="C2005" t="s">
        <v>238</v>
      </c>
      <c r="D2005" t="s">
        <v>256</v>
      </c>
      <c r="E2005" t="s">
        <v>229</v>
      </c>
      <c r="F2005">
        <v>2011</v>
      </c>
      <c r="G2005">
        <v>9.3790060500767197E-4</v>
      </c>
      <c r="H2005" t="s">
        <v>240</v>
      </c>
      <c r="I2005" t="s">
        <v>241</v>
      </c>
      <c r="J2005" t="s">
        <v>2</v>
      </c>
      <c r="K2005" s="183">
        <f ca="1">VLOOKUP(F2005,
    OFFSET(INDIRECT(ADDRESS(MATCH(J2005,'Vehicle numbers'!$A$5:$A$162,0),1,1,1,$L$6)),4,1,COUNTIF('Vehicle numbers'!$A$5:$A$162,J2005),4),
    MATCH(K$8,'Vehicle numbers'!$B$4:$D$4,0))*1000</f>
        <v>28467289</v>
      </c>
      <c r="L2005" s="183">
        <f ca="1">VLOOKUP(F2005,
    OFFSET(INDIRECT(ADDRESS(MATCH(J2005,'Vehicle numbers'!$A$5:$A$162,0),1,1,1,$L$6)),4,1,COUNTIF('Vehicle numbers'!$A$5:$A$162,J2005),4),
    MATCH(L$8,'Vehicle numbers'!$B$4:$D$4,0))*1000</f>
        <v>29342159.918542709</v>
      </c>
      <c r="M2005" s="184">
        <f>VLOOKUP(F2005,'Annual distance covered (GB)'!$A$8:$H$33,MATCH(J2005,'Annual distance covered (GB)'!$A$7:$H$7,0))</f>
        <v>393.2</v>
      </c>
      <c r="N2005" s="2">
        <f t="shared" ca="1" si="76"/>
        <v>380116.12609343871</v>
      </c>
      <c r="O2005" s="180">
        <f t="shared" ca="1" si="77"/>
        <v>1.2954606175846831E-2</v>
      </c>
      <c r="P2005" s="180"/>
      <c r="Q2005" s="180"/>
      <c r="R2005" s="180"/>
      <c r="S2005" s="180"/>
      <c r="T2005" s="180"/>
    </row>
    <row r="2006" spans="1:20" x14ac:dyDescent="0.25">
      <c r="A2006" t="s">
        <v>236</v>
      </c>
      <c r="B2006" t="s">
        <v>237</v>
      </c>
      <c r="C2006" t="s">
        <v>238</v>
      </c>
      <c r="D2006" t="s">
        <v>256</v>
      </c>
      <c r="E2006" t="s">
        <v>228</v>
      </c>
      <c r="F2006">
        <v>2011</v>
      </c>
      <c r="G2006">
        <v>8.7736494708598196E-3</v>
      </c>
      <c r="H2006" t="s">
        <v>240</v>
      </c>
      <c r="I2006" t="s">
        <v>241</v>
      </c>
      <c r="J2006" t="s">
        <v>2</v>
      </c>
      <c r="K2006" s="183">
        <f ca="1">VLOOKUP(F2006,
    OFFSET(INDIRECT(ADDRESS(MATCH(J2006,'Vehicle numbers'!$A$5:$A$162,0),1,1,1,$L$6)),4,1,COUNTIF('Vehicle numbers'!$A$5:$A$162,J2006),4),
    MATCH(K$8,'Vehicle numbers'!$B$4:$D$4,0))*1000</f>
        <v>28467289</v>
      </c>
      <c r="L2006" s="183">
        <f ca="1">VLOOKUP(F2006,
    OFFSET(INDIRECT(ADDRESS(MATCH(J2006,'Vehicle numbers'!$A$5:$A$162,0),1,1,1,$L$6)),4,1,COUNTIF('Vehicle numbers'!$A$5:$A$162,J2006),4),
    MATCH(L$8,'Vehicle numbers'!$B$4:$D$4,0))*1000</f>
        <v>29342159.918542709</v>
      </c>
      <c r="M2006" s="184">
        <f>VLOOKUP(F2006,'Annual distance covered (GB)'!$A$8:$H$33,MATCH(J2006,'Annual distance covered (GB)'!$A$7:$H$7,0))</f>
        <v>393.2</v>
      </c>
      <c r="N2006" s="2">
        <f t="shared" ca="1" si="76"/>
        <v>3555819.9139211592</v>
      </c>
      <c r="O2006" s="180">
        <f t="shared" ca="1" si="77"/>
        <v>0.12118466819731519</v>
      </c>
      <c r="P2006" s="180"/>
      <c r="Q2006" s="180"/>
      <c r="R2006" s="180"/>
      <c r="S2006" s="180"/>
      <c r="T2006" s="180"/>
    </row>
    <row r="2007" spans="1:20" x14ac:dyDescent="0.25">
      <c r="A2007" t="s">
        <v>243</v>
      </c>
      <c r="B2007" t="s">
        <v>237</v>
      </c>
      <c r="C2007" t="s">
        <v>238</v>
      </c>
      <c r="D2007" t="s">
        <v>256</v>
      </c>
      <c r="E2007" t="s">
        <v>228</v>
      </c>
      <c r="F2007">
        <v>2011</v>
      </c>
      <c r="G2007">
        <v>6.1415546296018702E-3</v>
      </c>
      <c r="H2007" t="s">
        <v>240</v>
      </c>
      <c r="I2007" t="s">
        <v>241</v>
      </c>
      <c r="J2007" t="s">
        <v>2</v>
      </c>
      <c r="K2007" s="183">
        <f ca="1">VLOOKUP(F2007,
    OFFSET(INDIRECT(ADDRESS(MATCH(J2007,'Vehicle numbers'!$A$5:$A$162,0),1,1,1,$L$6)),4,1,COUNTIF('Vehicle numbers'!$A$5:$A$162,J2007),4),
    MATCH(K$8,'Vehicle numbers'!$B$4:$D$4,0))*1000</f>
        <v>28467289</v>
      </c>
      <c r="L2007" s="183">
        <f ca="1">VLOOKUP(F2007,
    OFFSET(INDIRECT(ADDRESS(MATCH(J2007,'Vehicle numbers'!$A$5:$A$162,0),1,1,1,$L$6)),4,1,COUNTIF('Vehicle numbers'!$A$5:$A$162,J2007),4),
    MATCH(L$8,'Vehicle numbers'!$B$4:$D$4,0))*1000</f>
        <v>29342159.918542709</v>
      </c>
      <c r="M2007" s="184">
        <f>VLOOKUP(F2007,'Annual distance covered (GB)'!$A$8:$H$33,MATCH(J2007,'Annual distance covered (GB)'!$A$7:$H$7,0))</f>
        <v>393.2</v>
      </c>
      <c r="N2007" s="2">
        <f t="shared" ca="1" si="76"/>
        <v>2489073.9397448101</v>
      </c>
      <c r="O2007" s="180">
        <f t="shared" ca="1" si="77"/>
        <v>8.4829267738120592E-2</v>
      </c>
      <c r="P2007" s="180"/>
      <c r="Q2007" s="180"/>
      <c r="R2007" s="180"/>
      <c r="S2007" s="180"/>
      <c r="T2007" s="180"/>
    </row>
    <row r="2008" spans="1:20" x14ac:dyDescent="0.25">
      <c r="A2008" t="s">
        <v>244</v>
      </c>
      <c r="B2008" t="s">
        <v>237</v>
      </c>
      <c r="C2008" t="s">
        <v>238</v>
      </c>
      <c r="D2008" t="s">
        <v>256</v>
      </c>
      <c r="E2008" t="s">
        <v>228</v>
      </c>
      <c r="F2008">
        <v>2011</v>
      </c>
      <c r="G2008">
        <v>8.65007694310121E-4</v>
      </c>
      <c r="H2008" t="s">
        <v>240</v>
      </c>
      <c r="I2008" t="s">
        <v>241</v>
      </c>
      <c r="J2008" t="s">
        <v>2</v>
      </c>
      <c r="K2008" s="183">
        <f ca="1">VLOOKUP(F2008,
    OFFSET(INDIRECT(ADDRESS(MATCH(J2008,'Vehicle numbers'!$A$5:$A$162,0),1,1,1,$L$6)),4,1,COUNTIF('Vehicle numbers'!$A$5:$A$162,J2008),4),
    MATCH(K$8,'Vehicle numbers'!$B$4:$D$4,0))*1000</f>
        <v>28467289</v>
      </c>
      <c r="L2008" s="183">
        <f ca="1">VLOOKUP(F2008,
    OFFSET(INDIRECT(ADDRESS(MATCH(J2008,'Vehicle numbers'!$A$5:$A$162,0),1,1,1,$L$6)),4,1,COUNTIF('Vehicle numbers'!$A$5:$A$162,J2008),4),
    MATCH(L$8,'Vehicle numbers'!$B$4:$D$4,0))*1000</f>
        <v>29342159.918542709</v>
      </c>
      <c r="M2008" s="184">
        <f>VLOOKUP(F2008,'Annual distance covered (GB)'!$A$8:$H$33,MATCH(J2008,'Annual distance covered (GB)'!$A$7:$H$7,0))</f>
        <v>393.2</v>
      </c>
      <c r="N2008" s="2">
        <f t="shared" ca="1" si="76"/>
        <v>350573.79433025431</v>
      </c>
      <c r="O2008" s="180">
        <f t="shared" ca="1" si="77"/>
        <v>1.1947784188467666E-2</v>
      </c>
      <c r="P2008" s="180"/>
      <c r="Q2008" s="180"/>
      <c r="R2008" s="180"/>
      <c r="S2008" s="180"/>
      <c r="T2008" s="180"/>
    </row>
    <row r="2009" spans="1:20" x14ac:dyDescent="0.25">
      <c r="A2009" t="s">
        <v>246</v>
      </c>
      <c r="B2009" t="s">
        <v>237</v>
      </c>
      <c r="C2009" t="s">
        <v>238</v>
      </c>
      <c r="D2009" t="s">
        <v>256</v>
      </c>
      <c r="E2009" t="s">
        <v>228</v>
      </c>
      <c r="F2009">
        <v>2011</v>
      </c>
      <c r="G2009">
        <v>6.92006155448097E-4</v>
      </c>
      <c r="H2009" t="s">
        <v>240</v>
      </c>
      <c r="I2009" t="s">
        <v>241</v>
      </c>
      <c r="J2009" t="s">
        <v>2</v>
      </c>
      <c r="K2009" s="183">
        <f ca="1">VLOOKUP(F2009,
    OFFSET(INDIRECT(ADDRESS(MATCH(J2009,'Vehicle numbers'!$A$5:$A$162,0),1,1,1,$L$6)),4,1,COUNTIF('Vehicle numbers'!$A$5:$A$162,J2009),4),
    MATCH(K$8,'Vehicle numbers'!$B$4:$D$4,0))*1000</f>
        <v>28467289</v>
      </c>
      <c r="L2009" s="183">
        <f ca="1">VLOOKUP(F2009,
    OFFSET(INDIRECT(ADDRESS(MATCH(J2009,'Vehicle numbers'!$A$5:$A$162,0),1,1,1,$L$6)),4,1,COUNTIF('Vehicle numbers'!$A$5:$A$162,J2009),4),
    MATCH(L$8,'Vehicle numbers'!$B$4:$D$4,0))*1000</f>
        <v>29342159.918542709</v>
      </c>
      <c r="M2009" s="184">
        <f>VLOOKUP(F2009,'Annual distance covered (GB)'!$A$8:$H$33,MATCH(J2009,'Annual distance covered (GB)'!$A$7:$H$7,0))</f>
        <v>393.2</v>
      </c>
      <c r="N2009" s="2">
        <f t="shared" ca="1" si="76"/>
        <v>280459.03546420351</v>
      </c>
      <c r="O2009" s="180">
        <f t="shared" ca="1" si="77"/>
        <v>9.5582273507741362E-3</v>
      </c>
      <c r="P2009" s="180"/>
      <c r="Q2009" s="180"/>
      <c r="R2009" s="180"/>
      <c r="S2009" s="180"/>
      <c r="T2009" s="180"/>
    </row>
    <row r="2010" spans="1:20" x14ac:dyDescent="0.25">
      <c r="A2010" t="s">
        <v>236</v>
      </c>
      <c r="B2010" t="s">
        <v>237</v>
      </c>
      <c r="C2010" t="s">
        <v>238</v>
      </c>
      <c r="D2010" t="s">
        <v>265</v>
      </c>
      <c r="E2010" t="s">
        <v>229</v>
      </c>
      <c r="F2010">
        <v>2011</v>
      </c>
      <c r="G2010">
        <v>8.4410000000000006E-3</v>
      </c>
      <c r="H2010" t="s">
        <v>240</v>
      </c>
      <c r="I2010" t="s">
        <v>241</v>
      </c>
      <c r="J2010" t="s">
        <v>247</v>
      </c>
      <c r="K2010" s="183">
        <f ca="1">VLOOKUP(F2010,
    OFFSET(INDIRECT(ADDRESS(MATCH(J2010,'Vehicle numbers'!$A$5:$A$162,0),1,1,1,$L$6)),4,1,COUNTIF('Vehicle numbers'!$A$5:$A$162,J2010),4),
    MATCH(K$8,'Vehicle numbers'!$B$4:$D$4,0))*1000</f>
        <v>105942</v>
      </c>
      <c r="L2010" s="183">
        <f ca="1">VLOOKUP(F2010,
    OFFSET(INDIRECT(ADDRESS(MATCH(J2010,'Vehicle numbers'!$A$5:$A$162,0),1,1,1,$L$6)),4,1,COUNTIF('Vehicle numbers'!$A$5:$A$162,J2010),4),
    MATCH(L$8,'Vehicle numbers'!$B$4:$D$4,0))*1000</f>
        <v>111498.7256275018</v>
      </c>
      <c r="M2010" s="184">
        <f ca="1">VLOOKUP(F2010,'Annual distance covered (GB)'!$A$8:$H$33,MATCH(J2010,'Annual distance covered (GB)'!$A$7:$H$7,0))</f>
        <v>15.6</v>
      </c>
      <c r="N2010" s="2">
        <f t="shared" ca="1" si="76"/>
        <v>138586.27920125338</v>
      </c>
      <c r="O2010" s="180">
        <f t="shared" ca="1" si="77"/>
        <v>1.2429404768646994</v>
      </c>
      <c r="P2010" s="180"/>
      <c r="Q2010" s="180"/>
      <c r="R2010" s="180"/>
      <c r="S2010" s="180"/>
      <c r="T2010" s="180"/>
    </row>
    <row r="2011" spans="1:20" x14ac:dyDescent="0.25">
      <c r="A2011" t="s">
        <v>243</v>
      </c>
      <c r="B2011" t="s">
        <v>237</v>
      </c>
      <c r="C2011" t="s">
        <v>238</v>
      </c>
      <c r="D2011" t="s">
        <v>265</v>
      </c>
      <c r="E2011" t="s">
        <v>229</v>
      </c>
      <c r="F2011">
        <v>2011</v>
      </c>
      <c r="G2011">
        <v>3.3763999999999999E-3</v>
      </c>
      <c r="H2011" t="s">
        <v>240</v>
      </c>
      <c r="I2011" t="s">
        <v>241</v>
      </c>
      <c r="J2011" t="s">
        <v>247</v>
      </c>
      <c r="K2011" s="183">
        <f ca="1">VLOOKUP(F2011,
    OFFSET(INDIRECT(ADDRESS(MATCH(J2011,'Vehicle numbers'!$A$5:$A$162,0),1,1,1,$L$6)),4,1,COUNTIF('Vehicle numbers'!$A$5:$A$162,J2011),4),
    MATCH(K$8,'Vehicle numbers'!$B$4:$D$4,0))*1000</f>
        <v>105942</v>
      </c>
      <c r="L2011" s="183">
        <f ca="1">VLOOKUP(F2011,
    OFFSET(INDIRECT(ADDRESS(MATCH(J2011,'Vehicle numbers'!$A$5:$A$162,0),1,1,1,$L$6)),4,1,COUNTIF('Vehicle numbers'!$A$5:$A$162,J2011),4),
    MATCH(L$8,'Vehicle numbers'!$B$4:$D$4,0))*1000</f>
        <v>111498.7256275018</v>
      </c>
      <c r="M2011" s="184">
        <f ca="1">VLOOKUP(F2011,'Annual distance covered (GB)'!$A$8:$H$33,MATCH(J2011,'Annual distance covered (GB)'!$A$7:$H$7,0))</f>
        <v>15.6</v>
      </c>
      <c r="N2011" s="2">
        <f t="shared" ca="1" si="76"/>
        <v>55434.511680501346</v>
      </c>
      <c r="O2011" s="180">
        <f t="shared" ca="1" si="77"/>
        <v>0.49717619074587976</v>
      </c>
      <c r="P2011" s="180"/>
      <c r="Q2011" s="180"/>
      <c r="R2011" s="180"/>
      <c r="S2011" s="180"/>
      <c r="T2011" s="180"/>
    </row>
    <row r="2012" spans="1:20" x14ac:dyDescent="0.25">
      <c r="A2012" t="s">
        <v>244</v>
      </c>
      <c r="B2012" t="s">
        <v>237</v>
      </c>
      <c r="C2012" t="s">
        <v>238</v>
      </c>
      <c r="D2012" t="s">
        <v>265</v>
      </c>
      <c r="E2012" t="s">
        <v>229</v>
      </c>
      <c r="F2012">
        <v>2011</v>
      </c>
      <c r="G2012">
        <v>8.4409999999999997E-4</v>
      </c>
      <c r="H2012" t="s">
        <v>240</v>
      </c>
      <c r="I2012" t="s">
        <v>241</v>
      </c>
      <c r="J2012" t="s">
        <v>247</v>
      </c>
      <c r="K2012" s="183">
        <f ca="1">VLOOKUP(F2012,
    OFFSET(INDIRECT(ADDRESS(MATCH(J2012,'Vehicle numbers'!$A$5:$A$162,0),1,1,1,$L$6)),4,1,COUNTIF('Vehicle numbers'!$A$5:$A$162,J2012),4),
    MATCH(K$8,'Vehicle numbers'!$B$4:$D$4,0))*1000</f>
        <v>105942</v>
      </c>
      <c r="L2012" s="183">
        <f ca="1">VLOOKUP(F2012,
    OFFSET(INDIRECT(ADDRESS(MATCH(J2012,'Vehicle numbers'!$A$5:$A$162,0),1,1,1,$L$6)),4,1,COUNTIF('Vehicle numbers'!$A$5:$A$162,J2012),4),
    MATCH(L$8,'Vehicle numbers'!$B$4:$D$4,0))*1000</f>
        <v>111498.7256275018</v>
      </c>
      <c r="M2012" s="184">
        <f ca="1">VLOOKUP(F2012,'Annual distance covered (GB)'!$A$8:$H$33,MATCH(J2012,'Annual distance covered (GB)'!$A$7:$H$7,0))</f>
        <v>15.6</v>
      </c>
      <c r="N2012" s="2">
        <f t="shared" ca="1" si="76"/>
        <v>13858.627920125336</v>
      </c>
      <c r="O2012" s="180">
        <f t="shared" ca="1" si="77"/>
        <v>0.12429404768646994</v>
      </c>
      <c r="P2012" s="180"/>
      <c r="Q2012" s="180"/>
      <c r="R2012" s="180"/>
      <c r="S2012" s="180"/>
      <c r="T2012" s="180"/>
    </row>
    <row r="2013" spans="1:20" x14ac:dyDescent="0.25">
      <c r="A2013" t="s">
        <v>246</v>
      </c>
      <c r="B2013" t="s">
        <v>237</v>
      </c>
      <c r="C2013" t="s">
        <v>238</v>
      </c>
      <c r="D2013" t="s">
        <v>265</v>
      </c>
      <c r="E2013" t="s">
        <v>229</v>
      </c>
      <c r="F2013">
        <v>2011</v>
      </c>
      <c r="G2013">
        <v>6.7528E-4</v>
      </c>
      <c r="H2013" t="s">
        <v>240</v>
      </c>
      <c r="I2013" t="s">
        <v>241</v>
      </c>
      <c r="J2013" t="s">
        <v>247</v>
      </c>
      <c r="K2013" s="183">
        <f ca="1">VLOOKUP(F2013,
    OFFSET(INDIRECT(ADDRESS(MATCH(J2013,'Vehicle numbers'!$A$5:$A$162,0),1,1,1,$L$6)),4,1,COUNTIF('Vehicle numbers'!$A$5:$A$162,J2013),4),
    MATCH(K$8,'Vehicle numbers'!$B$4:$D$4,0))*1000</f>
        <v>105942</v>
      </c>
      <c r="L2013" s="183">
        <f ca="1">VLOOKUP(F2013,
    OFFSET(INDIRECT(ADDRESS(MATCH(J2013,'Vehicle numbers'!$A$5:$A$162,0),1,1,1,$L$6)),4,1,COUNTIF('Vehicle numbers'!$A$5:$A$162,J2013),4),
    MATCH(L$8,'Vehicle numbers'!$B$4:$D$4,0))*1000</f>
        <v>111498.7256275018</v>
      </c>
      <c r="M2013" s="184">
        <f ca="1">VLOOKUP(F2013,'Annual distance covered (GB)'!$A$8:$H$33,MATCH(J2013,'Annual distance covered (GB)'!$A$7:$H$7,0))</f>
        <v>15.6</v>
      </c>
      <c r="N2013" s="2">
        <f t="shared" ca="1" si="76"/>
        <v>11086.902336100271</v>
      </c>
      <c r="O2013" s="180">
        <f t="shared" ca="1" si="77"/>
        <v>9.9435238149175972E-2</v>
      </c>
      <c r="P2013" s="180"/>
      <c r="Q2013" s="180"/>
      <c r="R2013" s="180"/>
      <c r="S2013" s="180"/>
      <c r="T2013" s="180"/>
    </row>
    <row r="2014" spans="1:20" x14ac:dyDescent="0.25">
      <c r="A2014" t="s">
        <v>236</v>
      </c>
      <c r="B2014" t="s">
        <v>237</v>
      </c>
      <c r="C2014" t="s">
        <v>238</v>
      </c>
      <c r="D2014" t="s">
        <v>265</v>
      </c>
      <c r="E2014" t="s">
        <v>228</v>
      </c>
      <c r="F2014">
        <v>2011</v>
      </c>
      <c r="G2014">
        <v>3.1494399999999999E-2</v>
      </c>
      <c r="H2014" t="s">
        <v>240</v>
      </c>
      <c r="I2014" t="s">
        <v>241</v>
      </c>
      <c r="J2014" t="s">
        <v>247</v>
      </c>
      <c r="K2014" s="183">
        <f ca="1">VLOOKUP(F2014,
    OFFSET(INDIRECT(ADDRESS(MATCH(J2014,'Vehicle numbers'!$A$5:$A$162,0),1,1,1,$L$6)),4,1,COUNTIF('Vehicle numbers'!$A$5:$A$162,J2014),4),
    MATCH(K$8,'Vehicle numbers'!$B$4:$D$4,0))*1000</f>
        <v>105942</v>
      </c>
      <c r="L2014" s="183">
        <f ca="1">VLOOKUP(F2014,
    OFFSET(INDIRECT(ADDRESS(MATCH(J2014,'Vehicle numbers'!$A$5:$A$162,0),1,1,1,$L$6)),4,1,COUNTIF('Vehicle numbers'!$A$5:$A$162,J2014),4),
    MATCH(L$8,'Vehicle numbers'!$B$4:$D$4,0))*1000</f>
        <v>111498.7256275018</v>
      </c>
      <c r="M2014" s="184">
        <f ca="1">VLOOKUP(F2014,'Annual distance covered (GB)'!$A$8:$H$33,MATCH(J2014,'Annual distance covered (GB)'!$A$7:$H$7,0))</f>
        <v>15.6</v>
      </c>
      <c r="N2014" s="2">
        <f t="shared" ca="1" si="76"/>
        <v>517082.30205851846</v>
      </c>
      <c r="O2014" s="180">
        <f t="shared" ca="1" si="77"/>
        <v>4.6375624398255644</v>
      </c>
      <c r="P2014" s="180"/>
      <c r="Q2014" s="180"/>
      <c r="R2014" s="180"/>
      <c r="S2014" s="180"/>
      <c r="T2014" s="180"/>
    </row>
    <row r="2015" spans="1:20" x14ac:dyDescent="0.25">
      <c r="A2015" t="s">
        <v>243</v>
      </c>
      <c r="B2015" t="s">
        <v>237</v>
      </c>
      <c r="C2015" t="s">
        <v>238</v>
      </c>
      <c r="D2015" t="s">
        <v>265</v>
      </c>
      <c r="E2015" t="s">
        <v>228</v>
      </c>
      <c r="F2015">
        <v>2011</v>
      </c>
      <c r="G2015">
        <v>2.2046079999999999E-2</v>
      </c>
      <c r="H2015" t="s">
        <v>240</v>
      </c>
      <c r="I2015" t="s">
        <v>241</v>
      </c>
      <c r="J2015" t="s">
        <v>247</v>
      </c>
      <c r="K2015" s="183">
        <f ca="1">VLOOKUP(F2015,
    OFFSET(INDIRECT(ADDRESS(MATCH(J2015,'Vehicle numbers'!$A$5:$A$162,0),1,1,1,$L$6)),4,1,COUNTIF('Vehicle numbers'!$A$5:$A$162,J2015),4),
    MATCH(K$8,'Vehicle numbers'!$B$4:$D$4,0))*1000</f>
        <v>105942</v>
      </c>
      <c r="L2015" s="183">
        <f ca="1">VLOOKUP(F2015,
    OFFSET(INDIRECT(ADDRESS(MATCH(J2015,'Vehicle numbers'!$A$5:$A$162,0),1,1,1,$L$6)),4,1,COUNTIF('Vehicle numbers'!$A$5:$A$162,J2015),4),
    MATCH(L$8,'Vehicle numbers'!$B$4:$D$4,0))*1000</f>
        <v>111498.7256275018</v>
      </c>
      <c r="M2015" s="184">
        <f ca="1">VLOOKUP(F2015,'Annual distance covered (GB)'!$A$8:$H$33,MATCH(J2015,'Annual distance covered (GB)'!$A$7:$H$7,0))</f>
        <v>15.6</v>
      </c>
      <c r="N2015" s="2">
        <f t="shared" ca="1" si="76"/>
        <v>361957.61144096294</v>
      </c>
      <c r="O2015" s="180">
        <f t="shared" ca="1" si="77"/>
        <v>3.2462937078778955</v>
      </c>
      <c r="P2015" s="180"/>
      <c r="Q2015" s="180"/>
      <c r="R2015" s="180"/>
      <c r="S2015" s="180"/>
      <c r="T2015" s="180"/>
    </row>
    <row r="2016" spans="1:20" x14ac:dyDescent="0.25">
      <c r="A2016" t="s">
        <v>244</v>
      </c>
      <c r="B2016" t="s">
        <v>237</v>
      </c>
      <c r="C2016" t="s">
        <v>238</v>
      </c>
      <c r="D2016" t="s">
        <v>265</v>
      </c>
      <c r="E2016" t="s">
        <v>228</v>
      </c>
      <c r="F2016">
        <v>2011</v>
      </c>
      <c r="G2016">
        <v>3.1050816901408399E-3</v>
      </c>
      <c r="H2016" t="s">
        <v>240</v>
      </c>
      <c r="I2016" t="s">
        <v>241</v>
      </c>
      <c r="J2016" t="s">
        <v>247</v>
      </c>
      <c r="K2016" s="183">
        <f ca="1">VLOOKUP(F2016,
    OFFSET(INDIRECT(ADDRESS(MATCH(J2016,'Vehicle numbers'!$A$5:$A$162,0),1,1,1,$L$6)),4,1,COUNTIF('Vehicle numbers'!$A$5:$A$162,J2016),4),
    MATCH(K$8,'Vehicle numbers'!$B$4:$D$4,0))*1000</f>
        <v>105942</v>
      </c>
      <c r="L2016" s="183">
        <f ca="1">VLOOKUP(F2016,
    OFFSET(INDIRECT(ADDRESS(MATCH(J2016,'Vehicle numbers'!$A$5:$A$162,0),1,1,1,$L$6)),4,1,COUNTIF('Vehicle numbers'!$A$5:$A$162,J2016),4),
    MATCH(L$8,'Vehicle numbers'!$B$4:$D$4,0))*1000</f>
        <v>111498.7256275018</v>
      </c>
      <c r="M2016" s="184">
        <f ca="1">VLOOKUP(F2016,'Annual distance covered (GB)'!$A$8:$H$33,MATCH(J2016,'Annual distance covered (GB)'!$A$7:$H$7,0))</f>
        <v>15.6</v>
      </c>
      <c r="N2016" s="2">
        <f t="shared" ca="1" si="76"/>
        <v>50979.945273374971</v>
      </c>
      <c r="O2016" s="180">
        <f t="shared" ca="1" si="77"/>
        <v>0.4572244658982943</v>
      </c>
      <c r="P2016" s="180"/>
      <c r="Q2016" s="180"/>
      <c r="R2016" s="180"/>
      <c r="S2016" s="180"/>
      <c r="T2016" s="180"/>
    </row>
    <row r="2017" spans="1:20" x14ac:dyDescent="0.25">
      <c r="A2017" t="s">
        <v>246</v>
      </c>
      <c r="B2017" t="s">
        <v>237</v>
      </c>
      <c r="C2017" t="s">
        <v>238</v>
      </c>
      <c r="D2017" t="s">
        <v>265</v>
      </c>
      <c r="E2017" t="s">
        <v>228</v>
      </c>
      <c r="F2017">
        <v>2011</v>
      </c>
      <c r="G2017">
        <v>2.4840653521126699E-3</v>
      </c>
      <c r="H2017" t="s">
        <v>240</v>
      </c>
      <c r="I2017" t="s">
        <v>241</v>
      </c>
      <c r="J2017" t="s">
        <v>247</v>
      </c>
      <c r="K2017" s="183">
        <f ca="1">VLOOKUP(F2017,
    OFFSET(INDIRECT(ADDRESS(MATCH(J2017,'Vehicle numbers'!$A$5:$A$162,0),1,1,1,$L$6)),4,1,COUNTIF('Vehicle numbers'!$A$5:$A$162,J2017),4),
    MATCH(K$8,'Vehicle numbers'!$B$4:$D$4,0))*1000</f>
        <v>105942</v>
      </c>
      <c r="L2017" s="183">
        <f ca="1">VLOOKUP(F2017,
    OFFSET(INDIRECT(ADDRESS(MATCH(J2017,'Vehicle numbers'!$A$5:$A$162,0),1,1,1,$L$6)),4,1,COUNTIF('Vehicle numbers'!$A$5:$A$162,J2017),4),
    MATCH(L$8,'Vehicle numbers'!$B$4:$D$4,0))*1000</f>
        <v>111498.7256275018</v>
      </c>
      <c r="M2017" s="184">
        <f ca="1">VLOOKUP(F2017,'Annual distance covered (GB)'!$A$8:$H$33,MATCH(J2017,'Annual distance covered (GB)'!$A$7:$H$7,0))</f>
        <v>15.6</v>
      </c>
      <c r="N2017" s="2">
        <f t="shared" ca="1" si="76"/>
        <v>40783.956218699946</v>
      </c>
      <c r="O2017" s="180">
        <f t="shared" ca="1" si="77"/>
        <v>0.36577957271863515</v>
      </c>
      <c r="P2017" s="180"/>
      <c r="Q2017" s="180"/>
      <c r="R2017" s="180"/>
      <c r="S2017" s="180"/>
      <c r="T2017" s="180"/>
    </row>
    <row r="2018" spans="1:20" x14ac:dyDescent="0.25">
      <c r="A2018" t="s">
        <v>236</v>
      </c>
      <c r="B2018" t="s">
        <v>237</v>
      </c>
      <c r="C2018" t="s">
        <v>238</v>
      </c>
      <c r="D2018" t="s">
        <v>266</v>
      </c>
      <c r="E2018" t="s">
        <v>229</v>
      </c>
      <c r="F2018">
        <v>2011</v>
      </c>
      <c r="G2018">
        <v>2.7143E-2</v>
      </c>
      <c r="H2018" t="s">
        <v>240</v>
      </c>
      <c r="I2018" t="s">
        <v>241</v>
      </c>
      <c r="J2018" t="s">
        <v>247</v>
      </c>
      <c r="K2018" s="183">
        <f ca="1">VLOOKUP(F2018,
    OFFSET(INDIRECT(ADDRESS(MATCH(J2018,'Vehicle numbers'!$A$5:$A$162,0),1,1,1,$L$6)),4,1,COUNTIF('Vehicle numbers'!$A$5:$A$162,J2018),4),
    MATCH(K$8,'Vehicle numbers'!$B$4:$D$4,0))*1000</f>
        <v>105942</v>
      </c>
      <c r="L2018" s="183">
        <f ca="1">VLOOKUP(F2018,
    OFFSET(INDIRECT(ADDRESS(MATCH(J2018,'Vehicle numbers'!$A$5:$A$162,0),1,1,1,$L$6)),4,1,COUNTIF('Vehicle numbers'!$A$5:$A$162,J2018),4),
    MATCH(L$8,'Vehicle numbers'!$B$4:$D$4,0))*1000</f>
        <v>111498.7256275018</v>
      </c>
      <c r="M2018" s="184">
        <f ca="1">VLOOKUP(F2018,'Annual distance covered (GB)'!$A$8:$H$33,MATCH(J2018,'Annual distance covered (GB)'!$A$7:$H$7,0))</f>
        <v>15.6</v>
      </c>
      <c r="N2018" s="2">
        <f t="shared" ca="1" si="76"/>
        <v>445640.01615443913</v>
      </c>
      <c r="O2018" s="180">
        <f t="shared" ca="1" si="77"/>
        <v>3.996817126352155</v>
      </c>
      <c r="P2018" s="180"/>
      <c r="Q2018" s="180"/>
      <c r="R2018" s="180"/>
      <c r="S2018" s="180"/>
      <c r="T2018" s="180"/>
    </row>
    <row r="2019" spans="1:20" x14ac:dyDescent="0.25">
      <c r="A2019" t="s">
        <v>243</v>
      </c>
      <c r="B2019" t="s">
        <v>237</v>
      </c>
      <c r="C2019" t="s">
        <v>238</v>
      </c>
      <c r="D2019" t="s">
        <v>266</v>
      </c>
      <c r="E2019" t="s">
        <v>229</v>
      </c>
      <c r="F2019">
        <v>2011</v>
      </c>
      <c r="G2019">
        <v>1.0857199999999999E-2</v>
      </c>
      <c r="H2019" t="s">
        <v>240</v>
      </c>
      <c r="I2019" t="s">
        <v>241</v>
      </c>
      <c r="J2019" t="s">
        <v>247</v>
      </c>
      <c r="K2019" s="183">
        <f ca="1">VLOOKUP(F2019,
    OFFSET(INDIRECT(ADDRESS(MATCH(J2019,'Vehicle numbers'!$A$5:$A$162,0),1,1,1,$L$6)),4,1,COUNTIF('Vehicle numbers'!$A$5:$A$162,J2019),4),
    MATCH(K$8,'Vehicle numbers'!$B$4:$D$4,0))*1000</f>
        <v>105942</v>
      </c>
      <c r="L2019" s="183">
        <f ca="1">VLOOKUP(F2019,
    OFFSET(INDIRECT(ADDRESS(MATCH(J2019,'Vehicle numbers'!$A$5:$A$162,0),1,1,1,$L$6)),4,1,COUNTIF('Vehicle numbers'!$A$5:$A$162,J2019),4),
    MATCH(L$8,'Vehicle numbers'!$B$4:$D$4,0))*1000</f>
        <v>111498.7256275018</v>
      </c>
      <c r="M2019" s="184">
        <f ca="1">VLOOKUP(F2019,'Annual distance covered (GB)'!$A$8:$H$33,MATCH(J2019,'Annual distance covered (GB)'!$A$7:$H$7,0))</f>
        <v>15.6</v>
      </c>
      <c r="N2019" s="2">
        <f t="shared" ca="1" si="76"/>
        <v>178256.00646177566</v>
      </c>
      <c r="O2019" s="180">
        <f t="shared" ca="1" si="77"/>
        <v>1.5987268505408621</v>
      </c>
      <c r="P2019" s="180"/>
      <c r="Q2019" s="180"/>
      <c r="R2019" s="180"/>
      <c r="S2019" s="180"/>
      <c r="T2019" s="180"/>
    </row>
    <row r="2020" spans="1:20" x14ac:dyDescent="0.25">
      <c r="A2020" t="s">
        <v>244</v>
      </c>
      <c r="B2020" t="s">
        <v>237</v>
      </c>
      <c r="C2020" t="s">
        <v>238</v>
      </c>
      <c r="D2020" t="s">
        <v>266</v>
      </c>
      <c r="E2020" t="s">
        <v>229</v>
      </c>
      <c r="F2020">
        <v>2011</v>
      </c>
      <c r="G2020">
        <v>2.7142999999999998E-3</v>
      </c>
      <c r="H2020" t="s">
        <v>240</v>
      </c>
      <c r="I2020" t="s">
        <v>241</v>
      </c>
      <c r="J2020" t="s">
        <v>247</v>
      </c>
      <c r="K2020" s="183">
        <f ca="1">VLOOKUP(F2020,
    OFFSET(INDIRECT(ADDRESS(MATCH(J2020,'Vehicle numbers'!$A$5:$A$162,0),1,1,1,$L$6)),4,1,COUNTIF('Vehicle numbers'!$A$5:$A$162,J2020),4),
    MATCH(K$8,'Vehicle numbers'!$B$4:$D$4,0))*1000</f>
        <v>105942</v>
      </c>
      <c r="L2020" s="183">
        <f ca="1">VLOOKUP(F2020,
    OFFSET(INDIRECT(ADDRESS(MATCH(J2020,'Vehicle numbers'!$A$5:$A$162,0),1,1,1,$L$6)),4,1,COUNTIF('Vehicle numbers'!$A$5:$A$162,J2020),4),
    MATCH(L$8,'Vehicle numbers'!$B$4:$D$4,0))*1000</f>
        <v>111498.7256275018</v>
      </c>
      <c r="M2020" s="184">
        <f ca="1">VLOOKUP(F2020,'Annual distance covered (GB)'!$A$8:$H$33,MATCH(J2020,'Annual distance covered (GB)'!$A$7:$H$7,0))</f>
        <v>15.6</v>
      </c>
      <c r="N2020" s="2">
        <f t="shared" ca="1" si="76"/>
        <v>44564.001615443914</v>
      </c>
      <c r="O2020" s="180">
        <f t="shared" ca="1" si="77"/>
        <v>0.39968171263521551</v>
      </c>
      <c r="P2020" s="180"/>
      <c r="Q2020" s="180"/>
      <c r="R2020" s="180"/>
      <c r="S2020" s="180"/>
      <c r="T2020" s="180"/>
    </row>
    <row r="2021" spans="1:20" x14ac:dyDescent="0.25">
      <c r="A2021" t="s">
        <v>246</v>
      </c>
      <c r="B2021" t="s">
        <v>237</v>
      </c>
      <c r="C2021" t="s">
        <v>238</v>
      </c>
      <c r="D2021" t="s">
        <v>266</v>
      </c>
      <c r="E2021" t="s">
        <v>229</v>
      </c>
      <c r="F2021">
        <v>2011</v>
      </c>
      <c r="G2021">
        <v>2.1714400000000002E-3</v>
      </c>
      <c r="H2021" t="s">
        <v>240</v>
      </c>
      <c r="I2021" t="s">
        <v>241</v>
      </c>
      <c r="J2021" t="s">
        <v>247</v>
      </c>
      <c r="K2021" s="183">
        <f ca="1">VLOOKUP(F2021,
    OFFSET(INDIRECT(ADDRESS(MATCH(J2021,'Vehicle numbers'!$A$5:$A$162,0),1,1,1,$L$6)),4,1,COUNTIF('Vehicle numbers'!$A$5:$A$162,J2021),4),
    MATCH(K$8,'Vehicle numbers'!$B$4:$D$4,0))*1000</f>
        <v>105942</v>
      </c>
      <c r="L2021" s="183">
        <f ca="1">VLOOKUP(F2021,
    OFFSET(INDIRECT(ADDRESS(MATCH(J2021,'Vehicle numbers'!$A$5:$A$162,0),1,1,1,$L$6)),4,1,COUNTIF('Vehicle numbers'!$A$5:$A$162,J2021),4),
    MATCH(L$8,'Vehicle numbers'!$B$4:$D$4,0))*1000</f>
        <v>111498.7256275018</v>
      </c>
      <c r="M2021" s="184">
        <f ca="1">VLOOKUP(F2021,'Annual distance covered (GB)'!$A$8:$H$33,MATCH(J2021,'Annual distance covered (GB)'!$A$7:$H$7,0))</f>
        <v>15.6</v>
      </c>
      <c r="N2021" s="2">
        <f t="shared" ca="1" si="76"/>
        <v>35651.20129235513</v>
      </c>
      <c r="O2021" s="180">
        <f t="shared" ca="1" si="77"/>
        <v>0.31974537010817239</v>
      </c>
      <c r="P2021" s="180"/>
      <c r="Q2021" s="180"/>
      <c r="R2021" s="180"/>
      <c r="S2021" s="180"/>
      <c r="T2021" s="180"/>
    </row>
    <row r="2022" spans="1:20" x14ac:dyDescent="0.25">
      <c r="A2022" t="s">
        <v>236</v>
      </c>
      <c r="B2022" t="s">
        <v>237</v>
      </c>
      <c r="C2022" t="s">
        <v>238</v>
      </c>
      <c r="D2022" t="s">
        <v>266</v>
      </c>
      <c r="E2022" t="s">
        <v>228</v>
      </c>
      <c r="F2022">
        <v>2011</v>
      </c>
      <c r="G2022">
        <v>3.8239919999999997E-2</v>
      </c>
      <c r="H2022" t="s">
        <v>240</v>
      </c>
      <c r="I2022" t="s">
        <v>241</v>
      </c>
      <c r="J2022" t="s">
        <v>247</v>
      </c>
      <c r="K2022" s="183">
        <f ca="1">VLOOKUP(F2022,
    OFFSET(INDIRECT(ADDRESS(MATCH(J2022,'Vehicle numbers'!$A$5:$A$162,0),1,1,1,$L$6)),4,1,COUNTIF('Vehicle numbers'!$A$5:$A$162,J2022),4),
    MATCH(K$8,'Vehicle numbers'!$B$4:$D$4,0))*1000</f>
        <v>105942</v>
      </c>
      <c r="L2022" s="183">
        <f ca="1">VLOOKUP(F2022,
    OFFSET(INDIRECT(ADDRESS(MATCH(J2022,'Vehicle numbers'!$A$5:$A$162,0),1,1,1,$L$6)),4,1,COUNTIF('Vehicle numbers'!$A$5:$A$162,J2022),4),
    MATCH(L$8,'Vehicle numbers'!$B$4:$D$4,0))*1000</f>
        <v>111498.7256275018</v>
      </c>
      <c r="M2022" s="184">
        <f ca="1">VLOOKUP(F2022,'Annual distance covered (GB)'!$A$8:$H$33,MATCH(J2022,'Annual distance covered (GB)'!$A$7:$H$7,0))</f>
        <v>15.6</v>
      </c>
      <c r="N2022" s="2">
        <f t="shared" ca="1" si="76"/>
        <v>627831.80070531846</v>
      </c>
      <c r="O2022" s="180">
        <f t="shared" ca="1" si="77"/>
        <v>5.6308428385342921</v>
      </c>
      <c r="P2022" s="180"/>
      <c r="Q2022" s="180"/>
      <c r="R2022" s="180"/>
      <c r="S2022" s="180"/>
      <c r="T2022" s="180"/>
    </row>
    <row r="2023" spans="1:20" x14ac:dyDescent="0.25">
      <c r="A2023" t="s">
        <v>243</v>
      </c>
      <c r="B2023" t="s">
        <v>237</v>
      </c>
      <c r="C2023" t="s">
        <v>238</v>
      </c>
      <c r="D2023" t="s">
        <v>266</v>
      </c>
      <c r="E2023" t="s">
        <v>228</v>
      </c>
      <c r="F2023">
        <v>2011</v>
      </c>
      <c r="G2023">
        <v>2.6767943999999998E-2</v>
      </c>
      <c r="H2023" t="s">
        <v>240</v>
      </c>
      <c r="I2023" t="s">
        <v>241</v>
      </c>
      <c r="J2023" t="s">
        <v>247</v>
      </c>
      <c r="K2023" s="183">
        <f ca="1">VLOOKUP(F2023,
    OFFSET(INDIRECT(ADDRESS(MATCH(J2023,'Vehicle numbers'!$A$5:$A$162,0),1,1,1,$L$6)),4,1,COUNTIF('Vehicle numbers'!$A$5:$A$162,J2023),4),
    MATCH(K$8,'Vehicle numbers'!$B$4:$D$4,0))*1000</f>
        <v>105942</v>
      </c>
      <c r="L2023" s="183">
        <f ca="1">VLOOKUP(F2023,
    OFFSET(INDIRECT(ADDRESS(MATCH(J2023,'Vehicle numbers'!$A$5:$A$162,0),1,1,1,$L$6)),4,1,COUNTIF('Vehicle numbers'!$A$5:$A$162,J2023),4),
    MATCH(L$8,'Vehicle numbers'!$B$4:$D$4,0))*1000</f>
        <v>111498.7256275018</v>
      </c>
      <c r="M2023" s="184">
        <f ca="1">VLOOKUP(F2023,'Annual distance covered (GB)'!$A$8:$H$33,MATCH(J2023,'Annual distance covered (GB)'!$A$7:$H$7,0))</f>
        <v>15.6</v>
      </c>
      <c r="N2023" s="2">
        <f t="shared" ca="1" si="76"/>
        <v>439482.26049372292</v>
      </c>
      <c r="O2023" s="180">
        <f t="shared" ca="1" si="77"/>
        <v>3.9415899869740043</v>
      </c>
      <c r="P2023" s="180"/>
      <c r="Q2023" s="180"/>
      <c r="R2023" s="180"/>
      <c r="S2023" s="180"/>
      <c r="T2023" s="180"/>
    </row>
    <row r="2024" spans="1:20" x14ac:dyDescent="0.25">
      <c r="A2024" t="s">
        <v>244</v>
      </c>
      <c r="B2024" t="s">
        <v>237</v>
      </c>
      <c r="C2024" t="s">
        <v>238</v>
      </c>
      <c r="D2024" t="s">
        <v>266</v>
      </c>
      <c r="E2024" t="s">
        <v>228</v>
      </c>
      <c r="F2024">
        <v>2011</v>
      </c>
      <c r="G2024">
        <v>3.7701329577464701E-3</v>
      </c>
      <c r="H2024" t="s">
        <v>240</v>
      </c>
      <c r="I2024" t="s">
        <v>241</v>
      </c>
      <c r="J2024" t="s">
        <v>247</v>
      </c>
      <c r="K2024" s="183">
        <f ca="1">VLOOKUP(F2024,
    OFFSET(INDIRECT(ADDRESS(MATCH(J2024,'Vehicle numbers'!$A$5:$A$162,0),1,1,1,$L$6)),4,1,COUNTIF('Vehicle numbers'!$A$5:$A$162,J2024),4),
    MATCH(K$8,'Vehicle numbers'!$B$4:$D$4,0))*1000</f>
        <v>105942</v>
      </c>
      <c r="L2024" s="183">
        <f ca="1">VLOOKUP(F2024,
    OFFSET(INDIRECT(ADDRESS(MATCH(J2024,'Vehicle numbers'!$A$5:$A$162,0),1,1,1,$L$6)),4,1,COUNTIF('Vehicle numbers'!$A$5:$A$162,J2024),4),
    MATCH(L$8,'Vehicle numbers'!$B$4:$D$4,0))*1000</f>
        <v>111498.7256275018</v>
      </c>
      <c r="M2024" s="184">
        <f ca="1">VLOOKUP(F2024,'Annual distance covered (GB)'!$A$8:$H$33,MATCH(J2024,'Annual distance covered (GB)'!$A$7:$H$7,0))</f>
        <v>15.6</v>
      </c>
      <c r="N2024" s="2">
        <f t="shared" ca="1" si="76"/>
        <v>61898.909928693225</v>
      </c>
      <c r="O2024" s="180">
        <f t="shared" ca="1" si="77"/>
        <v>0.55515351929211199</v>
      </c>
      <c r="P2024" s="180"/>
      <c r="Q2024" s="180"/>
      <c r="R2024" s="180"/>
      <c r="S2024" s="180"/>
      <c r="T2024" s="180"/>
    </row>
    <row r="2025" spans="1:20" x14ac:dyDescent="0.25">
      <c r="A2025" t="s">
        <v>246</v>
      </c>
      <c r="B2025" t="s">
        <v>237</v>
      </c>
      <c r="C2025" t="s">
        <v>238</v>
      </c>
      <c r="D2025" t="s">
        <v>266</v>
      </c>
      <c r="E2025" t="s">
        <v>228</v>
      </c>
      <c r="F2025">
        <v>2011</v>
      </c>
      <c r="G2025">
        <v>3.01610636619718E-3</v>
      </c>
      <c r="H2025" t="s">
        <v>240</v>
      </c>
      <c r="I2025" t="s">
        <v>241</v>
      </c>
      <c r="J2025" t="s">
        <v>247</v>
      </c>
      <c r="K2025" s="183">
        <f ca="1">VLOOKUP(F2025,
    OFFSET(INDIRECT(ADDRESS(MATCH(J2025,'Vehicle numbers'!$A$5:$A$162,0),1,1,1,$L$6)),4,1,COUNTIF('Vehicle numbers'!$A$5:$A$162,J2025),4),
    MATCH(K$8,'Vehicle numbers'!$B$4:$D$4,0))*1000</f>
        <v>105942</v>
      </c>
      <c r="L2025" s="183">
        <f ca="1">VLOOKUP(F2025,
    OFFSET(INDIRECT(ADDRESS(MATCH(J2025,'Vehicle numbers'!$A$5:$A$162,0),1,1,1,$L$6)),4,1,COUNTIF('Vehicle numbers'!$A$5:$A$162,J2025),4),
    MATCH(L$8,'Vehicle numbers'!$B$4:$D$4,0))*1000</f>
        <v>111498.7256275018</v>
      </c>
      <c r="M2025" s="184">
        <f ca="1">VLOOKUP(F2025,'Annual distance covered (GB)'!$A$8:$H$33,MATCH(J2025,'Annual distance covered (GB)'!$A$7:$H$7,0))</f>
        <v>15.6</v>
      </c>
      <c r="N2025" s="2">
        <f t="shared" ca="1" si="76"/>
        <v>49519.127942954648</v>
      </c>
      <c r="O2025" s="180">
        <f t="shared" ca="1" si="77"/>
        <v>0.4441228154336902</v>
      </c>
      <c r="P2025" s="180"/>
      <c r="Q2025" s="180"/>
      <c r="R2025" s="180"/>
      <c r="S2025" s="180"/>
      <c r="T2025" s="180"/>
    </row>
    <row r="2026" spans="1:20" x14ac:dyDescent="0.25">
      <c r="A2026" t="s">
        <v>236</v>
      </c>
      <c r="B2026" t="s">
        <v>237</v>
      </c>
      <c r="C2026" t="s">
        <v>238</v>
      </c>
      <c r="D2026" t="s">
        <v>267</v>
      </c>
      <c r="E2026" t="s">
        <v>229</v>
      </c>
      <c r="F2026">
        <v>2011</v>
      </c>
      <c r="G2026">
        <v>5.0994999999999999E-2</v>
      </c>
      <c r="H2026" t="s">
        <v>240</v>
      </c>
      <c r="I2026" t="s">
        <v>241</v>
      </c>
      <c r="J2026" t="s">
        <v>247</v>
      </c>
      <c r="K2026" s="183">
        <f ca="1">VLOOKUP(F2026,
    OFFSET(INDIRECT(ADDRESS(MATCH(J2026,'Vehicle numbers'!$A$5:$A$162,0),1,1,1,$L$6)),4,1,COUNTIF('Vehicle numbers'!$A$5:$A$162,J2026),4),
    MATCH(K$8,'Vehicle numbers'!$B$4:$D$4,0))*1000</f>
        <v>105942</v>
      </c>
      <c r="L2026" s="183">
        <f ca="1">VLOOKUP(F2026,
    OFFSET(INDIRECT(ADDRESS(MATCH(J2026,'Vehicle numbers'!$A$5:$A$162,0),1,1,1,$L$6)),4,1,COUNTIF('Vehicle numbers'!$A$5:$A$162,J2026),4),
    MATCH(L$8,'Vehicle numbers'!$B$4:$D$4,0))*1000</f>
        <v>111498.7256275018</v>
      </c>
      <c r="M2026" s="184">
        <f ca="1">VLOOKUP(F2026,'Annual distance covered (GB)'!$A$8:$H$33,MATCH(J2026,'Annual distance covered (GB)'!$A$7:$H$7,0))</f>
        <v>15.6</v>
      </c>
      <c r="N2026" s="2">
        <f t="shared" ca="1" si="76"/>
        <v>837247.63746806257</v>
      </c>
      <c r="O2026" s="180">
        <f t="shared" ca="1" si="77"/>
        <v>7.509033244605539</v>
      </c>
      <c r="P2026" s="180"/>
      <c r="Q2026" s="180"/>
      <c r="R2026" s="180"/>
      <c r="S2026" s="180"/>
      <c r="T2026" s="180"/>
    </row>
    <row r="2027" spans="1:20" x14ac:dyDescent="0.25">
      <c r="A2027" t="s">
        <v>243</v>
      </c>
      <c r="B2027" t="s">
        <v>237</v>
      </c>
      <c r="C2027" t="s">
        <v>238</v>
      </c>
      <c r="D2027" t="s">
        <v>267</v>
      </c>
      <c r="E2027" t="s">
        <v>229</v>
      </c>
      <c r="F2027">
        <v>2011</v>
      </c>
      <c r="G2027">
        <v>2.0397999999999999E-2</v>
      </c>
      <c r="H2027" t="s">
        <v>240</v>
      </c>
      <c r="I2027" t="s">
        <v>241</v>
      </c>
      <c r="J2027" t="s">
        <v>247</v>
      </c>
      <c r="K2027" s="183">
        <f ca="1">VLOOKUP(F2027,
    OFFSET(INDIRECT(ADDRESS(MATCH(J2027,'Vehicle numbers'!$A$5:$A$162,0),1,1,1,$L$6)),4,1,COUNTIF('Vehicle numbers'!$A$5:$A$162,J2027),4),
    MATCH(K$8,'Vehicle numbers'!$B$4:$D$4,0))*1000</f>
        <v>105942</v>
      </c>
      <c r="L2027" s="183">
        <f ca="1">VLOOKUP(F2027,
    OFFSET(INDIRECT(ADDRESS(MATCH(J2027,'Vehicle numbers'!$A$5:$A$162,0),1,1,1,$L$6)),4,1,COUNTIF('Vehicle numbers'!$A$5:$A$162,J2027),4),
    MATCH(L$8,'Vehicle numbers'!$B$4:$D$4,0))*1000</f>
        <v>111498.7256275018</v>
      </c>
      <c r="M2027" s="184">
        <f ca="1">VLOOKUP(F2027,'Annual distance covered (GB)'!$A$8:$H$33,MATCH(J2027,'Annual distance covered (GB)'!$A$7:$H$7,0))</f>
        <v>15.6</v>
      </c>
      <c r="N2027" s="2">
        <f t="shared" ca="1" si="76"/>
        <v>334899.05498722498</v>
      </c>
      <c r="O2027" s="180">
        <f t="shared" ca="1" si="77"/>
        <v>3.003613297842215</v>
      </c>
      <c r="P2027" s="180"/>
      <c r="Q2027" s="180"/>
      <c r="R2027" s="180"/>
      <c r="S2027" s="180"/>
      <c r="T2027" s="180"/>
    </row>
    <row r="2028" spans="1:20" x14ac:dyDescent="0.25">
      <c r="A2028" t="s">
        <v>244</v>
      </c>
      <c r="B2028" t="s">
        <v>237</v>
      </c>
      <c r="C2028" t="s">
        <v>238</v>
      </c>
      <c r="D2028" t="s">
        <v>267</v>
      </c>
      <c r="E2028" t="s">
        <v>229</v>
      </c>
      <c r="F2028">
        <v>2011</v>
      </c>
      <c r="G2028">
        <v>5.0994999999999999E-3</v>
      </c>
      <c r="H2028" t="s">
        <v>240</v>
      </c>
      <c r="I2028" t="s">
        <v>241</v>
      </c>
      <c r="J2028" t="s">
        <v>247</v>
      </c>
      <c r="K2028" s="183">
        <f ca="1">VLOOKUP(F2028,
    OFFSET(INDIRECT(ADDRESS(MATCH(J2028,'Vehicle numbers'!$A$5:$A$162,0),1,1,1,$L$6)),4,1,COUNTIF('Vehicle numbers'!$A$5:$A$162,J2028),4),
    MATCH(K$8,'Vehicle numbers'!$B$4:$D$4,0))*1000</f>
        <v>105942</v>
      </c>
      <c r="L2028" s="183">
        <f ca="1">VLOOKUP(F2028,
    OFFSET(INDIRECT(ADDRESS(MATCH(J2028,'Vehicle numbers'!$A$5:$A$162,0),1,1,1,$L$6)),4,1,COUNTIF('Vehicle numbers'!$A$5:$A$162,J2028),4),
    MATCH(L$8,'Vehicle numbers'!$B$4:$D$4,0))*1000</f>
        <v>111498.7256275018</v>
      </c>
      <c r="M2028" s="184">
        <f ca="1">VLOOKUP(F2028,'Annual distance covered (GB)'!$A$8:$H$33,MATCH(J2028,'Annual distance covered (GB)'!$A$7:$H$7,0))</f>
        <v>15.6</v>
      </c>
      <c r="N2028" s="2">
        <f t="shared" ca="1" si="76"/>
        <v>83724.763746806246</v>
      </c>
      <c r="O2028" s="180">
        <f t="shared" ca="1" si="77"/>
        <v>0.75090332446055374</v>
      </c>
      <c r="P2028" s="180"/>
      <c r="Q2028" s="180"/>
      <c r="R2028" s="180"/>
      <c r="S2028" s="180"/>
      <c r="T2028" s="180"/>
    </row>
    <row r="2029" spans="1:20" x14ac:dyDescent="0.25">
      <c r="A2029" t="s">
        <v>246</v>
      </c>
      <c r="B2029" t="s">
        <v>237</v>
      </c>
      <c r="C2029" t="s">
        <v>238</v>
      </c>
      <c r="D2029" t="s">
        <v>267</v>
      </c>
      <c r="E2029" t="s">
        <v>229</v>
      </c>
      <c r="F2029">
        <v>2011</v>
      </c>
      <c r="G2029">
        <v>4.0796000000000001E-3</v>
      </c>
      <c r="H2029" t="s">
        <v>240</v>
      </c>
      <c r="I2029" t="s">
        <v>241</v>
      </c>
      <c r="J2029" t="s">
        <v>247</v>
      </c>
      <c r="K2029" s="183">
        <f ca="1">VLOOKUP(F2029,
    OFFSET(INDIRECT(ADDRESS(MATCH(J2029,'Vehicle numbers'!$A$5:$A$162,0),1,1,1,$L$6)),4,1,COUNTIF('Vehicle numbers'!$A$5:$A$162,J2029),4),
    MATCH(K$8,'Vehicle numbers'!$B$4:$D$4,0))*1000</f>
        <v>105942</v>
      </c>
      <c r="L2029" s="183">
        <f ca="1">VLOOKUP(F2029,
    OFFSET(INDIRECT(ADDRESS(MATCH(J2029,'Vehicle numbers'!$A$5:$A$162,0),1,1,1,$L$6)),4,1,COUNTIF('Vehicle numbers'!$A$5:$A$162,J2029),4),
    MATCH(L$8,'Vehicle numbers'!$B$4:$D$4,0))*1000</f>
        <v>111498.7256275018</v>
      </c>
      <c r="M2029" s="184">
        <f ca="1">VLOOKUP(F2029,'Annual distance covered (GB)'!$A$8:$H$33,MATCH(J2029,'Annual distance covered (GB)'!$A$7:$H$7,0))</f>
        <v>15.6</v>
      </c>
      <c r="N2029" s="2">
        <f t="shared" ca="1" si="76"/>
        <v>66979.810997445005</v>
      </c>
      <c r="O2029" s="180">
        <f t="shared" ca="1" si="77"/>
        <v>0.60072265956844306</v>
      </c>
      <c r="P2029" s="180"/>
      <c r="Q2029" s="180"/>
      <c r="R2029" s="180"/>
      <c r="S2029" s="180"/>
      <c r="T2029" s="180"/>
    </row>
    <row r="2030" spans="1:20" x14ac:dyDescent="0.25">
      <c r="A2030" t="s">
        <v>236</v>
      </c>
      <c r="B2030" t="s">
        <v>237</v>
      </c>
      <c r="C2030" t="s">
        <v>238</v>
      </c>
      <c r="D2030" t="s">
        <v>267</v>
      </c>
      <c r="E2030" t="s">
        <v>228</v>
      </c>
      <c r="F2030">
        <v>2011</v>
      </c>
      <c r="G2030">
        <v>4.7072879999999998E-2</v>
      </c>
      <c r="H2030" t="s">
        <v>240</v>
      </c>
      <c r="I2030" t="s">
        <v>241</v>
      </c>
      <c r="J2030" t="s">
        <v>247</v>
      </c>
      <c r="K2030" s="183">
        <f ca="1">VLOOKUP(F2030,
    OFFSET(INDIRECT(ADDRESS(MATCH(J2030,'Vehicle numbers'!$A$5:$A$162,0),1,1,1,$L$6)),4,1,COUNTIF('Vehicle numbers'!$A$5:$A$162,J2030),4),
    MATCH(K$8,'Vehicle numbers'!$B$4:$D$4,0))*1000</f>
        <v>105942</v>
      </c>
      <c r="L2030" s="183">
        <f ca="1">VLOOKUP(F2030,
    OFFSET(INDIRECT(ADDRESS(MATCH(J2030,'Vehicle numbers'!$A$5:$A$162,0),1,1,1,$L$6)),4,1,COUNTIF('Vehicle numbers'!$A$5:$A$162,J2030),4),
    MATCH(L$8,'Vehicle numbers'!$B$4:$D$4,0))*1000</f>
        <v>111498.7256275018</v>
      </c>
      <c r="M2030" s="184">
        <f ca="1">VLOOKUP(F2030,'Annual distance covered (GB)'!$A$8:$H$33,MATCH(J2030,'Annual distance covered (GB)'!$A$7:$H$7,0))</f>
        <v>15.6</v>
      </c>
      <c r="N2030" s="2">
        <f t="shared" ca="1" si="76"/>
        <v>772853.36932674993</v>
      </c>
      <c r="O2030" s="180">
        <f t="shared" ca="1" si="77"/>
        <v>6.9314995752392816</v>
      </c>
      <c r="P2030" s="180"/>
      <c r="Q2030" s="180"/>
      <c r="R2030" s="180"/>
      <c r="S2030" s="180"/>
      <c r="T2030" s="180"/>
    </row>
    <row r="2031" spans="1:20" x14ac:dyDescent="0.25">
      <c r="A2031" t="s">
        <v>243</v>
      </c>
      <c r="B2031" t="s">
        <v>237</v>
      </c>
      <c r="C2031" t="s">
        <v>238</v>
      </c>
      <c r="D2031" t="s">
        <v>267</v>
      </c>
      <c r="E2031" t="s">
        <v>228</v>
      </c>
      <c r="F2031">
        <v>2011</v>
      </c>
      <c r="G2031">
        <v>3.2951016E-2</v>
      </c>
      <c r="H2031" t="s">
        <v>240</v>
      </c>
      <c r="I2031" t="s">
        <v>241</v>
      </c>
      <c r="J2031" t="s">
        <v>247</v>
      </c>
      <c r="K2031" s="183">
        <f ca="1">VLOOKUP(F2031,
    OFFSET(INDIRECT(ADDRESS(MATCH(J2031,'Vehicle numbers'!$A$5:$A$162,0),1,1,1,$L$6)),4,1,COUNTIF('Vehicle numbers'!$A$5:$A$162,J2031),4),
    MATCH(K$8,'Vehicle numbers'!$B$4:$D$4,0))*1000</f>
        <v>105942</v>
      </c>
      <c r="L2031" s="183">
        <f ca="1">VLOOKUP(F2031,
    OFFSET(INDIRECT(ADDRESS(MATCH(J2031,'Vehicle numbers'!$A$5:$A$162,0),1,1,1,$L$6)),4,1,COUNTIF('Vehicle numbers'!$A$5:$A$162,J2031),4),
    MATCH(L$8,'Vehicle numbers'!$B$4:$D$4,0))*1000</f>
        <v>111498.7256275018</v>
      </c>
      <c r="M2031" s="184">
        <f ca="1">VLOOKUP(F2031,'Annual distance covered (GB)'!$A$8:$H$33,MATCH(J2031,'Annual distance covered (GB)'!$A$7:$H$7,0))</f>
        <v>15.6</v>
      </c>
      <c r="N2031" s="2">
        <f t="shared" ca="1" si="76"/>
        <v>540997.35852872487</v>
      </c>
      <c r="O2031" s="180">
        <f t="shared" ca="1" si="77"/>
        <v>4.8520497026674967</v>
      </c>
      <c r="P2031" s="180"/>
      <c r="Q2031" s="180"/>
      <c r="R2031" s="180"/>
      <c r="S2031" s="180"/>
      <c r="T2031" s="180"/>
    </row>
    <row r="2032" spans="1:20" x14ac:dyDescent="0.25">
      <c r="A2032" t="s">
        <v>244</v>
      </c>
      <c r="B2032" t="s">
        <v>237</v>
      </c>
      <c r="C2032" t="s">
        <v>238</v>
      </c>
      <c r="D2032" t="s">
        <v>267</v>
      </c>
      <c r="E2032" t="s">
        <v>228</v>
      </c>
      <c r="F2032">
        <v>2011</v>
      </c>
      <c r="G2032">
        <v>4.64098816901408E-3</v>
      </c>
      <c r="H2032" t="s">
        <v>240</v>
      </c>
      <c r="I2032" t="s">
        <v>241</v>
      </c>
      <c r="J2032" t="s">
        <v>247</v>
      </c>
      <c r="K2032" s="183">
        <f ca="1">VLOOKUP(F2032,
    OFFSET(INDIRECT(ADDRESS(MATCH(J2032,'Vehicle numbers'!$A$5:$A$162,0),1,1,1,$L$6)),4,1,COUNTIF('Vehicle numbers'!$A$5:$A$162,J2032),4),
    MATCH(K$8,'Vehicle numbers'!$B$4:$D$4,0))*1000</f>
        <v>105942</v>
      </c>
      <c r="L2032" s="183">
        <f ca="1">VLOOKUP(F2032,
    OFFSET(INDIRECT(ADDRESS(MATCH(J2032,'Vehicle numbers'!$A$5:$A$162,0),1,1,1,$L$6)),4,1,COUNTIF('Vehicle numbers'!$A$5:$A$162,J2032),4),
    MATCH(L$8,'Vehicle numbers'!$B$4:$D$4,0))*1000</f>
        <v>111498.7256275018</v>
      </c>
      <c r="M2032" s="184">
        <f ca="1">VLOOKUP(F2032,'Annual distance covered (GB)'!$A$8:$H$33,MATCH(J2032,'Annual distance covered (GB)'!$A$7:$H$7,0))</f>
        <v>15.6</v>
      </c>
      <c r="N2032" s="2">
        <f t="shared" ca="1" si="76"/>
        <v>76196.811060383727</v>
      </c>
      <c r="O2032" s="180">
        <f t="shared" ca="1" si="77"/>
        <v>0.68338728206584409</v>
      </c>
      <c r="P2032" s="180"/>
      <c r="Q2032" s="180"/>
      <c r="R2032" s="180"/>
      <c r="S2032" s="180"/>
      <c r="T2032" s="180"/>
    </row>
    <row r="2033" spans="1:20" x14ac:dyDescent="0.25">
      <c r="A2033" t="s">
        <v>246</v>
      </c>
      <c r="B2033" t="s">
        <v>237</v>
      </c>
      <c r="C2033" t="s">
        <v>238</v>
      </c>
      <c r="D2033" t="s">
        <v>267</v>
      </c>
      <c r="E2033" t="s">
        <v>228</v>
      </c>
      <c r="F2033">
        <v>2011</v>
      </c>
      <c r="G2033">
        <v>3.71279053521126E-3</v>
      </c>
      <c r="H2033" t="s">
        <v>240</v>
      </c>
      <c r="I2033" t="s">
        <v>241</v>
      </c>
      <c r="J2033" t="s">
        <v>247</v>
      </c>
      <c r="K2033" s="183">
        <f ca="1">VLOOKUP(F2033,
    OFFSET(INDIRECT(ADDRESS(MATCH(J2033,'Vehicle numbers'!$A$5:$A$162,0),1,1,1,$L$6)),4,1,COUNTIF('Vehicle numbers'!$A$5:$A$162,J2033),4),
    MATCH(K$8,'Vehicle numbers'!$B$4:$D$4,0))*1000</f>
        <v>105942</v>
      </c>
      <c r="L2033" s="183">
        <f ca="1">VLOOKUP(F2033,
    OFFSET(INDIRECT(ADDRESS(MATCH(J2033,'Vehicle numbers'!$A$5:$A$162,0),1,1,1,$L$6)),4,1,COUNTIF('Vehicle numbers'!$A$5:$A$162,J2033),4),
    MATCH(L$8,'Vehicle numbers'!$B$4:$D$4,0))*1000</f>
        <v>111498.7256275018</v>
      </c>
      <c r="M2033" s="184">
        <f ca="1">VLOOKUP(F2033,'Annual distance covered (GB)'!$A$8:$H$33,MATCH(J2033,'Annual distance covered (GB)'!$A$7:$H$7,0))</f>
        <v>15.6</v>
      </c>
      <c r="N2033" s="2">
        <f t="shared" ca="1" si="76"/>
        <v>60957.448848306907</v>
      </c>
      <c r="O2033" s="180">
        <f t="shared" ca="1" si="77"/>
        <v>0.54670982565267456</v>
      </c>
      <c r="P2033" s="180"/>
      <c r="Q2033" s="180"/>
      <c r="R2033" s="180"/>
      <c r="S2033" s="180"/>
      <c r="T2033" s="180"/>
    </row>
    <row r="2034" spans="1:20" x14ac:dyDescent="0.25">
      <c r="A2034" t="s">
        <v>236</v>
      </c>
      <c r="B2034" t="s">
        <v>237</v>
      </c>
      <c r="C2034" t="s">
        <v>238</v>
      </c>
      <c r="D2034" t="s">
        <v>268</v>
      </c>
      <c r="E2034" t="s">
        <v>229</v>
      </c>
      <c r="F2034">
        <v>2011</v>
      </c>
      <c r="G2034">
        <v>8.4410000000000006E-3</v>
      </c>
      <c r="H2034" t="s">
        <v>240</v>
      </c>
      <c r="I2034" t="s">
        <v>241</v>
      </c>
      <c r="J2034" t="s">
        <v>245</v>
      </c>
      <c r="K2034" s="183">
        <f ca="1">VLOOKUP(F2034,
    OFFSET(INDIRECT(ADDRESS(MATCH(J2034,'Vehicle numbers'!$A$5:$A$162,0),1,1,1,$L$6)),4,1,COUNTIF('Vehicle numbers'!$A$5:$A$162,J2034),4),
    MATCH(K$8,'Vehicle numbers'!$B$4:$D$4,0))*1000</f>
        <v>277999</v>
      </c>
      <c r="L2034" s="183">
        <f ca="1">VLOOKUP(F2034,
    OFFSET(INDIRECT(ADDRESS(MATCH(J2034,'Vehicle numbers'!$A$5:$A$162,0),1,1,1,$L$6)),4,1,COUNTIF('Vehicle numbers'!$A$5:$A$162,J2034),4),
    MATCH(L$8,'Vehicle numbers'!$B$4:$D$4,0))*1000</f>
        <v>292079.43191902671</v>
      </c>
      <c r="M2034" s="184">
        <f ca="1">VLOOKUP(F2034,'Annual distance covered (GB)'!$A$8:$H$33,MATCH(J2034,'Annual distance covered (GB)'!$A$7:$H$7,0))</f>
        <v>12.4</v>
      </c>
      <c r="N2034" s="2">
        <f t="shared" ca="1" si="76"/>
        <v>109969.77259584911</v>
      </c>
      <c r="O2034" s="180">
        <f t="shared" ca="1" si="77"/>
        <v>0.3765063903107565</v>
      </c>
      <c r="P2034" s="180"/>
      <c r="Q2034" s="180"/>
      <c r="R2034" s="180"/>
      <c r="S2034" s="180"/>
      <c r="T2034" s="180"/>
    </row>
    <row r="2035" spans="1:20" x14ac:dyDescent="0.25">
      <c r="A2035" t="s">
        <v>243</v>
      </c>
      <c r="B2035" t="s">
        <v>237</v>
      </c>
      <c r="C2035" t="s">
        <v>238</v>
      </c>
      <c r="D2035" t="s">
        <v>268</v>
      </c>
      <c r="E2035" t="s">
        <v>229</v>
      </c>
      <c r="F2035">
        <v>2011</v>
      </c>
      <c r="G2035">
        <v>3.3763999999999999E-3</v>
      </c>
      <c r="H2035" t="s">
        <v>240</v>
      </c>
      <c r="I2035" t="s">
        <v>241</v>
      </c>
      <c r="J2035" t="s">
        <v>245</v>
      </c>
      <c r="K2035" s="183">
        <f ca="1">VLOOKUP(F2035,
    OFFSET(INDIRECT(ADDRESS(MATCH(J2035,'Vehicle numbers'!$A$5:$A$162,0),1,1,1,$L$6)),4,1,COUNTIF('Vehicle numbers'!$A$5:$A$162,J2035),4),
    MATCH(K$8,'Vehicle numbers'!$B$4:$D$4,0))*1000</f>
        <v>277999</v>
      </c>
      <c r="L2035" s="183">
        <f ca="1">VLOOKUP(F2035,
    OFFSET(INDIRECT(ADDRESS(MATCH(J2035,'Vehicle numbers'!$A$5:$A$162,0),1,1,1,$L$6)),4,1,COUNTIF('Vehicle numbers'!$A$5:$A$162,J2035),4),
    MATCH(L$8,'Vehicle numbers'!$B$4:$D$4,0))*1000</f>
        <v>292079.43191902671</v>
      </c>
      <c r="M2035" s="184">
        <f ca="1">VLOOKUP(F2035,'Annual distance covered (GB)'!$A$8:$H$33,MATCH(J2035,'Annual distance covered (GB)'!$A$7:$H$7,0))</f>
        <v>12.4</v>
      </c>
      <c r="N2035" s="2">
        <f t="shared" ca="1" si="76"/>
        <v>43987.90903833964</v>
      </c>
      <c r="O2035" s="180">
        <f t="shared" ca="1" si="77"/>
        <v>0.15060255612430259</v>
      </c>
      <c r="P2035" s="180"/>
      <c r="Q2035" s="180"/>
      <c r="R2035" s="180"/>
      <c r="S2035" s="180"/>
      <c r="T2035" s="180"/>
    </row>
    <row r="2036" spans="1:20" x14ac:dyDescent="0.25">
      <c r="A2036" t="s">
        <v>244</v>
      </c>
      <c r="B2036" t="s">
        <v>237</v>
      </c>
      <c r="C2036" t="s">
        <v>238</v>
      </c>
      <c r="D2036" t="s">
        <v>268</v>
      </c>
      <c r="E2036" t="s">
        <v>229</v>
      </c>
      <c r="F2036">
        <v>2011</v>
      </c>
      <c r="G2036">
        <v>8.4409999999999997E-4</v>
      </c>
      <c r="H2036" t="s">
        <v>240</v>
      </c>
      <c r="I2036" t="s">
        <v>241</v>
      </c>
      <c r="J2036" t="s">
        <v>245</v>
      </c>
      <c r="K2036" s="183">
        <f ca="1">VLOOKUP(F2036,
    OFFSET(INDIRECT(ADDRESS(MATCH(J2036,'Vehicle numbers'!$A$5:$A$162,0),1,1,1,$L$6)),4,1,COUNTIF('Vehicle numbers'!$A$5:$A$162,J2036),4),
    MATCH(K$8,'Vehicle numbers'!$B$4:$D$4,0))*1000</f>
        <v>277999</v>
      </c>
      <c r="L2036" s="183">
        <f ca="1">VLOOKUP(F2036,
    OFFSET(INDIRECT(ADDRESS(MATCH(J2036,'Vehicle numbers'!$A$5:$A$162,0),1,1,1,$L$6)),4,1,COUNTIF('Vehicle numbers'!$A$5:$A$162,J2036),4),
    MATCH(L$8,'Vehicle numbers'!$B$4:$D$4,0))*1000</f>
        <v>292079.43191902671</v>
      </c>
      <c r="M2036" s="184">
        <f ca="1">VLOOKUP(F2036,'Annual distance covered (GB)'!$A$8:$H$33,MATCH(J2036,'Annual distance covered (GB)'!$A$7:$H$7,0))</f>
        <v>12.4</v>
      </c>
      <c r="N2036" s="2">
        <f t="shared" ca="1" si="76"/>
        <v>10996.97725958491</v>
      </c>
      <c r="O2036" s="180">
        <f t="shared" ca="1" si="77"/>
        <v>3.7650639031075649E-2</v>
      </c>
      <c r="P2036" s="180"/>
      <c r="Q2036" s="180"/>
      <c r="R2036" s="180"/>
      <c r="S2036" s="180"/>
      <c r="T2036" s="180"/>
    </row>
    <row r="2037" spans="1:20" x14ac:dyDescent="0.25">
      <c r="A2037" t="s">
        <v>246</v>
      </c>
      <c r="B2037" t="s">
        <v>237</v>
      </c>
      <c r="C2037" t="s">
        <v>238</v>
      </c>
      <c r="D2037" t="s">
        <v>268</v>
      </c>
      <c r="E2037" t="s">
        <v>229</v>
      </c>
      <c r="F2037">
        <v>2011</v>
      </c>
      <c r="G2037">
        <v>6.7528E-4</v>
      </c>
      <c r="H2037" t="s">
        <v>240</v>
      </c>
      <c r="I2037" t="s">
        <v>241</v>
      </c>
      <c r="J2037" t="s">
        <v>245</v>
      </c>
      <c r="K2037" s="183">
        <f ca="1">VLOOKUP(F2037,
    OFFSET(INDIRECT(ADDRESS(MATCH(J2037,'Vehicle numbers'!$A$5:$A$162,0),1,1,1,$L$6)),4,1,COUNTIF('Vehicle numbers'!$A$5:$A$162,J2037),4),
    MATCH(K$8,'Vehicle numbers'!$B$4:$D$4,0))*1000</f>
        <v>277999</v>
      </c>
      <c r="L2037" s="183">
        <f ca="1">VLOOKUP(F2037,
    OFFSET(INDIRECT(ADDRESS(MATCH(J2037,'Vehicle numbers'!$A$5:$A$162,0),1,1,1,$L$6)),4,1,COUNTIF('Vehicle numbers'!$A$5:$A$162,J2037),4),
    MATCH(L$8,'Vehicle numbers'!$B$4:$D$4,0))*1000</f>
        <v>292079.43191902671</v>
      </c>
      <c r="M2037" s="184">
        <f ca="1">VLOOKUP(F2037,'Annual distance covered (GB)'!$A$8:$H$33,MATCH(J2037,'Annual distance covered (GB)'!$A$7:$H$7,0))</f>
        <v>12.4</v>
      </c>
      <c r="N2037" s="2">
        <f t="shared" ca="1" si="76"/>
        <v>8797.5818076679279</v>
      </c>
      <c r="O2037" s="180">
        <f t="shared" ca="1" si="77"/>
        <v>3.0120511224860518E-2</v>
      </c>
      <c r="P2037" s="180"/>
      <c r="Q2037" s="180"/>
      <c r="R2037" s="180"/>
      <c r="S2037" s="180"/>
      <c r="T2037" s="180"/>
    </row>
    <row r="2038" spans="1:20" x14ac:dyDescent="0.25">
      <c r="A2038" t="s">
        <v>236</v>
      </c>
      <c r="B2038" t="s">
        <v>237</v>
      </c>
      <c r="C2038" t="s">
        <v>238</v>
      </c>
      <c r="D2038" t="s">
        <v>268</v>
      </c>
      <c r="E2038" t="s">
        <v>228</v>
      </c>
      <c r="F2038">
        <v>2011</v>
      </c>
      <c r="G2038">
        <v>1.3984E-2</v>
      </c>
      <c r="H2038" t="s">
        <v>240</v>
      </c>
      <c r="I2038" t="s">
        <v>241</v>
      </c>
      <c r="J2038" t="s">
        <v>245</v>
      </c>
      <c r="K2038" s="183">
        <f ca="1">VLOOKUP(F2038,
    OFFSET(INDIRECT(ADDRESS(MATCH(J2038,'Vehicle numbers'!$A$5:$A$162,0),1,1,1,$L$6)),4,1,COUNTIF('Vehicle numbers'!$A$5:$A$162,J2038),4),
    MATCH(K$8,'Vehicle numbers'!$B$4:$D$4,0))*1000</f>
        <v>277999</v>
      </c>
      <c r="L2038" s="183">
        <f ca="1">VLOOKUP(F2038,
    OFFSET(INDIRECT(ADDRESS(MATCH(J2038,'Vehicle numbers'!$A$5:$A$162,0),1,1,1,$L$6)),4,1,COUNTIF('Vehicle numbers'!$A$5:$A$162,J2038),4),
    MATCH(L$8,'Vehicle numbers'!$B$4:$D$4,0))*1000</f>
        <v>292079.43191902671</v>
      </c>
      <c r="M2038" s="184">
        <f ca="1">VLOOKUP(F2038,'Annual distance covered (GB)'!$A$8:$H$33,MATCH(J2038,'Annual distance covered (GB)'!$A$7:$H$7,0))</f>
        <v>12.4</v>
      </c>
      <c r="N2038" s="2">
        <f t="shared" ca="1" si="76"/>
        <v>182184.25541764646</v>
      </c>
      <c r="O2038" s="180">
        <f t="shared" ca="1" si="77"/>
        <v>0.62374900629138952</v>
      </c>
      <c r="P2038" s="180"/>
      <c r="Q2038" s="180"/>
      <c r="R2038" s="180"/>
      <c r="S2038" s="180"/>
      <c r="T2038" s="180"/>
    </row>
    <row r="2039" spans="1:20" x14ac:dyDescent="0.25">
      <c r="A2039" t="s">
        <v>243</v>
      </c>
      <c r="B2039" t="s">
        <v>237</v>
      </c>
      <c r="C2039" t="s">
        <v>238</v>
      </c>
      <c r="D2039" t="s">
        <v>268</v>
      </c>
      <c r="E2039" t="s">
        <v>228</v>
      </c>
      <c r="F2039">
        <v>2011</v>
      </c>
      <c r="G2039">
        <v>9.7888000000000003E-3</v>
      </c>
      <c r="H2039" t="s">
        <v>240</v>
      </c>
      <c r="I2039" t="s">
        <v>241</v>
      </c>
      <c r="J2039" t="s">
        <v>245</v>
      </c>
      <c r="K2039" s="183">
        <f ca="1">VLOOKUP(F2039,
    OFFSET(INDIRECT(ADDRESS(MATCH(J2039,'Vehicle numbers'!$A$5:$A$162,0),1,1,1,$L$6)),4,1,COUNTIF('Vehicle numbers'!$A$5:$A$162,J2039),4),
    MATCH(K$8,'Vehicle numbers'!$B$4:$D$4,0))*1000</f>
        <v>277999</v>
      </c>
      <c r="L2039" s="183">
        <f ca="1">VLOOKUP(F2039,
    OFFSET(INDIRECT(ADDRESS(MATCH(J2039,'Vehicle numbers'!$A$5:$A$162,0),1,1,1,$L$6)),4,1,COUNTIF('Vehicle numbers'!$A$5:$A$162,J2039),4),
    MATCH(L$8,'Vehicle numbers'!$B$4:$D$4,0))*1000</f>
        <v>292079.43191902671</v>
      </c>
      <c r="M2039" s="184">
        <f ca="1">VLOOKUP(F2039,'Annual distance covered (GB)'!$A$8:$H$33,MATCH(J2039,'Annual distance covered (GB)'!$A$7:$H$7,0))</f>
        <v>12.4</v>
      </c>
      <c r="N2039" s="2">
        <f t="shared" ca="1" si="76"/>
        <v>127528.97879235253</v>
      </c>
      <c r="O2039" s="180">
        <f t="shared" ca="1" si="77"/>
        <v>0.43662430440397265</v>
      </c>
      <c r="P2039" s="180"/>
      <c r="Q2039" s="180"/>
      <c r="R2039" s="180"/>
      <c r="S2039" s="180"/>
      <c r="T2039" s="180"/>
    </row>
    <row r="2040" spans="1:20" x14ac:dyDescent="0.25">
      <c r="A2040" t="s">
        <v>244</v>
      </c>
      <c r="B2040" t="s">
        <v>237</v>
      </c>
      <c r="C2040" t="s">
        <v>238</v>
      </c>
      <c r="D2040" t="s">
        <v>268</v>
      </c>
      <c r="E2040" t="s">
        <v>228</v>
      </c>
      <c r="F2040">
        <v>2011</v>
      </c>
      <c r="G2040">
        <v>1.3787042253521099E-3</v>
      </c>
      <c r="H2040" t="s">
        <v>240</v>
      </c>
      <c r="I2040" t="s">
        <v>241</v>
      </c>
      <c r="J2040" t="s">
        <v>245</v>
      </c>
      <c r="K2040" s="183">
        <f ca="1">VLOOKUP(F2040,
    OFFSET(INDIRECT(ADDRESS(MATCH(J2040,'Vehicle numbers'!$A$5:$A$162,0),1,1,1,$L$6)),4,1,COUNTIF('Vehicle numbers'!$A$5:$A$162,J2040),4),
    MATCH(K$8,'Vehicle numbers'!$B$4:$D$4,0))*1000</f>
        <v>277999</v>
      </c>
      <c r="L2040" s="183">
        <f ca="1">VLOOKUP(F2040,
    OFFSET(INDIRECT(ADDRESS(MATCH(J2040,'Vehicle numbers'!$A$5:$A$162,0),1,1,1,$L$6)),4,1,COUNTIF('Vehicle numbers'!$A$5:$A$162,J2040),4),
    MATCH(L$8,'Vehicle numbers'!$B$4:$D$4,0))*1000</f>
        <v>292079.43191902671</v>
      </c>
      <c r="M2040" s="184">
        <f ca="1">VLOOKUP(F2040,'Annual distance covered (GB)'!$A$8:$H$33,MATCH(J2040,'Annual distance covered (GB)'!$A$7:$H$7,0))</f>
        <v>12.4</v>
      </c>
      <c r="N2040" s="2">
        <f t="shared" ca="1" si="76"/>
        <v>17961.827998922854</v>
      </c>
      <c r="O2040" s="180">
        <f t="shared" ca="1" si="77"/>
        <v>6.1496380901967851E-2</v>
      </c>
      <c r="P2040" s="180"/>
      <c r="Q2040" s="180"/>
      <c r="R2040" s="180"/>
      <c r="S2040" s="180"/>
      <c r="T2040" s="180"/>
    </row>
    <row r="2041" spans="1:20" x14ac:dyDescent="0.25">
      <c r="A2041" t="s">
        <v>246</v>
      </c>
      <c r="B2041" t="s">
        <v>237</v>
      </c>
      <c r="C2041" t="s">
        <v>238</v>
      </c>
      <c r="D2041" t="s">
        <v>268</v>
      </c>
      <c r="E2041" t="s">
        <v>228</v>
      </c>
      <c r="F2041">
        <v>2011</v>
      </c>
      <c r="G2041">
        <v>1.10296338028169E-3</v>
      </c>
      <c r="H2041" t="s">
        <v>240</v>
      </c>
      <c r="I2041" t="s">
        <v>241</v>
      </c>
      <c r="J2041" t="s">
        <v>245</v>
      </c>
      <c r="K2041" s="183">
        <f ca="1">VLOOKUP(F2041,
    OFFSET(INDIRECT(ADDRESS(MATCH(J2041,'Vehicle numbers'!$A$5:$A$162,0),1,1,1,$L$6)),4,1,COUNTIF('Vehicle numbers'!$A$5:$A$162,J2041),4),
    MATCH(K$8,'Vehicle numbers'!$B$4:$D$4,0))*1000</f>
        <v>277999</v>
      </c>
      <c r="L2041" s="183">
        <f ca="1">VLOOKUP(F2041,
    OFFSET(INDIRECT(ADDRESS(MATCH(J2041,'Vehicle numbers'!$A$5:$A$162,0),1,1,1,$L$6)),4,1,COUNTIF('Vehicle numbers'!$A$5:$A$162,J2041),4),
    MATCH(L$8,'Vehicle numbers'!$B$4:$D$4,0))*1000</f>
        <v>292079.43191902671</v>
      </c>
      <c r="M2041" s="184">
        <f ca="1">VLOOKUP(F2041,'Annual distance covered (GB)'!$A$8:$H$33,MATCH(J2041,'Annual distance covered (GB)'!$A$7:$H$7,0))</f>
        <v>12.4</v>
      </c>
      <c r="N2041" s="2">
        <f t="shared" ca="1" si="76"/>
        <v>14369.462399138311</v>
      </c>
      <c r="O2041" s="180">
        <f t="shared" ca="1" si="77"/>
        <v>4.9197104721574375E-2</v>
      </c>
      <c r="P2041" s="180"/>
      <c r="Q2041" s="180"/>
      <c r="R2041" s="180"/>
      <c r="S2041" s="180"/>
      <c r="T2041" s="180"/>
    </row>
    <row r="2042" spans="1:20" x14ac:dyDescent="0.25">
      <c r="A2042" t="s">
        <v>236</v>
      </c>
      <c r="B2042" t="s">
        <v>237</v>
      </c>
      <c r="C2042" t="s">
        <v>238</v>
      </c>
      <c r="D2042" t="s">
        <v>269</v>
      </c>
      <c r="E2042" t="s">
        <v>229</v>
      </c>
      <c r="F2042">
        <v>2011</v>
      </c>
      <c r="G2042">
        <v>2.7143E-2</v>
      </c>
      <c r="H2042" t="s">
        <v>240</v>
      </c>
      <c r="I2042" t="s">
        <v>241</v>
      </c>
      <c r="J2042" t="s">
        <v>245</v>
      </c>
      <c r="K2042" s="183">
        <f ca="1">VLOOKUP(F2042,
    OFFSET(INDIRECT(ADDRESS(MATCH(J2042,'Vehicle numbers'!$A$5:$A$162,0),1,1,1,$L$6)),4,1,COUNTIF('Vehicle numbers'!$A$5:$A$162,J2042),4),
    MATCH(K$8,'Vehicle numbers'!$B$4:$D$4,0))*1000</f>
        <v>277999</v>
      </c>
      <c r="L2042" s="183">
        <f ca="1">VLOOKUP(F2042,
    OFFSET(INDIRECT(ADDRESS(MATCH(J2042,'Vehicle numbers'!$A$5:$A$162,0),1,1,1,$L$6)),4,1,COUNTIF('Vehicle numbers'!$A$5:$A$162,J2042),4),
    MATCH(L$8,'Vehicle numbers'!$B$4:$D$4,0))*1000</f>
        <v>292079.43191902671</v>
      </c>
      <c r="M2042" s="184">
        <f ca="1">VLOOKUP(F2042,'Annual distance covered (GB)'!$A$8:$H$33,MATCH(J2042,'Annual distance covered (GB)'!$A$7:$H$7,0))</f>
        <v>12.4</v>
      </c>
      <c r="N2042" s="2">
        <f t="shared" ca="1" si="76"/>
        <v>353620.36933646869</v>
      </c>
      <c r="O2042" s="180">
        <f t="shared" ca="1" si="77"/>
        <v>1.2106993190622988</v>
      </c>
      <c r="P2042" s="180"/>
      <c r="Q2042" s="180"/>
      <c r="R2042" s="180"/>
      <c r="S2042" s="180"/>
      <c r="T2042" s="180"/>
    </row>
    <row r="2043" spans="1:20" x14ac:dyDescent="0.25">
      <c r="A2043" t="s">
        <v>243</v>
      </c>
      <c r="B2043" t="s">
        <v>237</v>
      </c>
      <c r="C2043" t="s">
        <v>238</v>
      </c>
      <c r="D2043" t="s">
        <v>269</v>
      </c>
      <c r="E2043" t="s">
        <v>229</v>
      </c>
      <c r="F2043">
        <v>2011</v>
      </c>
      <c r="G2043">
        <v>1.0857199999999999E-2</v>
      </c>
      <c r="H2043" t="s">
        <v>240</v>
      </c>
      <c r="I2043" t="s">
        <v>241</v>
      </c>
      <c r="J2043" t="s">
        <v>245</v>
      </c>
      <c r="K2043" s="183">
        <f ca="1">VLOOKUP(F2043,
    OFFSET(INDIRECT(ADDRESS(MATCH(J2043,'Vehicle numbers'!$A$5:$A$162,0),1,1,1,$L$6)),4,1,COUNTIF('Vehicle numbers'!$A$5:$A$162,J2043),4),
    MATCH(K$8,'Vehicle numbers'!$B$4:$D$4,0))*1000</f>
        <v>277999</v>
      </c>
      <c r="L2043" s="183">
        <f ca="1">VLOOKUP(F2043,
    OFFSET(INDIRECT(ADDRESS(MATCH(J2043,'Vehicle numbers'!$A$5:$A$162,0),1,1,1,$L$6)),4,1,COUNTIF('Vehicle numbers'!$A$5:$A$162,J2043),4),
    MATCH(L$8,'Vehicle numbers'!$B$4:$D$4,0))*1000</f>
        <v>292079.43191902671</v>
      </c>
      <c r="M2043" s="184">
        <f ca="1">VLOOKUP(F2043,'Annual distance covered (GB)'!$A$8:$H$33,MATCH(J2043,'Annual distance covered (GB)'!$A$7:$H$7,0))</f>
        <v>12.4</v>
      </c>
      <c r="N2043" s="2">
        <f t="shared" ca="1" si="76"/>
        <v>141448.14773458746</v>
      </c>
      <c r="O2043" s="180">
        <f t="shared" ca="1" si="77"/>
        <v>0.48427972762491944</v>
      </c>
      <c r="P2043" s="180"/>
      <c r="Q2043" s="180"/>
      <c r="R2043" s="180"/>
      <c r="S2043" s="180"/>
      <c r="T2043" s="180"/>
    </row>
    <row r="2044" spans="1:20" x14ac:dyDescent="0.25">
      <c r="A2044" t="s">
        <v>244</v>
      </c>
      <c r="B2044" t="s">
        <v>237</v>
      </c>
      <c r="C2044" t="s">
        <v>238</v>
      </c>
      <c r="D2044" t="s">
        <v>269</v>
      </c>
      <c r="E2044" t="s">
        <v>229</v>
      </c>
      <c r="F2044">
        <v>2011</v>
      </c>
      <c r="G2044">
        <v>2.7142999999999998E-3</v>
      </c>
      <c r="H2044" t="s">
        <v>240</v>
      </c>
      <c r="I2044" t="s">
        <v>241</v>
      </c>
      <c r="J2044" t="s">
        <v>245</v>
      </c>
      <c r="K2044" s="183">
        <f ca="1">VLOOKUP(F2044,
    OFFSET(INDIRECT(ADDRESS(MATCH(J2044,'Vehicle numbers'!$A$5:$A$162,0),1,1,1,$L$6)),4,1,COUNTIF('Vehicle numbers'!$A$5:$A$162,J2044),4),
    MATCH(K$8,'Vehicle numbers'!$B$4:$D$4,0))*1000</f>
        <v>277999</v>
      </c>
      <c r="L2044" s="183">
        <f ca="1">VLOOKUP(F2044,
    OFFSET(INDIRECT(ADDRESS(MATCH(J2044,'Vehicle numbers'!$A$5:$A$162,0),1,1,1,$L$6)),4,1,COUNTIF('Vehicle numbers'!$A$5:$A$162,J2044),4),
    MATCH(L$8,'Vehicle numbers'!$B$4:$D$4,0))*1000</f>
        <v>292079.43191902671</v>
      </c>
      <c r="M2044" s="184">
        <f ca="1">VLOOKUP(F2044,'Annual distance covered (GB)'!$A$8:$H$33,MATCH(J2044,'Annual distance covered (GB)'!$A$7:$H$7,0))</f>
        <v>12.4</v>
      </c>
      <c r="N2044" s="2">
        <f t="shared" ca="1" si="76"/>
        <v>35362.036933646865</v>
      </c>
      <c r="O2044" s="180">
        <f t="shared" ca="1" si="77"/>
        <v>0.12106993190622986</v>
      </c>
      <c r="P2044" s="180"/>
      <c r="Q2044" s="180"/>
      <c r="R2044" s="180"/>
      <c r="S2044" s="180"/>
      <c r="T2044" s="180"/>
    </row>
    <row r="2045" spans="1:20" x14ac:dyDescent="0.25">
      <c r="A2045" t="s">
        <v>246</v>
      </c>
      <c r="B2045" t="s">
        <v>237</v>
      </c>
      <c r="C2045" t="s">
        <v>238</v>
      </c>
      <c r="D2045" t="s">
        <v>269</v>
      </c>
      <c r="E2045" t="s">
        <v>229</v>
      </c>
      <c r="F2045">
        <v>2011</v>
      </c>
      <c r="G2045">
        <v>2.1714400000000002E-3</v>
      </c>
      <c r="H2045" t="s">
        <v>240</v>
      </c>
      <c r="I2045" t="s">
        <v>241</v>
      </c>
      <c r="J2045" t="s">
        <v>245</v>
      </c>
      <c r="K2045" s="183">
        <f ca="1">VLOOKUP(F2045,
    OFFSET(INDIRECT(ADDRESS(MATCH(J2045,'Vehicle numbers'!$A$5:$A$162,0),1,1,1,$L$6)),4,1,COUNTIF('Vehicle numbers'!$A$5:$A$162,J2045),4),
    MATCH(K$8,'Vehicle numbers'!$B$4:$D$4,0))*1000</f>
        <v>277999</v>
      </c>
      <c r="L2045" s="183">
        <f ca="1">VLOOKUP(F2045,
    OFFSET(INDIRECT(ADDRESS(MATCH(J2045,'Vehicle numbers'!$A$5:$A$162,0),1,1,1,$L$6)),4,1,COUNTIF('Vehicle numbers'!$A$5:$A$162,J2045),4),
    MATCH(L$8,'Vehicle numbers'!$B$4:$D$4,0))*1000</f>
        <v>292079.43191902671</v>
      </c>
      <c r="M2045" s="184">
        <f ca="1">VLOOKUP(F2045,'Annual distance covered (GB)'!$A$8:$H$33,MATCH(J2045,'Annual distance covered (GB)'!$A$7:$H$7,0))</f>
        <v>12.4</v>
      </c>
      <c r="N2045" s="2">
        <f t="shared" ca="1" si="76"/>
        <v>28289.629546917495</v>
      </c>
      <c r="O2045" s="180">
        <f t="shared" ca="1" si="77"/>
        <v>9.6855945524983902E-2</v>
      </c>
      <c r="P2045" s="180"/>
      <c r="Q2045" s="180"/>
      <c r="R2045" s="180"/>
      <c r="S2045" s="180"/>
      <c r="T2045" s="180"/>
    </row>
    <row r="2046" spans="1:20" x14ac:dyDescent="0.25">
      <c r="A2046" t="s">
        <v>236</v>
      </c>
      <c r="B2046" t="s">
        <v>237</v>
      </c>
      <c r="C2046" t="s">
        <v>238</v>
      </c>
      <c r="D2046" t="s">
        <v>269</v>
      </c>
      <c r="E2046" t="s">
        <v>228</v>
      </c>
      <c r="F2046">
        <v>2011</v>
      </c>
      <c r="G2046">
        <v>1.7388480000000001E-2</v>
      </c>
      <c r="H2046" t="s">
        <v>240</v>
      </c>
      <c r="I2046" t="s">
        <v>241</v>
      </c>
      <c r="J2046" t="s">
        <v>245</v>
      </c>
      <c r="K2046" s="183">
        <f ca="1">VLOOKUP(F2046,
    OFFSET(INDIRECT(ADDRESS(MATCH(J2046,'Vehicle numbers'!$A$5:$A$162,0),1,1,1,$L$6)),4,1,COUNTIF('Vehicle numbers'!$A$5:$A$162,J2046),4),
    MATCH(K$8,'Vehicle numbers'!$B$4:$D$4,0))*1000</f>
        <v>277999</v>
      </c>
      <c r="L2046" s="183">
        <f ca="1">VLOOKUP(F2046,
    OFFSET(INDIRECT(ADDRESS(MATCH(J2046,'Vehicle numbers'!$A$5:$A$162,0),1,1,1,$L$6)),4,1,COUNTIF('Vehicle numbers'!$A$5:$A$162,J2046),4),
    MATCH(L$8,'Vehicle numbers'!$B$4:$D$4,0))*1000</f>
        <v>292079.43191902671</v>
      </c>
      <c r="M2046" s="184">
        <f ca="1">VLOOKUP(F2046,'Annual distance covered (GB)'!$A$8:$H$33,MATCH(J2046,'Annual distance covered (GB)'!$A$7:$H$7,0))</f>
        <v>12.4</v>
      </c>
      <c r="N2046" s="2">
        <f t="shared" ca="1" si="76"/>
        <v>226537.99210845522</v>
      </c>
      <c r="O2046" s="180">
        <f t="shared" ca="1" si="77"/>
        <v>0.7756040561296984</v>
      </c>
      <c r="P2046" s="180"/>
      <c r="Q2046" s="180"/>
      <c r="R2046" s="180"/>
      <c r="S2046" s="180"/>
      <c r="T2046" s="180"/>
    </row>
    <row r="2047" spans="1:20" x14ac:dyDescent="0.25">
      <c r="A2047" t="s">
        <v>243</v>
      </c>
      <c r="B2047" t="s">
        <v>237</v>
      </c>
      <c r="C2047" t="s">
        <v>238</v>
      </c>
      <c r="D2047" t="s">
        <v>269</v>
      </c>
      <c r="E2047" t="s">
        <v>228</v>
      </c>
      <c r="F2047">
        <v>2011</v>
      </c>
      <c r="G2047">
        <v>1.2171936E-2</v>
      </c>
      <c r="H2047" t="s">
        <v>240</v>
      </c>
      <c r="I2047" t="s">
        <v>241</v>
      </c>
      <c r="J2047" t="s">
        <v>245</v>
      </c>
      <c r="K2047" s="183">
        <f ca="1">VLOOKUP(F2047,
    OFFSET(INDIRECT(ADDRESS(MATCH(J2047,'Vehicle numbers'!$A$5:$A$162,0),1,1,1,$L$6)),4,1,COUNTIF('Vehicle numbers'!$A$5:$A$162,J2047),4),
    MATCH(K$8,'Vehicle numbers'!$B$4:$D$4,0))*1000</f>
        <v>277999</v>
      </c>
      <c r="L2047" s="183">
        <f ca="1">VLOOKUP(F2047,
    OFFSET(INDIRECT(ADDRESS(MATCH(J2047,'Vehicle numbers'!$A$5:$A$162,0),1,1,1,$L$6)),4,1,COUNTIF('Vehicle numbers'!$A$5:$A$162,J2047),4),
    MATCH(L$8,'Vehicle numbers'!$B$4:$D$4,0))*1000</f>
        <v>292079.43191902671</v>
      </c>
      <c r="M2047" s="184">
        <f ca="1">VLOOKUP(F2047,'Annual distance covered (GB)'!$A$8:$H$33,MATCH(J2047,'Annual distance covered (GB)'!$A$7:$H$7,0))</f>
        <v>12.4</v>
      </c>
      <c r="N2047" s="2">
        <f t="shared" ca="1" si="76"/>
        <v>158576.59447591859</v>
      </c>
      <c r="O2047" s="180">
        <f t="shared" ca="1" si="77"/>
        <v>0.54292283929078866</v>
      </c>
      <c r="P2047" s="180"/>
      <c r="Q2047" s="180"/>
      <c r="R2047" s="180"/>
      <c r="S2047" s="180"/>
      <c r="T2047" s="180"/>
    </row>
    <row r="2048" spans="1:20" x14ac:dyDescent="0.25">
      <c r="A2048" t="s">
        <v>244</v>
      </c>
      <c r="B2048" t="s">
        <v>237</v>
      </c>
      <c r="C2048" t="s">
        <v>238</v>
      </c>
      <c r="D2048" t="s">
        <v>269</v>
      </c>
      <c r="E2048" t="s">
        <v>228</v>
      </c>
      <c r="F2048">
        <v>2011</v>
      </c>
      <c r="G2048">
        <v>1.71435718309859E-3</v>
      </c>
      <c r="H2048" t="s">
        <v>240</v>
      </c>
      <c r="I2048" t="s">
        <v>241</v>
      </c>
      <c r="J2048" t="s">
        <v>245</v>
      </c>
      <c r="K2048" s="183">
        <f ca="1">VLOOKUP(F2048,
    OFFSET(INDIRECT(ADDRESS(MATCH(J2048,'Vehicle numbers'!$A$5:$A$162,0),1,1,1,$L$6)),4,1,COUNTIF('Vehicle numbers'!$A$5:$A$162,J2048),4),
    MATCH(K$8,'Vehicle numbers'!$B$4:$D$4,0))*1000</f>
        <v>277999</v>
      </c>
      <c r="L2048" s="183">
        <f ca="1">VLOOKUP(F2048,
    OFFSET(INDIRECT(ADDRESS(MATCH(J2048,'Vehicle numbers'!$A$5:$A$162,0),1,1,1,$L$6)),4,1,COUNTIF('Vehicle numbers'!$A$5:$A$162,J2048),4),
    MATCH(L$8,'Vehicle numbers'!$B$4:$D$4,0))*1000</f>
        <v>292079.43191902671</v>
      </c>
      <c r="M2048" s="184">
        <f ca="1">VLOOKUP(F2048,'Annual distance covered (GB)'!$A$8:$H$33,MATCH(J2048,'Annual distance covered (GB)'!$A$7:$H$7,0))</f>
        <v>12.4</v>
      </c>
      <c r="N2048" s="2">
        <f t="shared" ca="1" si="76"/>
        <v>22334.731616326546</v>
      </c>
      <c r="O2048" s="180">
        <f t="shared" ca="1" si="77"/>
        <v>7.6468005533913835E-2</v>
      </c>
      <c r="P2048" s="180"/>
      <c r="Q2048" s="180"/>
      <c r="R2048" s="180"/>
      <c r="S2048" s="180"/>
      <c r="T2048" s="180"/>
    </row>
    <row r="2049" spans="1:20" x14ac:dyDescent="0.25">
      <c r="A2049" t="s">
        <v>246</v>
      </c>
      <c r="B2049" t="s">
        <v>237</v>
      </c>
      <c r="C2049" t="s">
        <v>238</v>
      </c>
      <c r="D2049" t="s">
        <v>269</v>
      </c>
      <c r="E2049" t="s">
        <v>228</v>
      </c>
      <c r="F2049">
        <v>2011</v>
      </c>
      <c r="G2049">
        <v>1.37148574647887E-3</v>
      </c>
      <c r="H2049" t="s">
        <v>240</v>
      </c>
      <c r="I2049" t="s">
        <v>241</v>
      </c>
      <c r="J2049" t="s">
        <v>245</v>
      </c>
      <c r="K2049" s="183">
        <f ca="1">VLOOKUP(F2049,
    OFFSET(INDIRECT(ADDRESS(MATCH(J2049,'Vehicle numbers'!$A$5:$A$162,0),1,1,1,$L$6)),4,1,COUNTIF('Vehicle numbers'!$A$5:$A$162,J2049),4),
    MATCH(K$8,'Vehicle numbers'!$B$4:$D$4,0))*1000</f>
        <v>277999</v>
      </c>
      <c r="L2049" s="183">
        <f ca="1">VLOOKUP(F2049,
    OFFSET(INDIRECT(ADDRESS(MATCH(J2049,'Vehicle numbers'!$A$5:$A$162,0),1,1,1,$L$6)),4,1,COUNTIF('Vehicle numbers'!$A$5:$A$162,J2049),4),
    MATCH(L$8,'Vehicle numbers'!$B$4:$D$4,0))*1000</f>
        <v>292079.43191902671</v>
      </c>
      <c r="M2049" s="184">
        <f ca="1">VLOOKUP(F2049,'Annual distance covered (GB)'!$A$8:$H$33,MATCH(J2049,'Annual distance covered (GB)'!$A$7:$H$7,0))</f>
        <v>12.4</v>
      </c>
      <c r="N2049" s="2">
        <f t="shared" ca="1" si="76"/>
        <v>17867.78529306121</v>
      </c>
      <c r="O2049" s="180">
        <f t="shared" ca="1" si="77"/>
        <v>6.1174404427130978E-2</v>
      </c>
      <c r="P2049" s="180"/>
      <c r="Q2049" s="180"/>
      <c r="R2049" s="180"/>
      <c r="S2049" s="180"/>
      <c r="T2049" s="180"/>
    </row>
    <row r="2050" spans="1:20" x14ac:dyDescent="0.25">
      <c r="A2050" t="s">
        <v>236</v>
      </c>
      <c r="B2050" t="s">
        <v>237</v>
      </c>
      <c r="C2050" t="s">
        <v>238</v>
      </c>
      <c r="D2050" t="s">
        <v>270</v>
      </c>
      <c r="E2050" t="s">
        <v>229</v>
      </c>
      <c r="F2050">
        <v>2011</v>
      </c>
      <c r="G2050">
        <v>5.0994999999999902E-2</v>
      </c>
      <c r="H2050" t="s">
        <v>240</v>
      </c>
      <c r="I2050" t="s">
        <v>241</v>
      </c>
      <c r="J2050" t="s">
        <v>245</v>
      </c>
      <c r="K2050" s="183">
        <f ca="1">VLOOKUP(F2050,
    OFFSET(INDIRECT(ADDRESS(MATCH(J2050,'Vehicle numbers'!$A$5:$A$162,0),1,1,1,$L$6)),4,1,COUNTIF('Vehicle numbers'!$A$5:$A$162,J2050),4),
    MATCH(K$8,'Vehicle numbers'!$B$4:$D$4,0))*1000</f>
        <v>277999</v>
      </c>
      <c r="L2050" s="183">
        <f ca="1">VLOOKUP(F2050,
    OFFSET(INDIRECT(ADDRESS(MATCH(J2050,'Vehicle numbers'!$A$5:$A$162,0),1,1,1,$L$6)),4,1,COUNTIF('Vehicle numbers'!$A$5:$A$162,J2050),4),
    MATCH(L$8,'Vehicle numbers'!$B$4:$D$4,0))*1000</f>
        <v>292079.43191902671</v>
      </c>
      <c r="M2050" s="184">
        <f ca="1">VLOOKUP(F2050,'Annual distance covered (GB)'!$A$8:$H$33,MATCH(J2050,'Annual distance covered (GB)'!$A$7:$H$7,0))</f>
        <v>12.4</v>
      </c>
      <c r="N2050" s="2">
        <f t="shared" ca="1" si="76"/>
        <v>664365.42513035354</v>
      </c>
      <c r="O2050" s="180">
        <f t="shared" ca="1" si="77"/>
        <v>2.2746053043356227</v>
      </c>
      <c r="P2050" s="180"/>
      <c r="Q2050" s="180"/>
      <c r="R2050" s="180"/>
      <c r="S2050" s="180"/>
      <c r="T2050" s="180"/>
    </row>
    <row r="2051" spans="1:20" x14ac:dyDescent="0.25">
      <c r="A2051" t="s">
        <v>243</v>
      </c>
      <c r="B2051" t="s">
        <v>237</v>
      </c>
      <c r="C2051" t="s">
        <v>238</v>
      </c>
      <c r="D2051" t="s">
        <v>270</v>
      </c>
      <c r="E2051" t="s">
        <v>229</v>
      </c>
      <c r="F2051">
        <v>2011</v>
      </c>
      <c r="G2051">
        <v>2.0397999999999999E-2</v>
      </c>
      <c r="H2051" t="s">
        <v>240</v>
      </c>
      <c r="I2051" t="s">
        <v>241</v>
      </c>
      <c r="J2051" t="s">
        <v>245</v>
      </c>
      <c r="K2051" s="183">
        <f ca="1">VLOOKUP(F2051,
    OFFSET(INDIRECT(ADDRESS(MATCH(J2051,'Vehicle numbers'!$A$5:$A$162,0),1,1,1,$L$6)),4,1,COUNTIF('Vehicle numbers'!$A$5:$A$162,J2051),4),
    MATCH(K$8,'Vehicle numbers'!$B$4:$D$4,0))*1000</f>
        <v>277999</v>
      </c>
      <c r="L2051" s="183">
        <f ca="1">VLOOKUP(F2051,
    OFFSET(INDIRECT(ADDRESS(MATCH(J2051,'Vehicle numbers'!$A$5:$A$162,0),1,1,1,$L$6)),4,1,COUNTIF('Vehicle numbers'!$A$5:$A$162,J2051),4),
    MATCH(L$8,'Vehicle numbers'!$B$4:$D$4,0))*1000</f>
        <v>292079.43191902671</v>
      </c>
      <c r="M2051" s="184">
        <f ca="1">VLOOKUP(F2051,'Annual distance covered (GB)'!$A$8:$H$33,MATCH(J2051,'Annual distance covered (GB)'!$A$7:$H$7,0))</f>
        <v>12.4</v>
      </c>
      <c r="N2051" s="2">
        <f t="shared" ca="1" si="76"/>
        <v>265746.17005214194</v>
      </c>
      <c r="O2051" s="180">
        <f t="shared" ca="1" si="77"/>
        <v>0.90984212173425083</v>
      </c>
      <c r="P2051" s="180"/>
      <c r="Q2051" s="180"/>
      <c r="R2051" s="180"/>
      <c r="S2051" s="180"/>
      <c r="T2051" s="180"/>
    </row>
    <row r="2052" spans="1:20" x14ac:dyDescent="0.25">
      <c r="A2052" t="s">
        <v>244</v>
      </c>
      <c r="B2052" t="s">
        <v>237</v>
      </c>
      <c r="C2052" t="s">
        <v>238</v>
      </c>
      <c r="D2052" t="s">
        <v>270</v>
      </c>
      <c r="E2052" t="s">
        <v>229</v>
      </c>
      <c r="F2052">
        <v>2011</v>
      </c>
      <c r="G2052">
        <v>5.0994999999999999E-3</v>
      </c>
      <c r="H2052" t="s">
        <v>240</v>
      </c>
      <c r="I2052" t="s">
        <v>241</v>
      </c>
      <c r="J2052" t="s">
        <v>245</v>
      </c>
      <c r="K2052" s="183">
        <f ca="1">VLOOKUP(F2052,
    OFFSET(INDIRECT(ADDRESS(MATCH(J2052,'Vehicle numbers'!$A$5:$A$162,0),1,1,1,$L$6)),4,1,COUNTIF('Vehicle numbers'!$A$5:$A$162,J2052),4),
    MATCH(K$8,'Vehicle numbers'!$B$4:$D$4,0))*1000</f>
        <v>277999</v>
      </c>
      <c r="L2052" s="183">
        <f ca="1">VLOOKUP(F2052,
    OFFSET(INDIRECT(ADDRESS(MATCH(J2052,'Vehicle numbers'!$A$5:$A$162,0),1,1,1,$L$6)),4,1,COUNTIF('Vehicle numbers'!$A$5:$A$162,J2052),4),
    MATCH(L$8,'Vehicle numbers'!$B$4:$D$4,0))*1000</f>
        <v>292079.43191902671</v>
      </c>
      <c r="M2052" s="184">
        <f ca="1">VLOOKUP(F2052,'Annual distance covered (GB)'!$A$8:$H$33,MATCH(J2052,'Annual distance covered (GB)'!$A$7:$H$7,0))</f>
        <v>12.4</v>
      </c>
      <c r="N2052" s="2">
        <f t="shared" ca="1" si="76"/>
        <v>66436.542513035485</v>
      </c>
      <c r="O2052" s="180">
        <f t="shared" ca="1" si="77"/>
        <v>0.22746053043356271</v>
      </c>
      <c r="P2052" s="180"/>
      <c r="Q2052" s="180"/>
      <c r="R2052" s="180"/>
      <c r="S2052" s="180"/>
      <c r="T2052" s="180"/>
    </row>
    <row r="2053" spans="1:20" x14ac:dyDescent="0.25">
      <c r="A2053" t="s">
        <v>246</v>
      </c>
      <c r="B2053" t="s">
        <v>237</v>
      </c>
      <c r="C2053" t="s">
        <v>238</v>
      </c>
      <c r="D2053" t="s">
        <v>270</v>
      </c>
      <c r="E2053" t="s">
        <v>229</v>
      </c>
      <c r="F2053">
        <v>2011</v>
      </c>
      <c r="G2053">
        <v>4.0796000000000001E-3</v>
      </c>
      <c r="H2053" t="s">
        <v>240</v>
      </c>
      <c r="I2053" t="s">
        <v>241</v>
      </c>
      <c r="J2053" t="s">
        <v>245</v>
      </c>
      <c r="K2053" s="183">
        <f ca="1">VLOOKUP(F2053,
    OFFSET(INDIRECT(ADDRESS(MATCH(J2053,'Vehicle numbers'!$A$5:$A$162,0),1,1,1,$L$6)),4,1,COUNTIF('Vehicle numbers'!$A$5:$A$162,J2053),4),
    MATCH(K$8,'Vehicle numbers'!$B$4:$D$4,0))*1000</f>
        <v>277999</v>
      </c>
      <c r="L2053" s="183">
        <f ca="1">VLOOKUP(F2053,
    OFFSET(INDIRECT(ADDRESS(MATCH(J2053,'Vehicle numbers'!$A$5:$A$162,0),1,1,1,$L$6)),4,1,COUNTIF('Vehicle numbers'!$A$5:$A$162,J2053),4),
    MATCH(L$8,'Vehicle numbers'!$B$4:$D$4,0))*1000</f>
        <v>292079.43191902671</v>
      </c>
      <c r="M2053" s="184">
        <f ca="1">VLOOKUP(F2053,'Annual distance covered (GB)'!$A$8:$H$33,MATCH(J2053,'Annual distance covered (GB)'!$A$7:$H$7,0))</f>
        <v>12.4</v>
      </c>
      <c r="N2053" s="2">
        <f t="shared" ca="1" si="76"/>
        <v>53149.234010428387</v>
      </c>
      <c r="O2053" s="180">
        <f t="shared" ca="1" si="77"/>
        <v>0.18196842434685018</v>
      </c>
      <c r="P2053" s="180"/>
      <c r="Q2053" s="180"/>
      <c r="R2053" s="180"/>
      <c r="S2053" s="180"/>
      <c r="T2053" s="180"/>
    </row>
    <row r="2054" spans="1:20" x14ac:dyDescent="0.25">
      <c r="A2054" t="s">
        <v>236</v>
      </c>
      <c r="B2054" t="s">
        <v>237</v>
      </c>
      <c r="C2054" t="s">
        <v>238</v>
      </c>
      <c r="D2054" t="s">
        <v>270</v>
      </c>
      <c r="E2054" t="s">
        <v>228</v>
      </c>
      <c r="F2054">
        <v>2011</v>
      </c>
      <c r="G2054">
        <v>2.0737760000000001E-2</v>
      </c>
      <c r="H2054" t="s">
        <v>240</v>
      </c>
      <c r="I2054" t="s">
        <v>241</v>
      </c>
      <c r="J2054" t="s">
        <v>245</v>
      </c>
      <c r="K2054" s="183">
        <f ca="1">VLOOKUP(F2054,
    OFFSET(INDIRECT(ADDRESS(MATCH(J2054,'Vehicle numbers'!$A$5:$A$162,0),1,1,1,$L$6)),4,1,COUNTIF('Vehicle numbers'!$A$5:$A$162,J2054),4),
    MATCH(K$8,'Vehicle numbers'!$B$4:$D$4,0))*1000</f>
        <v>277999</v>
      </c>
      <c r="L2054" s="183">
        <f ca="1">VLOOKUP(F2054,
    OFFSET(INDIRECT(ADDRESS(MATCH(J2054,'Vehicle numbers'!$A$5:$A$162,0),1,1,1,$L$6)),4,1,COUNTIF('Vehicle numbers'!$A$5:$A$162,J2054),4),
    MATCH(L$8,'Vehicle numbers'!$B$4:$D$4,0))*1000</f>
        <v>292079.43191902671</v>
      </c>
      <c r="M2054" s="184">
        <f ca="1">VLOOKUP(F2054,'Annual distance covered (GB)'!$A$8:$H$33,MATCH(J2054,'Annual distance covered (GB)'!$A$7:$H$7,0))</f>
        <v>12.4</v>
      </c>
      <c r="N2054" s="2">
        <f t="shared" ca="1" si="76"/>
        <v>270172.58042261534</v>
      </c>
      <c r="O2054" s="180">
        <f t="shared" ca="1" si="77"/>
        <v>0.92499693883790968</v>
      </c>
      <c r="P2054" s="180"/>
      <c r="Q2054" s="180"/>
      <c r="R2054" s="180"/>
      <c r="S2054" s="180"/>
      <c r="T2054" s="180"/>
    </row>
    <row r="2055" spans="1:20" x14ac:dyDescent="0.25">
      <c r="A2055" t="s">
        <v>243</v>
      </c>
      <c r="B2055" t="s">
        <v>237</v>
      </c>
      <c r="C2055" t="s">
        <v>238</v>
      </c>
      <c r="D2055" t="s">
        <v>270</v>
      </c>
      <c r="E2055" t="s">
        <v>228</v>
      </c>
      <c r="F2055">
        <v>2011</v>
      </c>
      <c r="G2055">
        <v>1.4516431999999999E-2</v>
      </c>
      <c r="H2055" t="s">
        <v>240</v>
      </c>
      <c r="I2055" t="s">
        <v>241</v>
      </c>
      <c r="J2055" t="s">
        <v>245</v>
      </c>
      <c r="K2055" s="183">
        <f ca="1">VLOOKUP(F2055,
    OFFSET(INDIRECT(ADDRESS(MATCH(J2055,'Vehicle numbers'!$A$5:$A$162,0),1,1,1,$L$6)),4,1,COUNTIF('Vehicle numbers'!$A$5:$A$162,J2055),4),
    MATCH(K$8,'Vehicle numbers'!$B$4:$D$4,0))*1000</f>
        <v>277999</v>
      </c>
      <c r="L2055" s="183">
        <f ca="1">VLOOKUP(F2055,
    OFFSET(INDIRECT(ADDRESS(MATCH(J2055,'Vehicle numbers'!$A$5:$A$162,0),1,1,1,$L$6)),4,1,COUNTIF('Vehicle numbers'!$A$5:$A$162,J2055),4),
    MATCH(L$8,'Vehicle numbers'!$B$4:$D$4,0))*1000</f>
        <v>292079.43191902671</v>
      </c>
      <c r="M2055" s="184">
        <f ca="1">VLOOKUP(F2055,'Annual distance covered (GB)'!$A$8:$H$33,MATCH(J2055,'Annual distance covered (GB)'!$A$7:$H$7,0))</f>
        <v>12.4</v>
      </c>
      <c r="N2055" s="2">
        <f t="shared" ca="1" si="76"/>
        <v>189120.8062958307</v>
      </c>
      <c r="O2055" s="180">
        <f t="shared" ca="1" si="77"/>
        <v>0.64749785718653663</v>
      </c>
      <c r="P2055" s="180"/>
      <c r="Q2055" s="180"/>
      <c r="R2055" s="180"/>
      <c r="S2055" s="180"/>
      <c r="T2055" s="180"/>
    </row>
    <row r="2056" spans="1:20" x14ac:dyDescent="0.25">
      <c r="A2056" t="s">
        <v>244</v>
      </c>
      <c r="B2056" t="s">
        <v>237</v>
      </c>
      <c r="C2056" t="s">
        <v>238</v>
      </c>
      <c r="D2056" t="s">
        <v>270</v>
      </c>
      <c r="E2056" t="s">
        <v>228</v>
      </c>
      <c r="F2056">
        <v>2011</v>
      </c>
      <c r="G2056">
        <v>2.0445678873239402E-3</v>
      </c>
      <c r="H2056" t="s">
        <v>240</v>
      </c>
      <c r="I2056" t="s">
        <v>241</v>
      </c>
      <c r="J2056" t="s">
        <v>245</v>
      </c>
      <c r="K2056" s="183">
        <f ca="1">VLOOKUP(F2056,
    OFFSET(INDIRECT(ADDRESS(MATCH(J2056,'Vehicle numbers'!$A$5:$A$162,0),1,1,1,$L$6)),4,1,COUNTIF('Vehicle numbers'!$A$5:$A$162,J2056),4),
    MATCH(K$8,'Vehicle numbers'!$B$4:$D$4,0))*1000</f>
        <v>277999</v>
      </c>
      <c r="L2056" s="183">
        <f ca="1">VLOOKUP(F2056,
    OFFSET(INDIRECT(ADDRESS(MATCH(J2056,'Vehicle numbers'!$A$5:$A$162,0),1,1,1,$L$6)),4,1,COUNTIF('Vehicle numbers'!$A$5:$A$162,J2056),4),
    MATCH(L$8,'Vehicle numbers'!$B$4:$D$4,0))*1000</f>
        <v>292079.43191902671</v>
      </c>
      <c r="M2056" s="184">
        <f ca="1">VLOOKUP(F2056,'Annual distance covered (GB)'!$A$8:$H$33,MATCH(J2056,'Annual distance covered (GB)'!$A$7:$H$7,0))</f>
        <v>12.4</v>
      </c>
      <c r="N2056" s="2">
        <f t="shared" ca="1" si="76"/>
        <v>26636.733281102872</v>
      </c>
      <c r="O2056" s="180">
        <f t="shared" ca="1" si="77"/>
        <v>9.1196881293878249E-2</v>
      </c>
      <c r="P2056" s="180"/>
      <c r="Q2056" s="180"/>
      <c r="R2056" s="180"/>
      <c r="S2056" s="180"/>
      <c r="T2056" s="180"/>
    </row>
    <row r="2057" spans="1:20" x14ac:dyDescent="0.25">
      <c r="A2057" t="s">
        <v>246</v>
      </c>
      <c r="B2057" t="s">
        <v>237</v>
      </c>
      <c r="C2057" t="s">
        <v>238</v>
      </c>
      <c r="D2057" t="s">
        <v>270</v>
      </c>
      <c r="E2057" t="s">
        <v>228</v>
      </c>
      <c r="F2057">
        <v>2011</v>
      </c>
      <c r="G2057">
        <v>1.6356543098591499E-3</v>
      </c>
      <c r="H2057" t="s">
        <v>240</v>
      </c>
      <c r="I2057" t="s">
        <v>241</v>
      </c>
      <c r="J2057" t="s">
        <v>245</v>
      </c>
      <c r="K2057" s="183">
        <f ca="1">VLOOKUP(F2057,
    OFFSET(INDIRECT(ADDRESS(MATCH(J2057,'Vehicle numbers'!$A$5:$A$162,0),1,1,1,$L$6)),4,1,COUNTIF('Vehicle numbers'!$A$5:$A$162,J2057),4),
    MATCH(K$8,'Vehicle numbers'!$B$4:$D$4,0))*1000</f>
        <v>277999</v>
      </c>
      <c r="L2057" s="183">
        <f ca="1">VLOOKUP(F2057,
    OFFSET(INDIRECT(ADDRESS(MATCH(J2057,'Vehicle numbers'!$A$5:$A$162,0),1,1,1,$L$6)),4,1,COUNTIF('Vehicle numbers'!$A$5:$A$162,J2057),4),
    MATCH(L$8,'Vehicle numbers'!$B$4:$D$4,0))*1000</f>
        <v>292079.43191902671</v>
      </c>
      <c r="M2057" s="184">
        <f ca="1">VLOOKUP(F2057,'Annual distance covered (GB)'!$A$8:$H$33,MATCH(J2057,'Annual distance covered (GB)'!$A$7:$H$7,0))</f>
        <v>12.4</v>
      </c>
      <c r="N2057" s="2">
        <f t="shared" ca="1" si="76"/>
        <v>21309.386624882267</v>
      </c>
      <c r="O2057" s="180">
        <f t="shared" ca="1" si="77"/>
        <v>7.2957505035102496E-2</v>
      </c>
      <c r="P2057" s="180"/>
      <c r="Q2057" s="180"/>
      <c r="R2057" s="180"/>
      <c r="S2057" s="180"/>
      <c r="T2057" s="180"/>
    </row>
    <row r="2058" spans="1:20" x14ac:dyDescent="0.25">
      <c r="A2058" t="s">
        <v>236</v>
      </c>
      <c r="B2058" t="s">
        <v>237</v>
      </c>
      <c r="C2058" t="s">
        <v>238</v>
      </c>
      <c r="D2058" t="s">
        <v>257</v>
      </c>
      <c r="E2058" t="s">
        <v>229</v>
      </c>
      <c r="F2058">
        <v>2011</v>
      </c>
      <c r="G2058">
        <v>2.1210000000000001E-3</v>
      </c>
      <c r="H2058" t="s">
        <v>240</v>
      </c>
      <c r="I2058" t="s">
        <v>241</v>
      </c>
      <c r="J2058" t="s">
        <v>188</v>
      </c>
      <c r="K2058" s="183">
        <f ca="1">VLOOKUP(F2058,
    OFFSET(INDIRECT(ADDRESS(MATCH(J2058,'Vehicle numbers'!$A$5:$A$162,0),1,1,1,$L$6)),4,1,COUNTIF('Vehicle numbers'!$A$5:$A$162,J2058),4),
    MATCH(K$8,'Vehicle numbers'!$B$4:$D$4,0))*1000</f>
        <v>3248293</v>
      </c>
      <c r="L2058" s="183">
        <f ca="1">VLOOKUP(F2058,
    OFFSET(INDIRECT(ADDRESS(MATCH(J2058,'Vehicle numbers'!$A$5:$A$162,0),1,1,1,$L$6)),4,1,COUNTIF('Vehicle numbers'!$A$5:$A$162,J2058),4),
    MATCH(L$8,'Vehicle numbers'!$B$4:$D$4,0))*1000</f>
        <v>3341504.6645657388</v>
      </c>
      <c r="M2058" s="184">
        <f>VLOOKUP(F2058,'Annual distance covered (GB)'!$A$8:$H$33,MATCH(J2058,'Annual distance covered (GB)'!$A$7:$H$7,0))</f>
        <v>67.599999999999994</v>
      </c>
      <c r="N2058" s="2">
        <f t="shared" ca="1" si="76"/>
        <v>147493.96135249187</v>
      </c>
      <c r="O2058" s="180">
        <f t="shared" ca="1" si="77"/>
        <v>4.4139983677580819E-2</v>
      </c>
      <c r="P2058" s="180"/>
      <c r="Q2058" s="180"/>
      <c r="R2058" s="180"/>
      <c r="S2058" s="180"/>
      <c r="T2058" s="180"/>
    </row>
    <row r="2059" spans="1:20" x14ac:dyDescent="0.25">
      <c r="A2059" t="s">
        <v>243</v>
      </c>
      <c r="B2059" t="s">
        <v>237</v>
      </c>
      <c r="C2059" t="s">
        <v>238</v>
      </c>
      <c r="D2059" t="s">
        <v>257</v>
      </c>
      <c r="E2059" t="s">
        <v>229</v>
      </c>
      <c r="F2059">
        <v>2011</v>
      </c>
      <c r="G2059">
        <v>8.4840000000000002E-4</v>
      </c>
      <c r="H2059" t="s">
        <v>240</v>
      </c>
      <c r="I2059" t="s">
        <v>241</v>
      </c>
      <c r="J2059" t="s">
        <v>188</v>
      </c>
      <c r="K2059" s="183">
        <f ca="1">VLOOKUP(F2059,
    OFFSET(INDIRECT(ADDRESS(MATCH(J2059,'Vehicle numbers'!$A$5:$A$162,0),1,1,1,$L$6)),4,1,COUNTIF('Vehicle numbers'!$A$5:$A$162,J2059),4),
    MATCH(K$8,'Vehicle numbers'!$B$4:$D$4,0))*1000</f>
        <v>3248293</v>
      </c>
      <c r="L2059" s="183">
        <f ca="1">VLOOKUP(F2059,
    OFFSET(INDIRECT(ADDRESS(MATCH(J2059,'Vehicle numbers'!$A$5:$A$162,0),1,1,1,$L$6)),4,1,COUNTIF('Vehicle numbers'!$A$5:$A$162,J2059),4),
    MATCH(L$8,'Vehicle numbers'!$B$4:$D$4,0))*1000</f>
        <v>3341504.6645657388</v>
      </c>
      <c r="M2059" s="184">
        <f>VLOOKUP(F2059,'Annual distance covered (GB)'!$A$8:$H$33,MATCH(J2059,'Annual distance covered (GB)'!$A$7:$H$7,0))</f>
        <v>67.599999999999994</v>
      </c>
      <c r="N2059" s="2">
        <f t="shared" ref="N2059:N2122" ca="1" si="78">M2059*G2059*1000000*(L2059/K2059)</f>
        <v>58997.584540996737</v>
      </c>
      <c r="O2059" s="180">
        <f t="shared" ref="O2059:O2122" ca="1" si="79">N2059/L2059</f>
        <v>1.7655993471032323E-2</v>
      </c>
      <c r="P2059" s="180"/>
      <c r="Q2059" s="180"/>
      <c r="R2059" s="180"/>
      <c r="S2059" s="180"/>
      <c r="T2059" s="180"/>
    </row>
    <row r="2060" spans="1:20" x14ac:dyDescent="0.25">
      <c r="A2060" t="s">
        <v>244</v>
      </c>
      <c r="B2060" t="s">
        <v>237</v>
      </c>
      <c r="C2060" t="s">
        <v>238</v>
      </c>
      <c r="D2060" t="s">
        <v>257</v>
      </c>
      <c r="E2060" t="s">
        <v>229</v>
      </c>
      <c r="F2060">
        <v>2011</v>
      </c>
      <c r="G2060">
        <v>2.1210000000000001E-4</v>
      </c>
      <c r="H2060" t="s">
        <v>240</v>
      </c>
      <c r="I2060" t="s">
        <v>241</v>
      </c>
      <c r="J2060" t="s">
        <v>188</v>
      </c>
      <c r="K2060" s="183">
        <f ca="1">VLOOKUP(F2060,
    OFFSET(INDIRECT(ADDRESS(MATCH(J2060,'Vehicle numbers'!$A$5:$A$162,0),1,1,1,$L$6)),4,1,COUNTIF('Vehicle numbers'!$A$5:$A$162,J2060),4),
    MATCH(K$8,'Vehicle numbers'!$B$4:$D$4,0))*1000</f>
        <v>3248293</v>
      </c>
      <c r="L2060" s="183">
        <f ca="1">VLOOKUP(F2060,
    OFFSET(INDIRECT(ADDRESS(MATCH(J2060,'Vehicle numbers'!$A$5:$A$162,0),1,1,1,$L$6)),4,1,COUNTIF('Vehicle numbers'!$A$5:$A$162,J2060),4),
    MATCH(L$8,'Vehicle numbers'!$B$4:$D$4,0))*1000</f>
        <v>3341504.6645657388</v>
      </c>
      <c r="M2060" s="184">
        <f>VLOOKUP(F2060,'Annual distance covered (GB)'!$A$8:$H$33,MATCH(J2060,'Annual distance covered (GB)'!$A$7:$H$7,0))</f>
        <v>67.599999999999994</v>
      </c>
      <c r="N2060" s="2">
        <f t="shared" ca="1" si="78"/>
        <v>14749.396135249184</v>
      </c>
      <c r="O2060" s="180">
        <f t="shared" ca="1" si="79"/>
        <v>4.4139983677580806E-3</v>
      </c>
      <c r="P2060" s="180"/>
      <c r="Q2060" s="180"/>
      <c r="R2060" s="180"/>
      <c r="S2060" s="180"/>
      <c r="T2060" s="180"/>
    </row>
    <row r="2061" spans="1:20" x14ac:dyDescent="0.25">
      <c r="A2061" t="s">
        <v>246</v>
      </c>
      <c r="B2061" t="s">
        <v>237</v>
      </c>
      <c r="C2061" t="s">
        <v>238</v>
      </c>
      <c r="D2061" t="s">
        <v>257</v>
      </c>
      <c r="E2061" t="s">
        <v>229</v>
      </c>
      <c r="F2061">
        <v>2011</v>
      </c>
      <c r="G2061">
        <v>1.6967999999999999E-4</v>
      </c>
      <c r="H2061" t="s">
        <v>240</v>
      </c>
      <c r="I2061" t="s">
        <v>241</v>
      </c>
      <c r="J2061" t="s">
        <v>188</v>
      </c>
      <c r="K2061" s="183">
        <f ca="1">VLOOKUP(F2061,
    OFFSET(INDIRECT(ADDRESS(MATCH(J2061,'Vehicle numbers'!$A$5:$A$162,0),1,1,1,$L$6)),4,1,COUNTIF('Vehicle numbers'!$A$5:$A$162,J2061),4),
    MATCH(K$8,'Vehicle numbers'!$B$4:$D$4,0))*1000</f>
        <v>3248293</v>
      </c>
      <c r="L2061" s="183">
        <f ca="1">VLOOKUP(F2061,
    OFFSET(INDIRECT(ADDRESS(MATCH(J2061,'Vehicle numbers'!$A$5:$A$162,0),1,1,1,$L$6)),4,1,COUNTIF('Vehicle numbers'!$A$5:$A$162,J2061),4),
    MATCH(L$8,'Vehicle numbers'!$B$4:$D$4,0))*1000</f>
        <v>3341504.6645657388</v>
      </c>
      <c r="M2061" s="184">
        <f>VLOOKUP(F2061,'Annual distance covered (GB)'!$A$8:$H$33,MATCH(J2061,'Annual distance covered (GB)'!$A$7:$H$7,0))</f>
        <v>67.599999999999994</v>
      </c>
      <c r="N2061" s="2">
        <f t="shared" ca="1" si="78"/>
        <v>11799.516908199346</v>
      </c>
      <c r="O2061" s="180">
        <f t="shared" ca="1" si="79"/>
        <v>3.5311986942064642E-3</v>
      </c>
      <c r="P2061" s="180"/>
      <c r="Q2061" s="180"/>
      <c r="R2061" s="180"/>
      <c r="S2061" s="180"/>
      <c r="T2061" s="180"/>
    </row>
    <row r="2062" spans="1:20" x14ac:dyDescent="0.25">
      <c r="A2062" t="s">
        <v>236</v>
      </c>
      <c r="B2062" t="s">
        <v>237</v>
      </c>
      <c r="C2062" t="s">
        <v>238</v>
      </c>
      <c r="D2062" t="s">
        <v>257</v>
      </c>
      <c r="E2062" t="s">
        <v>228</v>
      </c>
      <c r="F2062">
        <v>2011</v>
      </c>
      <c r="G2062">
        <v>9.1459999999999996E-3</v>
      </c>
      <c r="H2062" t="s">
        <v>240</v>
      </c>
      <c r="I2062" t="s">
        <v>241</v>
      </c>
      <c r="J2062" t="s">
        <v>188</v>
      </c>
      <c r="K2062" s="183">
        <f ca="1">VLOOKUP(F2062,
    OFFSET(INDIRECT(ADDRESS(MATCH(J2062,'Vehicle numbers'!$A$5:$A$162,0),1,1,1,$L$6)),4,1,COUNTIF('Vehicle numbers'!$A$5:$A$162,J2062),4),
    MATCH(K$8,'Vehicle numbers'!$B$4:$D$4,0))*1000</f>
        <v>3248293</v>
      </c>
      <c r="L2062" s="183">
        <f ca="1">VLOOKUP(F2062,
    OFFSET(INDIRECT(ADDRESS(MATCH(J2062,'Vehicle numbers'!$A$5:$A$162,0),1,1,1,$L$6)),4,1,COUNTIF('Vehicle numbers'!$A$5:$A$162,J2062),4),
    MATCH(L$8,'Vehicle numbers'!$B$4:$D$4,0))*1000</f>
        <v>3341504.6645657388</v>
      </c>
      <c r="M2062" s="184">
        <f>VLOOKUP(F2062,'Annual distance covered (GB)'!$A$8:$H$33,MATCH(J2062,'Annual distance covered (GB)'!$A$7:$H$7,0))</f>
        <v>67.599999999999994</v>
      </c>
      <c r="N2062" s="2">
        <f t="shared" ca="1" si="78"/>
        <v>636011.20722767117</v>
      </c>
      <c r="O2062" s="180">
        <f t="shared" ca="1" si="79"/>
        <v>0.19033677072850266</v>
      </c>
      <c r="P2062" s="180"/>
      <c r="Q2062" s="180"/>
      <c r="R2062" s="180"/>
      <c r="S2062" s="180"/>
      <c r="T2062" s="180"/>
    </row>
    <row r="2063" spans="1:20" x14ac:dyDescent="0.25">
      <c r="A2063" t="s">
        <v>243</v>
      </c>
      <c r="B2063" t="s">
        <v>237</v>
      </c>
      <c r="C2063" t="s">
        <v>238</v>
      </c>
      <c r="D2063" t="s">
        <v>257</v>
      </c>
      <c r="E2063" t="s">
        <v>228</v>
      </c>
      <c r="F2063">
        <v>2011</v>
      </c>
      <c r="G2063">
        <v>6.4022000000000003E-3</v>
      </c>
      <c r="H2063" t="s">
        <v>240</v>
      </c>
      <c r="I2063" t="s">
        <v>241</v>
      </c>
      <c r="J2063" t="s">
        <v>188</v>
      </c>
      <c r="K2063" s="183">
        <f ca="1">VLOOKUP(F2063,
    OFFSET(INDIRECT(ADDRESS(MATCH(J2063,'Vehicle numbers'!$A$5:$A$162,0),1,1,1,$L$6)),4,1,COUNTIF('Vehicle numbers'!$A$5:$A$162,J2063),4),
    MATCH(K$8,'Vehicle numbers'!$B$4:$D$4,0))*1000</f>
        <v>3248293</v>
      </c>
      <c r="L2063" s="183">
        <f ca="1">VLOOKUP(F2063,
    OFFSET(INDIRECT(ADDRESS(MATCH(J2063,'Vehicle numbers'!$A$5:$A$162,0),1,1,1,$L$6)),4,1,COUNTIF('Vehicle numbers'!$A$5:$A$162,J2063),4),
    MATCH(L$8,'Vehicle numbers'!$B$4:$D$4,0))*1000</f>
        <v>3341504.6645657388</v>
      </c>
      <c r="M2063" s="184">
        <f>VLOOKUP(F2063,'Annual distance covered (GB)'!$A$8:$H$33,MATCH(J2063,'Annual distance covered (GB)'!$A$7:$H$7,0))</f>
        <v>67.599999999999994</v>
      </c>
      <c r="N2063" s="2">
        <f t="shared" ca="1" si="78"/>
        <v>445207.84505936975</v>
      </c>
      <c r="O2063" s="180">
        <f t="shared" ca="1" si="79"/>
        <v>0.13323573950995182</v>
      </c>
      <c r="P2063" s="180"/>
      <c r="Q2063" s="180"/>
      <c r="R2063" s="180"/>
      <c r="S2063" s="180"/>
      <c r="T2063" s="180"/>
    </row>
    <row r="2064" spans="1:20" x14ac:dyDescent="0.25">
      <c r="A2064" t="s">
        <v>244</v>
      </c>
      <c r="B2064" t="s">
        <v>237</v>
      </c>
      <c r="C2064" t="s">
        <v>238</v>
      </c>
      <c r="D2064" t="s">
        <v>257</v>
      </c>
      <c r="E2064" t="s">
        <v>228</v>
      </c>
      <c r="F2064">
        <v>2011</v>
      </c>
      <c r="G2064">
        <v>9.0171830985915399E-4</v>
      </c>
      <c r="H2064" t="s">
        <v>240</v>
      </c>
      <c r="I2064" t="s">
        <v>241</v>
      </c>
      <c r="J2064" t="s">
        <v>188</v>
      </c>
      <c r="K2064" s="183">
        <f ca="1">VLOOKUP(F2064,
    OFFSET(INDIRECT(ADDRESS(MATCH(J2064,'Vehicle numbers'!$A$5:$A$162,0),1,1,1,$L$6)),4,1,COUNTIF('Vehicle numbers'!$A$5:$A$162,J2064),4),
    MATCH(K$8,'Vehicle numbers'!$B$4:$D$4,0))*1000</f>
        <v>3248293</v>
      </c>
      <c r="L2064" s="183">
        <f ca="1">VLOOKUP(F2064,
    OFFSET(INDIRECT(ADDRESS(MATCH(J2064,'Vehicle numbers'!$A$5:$A$162,0),1,1,1,$L$6)),4,1,COUNTIF('Vehicle numbers'!$A$5:$A$162,J2064),4),
    MATCH(L$8,'Vehicle numbers'!$B$4:$D$4,0))*1000</f>
        <v>3341504.6645657388</v>
      </c>
      <c r="M2064" s="184">
        <f>VLOOKUP(F2064,'Annual distance covered (GB)'!$A$8:$H$33,MATCH(J2064,'Annual distance covered (GB)'!$A$7:$H$7,0))</f>
        <v>67.599999999999994</v>
      </c>
      <c r="N2064" s="2">
        <f t="shared" ca="1" si="78"/>
        <v>62705.330290052014</v>
      </c>
      <c r="O2064" s="180">
        <f t="shared" ca="1" si="79"/>
        <v>1.8765597114077704E-2</v>
      </c>
      <c r="P2064" s="180"/>
      <c r="Q2064" s="180"/>
      <c r="R2064" s="180"/>
      <c r="S2064" s="180"/>
      <c r="T2064" s="180"/>
    </row>
    <row r="2065" spans="1:20" x14ac:dyDescent="0.25">
      <c r="A2065" t="s">
        <v>246</v>
      </c>
      <c r="B2065" t="s">
        <v>237</v>
      </c>
      <c r="C2065" t="s">
        <v>238</v>
      </c>
      <c r="D2065" t="s">
        <v>257</v>
      </c>
      <c r="E2065" t="s">
        <v>228</v>
      </c>
      <c r="F2065">
        <v>2011</v>
      </c>
      <c r="G2065">
        <v>7.21374647887323E-4</v>
      </c>
      <c r="H2065" t="s">
        <v>240</v>
      </c>
      <c r="I2065" t="s">
        <v>241</v>
      </c>
      <c r="J2065" t="s">
        <v>188</v>
      </c>
      <c r="K2065" s="183">
        <f ca="1">VLOOKUP(F2065,
    OFFSET(INDIRECT(ADDRESS(MATCH(J2065,'Vehicle numbers'!$A$5:$A$162,0),1,1,1,$L$6)),4,1,COUNTIF('Vehicle numbers'!$A$5:$A$162,J2065),4),
    MATCH(K$8,'Vehicle numbers'!$B$4:$D$4,0))*1000</f>
        <v>3248293</v>
      </c>
      <c r="L2065" s="183">
        <f ca="1">VLOOKUP(F2065,
    OFFSET(INDIRECT(ADDRESS(MATCH(J2065,'Vehicle numbers'!$A$5:$A$162,0),1,1,1,$L$6)),4,1,COUNTIF('Vehicle numbers'!$A$5:$A$162,J2065),4),
    MATCH(L$8,'Vehicle numbers'!$B$4:$D$4,0))*1000</f>
        <v>3341504.6645657388</v>
      </c>
      <c r="M2065" s="184">
        <f>VLOOKUP(F2065,'Annual distance covered (GB)'!$A$8:$H$33,MATCH(J2065,'Annual distance covered (GB)'!$A$7:$H$7,0))</f>
        <v>67.599999999999994</v>
      </c>
      <c r="N2065" s="2">
        <f t="shared" ca="1" si="78"/>
        <v>50164.264232041598</v>
      </c>
      <c r="O2065" s="180">
        <f t="shared" ca="1" si="79"/>
        <v>1.501247769126216E-2</v>
      </c>
      <c r="P2065" s="180"/>
      <c r="Q2065" s="180"/>
      <c r="R2065" s="180"/>
      <c r="S2065" s="180"/>
      <c r="T2065" s="180"/>
    </row>
    <row r="2066" spans="1:20" x14ac:dyDescent="0.25">
      <c r="A2066" t="s">
        <v>236</v>
      </c>
      <c r="B2066" t="s">
        <v>237</v>
      </c>
      <c r="C2066" t="s">
        <v>238</v>
      </c>
      <c r="D2066" t="s">
        <v>258</v>
      </c>
      <c r="E2066" t="s">
        <v>229</v>
      </c>
      <c r="F2066">
        <v>2011</v>
      </c>
      <c r="G2066">
        <v>8.6219999999999908E-3</v>
      </c>
      <c r="H2066" t="s">
        <v>240</v>
      </c>
      <c r="I2066" t="s">
        <v>241</v>
      </c>
      <c r="J2066" t="s">
        <v>188</v>
      </c>
      <c r="K2066" s="183">
        <f ca="1">VLOOKUP(F2066,
    OFFSET(INDIRECT(ADDRESS(MATCH(J2066,'Vehicle numbers'!$A$5:$A$162,0),1,1,1,$L$6)),4,1,COUNTIF('Vehicle numbers'!$A$5:$A$162,J2066),4),
    MATCH(K$8,'Vehicle numbers'!$B$4:$D$4,0))*1000</f>
        <v>3248293</v>
      </c>
      <c r="L2066" s="183">
        <f ca="1">VLOOKUP(F2066,
    OFFSET(INDIRECT(ADDRESS(MATCH(J2066,'Vehicle numbers'!$A$5:$A$162,0),1,1,1,$L$6)),4,1,COUNTIF('Vehicle numbers'!$A$5:$A$162,J2066),4),
    MATCH(L$8,'Vehicle numbers'!$B$4:$D$4,0))*1000</f>
        <v>3341504.6645657388</v>
      </c>
      <c r="M2066" s="184">
        <f>VLOOKUP(F2066,'Annual distance covered (GB)'!$A$8:$H$33,MATCH(J2066,'Annual distance covered (GB)'!$A$7:$H$7,0))</f>
        <v>67.599999999999994</v>
      </c>
      <c r="N2066" s="2">
        <f t="shared" ca="1" si="78"/>
        <v>599572.34077377815</v>
      </c>
      <c r="O2066" s="180">
        <f t="shared" ca="1" si="79"/>
        <v>0.17943184312498886</v>
      </c>
      <c r="P2066" s="180"/>
      <c r="Q2066" s="180"/>
      <c r="R2066" s="180"/>
      <c r="S2066" s="180"/>
      <c r="T2066" s="180"/>
    </row>
    <row r="2067" spans="1:20" x14ac:dyDescent="0.25">
      <c r="A2067" t="s">
        <v>243</v>
      </c>
      <c r="B2067" t="s">
        <v>237</v>
      </c>
      <c r="C2067" t="s">
        <v>238</v>
      </c>
      <c r="D2067" t="s">
        <v>258</v>
      </c>
      <c r="E2067" t="s">
        <v>229</v>
      </c>
      <c r="F2067">
        <v>2011</v>
      </c>
      <c r="G2067">
        <v>3.4488000000000001E-3</v>
      </c>
      <c r="H2067" t="s">
        <v>240</v>
      </c>
      <c r="I2067" t="s">
        <v>241</v>
      </c>
      <c r="J2067" t="s">
        <v>188</v>
      </c>
      <c r="K2067" s="183">
        <f ca="1">VLOOKUP(F2067,
    OFFSET(INDIRECT(ADDRESS(MATCH(J2067,'Vehicle numbers'!$A$5:$A$162,0),1,1,1,$L$6)),4,1,COUNTIF('Vehicle numbers'!$A$5:$A$162,J2067),4),
    MATCH(K$8,'Vehicle numbers'!$B$4:$D$4,0))*1000</f>
        <v>3248293</v>
      </c>
      <c r="L2067" s="183">
        <f ca="1">VLOOKUP(F2067,
    OFFSET(INDIRECT(ADDRESS(MATCH(J2067,'Vehicle numbers'!$A$5:$A$162,0),1,1,1,$L$6)),4,1,COUNTIF('Vehicle numbers'!$A$5:$A$162,J2067),4),
    MATCH(L$8,'Vehicle numbers'!$B$4:$D$4,0))*1000</f>
        <v>3341504.6645657388</v>
      </c>
      <c r="M2067" s="184">
        <f>VLOOKUP(F2067,'Annual distance covered (GB)'!$A$8:$H$33,MATCH(J2067,'Annual distance covered (GB)'!$A$7:$H$7,0))</f>
        <v>67.599999999999994</v>
      </c>
      <c r="N2067" s="2">
        <f t="shared" ca="1" si="78"/>
        <v>239828.93630951151</v>
      </c>
      <c r="O2067" s="180">
        <f t="shared" ca="1" si="79"/>
        <v>7.1772737249995625E-2</v>
      </c>
      <c r="P2067" s="180"/>
      <c r="Q2067" s="180"/>
      <c r="R2067" s="180"/>
      <c r="S2067" s="180"/>
      <c r="T2067" s="180"/>
    </row>
    <row r="2068" spans="1:20" x14ac:dyDescent="0.25">
      <c r="A2068" t="s">
        <v>244</v>
      </c>
      <c r="B2068" t="s">
        <v>237</v>
      </c>
      <c r="C2068" t="s">
        <v>238</v>
      </c>
      <c r="D2068" t="s">
        <v>258</v>
      </c>
      <c r="E2068" t="s">
        <v>229</v>
      </c>
      <c r="F2068">
        <v>2011</v>
      </c>
      <c r="G2068">
        <v>8.6220000000000003E-4</v>
      </c>
      <c r="H2068" t="s">
        <v>240</v>
      </c>
      <c r="I2068" t="s">
        <v>241</v>
      </c>
      <c r="J2068" t="s">
        <v>188</v>
      </c>
      <c r="K2068" s="183">
        <f ca="1">VLOOKUP(F2068,
    OFFSET(INDIRECT(ADDRESS(MATCH(J2068,'Vehicle numbers'!$A$5:$A$162,0),1,1,1,$L$6)),4,1,COUNTIF('Vehicle numbers'!$A$5:$A$162,J2068),4),
    MATCH(K$8,'Vehicle numbers'!$B$4:$D$4,0))*1000</f>
        <v>3248293</v>
      </c>
      <c r="L2068" s="183">
        <f ca="1">VLOOKUP(F2068,
    OFFSET(INDIRECT(ADDRESS(MATCH(J2068,'Vehicle numbers'!$A$5:$A$162,0),1,1,1,$L$6)),4,1,COUNTIF('Vehicle numbers'!$A$5:$A$162,J2068),4),
    MATCH(L$8,'Vehicle numbers'!$B$4:$D$4,0))*1000</f>
        <v>3341504.6645657388</v>
      </c>
      <c r="M2068" s="184">
        <f>VLOOKUP(F2068,'Annual distance covered (GB)'!$A$8:$H$33,MATCH(J2068,'Annual distance covered (GB)'!$A$7:$H$7,0))</f>
        <v>67.599999999999994</v>
      </c>
      <c r="N2068" s="2">
        <f t="shared" ca="1" si="78"/>
        <v>59957.234077377878</v>
      </c>
      <c r="O2068" s="180">
        <f t="shared" ca="1" si="79"/>
        <v>1.7943184312498906E-2</v>
      </c>
      <c r="P2068" s="180"/>
      <c r="Q2068" s="180"/>
      <c r="R2068" s="180"/>
      <c r="S2068" s="180"/>
      <c r="T2068" s="180"/>
    </row>
    <row r="2069" spans="1:20" x14ac:dyDescent="0.25">
      <c r="A2069" t="s">
        <v>246</v>
      </c>
      <c r="B2069" t="s">
        <v>237</v>
      </c>
      <c r="C2069" t="s">
        <v>238</v>
      </c>
      <c r="D2069" t="s">
        <v>258</v>
      </c>
      <c r="E2069" t="s">
        <v>229</v>
      </c>
      <c r="F2069">
        <v>2011</v>
      </c>
      <c r="G2069">
        <v>6.8975999999999998E-4</v>
      </c>
      <c r="H2069" t="s">
        <v>240</v>
      </c>
      <c r="I2069" t="s">
        <v>241</v>
      </c>
      <c r="J2069" t="s">
        <v>188</v>
      </c>
      <c r="K2069" s="183">
        <f ca="1">VLOOKUP(F2069,
    OFFSET(INDIRECT(ADDRESS(MATCH(J2069,'Vehicle numbers'!$A$5:$A$162,0),1,1,1,$L$6)),4,1,COUNTIF('Vehicle numbers'!$A$5:$A$162,J2069),4),
    MATCH(K$8,'Vehicle numbers'!$B$4:$D$4,0))*1000</f>
        <v>3248293</v>
      </c>
      <c r="L2069" s="183">
        <f ca="1">VLOOKUP(F2069,
    OFFSET(INDIRECT(ADDRESS(MATCH(J2069,'Vehicle numbers'!$A$5:$A$162,0),1,1,1,$L$6)),4,1,COUNTIF('Vehicle numbers'!$A$5:$A$162,J2069),4),
    MATCH(L$8,'Vehicle numbers'!$B$4:$D$4,0))*1000</f>
        <v>3341504.6645657388</v>
      </c>
      <c r="M2069" s="184">
        <f>VLOOKUP(F2069,'Annual distance covered (GB)'!$A$8:$H$33,MATCH(J2069,'Annual distance covered (GB)'!$A$7:$H$7,0))</f>
        <v>67.599999999999994</v>
      </c>
      <c r="N2069" s="2">
        <f t="shared" ca="1" si="78"/>
        <v>47965.787261902296</v>
      </c>
      <c r="O2069" s="180">
        <f t="shared" ca="1" si="79"/>
        <v>1.4354547449999122E-2</v>
      </c>
      <c r="P2069" s="180"/>
      <c r="Q2069" s="180"/>
      <c r="R2069" s="180"/>
      <c r="S2069" s="180"/>
      <c r="T2069" s="180"/>
    </row>
    <row r="2070" spans="1:20" x14ac:dyDescent="0.25">
      <c r="A2070" t="s">
        <v>236</v>
      </c>
      <c r="B2070" t="s">
        <v>237</v>
      </c>
      <c r="C2070" t="s">
        <v>238</v>
      </c>
      <c r="D2070" t="s">
        <v>258</v>
      </c>
      <c r="E2070" t="s">
        <v>228</v>
      </c>
      <c r="F2070">
        <v>2011</v>
      </c>
      <c r="G2070">
        <v>1.0741000000000001E-2</v>
      </c>
      <c r="H2070" t="s">
        <v>240</v>
      </c>
      <c r="I2070" t="s">
        <v>241</v>
      </c>
      <c r="J2070" t="s">
        <v>188</v>
      </c>
      <c r="K2070" s="183">
        <f ca="1">VLOOKUP(F2070,
    OFFSET(INDIRECT(ADDRESS(MATCH(J2070,'Vehicle numbers'!$A$5:$A$162,0),1,1,1,$L$6)),4,1,COUNTIF('Vehicle numbers'!$A$5:$A$162,J2070),4),
    MATCH(K$8,'Vehicle numbers'!$B$4:$D$4,0))*1000</f>
        <v>3248293</v>
      </c>
      <c r="L2070" s="183">
        <f ca="1">VLOOKUP(F2070,
    OFFSET(INDIRECT(ADDRESS(MATCH(J2070,'Vehicle numbers'!$A$5:$A$162,0),1,1,1,$L$6)),4,1,COUNTIF('Vehicle numbers'!$A$5:$A$162,J2070),4),
    MATCH(L$8,'Vehicle numbers'!$B$4:$D$4,0))*1000</f>
        <v>3341504.6645657388</v>
      </c>
      <c r="M2070" s="184">
        <f>VLOOKUP(F2070,'Annual distance covered (GB)'!$A$8:$H$33,MATCH(J2070,'Annual distance covered (GB)'!$A$7:$H$7,0))</f>
        <v>67.599999999999994</v>
      </c>
      <c r="N2070" s="2">
        <f t="shared" ca="1" si="78"/>
        <v>746927.22248331679</v>
      </c>
      <c r="O2070" s="180">
        <f t="shared" ca="1" si="79"/>
        <v>0.22353020494148773</v>
      </c>
      <c r="P2070" s="180"/>
      <c r="Q2070" s="180"/>
      <c r="R2070" s="180"/>
      <c r="S2070" s="180"/>
      <c r="T2070" s="180"/>
    </row>
    <row r="2071" spans="1:20" x14ac:dyDescent="0.25">
      <c r="A2071" t="s">
        <v>243</v>
      </c>
      <c r="B2071" t="s">
        <v>237</v>
      </c>
      <c r="C2071" t="s">
        <v>238</v>
      </c>
      <c r="D2071" t="s">
        <v>258</v>
      </c>
      <c r="E2071" t="s">
        <v>228</v>
      </c>
      <c r="F2071">
        <v>2011</v>
      </c>
      <c r="G2071">
        <v>7.5186999999999997E-3</v>
      </c>
      <c r="H2071" t="s">
        <v>240</v>
      </c>
      <c r="I2071" t="s">
        <v>241</v>
      </c>
      <c r="J2071" t="s">
        <v>188</v>
      </c>
      <c r="K2071" s="183">
        <f ca="1">VLOOKUP(F2071,
    OFFSET(INDIRECT(ADDRESS(MATCH(J2071,'Vehicle numbers'!$A$5:$A$162,0),1,1,1,$L$6)),4,1,COUNTIF('Vehicle numbers'!$A$5:$A$162,J2071),4),
    MATCH(K$8,'Vehicle numbers'!$B$4:$D$4,0))*1000</f>
        <v>3248293</v>
      </c>
      <c r="L2071" s="183">
        <f ca="1">VLOOKUP(F2071,
    OFFSET(INDIRECT(ADDRESS(MATCH(J2071,'Vehicle numbers'!$A$5:$A$162,0),1,1,1,$L$6)),4,1,COUNTIF('Vehicle numbers'!$A$5:$A$162,J2071),4),
    MATCH(L$8,'Vehicle numbers'!$B$4:$D$4,0))*1000</f>
        <v>3341504.6645657388</v>
      </c>
      <c r="M2071" s="184">
        <f>VLOOKUP(F2071,'Annual distance covered (GB)'!$A$8:$H$33,MATCH(J2071,'Annual distance covered (GB)'!$A$7:$H$7,0))</f>
        <v>67.599999999999994</v>
      </c>
      <c r="N2071" s="2">
        <f t="shared" ca="1" si="78"/>
        <v>522849.0557383218</v>
      </c>
      <c r="O2071" s="180">
        <f t="shared" ca="1" si="79"/>
        <v>0.15647114345904142</v>
      </c>
      <c r="P2071" s="180"/>
      <c r="Q2071" s="180"/>
      <c r="R2071" s="180"/>
      <c r="S2071" s="180"/>
      <c r="T2071" s="180"/>
    </row>
    <row r="2072" spans="1:20" x14ac:dyDescent="0.25">
      <c r="A2072" t="s">
        <v>244</v>
      </c>
      <c r="B2072" t="s">
        <v>237</v>
      </c>
      <c r="C2072" t="s">
        <v>238</v>
      </c>
      <c r="D2072" t="s">
        <v>258</v>
      </c>
      <c r="E2072" t="s">
        <v>228</v>
      </c>
      <c r="F2072">
        <v>2011</v>
      </c>
      <c r="G2072">
        <v>1.05897183098591E-3</v>
      </c>
      <c r="H2072" t="s">
        <v>240</v>
      </c>
      <c r="I2072" t="s">
        <v>241</v>
      </c>
      <c r="J2072" t="s">
        <v>188</v>
      </c>
      <c r="K2072" s="183">
        <f ca="1">VLOOKUP(F2072,
    OFFSET(INDIRECT(ADDRESS(MATCH(J2072,'Vehicle numbers'!$A$5:$A$162,0),1,1,1,$L$6)),4,1,COUNTIF('Vehicle numbers'!$A$5:$A$162,J2072),4),
    MATCH(K$8,'Vehicle numbers'!$B$4:$D$4,0))*1000</f>
        <v>3248293</v>
      </c>
      <c r="L2072" s="183">
        <f ca="1">VLOOKUP(F2072,
    OFFSET(INDIRECT(ADDRESS(MATCH(J2072,'Vehicle numbers'!$A$5:$A$162,0),1,1,1,$L$6)),4,1,COUNTIF('Vehicle numbers'!$A$5:$A$162,J2072),4),
    MATCH(L$8,'Vehicle numbers'!$B$4:$D$4,0))*1000</f>
        <v>3341504.6645657388</v>
      </c>
      <c r="M2072" s="184">
        <f>VLOOKUP(F2072,'Annual distance covered (GB)'!$A$8:$H$33,MATCH(J2072,'Annual distance covered (GB)'!$A$7:$H$7,0))</f>
        <v>67.599999999999994</v>
      </c>
      <c r="N2072" s="2">
        <f t="shared" ca="1" si="78"/>
        <v>73640.712075819582</v>
      </c>
      <c r="O2072" s="180">
        <f t="shared" ca="1" si="79"/>
        <v>2.2038189219583181E-2</v>
      </c>
      <c r="P2072" s="180"/>
      <c r="Q2072" s="180"/>
      <c r="R2072" s="180"/>
      <c r="S2072" s="180"/>
      <c r="T2072" s="180"/>
    </row>
    <row r="2073" spans="1:20" x14ac:dyDescent="0.25">
      <c r="A2073" t="s">
        <v>246</v>
      </c>
      <c r="B2073" t="s">
        <v>237</v>
      </c>
      <c r="C2073" t="s">
        <v>238</v>
      </c>
      <c r="D2073" t="s">
        <v>258</v>
      </c>
      <c r="E2073" t="s">
        <v>228</v>
      </c>
      <c r="F2073">
        <v>2011</v>
      </c>
      <c r="G2073">
        <v>8.47177464788731E-4</v>
      </c>
      <c r="H2073" t="s">
        <v>240</v>
      </c>
      <c r="I2073" t="s">
        <v>241</v>
      </c>
      <c r="J2073" t="s">
        <v>188</v>
      </c>
      <c r="K2073" s="183">
        <f ca="1">VLOOKUP(F2073,
    OFFSET(INDIRECT(ADDRESS(MATCH(J2073,'Vehicle numbers'!$A$5:$A$162,0),1,1,1,$L$6)),4,1,COUNTIF('Vehicle numbers'!$A$5:$A$162,J2073),4),
    MATCH(K$8,'Vehicle numbers'!$B$4:$D$4,0))*1000</f>
        <v>3248293</v>
      </c>
      <c r="L2073" s="183">
        <f ca="1">VLOOKUP(F2073,
    OFFSET(INDIRECT(ADDRESS(MATCH(J2073,'Vehicle numbers'!$A$5:$A$162,0),1,1,1,$L$6)),4,1,COUNTIF('Vehicle numbers'!$A$5:$A$162,J2073),4),
    MATCH(L$8,'Vehicle numbers'!$B$4:$D$4,0))*1000</f>
        <v>3341504.6645657388</v>
      </c>
      <c r="M2073" s="184">
        <f>VLOOKUP(F2073,'Annual distance covered (GB)'!$A$8:$H$33,MATCH(J2073,'Annual distance covered (GB)'!$A$7:$H$7,0))</f>
        <v>67.599999999999994</v>
      </c>
      <c r="N2073" s="2">
        <f t="shared" ca="1" si="78"/>
        <v>58912.569660655878</v>
      </c>
      <c r="O2073" s="180">
        <f t="shared" ca="1" si="79"/>
        <v>1.763055137566661E-2</v>
      </c>
      <c r="P2073" s="180"/>
      <c r="Q2073" s="180"/>
      <c r="R2073" s="180"/>
      <c r="S2073" s="180"/>
      <c r="T2073" s="180"/>
    </row>
    <row r="2074" spans="1:20" x14ac:dyDescent="0.25">
      <c r="A2074" t="s">
        <v>236</v>
      </c>
      <c r="B2074" t="s">
        <v>237</v>
      </c>
      <c r="C2074" t="s">
        <v>238</v>
      </c>
      <c r="D2074" t="s">
        <v>259</v>
      </c>
      <c r="E2074" t="s">
        <v>229</v>
      </c>
      <c r="F2074">
        <v>2011</v>
      </c>
      <c r="G2074">
        <v>1.8218999999999999E-2</v>
      </c>
      <c r="H2074" t="s">
        <v>240</v>
      </c>
      <c r="I2074" t="s">
        <v>241</v>
      </c>
      <c r="J2074" t="s">
        <v>188</v>
      </c>
      <c r="K2074" s="183">
        <f ca="1">VLOOKUP(F2074,
    OFFSET(INDIRECT(ADDRESS(MATCH(J2074,'Vehicle numbers'!$A$5:$A$162,0),1,1,1,$L$6)),4,1,COUNTIF('Vehicle numbers'!$A$5:$A$162,J2074),4),
    MATCH(K$8,'Vehicle numbers'!$B$4:$D$4,0))*1000</f>
        <v>3248293</v>
      </c>
      <c r="L2074" s="183">
        <f ca="1">VLOOKUP(F2074,
    OFFSET(INDIRECT(ADDRESS(MATCH(J2074,'Vehicle numbers'!$A$5:$A$162,0),1,1,1,$L$6)),4,1,COUNTIF('Vehicle numbers'!$A$5:$A$162,J2074),4),
    MATCH(L$8,'Vehicle numbers'!$B$4:$D$4,0))*1000</f>
        <v>3341504.6645657388</v>
      </c>
      <c r="M2074" s="184">
        <f>VLOOKUP(F2074,'Annual distance covered (GB)'!$A$8:$H$33,MATCH(J2074,'Annual distance covered (GB)'!$A$7:$H$7,0))</f>
        <v>67.599999999999994</v>
      </c>
      <c r="N2074" s="2">
        <f t="shared" ca="1" si="78"/>
        <v>1266946.007487529</v>
      </c>
      <c r="O2074" s="180">
        <f t="shared" ca="1" si="79"/>
        <v>0.37915434352750815</v>
      </c>
      <c r="P2074" s="180"/>
      <c r="Q2074" s="180"/>
      <c r="R2074" s="180"/>
      <c r="S2074" s="180"/>
      <c r="T2074" s="180"/>
    </row>
    <row r="2075" spans="1:20" x14ac:dyDescent="0.25">
      <c r="A2075" t="s">
        <v>243</v>
      </c>
      <c r="B2075" t="s">
        <v>237</v>
      </c>
      <c r="C2075" t="s">
        <v>238</v>
      </c>
      <c r="D2075" t="s">
        <v>259</v>
      </c>
      <c r="E2075" t="s">
        <v>229</v>
      </c>
      <c r="F2075">
        <v>2011</v>
      </c>
      <c r="G2075">
        <v>7.2876E-3</v>
      </c>
      <c r="H2075" t="s">
        <v>240</v>
      </c>
      <c r="I2075" t="s">
        <v>241</v>
      </c>
      <c r="J2075" t="s">
        <v>188</v>
      </c>
      <c r="K2075" s="183">
        <f ca="1">VLOOKUP(F2075,
    OFFSET(INDIRECT(ADDRESS(MATCH(J2075,'Vehicle numbers'!$A$5:$A$162,0),1,1,1,$L$6)),4,1,COUNTIF('Vehicle numbers'!$A$5:$A$162,J2075),4),
    MATCH(K$8,'Vehicle numbers'!$B$4:$D$4,0))*1000</f>
        <v>3248293</v>
      </c>
      <c r="L2075" s="183">
        <f ca="1">VLOOKUP(F2075,
    OFFSET(INDIRECT(ADDRESS(MATCH(J2075,'Vehicle numbers'!$A$5:$A$162,0),1,1,1,$L$6)),4,1,COUNTIF('Vehicle numbers'!$A$5:$A$162,J2075),4),
    MATCH(L$8,'Vehicle numbers'!$B$4:$D$4,0))*1000</f>
        <v>3341504.6645657388</v>
      </c>
      <c r="M2075" s="184">
        <f>VLOOKUP(F2075,'Annual distance covered (GB)'!$A$8:$H$33,MATCH(J2075,'Annual distance covered (GB)'!$A$7:$H$7,0))</f>
        <v>67.599999999999994</v>
      </c>
      <c r="N2075" s="2">
        <f t="shared" ca="1" si="78"/>
        <v>506778.40299501159</v>
      </c>
      <c r="O2075" s="180">
        <f t="shared" ca="1" si="79"/>
        <v>0.15166173741100325</v>
      </c>
      <c r="P2075" s="180"/>
      <c r="Q2075" s="180"/>
      <c r="R2075" s="180"/>
      <c r="S2075" s="180"/>
      <c r="T2075" s="180"/>
    </row>
    <row r="2076" spans="1:20" x14ac:dyDescent="0.25">
      <c r="A2076" t="s">
        <v>244</v>
      </c>
      <c r="B2076" t="s">
        <v>237</v>
      </c>
      <c r="C2076" t="s">
        <v>238</v>
      </c>
      <c r="D2076" t="s">
        <v>259</v>
      </c>
      <c r="E2076" t="s">
        <v>229</v>
      </c>
      <c r="F2076">
        <v>2011</v>
      </c>
      <c r="G2076">
        <v>1.8219E-3</v>
      </c>
      <c r="H2076" t="s">
        <v>240</v>
      </c>
      <c r="I2076" t="s">
        <v>241</v>
      </c>
      <c r="J2076" t="s">
        <v>188</v>
      </c>
      <c r="K2076" s="183">
        <f ca="1">VLOOKUP(F2076,
    OFFSET(INDIRECT(ADDRESS(MATCH(J2076,'Vehicle numbers'!$A$5:$A$162,0),1,1,1,$L$6)),4,1,COUNTIF('Vehicle numbers'!$A$5:$A$162,J2076),4),
    MATCH(K$8,'Vehicle numbers'!$B$4:$D$4,0))*1000</f>
        <v>3248293</v>
      </c>
      <c r="L2076" s="183">
        <f ca="1">VLOOKUP(F2076,
    OFFSET(INDIRECT(ADDRESS(MATCH(J2076,'Vehicle numbers'!$A$5:$A$162,0),1,1,1,$L$6)),4,1,COUNTIF('Vehicle numbers'!$A$5:$A$162,J2076),4),
    MATCH(L$8,'Vehicle numbers'!$B$4:$D$4,0))*1000</f>
        <v>3341504.6645657388</v>
      </c>
      <c r="M2076" s="184">
        <f>VLOOKUP(F2076,'Annual distance covered (GB)'!$A$8:$H$33,MATCH(J2076,'Annual distance covered (GB)'!$A$7:$H$7,0))</f>
        <v>67.599999999999994</v>
      </c>
      <c r="N2076" s="2">
        <f t="shared" ca="1" si="78"/>
        <v>126694.6007487529</v>
      </c>
      <c r="O2076" s="180">
        <f t="shared" ca="1" si="79"/>
        <v>3.7915434352750813E-2</v>
      </c>
      <c r="P2076" s="180"/>
      <c r="Q2076" s="180"/>
      <c r="R2076" s="180"/>
      <c r="S2076" s="180"/>
      <c r="T2076" s="180"/>
    </row>
    <row r="2077" spans="1:20" x14ac:dyDescent="0.25">
      <c r="A2077" t="s">
        <v>246</v>
      </c>
      <c r="B2077" t="s">
        <v>237</v>
      </c>
      <c r="C2077" t="s">
        <v>238</v>
      </c>
      <c r="D2077" t="s">
        <v>259</v>
      </c>
      <c r="E2077" t="s">
        <v>229</v>
      </c>
      <c r="F2077">
        <v>2011</v>
      </c>
      <c r="G2077">
        <v>1.4575199999999999E-3</v>
      </c>
      <c r="H2077" t="s">
        <v>240</v>
      </c>
      <c r="I2077" t="s">
        <v>241</v>
      </c>
      <c r="J2077" t="s">
        <v>188</v>
      </c>
      <c r="K2077" s="183">
        <f ca="1">VLOOKUP(F2077,
    OFFSET(INDIRECT(ADDRESS(MATCH(J2077,'Vehicle numbers'!$A$5:$A$162,0),1,1,1,$L$6)),4,1,COUNTIF('Vehicle numbers'!$A$5:$A$162,J2077),4),
    MATCH(K$8,'Vehicle numbers'!$B$4:$D$4,0))*1000</f>
        <v>3248293</v>
      </c>
      <c r="L2077" s="183">
        <f ca="1">VLOOKUP(F2077,
    OFFSET(INDIRECT(ADDRESS(MATCH(J2077,'Vehicle numbers'!$A$5:$A$162,0),1,1,1,$L$6)),4,1,COUNTIF('Vehicle numbers'!$A$5:$A$162,J2077),4),
    MATCH(L$8,'Vehicle numbers'!$B$4:$D$4,0))*1000</f>
        <v>3341504.6645657388</v>
      </c>
      <c r="M2077" s="184">
        <f>VLOOKUP(F2077,'Annual distance covered (GB)'!$A$8:$H$33,MATCH(J2077,'Annual distance covered (GB)'!$A$7:$H$7,0))</f>
        <v>67.599999999999994</v>
      </c>
      <c r="N2077" s="2">
        <f t="shared" ca="1" si="78"/>
        <v>101355.68059900231</v>
      </c>
      <c r="O2077" s="180">
        <f t="shared" ca="1" si="79"/>
        <v>3.033234748220065E-2</v>
      </c>
      <c r="P2077" s="180"/>
      <c r="Q2077" s="180"/>
      <c r="R2077" s="180"/>
      <c r="S2077" s="180"/>
      <c r="T2077" s="180"/>
    </row>
    <row r="2078" spans="1:20" x14ac:dyDescent="0.25">
      <c r="A2078" t="s">
        <v>236</v>
      </c>
      <c r="B2078" t="s">
        <v>237</v>
      </c>
      <c r="C2078" t="s">
        <v>238</v>
      </c>
      <c r="D2078" t="s">
        <v>259</v>
      </c>
      <c r="E2078" t="s">
        <v>228</v>
      </c>
      <c r="F2078">
        <v>2011</v>
      </c>
      <c r="G2078">
        <v>1.3802E-2</v>
      </c>
      <c r="H2078" t="s">
        <v>240</v>
      </c>
      <c r="I2078" t="s">
        <v>241</v>
      </c>
      <c r="J2078" t="s">
        <v>188</v>
      </c>
      <c r="K2078" s="183">
        <f ca="1">VLOOKUP(F2078,
    OFFSET(INDIRECT(ADDRESS(MATCH(J2078,'Vehicle numbers'!$A$5:$A$162,0),1,1,1,$L$6)),4,1,COUNTIF('Vehicle numbers'!$A$5:$A$162,J2078),4),
    MATCH(K$8,'Vehicle numbers'!$B$4:$D$4,0))*1000</f>
        <v>3248293</v>
      </c>
      <c r="L2078" s="183">
        <f ca="1">VLOOKUP(F2078,
    OFFSET(INDIRECT(ADDRESS(MATCH(J2078,'Vehicle numbers'!$A$5:$A$162,0),1,1,1,$L$6)),4,1,COUNTIF('Vehicle numbers'!$A$5:$A$162,J2078),4),
    MATCH(L$8,'Vehicle numbers'!$B$4:$D$4,0))*1000</f>
        <v>3341504.6645657388</v>
      </c>
      <c r="M2078" s="184">
        <f>VLOOKUP(F2078,'Annual distance covered (GB)'!$A$8:$H$33,MATCH(J2078,'Annual distance covered (GB)'!$A$7:$H$7,0))</f>
        <v>67.599999999999994</v>
      </c>
      <c r="N2078" s="2">
        <f t="shared" ca="1" si="78"/>
        <v>959788.61602408881</v>
      </c>
      <c r="O2078" s="180">
        <f t="shared" ca="1" si="79"/>
        <v>0.28723246332766161</v>
      </c>
      <c r="P2078" s="180"/>
      <c r="Q2078" s="180"/>
      <c r="R2078" s="180"/>
      <c r="S2078" s="180"/>
      <c r="T2078" s="180"/>
    </row>
    <row r="2079" spans="1:20" x14ac:dyDescent="0.25">
      <c r="A2079" t="s">
        <v>243</v>
      </c>
      <c r="B2079" t="s">
        <v>237</v>
      </c>
      <c r="C2079" t="s">
        <v>238</v>
      </c>
      <c r="D2079" t="s">
        <v>259</v>
      </c>
      <c r="E2079" t="s">
        <v>228</v>
      </c>
      <c r="F2079">
        <v>2011</v>
      </c>
      <c r="G2079">
        <v>9.6614000000000005E-3</v>
      </c>
      <c r="H2079" t="s">
        <v>240</v>
      </c>
      <c r="I2079" t="s">
        <v>241</v>
      </c>
      <c r="J2079" t="s">
        <v>188</v>
      </c>
      <c r="K2079" s="183">
        <f ca="1">VLOOKUP(F2079,
    OFFSET(INDIRECT(ADDRESS(MATCH(J2079,'Vehicle numbers'!$A$5:$A$162,0),1,1,1,$L$6)),4,1,COUNTIF('Vehicle numbers'!$A$5:$A$162,J2079),4),
    MATCH(K$8,'Vehicle numbers'!$B$4:$D$4,0))*1000</f>
        <v>3248293</v>
      </c>
      <c r="L2079" s="183">
        <f ca="1">VLOOKUP(F2079,
    OFFSET(INDIRECT(ADDRESS(MATCH(J2079,'Vehicle numbers'!$A$5:$A$162,0),1,1,1,$L$6)),4,1,COUNTIF('Vehicle numbers'!$A$5:$A$162,J2079),4),
    MATCH(L$8,'Vehicle numbers'!$B$4:$D$4,0))*1000</f>
        <v>3341504.6645657388</v>
      </c>
      <c r="M2079" s="184">
        <f>VLOOKUP(F2079,'Annual distance covered (GB)'!$A$8:$H$33,MATCH(J2079,'Annual distance covered (GB)'!$A$7:$H$7,0))</f>
        <v>67.599999999999994</v>
      </c>
      <c r="N2079" s="2">
        <f t="shared" ca="1" si="78"/>
        <v>671852.03121686226</v>
      </c>
      <c r="O2079" s="180">
        <f t="shared" ca="1" si="79"/>
        <v>0.20106272432936317</v>
      </c>
      <c r="P2079" s="180"/>
      <c r="Q2079" s="180"/>
      <c r="R2079" s="180"/>
      <c r="S2079" s="180"/>
      <c r="T2079" s="180"/>
    </row>
    <row r="2080" spans="1:20" x14ac:dyDescent="0.25">
      <c r="A2080" t="s">
        <v>244</v>
      </c>
      <c r="B2080" t="s">
        <v>237</v>
      </c>
      <c r="C2080" t="s">
        <v>238</v>
      </c>
      <c r="D2080" t="s">
        <v>259</v>
      </c>
      <c r="E2080" t="s">
        <v>228</v>
      </c>
      <c r="F2080">
        <v>2011</v>
      </c>
      <c r="G2080">
        <v>1.3607605633802801E-3</v>
      </c>
      <c r="H2080" t="s">
        <v>240</v>
      </c>
      <c r="I2080" t="s">
        <v>241</v>
      </c>
      <c r="J2080" t="s">
        <v>188</v>
      </c>
      <c r="K2080" s="183">
        <f ca="1">VLOOKUP(F2080,
    OFFSET(INDIRECT(ADDRESS(MATCH(J2080,'Vehicle numbers'!$A$5:$A$162,0),1,1,1,$L$6)),4,1,COUNTIF('Vehicle numbers'!$A$5:$A$162,J2080),4),
    MATCH(K$8,'Vehicle numbers'!$B$4:$D$4,0))*1000</f>
        <v>3248293</v>
      </c>
      <c r="L2080" s="183">
        <f ca="1">VLOOKUP(F2080,
    OFFSET(INDIRECT(ADDRESS(MATCH(J2080,'Vehicle numbers'!$A$5:$A$162,0),1,1,1,$L$6)),4,1,COUNTIF('Vehicle numbers'!$A$5:$A$162,J2080),4),
    MATCH(L$8,'Vehicle numbers'!$B$4:$D$4,0))*1000</f>
        <v>3341504.6645657388</v>
      </c>
      <c r="M2080" s="184">
        <f>VLOOKUP(F2080,'Annual distance covered (GB)'!$A$8:$H$33,MATCH(J2080,'Annual distance covered (GB)'!$A$7:$H$7,0))</f>
        <v>67.599999999999994</v>
      </c>
      <c r="N2080" s="2">
        <f t="shared" ca="1" si="78"/>
        <v>94627.046650262157</v>
      </c>
      <c r="O2080" s="180">
        <f t="shared" ca="1" si="79"/>
        <v>2.8318693567515898E-2</v>
      </c>
      <c r="P2080" s="180"/>
      <c r="Q2080" s="180"/>
      <c r="R2080" s="180"/>
      <c r="S2080" s="180"/>
      <c r="T2080" s="180"/>
    </row>
    <row r="2081" spans="1:20" x14ac:dyDescent="0.25">
      <c r="A2081" t="s">
        <v>246</v>
      </c>
      <c r="B2081" t="s">
        <v>237</v>
      </c>
      <c r="C2081" t="s">
        <v>238</v>
      </c>
      <c r="D2081" t="s">
        <v>259</v>
      </c>
      <c r="E2081" t="s">
        <v>228</v>
      </c>
      <c r="F2081">
        <v>2011</v>
      </c>
      <c r="G2081">
        <v>1.0886084507042201E-3</v>
      </c>
      <c r="H2081" t="s">
        <v>240</v>
      </c>
      <c r="I2081" t="s">
        <v>241</v>
      </c>
      <c r="J2081" t="s">
        <v>188</v>
      </c>
      <c r="K2081" s="183">
        <f ca="1">VLOOKUP(F2081,
    OFFSET(INDIRECT(ADDRESS(MATCH(J2081,'Vehicle numbers'!$A$5:$A$162,0),1,1,1,$L$6)),4,1,COUNTIF('Vehicle numbers'!$A$5:$A$162,J2081),4),
    MATCH(K$8,'Vehicle numbers'!$B$4:$D$4,0))*1000</f>
        <v>3248293</v>
      </c>
      <c r="L2081" s="183">
        <f ca="1">VLOOKUP(F2081,
    OFFSET(INDIRECT(ADDRESS(MATCH(J2081,'Vehicle numbers'!$A$5:$A$162,0),1,1,1,$L$6)),4,1,COUNTIF('Vehicle numbers'!$A$5:$A$162,J2081),4),
    MATCH(L$8,'Vehicle numbers'!$B$4:$D$4,0))*1000</f>
        <v>3341504.6645657388</v>
      </c>
      <c r="M2081" s="184">
        <f>VLOOKUP(F2081,'Annual distance covered (GB)'!$A$8:$H$33,MATCH(J2081,'Annual distance covered (GB)'!$A$7:$H$7,0))</f>
        <v>67.599999999999994</v>
      </c>
      <c r="N2081" s="2">
        <f t="shared" ca="1" si="78"/>
        <v>75701.637320209455</v>
      </c>
      <c r="O2081" s="180">
        <f t="shared" ca="1" si="79"/>
        <v>2.2654954854012636E-2</v>
      </c>
      <c r="P2081" s="180"/>
      <c r="Q2081" s="180"/>
      <c r="R2081" s="180"/>
      <c r="S2081" s="180"/>
      <c r="T2081" s="180"/>
    </row>
    <row r="2082" spans="1:20" x14ac:dyDescent="0.25">
      <c r="A2082" t="s">
        <v>236</v>
      </c>
      <c r="B2082" t="s">
        <v>237</v>
      </c>
      <c r="C2082" t="s">
        <v>238</v>
      </c>
      <c r="D2082" t="s">
        <v>260</v>
      </c>
      <c r="E2082" t="s">
        <v>229</v>
      </c>
      <c r="F2082">
        <v>2011</v>
      </c>
      <c r="G2082">
        <v>5.8399999999999902E-3</v>
      </c>
      <c r="H2082" t="s">
        <v>240</v>
      </c>
      <c r="I2082" t="s">
        <v>241</v>
      </c>
      <c r="J2082" t="s">
        <v>3</v>
      </c>
      <c r="K2082" s="183">
        <f ca="1">VLOOKUP(F2082,
    OFFSET(INDIRECT(ADDRESS(MATCH(J2082,'Vehicle numbers'!$A$5:$A$162,0),1,1,1,$L$6)),4,1,COUNTIF('Vehicle numbers'!$A$5:$A$162,J2082),4),
    MATCH(K$8,'Vehicle numbers'!$B$4:$D$4,0))*1000</f>
        <v>1238321</v>
      </c>
      <c r="L2082" s="183">
        <f ca="1">VLOOKUP(F2082,
    OFFSET(INDIRECT(ADDRESS(MATCH(J2082,'Vehicle numbers'!$A$5:$A$162,0),1,1,1,$L$6)),4,1,COUNTIF('Vehicle numbers'!$A$5:$A$162,J2082),4),
    MATCH(L$8,'Vehicle numbers'!$B$4:$D$4,0))*1000</f>
        <v>1261076.6089877936</v>
      </c>
      <c r="M2082" s="184">
        <f>VLOOKUP(F2082,'Annual distance covered (GB)'!$A$8:$H$33,MATCH(J2082,'Annual distance covered (GB)'!$A$7:$H$7,0))</f>
        <v>4.7</v>
      </c>
      <c r="N2082" s="2">
        <f t="shared" ca="1" si="78"/>
        <v>27952.389375207968</v>
      </c>
      <c r="O2082" s="180">
        <f t="shared" ca="1" si="79"/>
        <v>2.2165496668472843E-2</v>
      </c>
      <c r="P2082" s="180"/>
      <c r="Q2082" s="180"/>
      <c r="R2082" s="180"/>
      <c r="S2082" s="180"/>
      <c r="T2082" s="180"/>
    </row>
    <row r="2083" spans="1:20" x14ac:dyDescent="0.25">
      <c r="A2083" t="s">
        <v>243</v>
      </c>
      <c r="B2083" t="s">
        <v>237</v>
      </c>
      <c r="C2083" t="s">
        <v>238</v>
      </c>
      <c r="D2083" t="s">
        <v>260</v>
      </c>
      <c r="E2083" t="s">
        <v>229</v>
      </c>
      <c r="F2083">
        <v>2011</v>
      </c>
      <c r="G2083">
        <v>2.336E-3</v>
      </c>
      <c r="H2083" t="s">
        <v>240</v>
      </c>
      <c r="I2083" t="s">
        <v>241</v>
      </c>
      <c r="J2083" t="s">
        <v>3</v>
      </c>
      <c r="K2083" s="183">
        <f ca="1">VLOOKUP(F2083,
    OFFSET(INDIRECT(ADDRESS(MATCH(J2083,'Vehicle numbers'!$A$5:$A$162,0),1,1,1,$L$6)),4,1,COUNTIF('Vehicle numbers'!$A$5:$A$162,J2083),4),
    MATCH(K$8,'Vehicle numbers'!$B$4:$D$4,0))*1000</f>
        <v>1238321</v>
      </c>
      <c r="L2083" s="183">
        <f ca="1">VLOOKUP(F2083,
    OFFSET(INDIRECT(ADDRESS(MATCH(J2083,'Vehicle numbers'!$A$5:$A$162,0),1,1,1,$L$6)),4,1,COUNTIF('Vehicle numbers'!$A$5:$A$162,J2083),4),
    MATCH(L$8,'Vehicle numbers'!$B$4:$D$4,0))*1000</f>
        <v>1261076.6089877936</v>
      </c>
      <c r="M2083" s="184">
        <f>VLOOKUP(F2083,'Annual distance covered (GB)'!$A$8:$H$33,MATCH(J2083,'Annual distance covered (GB)'!$A$7:$H$7,0))</f>
        <v>4.7</v>
      </c>
      <c r="N2083" s="2">
        <f t="shared" ca="1" si="78"/>
        <v>11180.955750083203</v>
      </c>
      <c r="O2083" s="180">
        <f t="shared" ca="1" si="79"/>
        <v>8.8661986673891496E-3</v>
      </c>
      <c r="P2083" s="180"/>
      <c r="Q2083" s="180"/>
      <c r="R2083" s="180"/>
      <c r="S2083" s="180"/>
      <c r="T2083" s="180"/>
    </row>
    <row r="2084" spans="1:20" x14ac:dyDescent="0.25">
      <c r="A2084" t="s">
        <v>244</v>
      </c>
      <c r="B2084" t="s">
        <v>237</v>
      </c>
      <c r="C2084" t="s">
        <v>238</v>
      </c>
      <c r="D2084" t="s">
        <v>260</v>
      </c>
      <c r="E2084" t="s">
        <v>229</v>
      </c>
      <c r="F2084">
        <v>2011</v>
      </c>
      <c r="G2084">
        <v>5.8399999999999999E-4</v>
      </c>
      <c r="H2084" t="s">
        <v>240</v>
      </c>
      <c r="I2084" t="s">
        <v>241</v>
      </c>
      <c r="J2084" t="s">
        <v>3</v>
      </c>
      <c r="K2084" s="183">
        <f ca="1">VLOOKUP(F2084,
    OFFSET(INDIRECT(ADDRESS(MATCH(J2084,'Vehicle numbers'!$A$5:$A$162,0),1,1,1,$L$6)),4,1,COUNTIF('Vehicle numbers'!$A$5:$A$162,J2084),4),
    MATCH(K$8,'Vehicle numbers'!$B$4:$D$4,0))*1000</f>
        <v>1238321</v>
      </c>
      <c r="L2084" s="183">
        <f ca="1">VLOOKUP(F2084,
    OFFSET(INDIRECT(ADDRESS(MATCH(J2084,'Vehicle numbers'!$A$5:$A$162,0),1,1,1,$L$6)),4,1,COUNTIF('Vehicle numbers'!$A$5:$A$162,J2084),4),
    MATCH(L$8,'Vehicle numbers'!$B$4:$D$4,0))*1000</f>
        <v>1261076.6089877936</v>
      </c>
      <c r="M2084" s="184">
        <f>VLOOKUP(F2084,'Annual distance covered (GB)'!$A$8:$H$33,MATCH(J2084,'Annual distance covered (GB)'!$A$7:$H$7,0))</f>
        <v>4.7</v>
      </c>
      <c r="N2084" s="2">
        <f t="shared" ca="1" si="78"/>
        <v>2795.2389375208008</v>
      </c>
      <c r="O2084" s="180">
        <f t="shared" ca="1" si="79"/>
        <v>2.2165496668472874E-3</v>
      </c>
      <c r="P2084" s="180"/>
      <c r="Q2084" s="180"/>
      <c r="R2084" s="180"/>
      <c r="S2084" s="180"/>
      <c r="T2084" s="180"/>
    </row>
    <row r="2085" spans="1:20" x14ac:dyDescent="0.25">
      <c r="A2085" t="s">
        <v>246</v>
      </c>
      <c r="B2085" t="s">
        <v>237</v>
      </c>
      <c r="C2085" t="s">
        <v>238</v>
      </c>
      <c r="D2085" t="s">
        <v>260</v>
      </c>
      <c r="E2085" t="s">
        <v>229</v>
      </c>
      <c r="F2085">
        <v>2011</v>
      </c>
      <c r="G2085">
        <v>4.6720000000000003E-4</v>
      </c>
      <c r="H2085" t="s">
        <v>240</v>
      </c>
      <c r="I2085" t="s">
        <v>241</v>
      </c>
      <c r="J2085" t="s">
        <v>3</v>
      </c>
      <c r="K2085" s="183">
        <f ca="1">VLOOKUP(F2085,
    OFFSET(INDIRECT(ADDRESS(MATCH(J2085,'Vehicle numbers'!$A$5:$A$162,0),1,1,1,$L$6)),4,1,COUNTIF('Vehicle numbers'!$A$5:$A$162,J2085),4),
    MATCH(K$8,'Vehicle numbers'!$B$4:$D$4,0))*1000</f>
        <v>1238321</v>
      </c>
      <c r="L2085" s="183">
        <f ca="1">VLOOKUP(F2085,
    OFFSET(INDIRECT(ADDRESS(MATCH(J2085,'Vehicle numbers'!$A$5:$A$162,0),1,1,1,$L$6)),4,1,COUNTIF('Vehicle numbers'!$A$5:$A$162,J2085),4),
    MATCH(L$8,'Vehicle numbers'!$B$4:$D$4,0))*1000</f>
        <v>1261076.6089877936</v>
      </c>
      <c r="M2085" s="184">
        <f>VLOOKUP(F2085,'Annual distance covered (GB)'!$A$8:$H$33,MATCH(J2085,'Annual distance covered (GB)'!$A$7:$H$7,0))</f>
        <v>4.7</v>
      </c>
      <c r="N2085" s="2">
        <f t="shared" ca="1" si="78"/>
        <v>2236.1911500166411</v>
      </c>
      <c r="O2085" s="180">
        <f t="shared" ca="1" si="79"/>
        <v>1.7732397334778304E-3</v>
      </c>
      <c r="P2085" s="180"/>
      <c r="Q2085" s="180"/>
      <c r="R2085" s="180"/>
      <c r="S2085" s="180"/>
      <c r="T2085" s="180"/>
    </row>
    <row r="2086" spans="1:20" x14ac:dyDescent="0.25">
      <c r="A2086" t="s">
        <v>236</v>
      </c>
      <c r="B2086" t="s">
        <v>237</v>
      </c>
      <c r="C2086" t="s">
        <v>238</v>
      </c>
      <c r="D2086" t="s">
        <v>260</v>
      </c>
      <c r="E2086" t="s">
        <v>228</v>
      </c>
      <c r="F2086">
        <v>2011</v>
      </c>
      <c r="G2086">
        <v>3.7569999999999899E-3</v>
      </c>
      <c r="H2086" t="s">
        <v>240</v>
      </c>
      <c r="I2086" t="s">
        <v>241</v>
      </c>
      <c r="J2086" t="s">
        <v>3</v>
      </c>
      <c r="K2086" s="183">
        <f ca="1">VLOOKUP(F2086,
    OFFSET(INDIRECT(ADDRESS(MATCH(J2086,'Vehicle numbers'!$A$5:$A$162,0),1,1,1,$L$6)),4,1,COUNTIF('Vehicle numbers'!$A$5:$A$162,J2086),4),
    MATCH(K$8,'Vehicle numbers'!$B$4:$D$4,0))*1000</f>
        <v>1238321</v>
      </c>
      <c r="L2086" s="183">
        <f ca="1">VLOOKUP(F2086,
    OFFSET(INDIRECT(ADDRESS(MATCH(J2086,'Vehicle numbers'!$A$5:$A$162,0),1,1,1,$L$6)),4,1,COUNTIF('Vehicle numbers'!$A$5:$A$162,J2086),4),
    MATCH(L$8,'Vehicle numbers'!$B$4:$D$4,0))*1000</f>
        <v>1261076.6089877936</v>
      </c>
      <c r="M2086" s="184">
        <f>VLOOKUP(F2086,'Annual distance covered (GB)'!$A$8:$H$33,MATCH(J2086,'Annual distance covered (GB)'!$A$7:$H$7,0))</f>
        <v>4.7</v>
      </c>
      <c r="N2086" s="2">
        <f t="shared" ca="1" si="78"/>
        <v>17982.384740180856</v>
      </c>
      <c r="O2086" s="180">
        <f t="shared" ca="1" si="79"/>
        <v>1.4259549825933623E-2</v>
      </c>
      <c r="P2086" s="180"/>
      <c r="Q2086" s="180"/>
      <c r="R2086" s="180"/>
      <c r="S2086" s="180"/>
      <c r="T2086" s="180"/>
    </row>
    <row r="2087" spans="1:20" x14ac:dyDescent="0.25">
      <c r="A2087" t="s">
        <v>243</v>
      </c>
      <c r="B2087" t="s">
        <v>237</v>
      </c>
      <c r="C2087" t="s">
        <v>238</v>
      </c>
      <c r="D2087" t="s">
        <v>260</v>
      </c>
      <c r="E2087" t="s">
        <v>228</v>
      </c>
      <c r="F2087">
        <v>2011</v>
      </c>
      <c r="G2087">
        <v>2.6298999999999901E-3</v>
      </c>
      <c r="H2087" t="s">
        <v>240</v>
      </c>
      <c r="I2087" t="s">
        <v>241</v>
      </c>
      <c r="J2087" t="s">
        <v>3</v>
      </c>
      <c r="K2087" s="183">
        <f ca="1">VLOOKUP(F2087,
    OFFSET(INDIRECT(ADDRESS(MATCH(J2087,'Vehicle numbers'!$A$5:$A$162,0),1,1,1,$L$6)),4,1,COUNTIF('Vehicle numbers'!$A$5:$A$162,J2087),4),
    MATCH(K$8,'Vehicle numbers'!$B$4:$D$4,0))*1000</f>
        <v>1238321</v>
      </c>
      <c r="L2087" s="183">
        <f ca="1">VLOOKUP(F2087,
    OFFSET(INDIRECT(ADDRESS(MATCH(J2087,'Vehicle numbers'!$A$5:$A$162,0),1,1,1,$L$6)),4,1,COUNTIF('Vehicle numbers'!$A$5:$A$162,J2087),4),
    MATCH(L$8,'Vehicle numbers'!$B$4:$D$4,0))*1000</f>
        <v>1261076.6089877936</v>
      </c>
      <c r="M2087" s="184">
        <f>VLOOKUP(F2087,'Annual distance covered (GB)'!$A$8:$H$33,MATCH(J2087,'Annual distance covered (GB)'!$A$7:$H$7,0))</f>
        <v>4.7</v>
      </c>
      <c r="N2087" s="2">
        <f t="shared" ca="1" si="78"/>
        <v>12587.669318126589</v>
      </c>
      <c r="O2087" s="180">
        <f t="shared" ca="1" si="79"/>
        <v>9.9816848781535284E-3</v>
      </c>
      <c r="P2087" s="180"/>
      <c r="Q2087" s="180"/>
      <c r="R2087" s="180"/>
      <c r="S2087" s="180"/>
      <c r="T2087" s="180"/>
    </row>
    <row r="2088" spans="1:20" x14ac:dyDescent="0.25">
      <c r="A2088" t="s">
        <v>244</v>
      </c>
      <c r="B2088" t="s">
        <v>237</v>
      </c>
      <c r="C2088" t="s">
        <v>238</v>
      </c>
      <c r="D2088" t="s">
        <v>260</v>
      </c>
      <c r="E2088" t="s">
        <v>228</v>
      </c>
      <c r="F2088">
        <v>2011</v>
      </c>
      <c r="G2088">
        <v>3.7040845070422299E-4</v>
      </c>
      <c r="H2088" t="s">
        <v>240</v>
      </c>
      <c r="I2088" t="s">
        <v>241</v>
      </c>
      <c r="J2088" t="s">
        <v>3</v>
      </c>
      <c r="K2088" s="183">
        <f ca="1">VLOOKUP(F2088,
    OFFSET(INDIRECT(ADDRESS(MATCH(J2088,'Vehicle numbers'!$A$5:$A$162,0),1,1,1,$L$6)),4,1,COUNTIF('Vehicle numbers'!$A$5:$A$162,J2088),4),
    MATCH(K$8,'Vehicle numbers'!$B$4:$D$4,0))*1000</f>
        <v>1238321</v>
      </c>
      <c r="L2088" s="183">
        <f ca="1">VLOOKUP(F2088,
    OFFSET(INDIRECT(ADDRESS(MATCH(J2088,'Vehicle numbers'!$A$5:$A$162,0),1,1,1,$L$6)),4,1,COUNTIF('Vehicle numbers'!$A$5:$A$162,J2088),4),
    MATCH(L$8,'Vehicle numbers'!$B$4:$D$4,0))*1000</f>
        <v>1261076.6089877936</v>
      </c>
      <c r="M2088" s="184">
        <f>VLOOKUP(F2088,'Annual distance covered (GB)'!$A$8:$H$33,MATCH(J2088,'Annual distance covered (GB)'!$A$7:$H$7,0))</f>
        <v>4.7</v>
      </c>
      <c r="N2088" s="2">
        <f t="shared" ca="1" si="78"/>
        <v>1772.9111715671206</v>
      </c>
      <c r="O2088" s="180">
        <f t="shared" ca="1" si="79"/>
        <v>1.405871109599085E-3</v>
      </c>
      <c r="P2088" s="180"/>
      <c r="Q2088" s="180"/>
      <c r="R2088" s="180"/>
      <c r="S2088" s="180"/>
      <c r="T2088" s="180"/>
    </row>
    <row r="2089" spans="1:20" x14ac:dyDescent="0.25">
      <c r="A2089" t="s">
        <v>246</v>
      </c>
      <c r="B2089" t="s">
        <v>237</v>
      </c>
      <c r="C2089" t="s">
        <v>238</v>
      </c>
      <c r="D2089" t="s">
        <v>260</v>
      </c>
      <c r="E2089" t="s">
        <v>228</v>
      </c>
      <c r="F2089">
        <v>2011</v>
      </c>
      <c r="G2089">
        <v>2.9632676056337901E-4</v>
      </c>
      <c r="H2089" t="s">
        <v>240</v>
      </c>
      <c r="I2089" t="s">
        <v>241</v>
      </c>
      <c r="J2089" t="s">
        <v>3</v>
      </c>
      <c r="K2089" s="183">
        <f ca="1">VLOOKUP(F2089,
    OFFSET(INDIRECT(ADDRESS(MATCH(J2089,'Vehicle numbers'!$A$5:$A$162,0),1,1,1,$L$6)),4,1,COUNTIF('Vehicle numbers'!$A$5:$A$162,J2089),4),
    MATCH(K$8,'Vehicle numbers'!$B$4:$D$4,0))*1000</f>
        <v>1238321</v>
      </c>
      <c r="L2089" s="183">
        <f ca="1">VLOOKUP(F2089,
    OFFSET(INDIRECT(ADDRESS(MATCH(J2089,'Vehicle numbers'!$A$5:$A$162,0),1,1,1,$L$6)),4,1,COUNTIF('Vehicle numbers'!$A$5:$A$162,J2089),4),
    MATCH(L$8,'Vehicle numbers'!$B$4:$D$4,0))*1000</f>
        <v>1261076.6089877936</v>
      </c>
      <c r="M2089" s="184">
        <f>VLOOKUP(F2089,'Annual distance covered (GB)'!$A$8:$H$33,MATCH(J2089,'Annual distance covered (GB)'!$A$7:$H$7,0))</f>
        <v>4.7</v>
      </c>
      <c r="N2089" s="2">
        <f t="shared" ca="1" si="78"/>
        <v>1418.3289372536995</v>
      </c>
      <c r="O2089" s="180">
        <f t="shared" ca="1" si="79"/>
        <v>1.1246968876792703E-3</v>
      </c>
      <c r="P2089" s="180"/>
      <c r="Q2089" s="180"/>
      <c r="R2089" s="180"/>
      <c r="S2089" s="180"/>
      <c r="T2089" s="180"/>
    </row>
    <row r="2090" spans="1:20" x14ac:dyDescent="0.25">
      <c r="A2090" t="s">
        <v>236</v>
      </c>
      <c r="B2090" t="s">
        <v>237</v>
      </c>
      <c r="C2090" t="s">
        <v>238</v>
      </c>
      <c r="D2090" t="s">
        <v>261</v>
      </c>
      <c r="E2090" t="s">
        <v>229</v>
      </c>
      <c r="F2090">
        <v>2011</v>
      </c>
      <c r="G2090">
        <v>5.8399999999999997E-3</v>
      </c>
      <c r="H2090" t="s">
        <v>240</v>
      </c>
      <c r="I2090" t="s">
        <v>241</v>
      </c>
      <c r="J2090" t="s">
        <v>3</v>
      </c>
      <c r="K2090" s="183">
        <f ca="1">VLOOKUP(F2090,
    OFFSET(INDIRECT(ADDRESS(MATCH(J2090,'Vehicle numbers'!$A$5:$A$162,0),1,1,1,$L$6)),4,1,COUNTIF('Vehicle numbers'!$A$5:$A$162,J2090),4),
    MATCH(K$8,'Vehicle numbers'!$B$4:$D$4,0))*1000</f>
        <v>1238321</v>
      </c>
      <c r="L2090" s="183">
        <f ca="1">VLOOKUP(F2090,
    OFFSET(INDIRECT(ADDRESS(MATCH(J2090,'Vehicle numbers'!$A$5:$A$162,0),1,1,1,$L$6)),4,1,COUNTIF('Vehicle numbers'!$A$5:$A$162,J2090),4),
    MATCH(L$8,'Vehicle numbers'!$B$4:$D$4,0))*1000</f>
        <v>1261076.6089877936</v>
      </c>
      <c r="M2090" s="184">
        <f>VLOOKUP(F2090,'Annual distance covered (GB)'!$A$8:$H$33,MATCH(J2090,'Annual distance covered (GB)'!$A$7:$H$7,0))</f>
        <v>4.7</v>
      </c>
      <c r="N2090" s="2">
        <f t="shared" ca="1" si="78"/>
        <v>27952.389375208011</v>
      </c>
      <c r="O2090" s="180">
        <f t="shared" ca="1" si="79"/>
        <v>2.2165496668472878E-2</v>
      </c>
      <c r="P2090" s="180"/>
      <c r="Q2090" s="180"/>
      <c r="R2090" s="180"/>
      <c r="S2090" s="180"/>
      <c r="T2090" s="180"/>
    </row>
    <row r="2091" spans="1:20" x14ac:dyDescent="0.25">
      <c r="A2091" t="s">
        <v>243</v>
      </c>
      <c r="B2091" t="s">
        <v>237</v>
      </c>
      <c r="C2091" t="s">
        <v>238</v>
      </c>
      <c r="D2091" t="s">
        <v>261</v>
      </c>
      <c r="E2091" t="s">
        <v>229</v>
      </c>
      <c r="F2091">
        <v>2011</v>
      </c>
      <c r="G2091">
        <v>2.336E-3</v>
      </c>
      <c r="H2091" t="s">
        <v>240</v>
      </c>
      <c r="I2091" t="s">
        <v>241</v>
      </c>
      <c r="J2091" t="s">
        <v>3</v>
      </c>
      <c r="K2091" s="183">
        <f ca="1">VLOOKUP(F2091,
    OFFSET(INDIRECT(ADDRESS(MATCH(J2091,'Vehicle numbers'!$A$5:$A$162,0),1,1,1,$L$6)),4,1,COUNTIF('Vehicle numbers'!$A$5:$A$162,J2091),4),
    MATCH(K$8,'Vehicle numbers'!$B$4:$D$4,0))*1000</f>
        <v>1238321</v>
      </c>
      <c r="L2091" s="183">
        <f ca="1">VLOOKUP(F2091,
    OFFSET(INDIRECT(ADDRESS(MATCH(J2091,'Vehicle numbers'!$A$5:$A$162,0),1,1,1,$L$6)),4,1,COUNTIF('Vehicle numbers'!$A$5:$A$162,J2091),4),
    MATCH(L$8,'Vehicle numbers'!$B$4:$D$4,0))*1000</f>
        <v>1261076.6089877936</v>
      </c>
      <c r="M2091" s="184">
        <f>VLOOKUP(F2091,'Annual distance covered (GB)'!$A$8:$H$33,MATCH(J2091,'Annual distance covered (GB)'!$A$7:$H$7,0))</f>
        <v>4.7</v>
      </c>
      <c r="N2091" s="2">
        <f t="shared" ca="1" si="78"/>
        <v>11180.955750083203</v>
      </c>
      <c r="O2091" s="180">
        <f t="shared" ca="1" si="79"/>
        <v>8.8661986673891496E-3</v>
      </c>
      <c r="P2091" s="180"/>
      <c r="Q2091" s="180"/>
      <c r="R2091" s="180"/>
      <c r="S2091" s="180"/>
      <c r="T2091" s="180"/>
    </row>
    <row r="2092" spans="1:20" x14ac:dyDescent="0.25">
      <c r="A2092" t="s">
        <v>244</v>
      </c>
      <c r="B2092" t="s">
        <v>237</v>
      </c>
      <c r="C2092" t="s">
        <v>238</v>
      </c>
      <c r="D2092" t="s">
        <v>261</v>
      </c>
      <c r="E2092" t="s">
        <v>229</v>
      </c>
      <c r="F2092">
        <v>2011</v>
      </c>
      <c r="G2092">
        <v>5.8399999999999999E-4</v>
      </c>
      <c r="H2092" t="s">
        <v>240</v>
      </c>
      <c r="I2092" t="s">
        <v>241</v>
      </c>
      <c r="J2092" t="s">
        <v>3</v>
      </c>
      <c r="K2092" s="183">
        <f ca="1">VLOOKUP(F2092,
    OFFSET(INDIRECT(ADDRESS(MATCH(J2092,'Vehicle numbers'!$A$5:$A$162,0),1,1,1,$L$6)),4,1,COUNTIF('Vehicle numbers'!$A$5:$A$162,J2092),4),
    MATCH(K$8,'Vehicle numbers'!$B$4:$D$4,0))*1000</f>
        <v>1238321</v>
      </c>
      <c r="L2092" s="183">
        <f ca="1">VLOOKUP(F2092,
    OFFSET(INDIRECT(ADDRESS(MATCH(J2092,'Vehicle numbers'!$A$5:$A$162,0),1,1,1,$L$6)),4,1,COUNTIF('Vehicle numbers'!$A$5:$A$162,J2092),4),
    MATCH(L$8,'Vehicle numbers'!$B$4:$D$4,0))*1000</f>
        <v>1261076.6089877936</v>
      </c>
      <c r="M2092" s="184">
        <f>VLOOKUP(F2092,'Annual distance covered (GB)'!$A$8:$H$33,MATCH(J2092,'Annual distance covered (GB)'!$A$7:$H$7,0))</f>
        <v>4.7</v>
      </c>
      <c r="N2092" s="2">
        <f t="shared" ca="1" si="78"/>
        <v>2795.2389375208008</v>
      </c>
      <c r="O2092" s="180">
        <f t="shared" ca="1" si="79"/>
        <v>2.2165496668472874E-3</v>
      </c>
      <c r="P2092" s="180"/>
      <c r="Q2092" s="180"/>
      <c r="R2092" s="180"/>
      <c r="S2092" s="180"/>
      <c r="T2092" s="180"/>
    </row>
    <row r="2093" spans="1:20" x14ac:dyDescent="0.25">
      <c r="A2093" t="s">
        <v>246</v>
      </c>
      <c r="B2093" t="s">
        <v>237</v>
      </c>
      <c r="C2093" t="s">
        <v>238</v>
      </c>
      <c r="D2093" t="s">
        <v>261</v>
      </c>
      <c r="E2093" t="s">
        <v>229</v>
      </c>
      <c r="F2093">
        <v>2011</v>
      </c>
      <c r="G2093">
        <v>4.6720000000000003E-4</v>
      </c>
      <c r="H2093" t="s">
        <v>240</v>
      </c>
      <c r="I2093" t="s">
        <v>241</v>
      </c>
      <c r="J2093" t="s">
        <v>3</v>
      </c>
      <c r="K2093" s="183">
        <f ca="1">VLOOKUP(F2093,
    OFFSET(INDIRECT(ADDRESS(MATCH(J2093,'Vehicle numbers'!$A$5:$A$162,0),1,1,1,$L$6)),4,1,COUNTIF('Vehicle numbers'!$A$5:$A$162,J2093),4),
    MATCH(K$8,'Vehicle numbers'!$B$4:$D$4,0))*1000</f>
        <v>1238321</v>
      </c>
      <c r="L2093" s="183">
        <f ca="1">VLOOKUP(F2093,
    OFFSET(INDIRECT(ADDRESS(MATCH(J2093,'Vehicle numbers'!$A$5:$A$162,0),1,1,1,$L$6)),4,1,COUNTIF('Vehicle numbers'!$A$5:$A$162,J2093),4),
    MATCH(L$8,'Vehicle numbers'!$B$4:$D$4,0))*1000</f>
        <v>1261076.6089877936</v>
      </c>
      <c r="M2093" s="184">
        <f>VLOOKUP(F2093,'Annual distance covered (GB)'!$A$8:$H$33,MATCH(J2093,'Annual distance covered (GB)'!$A$7:$H$7,0))</f>
        <v>4.7</v>
      </c>
      <c r="N2093" s="2">
        <f t="shared" ca="1" si="78"/>
        <v>2236.1911500166411</v>
      </c>
      <c r="O2093" s="180">
        <f t="shared" ca="1" si="79"/>
        <v>1.7732397334778304E-3</v>
      </c>
      <c r="P2093" s="180"/>
      <c r="Q2093" s="180"/>
      <c r="R2093" s="180"/>
      <c r="S2093" s="180"/>
      <c r="T2093" s="180"/>
    </row>
    <row r="2094" spans="1:20" x14ac:dyDescent="0.25">
      <c r="A2094" t="s">
        <v>236</v>
      </c>
      <c r="B2094" t="s">
        <v>237</v>
      </c>
      <c r="C2094" t="s">
        <v>238</v>
      </c>
      <c r="D2094" t="s">
        <v>261</v>
      </c>
      <c r="E2094" t="s">
        <v>228</v>
      </c>
      <c r="F2094">
        <v>2011</v>
      </c>
      <c r="G2094">
        <v>3.7569999999999999E-3</v>
      </c>
      <c r="H2094" t="s">
        <v>240</v>
      </c>
      <c r="I2094" t="s">
        <v>241</v>
      </c>
      <c r="J2094" t="s">
        <v>3</v>
      </c>
      <c r="K2094" s="183">
        <f ca="1">VLOOKUP(F2094,
    OFFSET(INDIRECT(ADDRESS(MATCH(J2094,'Vehicle numbers'!$A$5:$A$162,0),1,1,1,$L$6)),4,1,COUNTIF('Vehicle numbers'!$A$5:$A$162,J2094),4),
    MATCH(K$8,'Vehicle numbers'!$B$4:$D$4,0))*1000</f>
        <v>1238321</v>
      </c>
      <c r="L2094" s="183">
        <f ca="1">VLOOKUP(F2094,
    OFFSET(INDIRECT(ADDRESS(MATCH(J2094,'Vehicle numbers'!$A$5:$A$162,0),1,1,1,$L$6)),4,1,COUNTIF('Vehicle numbers'!$A$5:$A$162,J2094),4),
    MATCH(L$8,'Vehicle numbers'!$B$4:$D$4,0))*1000</f>
        <v>1261076.6089877936</v>
      </c>
      <c r="M2094" s="184">
        <f>VLOOKUP(F2094,'Annual distance covered (GB)'!$A$8:$H$33,MATCH(J2094,'Annual distance covered (GB)'!$A$7:$H$7,0))</f>
        <v>4.7</v>
      </c>
      <c r="N2094" s="2">
        <f t="shared" ca="1" si="78"/>
        <v>17982.384740180911</v>
      </c>
      <c r="O2094" s="180">
        <f t="shared" ca="1" si="79"/>
        <v>1.4259549825933667E-2</v>
      </c>
      <c r="P2094" s="180"/>
      <c r="Q2094" s="180"/>
      <c r="R2094" s="180"/>
      <c r="S2094" s="180"/>
      <c r="T2094" s="180"/>
    </row>
    <row r="2095" spans="1:20" x14ac:dyDescent="0.25">
      <c r="A2095" t="s">
        <v>243</v>
      </c>
      <c r="B2095" t="s">
        <v>237</v>
      </c>
      <c r="C2095" t="s">
        <v>238</v>
      </c>
      <c r="D2095" t="s">
        <v>261</v>
      </c>
      <c r="E2095" t="s">
        <v>228</v>
      </c>
      <c r="F2095">
        <v>2011</v>
      </c>
      <c r="G2095">
        <v>2.6299000000000001E-3</v>
      </c>
      <c r="H2095" t="s">
        <v>240</v>
      </c>
      <c r="I2095" t="s">
        <v>241</v>
      </c>
      <c r="J2095" t="s">
        <v>3</v>
      </c>
      <c r="K2095" s="183">
        <f ca="1">VLOOKUP(F2095,
    OFFSET(INDIRECT(ADDRESS(MATCH(J2095,'Vehicle numbers'!$A$5:$A$162,0),1,1,1,$L$6)),4,1,COUNTIF('Vehicle numbers'!$A$5:$A$162,J2095),4),
    MATCH(K$8,'Vehicle numbers'!$B$4:$D$4,0))*1000</f>
        <v>1238321</v>
      </c>
      <c r="L2095" s="183">
        <f ca="1">VLOOKUP(F2095,
    OFFSET(INDIRECT(ADDRESS(MATCH(J2095,'Vehicle numbers'!$A$5:$A$162,0),1,1,1,$L$6)),4,1,COUNTIF('Vehicle numbers'!$A$5:$A$162,J2095),4),
    MATCH(L$8,'Vehicle numbers'!$B$4:$D$4,0))*1000</f>
        <v>1261076.6089877936</v>
      </c>
      <c r="M2095" s="184">
        <f>VLOOKUP(F2095,'Annual distance covered (GB)'!$A$8:$H$33,MATCH(J2095,'Annual distance covered (GB)'!$A$7:$H$7,0))</f>
        <v>4.7</v>
      </c>
      <c r="N2095" s="2">
        <f t="shared" ca="1" si="78"/>
        <v>12587.669318126636</v>
      </c>
      <c r="O2095" s="180">
        <f t="shared" ca="1" si="79"/>
        <v>9.9816848781535666E-3</v>
      </c>
      <c r="P2095" s="180"/>
      <c r="Q2095" s="180"/>
      <c r="R2095" s="180"/>
      <c r="S2095" s="180"/>
      <c r="T2095" s="180"/>
    </row>
    <row r="2096" spans="1:20" x14ac:dyDescent="0.25">
      <c r="A2096" t="s">
        <v>244</v>
      </c>
      <c r="B2096" t="s">
        <v>237</v>
      </c>
      <c r="C2096" t="s">
        <v>238</v>
      </c>
      <c r="D2096" t="s">
        <v>261</v>
      </c>
      <c r="E2096" t="s">
        <v>228</v>
      </c>
      <c r="F2096">
        <v>2011</v>
      </c>
      <c r="G2096">
        <v>3.7040845070422499E-4</v>
      </c>
      <c r="H2096" t="s">
        <v>240</v>
      </c>
      <c r="I2096" t="s">
        <v>241</v>
      </c>
      <c r="J2096" t="s">
        <v>3</v>
      </c>
      <c r="K2096" s="183">
        <f ca="1">VLOOKUP(F2096,
    OFFSET(INDIRECT(ADDRESS(MATCH(J2096,'Vehicle numbers'!$A$5:$A$162,0),1,1,1,$L$6)),4,1,COUNTIF('Vehicle numbers'!$A$5:$A$162,J2096),4),
    MATCH(K$8,'Vehicle numbers'!$B$4:$D$4,0))*1000</f>
        <v>1238321</v>
      </c>
      <c r="L2096" s="183">
        <f ca="1">VLOOKUP(F2096,
    OFFSET(INDIRECT(ADDRESS(MATCH(J2096,'Vehicle numbers'!$A$5:$A$162,0),1,1,1,$L$6)),4,1,COUNTIF('Vehicle numbers'!$A$5:$A$162,J2096),4),
    MATCH(L$8,'Vehicle numbers'!$B$4:$D$4,0))*1000</f>
        <v>1261076.6089877936</v>
      </c>
      <c r="M2096" s="184">
        <f>VLOOKUP(F2096,'Annual distance covered (GB)'!$A$8:$H$33,MATCH(J2096,'Annual distance covered (GB)'!$A$7:$H$7,0))</f>
        <v>4.7</v>
      </c>
      <c r="N2096" s="2">
        <f t="shared" ca="1" si="78"/>
        <v>1772.9111715671302</v>
      </c>
      <c r="O2096" s="180">
        <f t="shared" ca="1" si="79"/>
        <v>1.4058711095990925E-3</v>
      </c>
      <c r="P2096" s="180"/>
      <c r="Q2096" s="180"/>
      <c r="R2096" s="180"/>
      <c r="S2096" s="180"/>
      <c r="T2096" s="180"/>
    </row>
    <row r="2097" spans="1:20" x14ac:dyDescent="0.25">
      <c r="A2097" t="s">
        <v>246</v>
      </c>
      <c r="B2097" t="s">
        <v>237</v>
      </c>
      <c r="C2097" t="s">
        <v>238</v>
      </c>
      <c r="D2097" t="s">
        <v>261</v>
      </c>
      <c r="E2097" t="s">
        <v>228</v>
      </c>
      <c r="F2097">
        <v>2011</v>
      </c>
      <c r="G2097">
        <v>2.9632676056337998E-4</v>
      </c>
      <c r="H2097" t="s">
        <v>240</v>
      </c>
      <c r="I2097" t="s">
        <v>241</v>
      </c>
      <c r="J2097" t="s">
        <v>3</v>
      </c>
      <c r="K2097" s="183">
        <f ca="1">VLOOKUP(F2097,
    OFFSET(INDIRECT(ADDRESS(MATCH(J2097,'Vehicle numbers'!$A$5:$A$162,0),1,1,1,$L$6)),4,1,COUNTIF('Vehicle numbers'!$A$5:$A$162,J2097),4),
    MATCH(K$8,'Vehicle numbers'!$B$4:$D$4,0))*1000</f>
        <v>1238321</v>
      </c>
      <c r="L2097" s="183">
        <f ca="1">VLOOKUP(F2097,
    OFFSET(INDIRECT(ADDRESS(MATCH(J2097,'Vehicle numbers'!$A$5:$A$162,0),1,1,1,$L$6)),4,1,COUNTIF('Vehicle numbers'!$A$5:$A$162,J2097),4),
    MATCH(L$8,'Vehicle numbers'!$B$4:$D$4,0))*1000</f>
        <v>1261076.6089877936</v>
      </c>
      <c r="M2097" s="184">
        <f>VLOOKUP(F2097,'Annual distance covered (GB)'!$A$8:$H$33,MATCH(J2097,'Annual distance covered (GB)'!$A$7:$H$7,0))</f>
        <v>4.7</v>
      </c>
      <c r="N2097" s="2">
        <f t="shared" ca="1" si="78"/>
        <v>1418.3289372537042</v>
      </c>
      <c r="O2097" s="180">
        <f t="shared" ca="1" si="79"/>
        <v>1.124696887679274E-3</v>
      </c>
      <c r="P2097" s="180"/>
      <c r="Q2097" s="180"/>
      <c r="R2097" s="180"/>
      <c r="S2097" s="180"/>
      <c r="T2097" s="180"/>
    </row>
    <row r="2098" spans="1:20" x14ac:dyDescent="0.25">
      <c r="A2098" t="s">
        <v>236</v>
      </c>
      <c r="B2098" t="s">
        <v>237</v>
      </c>
      <c r="C2098" t="s">
        <v>238</v>
      </c>
      <c r="D2098" t="s">
        <v>262</v>
      </c>
      <c r="E2098" t="s">
        <v>229</v>
      </c>
      <c r="F2098">
        <v>2011</v>
      </c>
      <c r="G2098">
        <v>6.8000000000000102E-4</v>
      </c>
      <c r="H2098" t="s">
        <v>240</v>
      </c>
      <c r="I2098" t="s">
        <v>241</v>
      </c>
      <c r="J2098" t="s">
        <v>3</v>
      </c>
      <c r="K2098" s="183">
        <f ca="1">VLOOKUP(F2098,
    OFFSET(INDIRECT(ADDRESS(MATCH(J2098,'Vehicle numbers'!$A$5:$A$162,0),1,1,1,$L$6)),4,1,COUNTIF('Vehicle numbers'!$A$5:$A$162,J2098),4),
    MATCH(K$8,'Vehicle numbers'!$B$4:$D$4,0))*1000</f>
        <v>1238321</v>
      </c>
      <c r="L2098" s="183">
        <f ca="1">VLOOKUP(F2098,
    OFFSET(INDIRECT(ADDRESS(MATCH(J2098,'Vehicle numbers'!$A$5:$A$162,0),1,1,1,$L$6)),4,1,COUNTIF('Vehicle numbers'!$A$5:$A$162,J2098),4),
    MATCH(L$8,'Vehicle numbers'!$B$4:$D$4,0))*1000</f>
        <v>1261076.6089877936</v>
      </c>
      <c r="M2098" s="184">
        <f>VLOOKUP(F2098,'Annual distance covered (GB)'!$A$8:$H$33,MATCH(J2098,'Annual distance covered (GB)'!$A$7:$H$7,0))</f>
        <v>4.7</v>
      </c>
      <c r="N2098" s="2">
        <f t="shared" ca="1" si="78"/>
        <v>3254.7302697160067</v>
      </c>
      <c r="O2098" s="180">
        <f t="shared" ca="1" si="79"/>
        <v>2.5809139956441064E-3</v>
      </c>
      <c r="P2098" s="180"/>
      <c r="Q2098" s="180"/>
      <c r="R2098" s="180"/>
      <c r="S2098" s="180"/>
      <c r="T2098" s="180"/>
    </row>
    <row r="2099" spans="1:20" x14ac:dyDescent="0.25">
      <c r="A2099" t="s">
        <v>243</v>
      </c>
      <c r="B2099" t="s">
        <v>237</v>
      </c>
      <c r="C2099" t="s">
        <v>238</v>
      </c>
      <c r="D2099" t="s">
        <v>262</v>
      </c>
      <c r="E2099" t="s">
        <v>229</v>
      </c>
      <c r="F2099">
        <v>2011</v>
      </c>
      <c r="G2099">
        <v>2.72E-4</v>
      </c>
      <c r="H2099" t="s">
        <v>240</v>
      </c>
      <c r="I2099" t="s">
        <v>241</v>
      </c>
      <c r="J2099" t="s">
        <v>3</v>
      </c>
      <c r="K2099" s="183">
        <f ca="1">VLOOKUP(F2099,
    OFFSET(INDIRECT(ADDRESS(MATCH(J2099,'Vehicle numbers'!$A$5:$A$162,0),1,1,1,$L$6)),4,1,COUNTIF('Vehicle numbers'!$A$5:$A$162,J2099),4),
    MATCH(K$8,'Vehicle numbers'!$B$4:$D$4,0))*1000</f>
        <v>1238321</v>
      </c>
      <c r="L2099" s="183">
        <f ca="1">VLOOKUP(F2099,
    OFFSET(INDIRECT(ADDRESS(MATCH(J2099,'Vehicle numbers'!$A$5:$A$162,0),1,1,1,$L$6)),4,1,COUNTIF('Vehicle numbers'!$A$5:$A$162,J2099),4),
    MATCH(L$8,'Vehicle numbers'!$B$4:$D$4,0))*1000</f>
        <v>1261076.6089877936</v>
      </c>
      <c r="M2099" s="184">
        <f>VLOOKUP(F2099,'Annual distance covered (GB)'!$A$8:$H$33,MATCH(J2099,'Annual distance covered (GB)'!$A$7:$H$7,0))</f>
        <v>4.7</v>
      </c>
      <c r="N2099" s="2">
        <f t="shared" ca="1" si="78"/>
        <v>1301.8921078864007</v>
      </c>
      <c r="O2099" s="180">
        <f t="shared" ca="1" si="79"/>
        <v>1.0323655982576411E-3</v>
      </c>
      <c r="P2099" s="180"/>
      <c r="Q2099" s="180"/>
      <c r="R2099" s="180"/>
      <c r="S2099" s="180"/>
      <c r="T2099" s="180"/>
    </row>
    <row r="2100" spans="1:20" x14ac:dyDescent="0.25">
      <c r="A2100" t="s">
        <v>244</v>
      </c>
      <c r="B2100" t="s">
        <v>237</v>
      </c>
      <c r="C2100" t="s">
        <v>238</v>
      </c>
      <c r="D2100" t="s">
        <v>262</v>
      </c>
      <c r="E2100" t="s">
        <v>229</v>
      </c>
      <c r="F2100">
        <v>2011</v>
      </c>
      <c r="G2100" s="189">
        <v>6.7999999999999999E-5</v>
      </c>
      <c r="H2100" t="s">
        <v>240</v>
      </c>
      <c r="I2100" t="s">
        <v>241</v>
      </c>
      <c r="J2100" t="s">
        <v>3</v>
      </c>
      <c r="K2100" s="183">
        <f ca="1">VLOOKUP(F2100,
    OFFSET(INDIRECT(ADDRESS(MATCH(J2100,'Vehicle numbers'!$A$5:$A$162,0),1,1,1,$L$6)),4,1,COUNTIF('Vehicle numbers'!$A$5:$A$162,J2100),4),
    MATCH(K$8,'Vehicle numbers'!$B$4:$D$4,0))*1000</f>
        <v>1238321</v>
      </c>
      <c r="L2100" s="183">
        <f ca="1">VLOOKUP(F2100,
    OFFSET(INDIRECT(ADDRESS(MATCH(J2100,'Vehicle numbers'!$A$5:$A$162,0),1,1,1,$L$6)),4,1,COUNTIF('Vehicle numbers'!$A$5:$A$162,J2100),4),
    MATCH(L$8,'Vehicle numbers'!$B$4:$D$4,0))*1000</f>
        <v>1261076.6089877936</v>
      </c>
      <c r="M2100" s="184">
        <f>VLOOKUP(F2100,'Annual distance covered (GB)'!$A$8:$H$33,MATCH(J2100,'Annual distance covered (GB)'!$A$7:$H$7,0))</f>
        <v>4.7</v>
      </c>
      <c r="N2100" s="2">
        <f t="shared" ca="1" si="78"/>
        <v>325.47302697160018</v>
      </c>
      <c r="O2100" s="180">
        <f t="shared" ca="1" si="79"/>
        <v>2.5809139956441026E-4</v>
      </c>
      <c r="P2100" s="180"/>
      <c r="Q2100" s="180"/>
      <c r="R2100" s="180"/>
      <c r="S2100" s="180"/>
      <c r="T2100" s="180"/>
    </row>
    <row r="2101" spans="1:20" x14ac:dyDescent="0.25">
      <c r="A2101" t="s">
        <v>246</v>
      </c>
      <c r="B2101" t="s">
        <v>237</v>
      </c>
      <c r="C2101" t="s">
        <v>238</v>
      </c>
      <c r="D2101" t="s">
        <v>262</v>
      </c>
      <c r="E2101" t="s">
        <v>229</v>
      </c>
      <c r="F2101">
        <v>2011</v>
      </c>
      <c r="G2101" s="189">
        <v>5.4400000000000001E-5</v>
      </c>
      <c r="H2101" t="s">
        <v>240</v>
      </c>
      <c r="I2101" t="s">
        <v>241</v>
      </c>
      <c r="J2101" t="s">
        <v>3</v>
      </c>
      <c r="K2101" s="183">
        <f ca="1">VLOOKUP(F2101,
    OFFSET(INDIRECT(ADDRESS(MATCH(J2101,'Vehicle numbers'!$A$5:$A$162,0),1,1,1,$L$6)),4,1,COUNTIF('Vehicle numbers'!$A$5:$A$162,J2101),4),
    MATCH(K$8,'Vehicle numbers'!$B$4:$D$4,0))*1000</f>
        <v>1238321</v>
      </c>
      <c r="L2101" s="183">
        <f ca="1">VLOOKUP(F2101,
    OFFSET(INDIRECT(ADDRESS(MATCH(J2101,'Vehicle numbers'!$A$5:$A$162,0),1,1,1,$L$6)),4,1,COUNTIF('Vehicle numbers'!$A$5:$A$162,J2101),4),
    MATCH(L$8,'Vehicle numbers'!$B$4:$D$4,0))*1000</f>
        <v>1261076.6089877936</v>
      </c>
      <c r="M2101" s="184">
        <f>VLOOKUP(F2101,'Annual distance covered (GB)'!$A$8:$H$33,MATCH(J2101,'Annual distance covered (GB)'!$A$7:$H$7,0))</f>
        <v>4.7</v>
      </c>
      <c r="N2101" s="2">
        <f t="shared" ca="1" si="78"/>
        <v>260.37842157728011</v>
      </c>
      <c r="O2101" s="180">
        <f t="shared" ca="1" si="79"/>
        <v>2.0647311965152817E-4</v>
      </c>
      <c r="P2101" s="180"/>
      <c r="Q2101" s="180"/>
      <c r="R2101" s="180"/>
      <c r="S2101" s="180"/>
      <c r="T2101" s="180"/>
    </row>
    <row r="2102" spans="1:20" x14ac:dyDescent="0.25">
      <c r="A2102" t="s">
        <v>236</v>
      </c>
      <c r="B2102" t="s">
        <v>237</v>
      </c>
      <c r="C2102" t="s">
        <v>238</v>
      </c>
      <c r="D2102" t="s">
        <v>262</v>
      </c>
      <c r="E2102" t="s">
        <v>228</v>
      </c>
      <c r="F2102">
        <v>2011</v>
      </c>
      <c r="G2102">
        <v>2.49E-3</v>
      </c>
      <c r="H2102" t="s">
        <v>240</v>
      </c>
      <c r="I2102" t="s">
        <v>241</v>
      </c>
      <c r="J2102" t="s">
        <v>3</v>
      </c>
      <c r="K2102" s="183">
        <f ca="1">VLOOKUP(F2102,
    OFFSET(INDIRECT(ADDRESS(MATCH(J2102,'Vehicle numbers'!$A$5:$A$162,0),1,1,1,$L$6)),4,1,COUNTIF('Vehicle numbers'!$A$5:$A$162,J2102),4),
    MATCH(K$8,'Vehicle numbers'!$B$4:$D$4,0))*1000</f>
        <v>1238321</v>
      </c>
      <c r="L2102" s="183">
        <f ca="1">VLOOKUP(F2102,
    OFFSET(INDIRECT(ADDRESS(MATCH(J2102,'Vehicle numbers'!$A$5:$A$162,0),1,1,1,$L$6)),4,1,COUNTIF('Vehicle numbers'!$A$5:$A$162,J2102),4),
    MATCH(L$8,'Vehicle numbers'!$B$4:$D$4,0))*1000</f>
        <v>1261076.6089877936</v>
      </c>
      <c r="M2102" s="184">
        <f>VLOOKUP(F2102,'Annual distance covered (GB)'!$A$8:$H$33,MATCH(J2102,'Annual distance covered (GB)'!$A$7:$H$7,0))</f>
        <v>4.7</v>
      </c>
      <c r="N2102" s="2">
        <f t="shared" ca="1" si="78"/>
        <v>11918.056428813004</v>
      </c>
      <c r="O2102" s="180">
        <f t="shared" ca="1" si="79"/>
        <v>9.4506997781673742E-3</v>
      </c>
      <c r="P2102" s="180"/>
      <c r="Q2102" s="180"/>
      <c r="R2102" s="180"/>
      <c r="S2102" s="180"/>
      <c r="T2102" s="180"/>
    </row>
    <row r="2103" spans="1:20" x14ac:dyDescent="0.25">
      <c r="A2103" t="s">
        <v>243</v>
      </c>
      <c r="B2103" t="s">
        <v>237</v>
      </c>
      <c r="C2103" t="s">
        <v>238</v>
      </c>
      <c r="D2103" t="s">
        <v>262</v>
      </c>
      <c r="E2103" t="s">
        <v>228</v>
      </c>
      <c r="F2103">
        <v>2011</v>
      </c>
      <c r="G2103">
        <v>1.743E-3</v>
      </c>
      <c r="H2103" t="s">
        <v>240</v>
      </c>
      <c r="I2103" t="s">
        <v>241</v>
      </c>
      <c r="J2103" t="s">
        <v>3</v>
      </c>
      <c r="K2103" s="183">
        <f ca="1">VLOOKUP(F2103,
    OFFSET(INDIRECT(ADDRESS(MATCH(J2103,'Vehicle numbers'!$A$5:$A$162,0),1,1,1,$L$6)),4,1,COUNTIF('Vehicle numbers'!$A$5:$A$162,J2103),4),
    MATCH(K$8,'Vehicle numbers'!$B$4:$D$4,0))*1000</f>
        <v>1238321</v>
      </c>
      <c r="L2103" s="183">
        <f ca="1">VLOOKUP(F2103,
    OFFSET(INDIRECT(ADDRESS(MATCH(J2103,'Vehicle numbers'!$A$5:$A$162,0),1,1,1,$L$6)),4,1,COUNTIF('Vehicle numbers'!$A$5:$A$162,J2103),4),
    MATCH(L$8,'Vehicle numbers'!$B$4:$D$4,0))*1000</f>
        <v>1261076.6089877936</v>
      </c>
      <c r="M2103" s="184">
        <f>VLOOKUP(F2103,'Annual distance covered (GB)'!$A$8:$H$33,MATCH(J2103,'Annual distance covered (GB)'!$A$7:$H$7,0))</f>
        <v>4.7</v>
      </c>
      <c r="N2103" s="2">
        <f t="shared" ca="1" si="78"/>
        <v>8342.6395001691035</v>
      </c>
      <c r="O2103" s="180">
        <f t="shared" ca="1" si="79"/>
        <v>6.6154898447171621E-3</v>
      </c>
      <c r="P2103" s="180"/>
      <c r="Q2103" s="180"/>
      <c r="R2103" s="180"/>
      <c r="S2103" s="180"/>
      <c r="T2103" s="180"/>
    </row>
    <row r="2104" spans="1:20" x14ac:dyDescent="0.25">
      <c r="A2104" t="s">
        <v>244</v>
      </c>
      <c r="B2104" t="s">
        <v>237</v>
      </c>
      <c r="C2104" t="s">
        <v>238</v>
      </c>
      <c r="D2104" t="s">
        <v>262</v>
      </c>
      <c r="E2104" t="s">
        <v>228</v>
      </c>
      <c r="F2104">
        <v>2011</v>
      </c>
      <c r="G2104">
        <v>2.4549295774647798E-4</v>
      </c>
      <c r="H2104" t="s">
        <v>240</v>
      </c>
      <c r="I2104" t="s">
        <v>241</v>
      </c>
      <c r="J2104" t="s">
        <v>3</v>
      </c>
      <c r="K2104" s="183">
        <f ca="1">VLOOKUP(F2104,
    OFFSET(INDIRECT(ADDRESS(MATCH(J2104,'Vehicle numbers'!$A$5:$A$162,0),1,1,1,$L$6)),4,1,COUNTIF('Vehicle numbers'!$A$5:$A$162,J2104),4),
    MATCH(K$8,'Vehicle numbers'!$B$4:$D$4,0))*1000</f>
        <v>1238321</v>
      </c>
      <c r="L2104" s="183">
        <f ca="1">VLOOKUP(F2104,
    OFFSET(INDIRECT(ADDRESS(MATCH(J2104,'Vehicle numbers'!$A$5:$A$162,0),1,1,1,$L$6)),4,1,COUNTIF('Vehicle numbers'!$A$5:$A$162,J2104),4),
    MATCH(L$8,'Vehicle numbers'!$B$4:$D$4,0))*1000</f>
        <v>1261076.6089877936</v>
      </c>
      <c r="M2104" s="184">
        <f>VLOOKUP(F2104,'Annual distance covered (GB)'!$A$8:$H$33,MATCH(J2104,'Annual distance covered (GB)'!$A$7:$H$7,0))</f>
        <v>4.7</v>
      </c>
      <c r="N2104" s="2">
        <f t="shared" ca="1" si="78"/>
        <v>1175.0196479111371</v>
      </c>
      <c r="O2104" s="180">
        <f t="shared" ca="1" si="79"/>
        <v>9.3175913305875184E-4</v>
      </c>
      <c r="P2104" s="180"/>
      <c r="Q2104" s="180"/>
      <c r="R2104" s="180"/>
      <c r="S2104" s="180"/>
      <c r="T2104" s="180"/>
    </row>
    <row r="2105" spans="1:20" x14ac:dyDescent="0.25">
      <c r="A2105" t="s">
        <v>246</v>
      </c>
      <c r="B2105" t="s">
        <v>237</v>
      </c>
      <c r="C2105" t="s">
        <v>238</v>
      </c>
      <c r="D2105" t="s">
        <v>262</v>
      </c>
      <c r="E2105" t="s">
        <v>228</v>
      </c>
      <c r="F2105">
        <v>2011</v>
      </c>
      <c r="G2105">
        <v>1.96394366197183E-4</v>
      </c>
      <c r="H2105" t="s">
        <v>240</v>
      </c>
      <c r="I2105" t="s">
        <v>241</v>
      </c>
      <c r="J2105" t="s">
        <v>3</v>
      </c>
      <c r="K2105" s="183">
        <f ca="1">VLOOKUP(F2105,
    OFFSET(INDIRECT(ADDRESS(MATCH(J2105,'Vehicle numbers'!$A$5:$A$162,0),1,1,1,$L$6)),4,1,COUNTIF('Vehicle numbers'!$A$5:$A$162,J2105),4),
    MATCH(K$8,'Vehicle numbers'!$B$4:$D$4,0))*1000</f>
        <v>1238321</v>
      </c>
      <c r="L2105" s="183">
        <f ca="1">VLOOKUP(F2105,
    OFFSET(INDIRECT(ADDRESS(MATCH(J2105,'Vehicle numbers'!$A$5:$A$162,0),1,1,1,$L$6)),4,1,COUNTIF('Vehicle numbers'!$A$5:$A$162,J2105),4),
    MATCH(L$8,'Vehicle numbers'!$B$4:$D$4,0))*1000</f>
        <v>1261076.6089877936</v>
      </c>
      <c r="M2105" s="184">
        <f>VLOOKUP(F2105,'Annual distance covered (GB)'!$A$8:$H$33,MATCH(J2105,'Annual distance covered (GB)'!$A$7:$H$7,0))</f>
        <v>4.7</v>
      </c>
      <c r="N2105" s="2">
        <f t="shared" ca="1" si="78"/>
        <v>940.01571832891261</v>
      </c>
      <c r="O2105" s="180">
        <f t="shared" ca="1" si="79"/>
        <v>7.4540730644700375E-4</v>
      </c>
      <c r="P2105" s="180"/>
      <c r="Q2105" s="180"/>
      <c r="R2105" s="180"/>
      <c r="S2105" s="180"/>
      <c r="T2105" s="180"/>
    </row>
    <row r="2106" spans="1:20" x14ac:dyDescent="0.25">
      <c r="A2106" t="s">
        <v>236</v>
      </c>
      <c r="B2106" t="s">
        <v>237</v>
      </c>
      <c r="C2106" t="s">
        <v>238</v>
      </c>
      <c r="D2106" t="s">
        <v>263</v>
      </c>
      <c r="E2106" t="s">
        <v>229</v>
      </c>
      <c r="F2106">
        <v>2011</v>
      </c>
      <c r="G2106">
        <v>2.764E-3</v>
      </c>
      <c r="H2106" t="s">
        <v>240</v>
      </c>
      <c r="I2106" t="s">
        <v>241</v>
      </c>
      <c r="J2106" t="s">
        <v>3</v>
      </c>
      <c r="K2106" s="183">
        <f ca="1">VLOOKUP(F2106,
    OFFSET(INDIRECT(ADDRESS(MATCH(J2106,'Vehicle numbers'!$A$5:$A$162,0),1,1,1,$L$6)),4,1,COUNTIF('Vehicle numbers'!$A$5:$A$162,J2106),4),
    MATCH(K$8,'Vehicle numbers'!$B$4:$D$4,0))*1000</f>
        <v>1238321</v>
      </c>
      <c r="L2106" s="183">
        <f ca="1">VLOOKUP(F2106,
    OFFSET(INDIRECT(ADDRESS(MATCH(J2106,'Vehicle numbers'!$A$5:$A$162,0),1,1,1,$L$6)),4,1,COUNTIF('Vehicle numbers'!$A$5:$A$162,J2106),4),
    MATCH(L$8,'Vehicle numbers'!$B$4:$D$4,0))*1000</f>
        <v>1261076.6089877936</v>
      </c>
      <c r="M2106" s="184">
        <f>VLOOKUP(F2106,'Annual distance covered (GB)'!$A$8:$H$33,MATCH(J2106,'Annual distance covered (GB)'!$A$7:$H$7,0))</f>
        <v>4.7</v>
      </c>
      <c r="N2106" s="2">
        <f t="shared" ca="1" si="78"/>
        <v>13229.521272786807</v>
      </c>
      <c r="O2106" s="180">
        <f t="shared" ca="1" si="79"/>
        <v>1.0490656299941618E-2</v>
      </c>
      <c r="P2106" s="180"/>
      <c r="Q2106" s="180"/>
      <c r="R2106" s="180"/>
      <c r="S2106" s="180"/>
      <c r="T2106" s="180"/>
    </row>
    <row r="2107" spans="1:20" x14ac:dyDescent="0.25">
      <c r="A2107" t="s">
        <v>243</v>
      </c>
      <c r="B2107" t="s">
        <v>237</v>
      </c>
      <c r="C2107" t="s">
        <v>238</v>
      </c>
      <c r="D2107" t="s">
        <v>263</v>
      </c>
      <c r="E2107" t="s">
        <v>229</v>
      </c>
      <c r="F2107">
        <v>2011</v>
      </c>
      <c r="G2107">
        <v>1.1056E-3</v>
      </c>
      <c r="H2107" t="s">
        <v>240</v>
      </c>
      <c r="I2107" t="s">
        <v>241</v>
      </c>
      <c r="J2107" t="s">
        <v>3</v>
      </c>
      <c r="K2107" s="183">
        <f ca="1">VLOOKUP(F2107,
    OFFSET(INDIRECT(ADDRESS(MATCH(J2107,'Vehicle numbers'!$A$5:$A$162,0),1,1,1,$L$6)),4,1,COUNTIF('Vehicle numbers'!$A$5:$A$162,J2107),4),
    MATCH(K$8,'Vehicle numbers'!$B$4:$D$4,0))*1000</f>
        <v>1238321</v>
      </c>
      <c r="L2107" s="183">
        <f ca="1">VLOOKUP(F2107,
    OFFSET(INDIRECT(ADDRESS(MATCH(J2107,'Vehicle numbers'!$A$5:$A$162,0),1,1,1,$L$6)),4,1,COUNTIF('Vehicle numbers'!$A$5:$A$162,J2107),4),
    MATCH(L$8,'Vehicle numbers'!$B$4:$D$4,0))*1000</f>
        <v>1261076.6089877936</v>
      </c>
      <c r="M2107" s="184">
        <f>VLOOKUP(F2107,'Annual distance covered (GB)'!$A$8:$H$33,MATCH(J2107,'Annual distance covered (GB)'!$A$7:$H$7,0))</f>
        <v>4.7</v>
      </c>
      <c r="N2107" s="2">
        <f t="shared" ca="1" si="78"/>
        <v>5291.8085091147223</v>
      </c>
      <c r="O2107" s="180">
        <f t="shared" ca="1" si="79"/>
        <v>4.196262519976646E-3</v>
      </c>
      <c r="P2107" s="180"/>
      <c r="Q2107" s="180"/>
      <c r="R2107" s="180"/>
      <c r="S2107" s="180"/>
      <c r="T2107" s="180"/>
    </row>
    <row r="2108" spans="1:20" x14ac:dyDescent="0.25">
      <c r="A2108" t="s">
        <v>244</v>
      </c>
      <c r="B2108" t="s">
        <v>237</v>
      </c>
      <c r="C2108" t="s">
        <v>238</v>
      </c>
      <c r="D2108" t="s">
        <v>263</v>
      </c>
      <c r="E2108" t="s">
        <v>229</v>
      </c>
      <c r="F2108">
        <v>2011</v>
      </c>
      <c r="G2108">
        <v>2.764E-4</v>
      </c>
      <c r="H2108" t="s">
        <v>240</v>
      </c>
      <c r="I2108" t="s">
        <v>241</v>
      </c>
      <c r="J2108" t="s">
        <v>3</v>
      </c>
      <c r="K2108" s="183">
        <f ca="1">VLOOKUP(F2108,
    OFFSET(INDIRECT(ADDRESS(MATCH(J2108,'Vehicle numbers'!$A$5:$A$162,0),1,1,1,$L$6)),4,1,COUNTIF('Vehicle numbers'!$A$5:$A$162,J2108),4),
    MATCH(K$8,'Vehicle numbers'!$B$4:$D$4,0))*1000</f>
        <v>1238321</v>
      </c>
      <c r="L2108" s="183">
        <f ca="1">VLOOKUP(F2108,
    OFFSET(INDIRECT(ADDRESS(MATCH(J2108,'Vehicle numbers'!$A$5:$A$162,0),1,1,1,$L$6)),4,1,COUNTIF('Vehicle numbers'!$A$5:$A$162,J2108),4),
    MATCH(L$8,'Vehicle numbers'!$B$4:$D$4,0))*1000</f>
        <v>1261076.6089877936</v>
      </c>
      <c r="M2108" s="184">
        <f>VLOOKUP(F2108,'Annual distance covered (GB)'!$A$8:$H$33,MATCH(J2108,'Annual distance covered (GB)'!$A$7:$H$7,0))</f>
        <v>4.7</v>
      </c>
      <c r="N2108" s="2">
        <f t="shared" ca="1" si="78"/>
        <v>1322.9521272786806</v>
      </c>
      <c r="O2108" s="180">
        <f t="shared" ca="1" si="79"/>
        <v>1.0490656299941615E-3</v>
      </c>
      <c r="P2108" s="180"/>
      <c r="Q2108" s="180"/>
      <c r="R2108" s="180"/>
      <c r="S2108" s="180"/>
      <c r="T2108" s="180"/>
    </row>
    <row r="2109" spans="1:20" x14ac:dyDescent="0.25">
      <c r="A2109" t="s">
        <v>246</v>
      </c>
      <c r="B2109" t="s">
        <v>237</v>
      </c>
      <c r="C2109" t="s">
        <v>238</v>
      </c>
      <c r="D2109" t="s">
        <v>263</v>
      </c>
      <c r="E2109" t="s">
        <v>229</v>
      </c>
      <c r="F2109">
        <v>2011</v>
      </c>
      <c r="G2109">
        <v>2.2112E-4</v>
      </c>
      <c r="H2109" t="s">
        <v>240</v>
      </c>
      <c r="I2109" t="s">
        <v>241</v>
      </c>
      <c r="J2109" t="s">
        <v>3</v>
      </c>
      <c r="K2109" s="183">
        <f ca="1">VLOOKUP(F2109,
    OFFSET(INDIRECT(ADDRESS(MATCH(J2109,'Vehicle numbers'!$A$5:$A$162,0),1,1,1,$L$6)),4,1,COUNTIF('Vehicle numbers'!$A$5:$A$162,J2109),4),
    MATCH(K$8,'Vehicle numbers'!$B$4:$D$4,0))*1000</f>
        <v>1238321</v>
      </c>
      <c r="L2109" s="183">
        <f ca="1">VLOOKUP(F2109,
    OFFSET(INDIRECT(ADDRESS(MATCH(J2109,'Vehicle numbers'!$A$5:$A$162,0),1,1,1,$L$6)),4,1,COUNTIF('Vehicle numbers'!$A$5:$A$162,J2109),4),
    MATCH(L$8,'Vehicle numbers'!$B$4:$D$4,0))*1000</f>
        <v>1261076.6089877936</v>
      </c>
      <c r="M2109" s="184">
        <f>VLOOKUP(F2109,'Annual distance covered (GB)'!$A$8:$H$33,MATCH(J2109,'Annual distance covered (GB)'!$A$7:$H$7,0))</f>
        <v>4.7</v>
      </c>
      <c r="N2109" s="2">
        <f t="shared" ca="1" si="78"/>
        <v>1058.3617018229445</v>
      </c>
      <c r="O2109" s="180">
        <f t="shared" ca="1" si="79"/>
        <v>8.3925250399532927E-4</v>
      </c>
      <c r="P2109" s="180"/>
      <c r="Q2109" s="180"/>
      <c r="R2109" s="180"/>
      <c r="S2109" s="180"/>
      <c r="T2109" s="180"/>
    </row>
    <row r="2110" spans="1:20" x14ac:dyDescent="0.25">
      <c r="A2110" t="s">
        <v>236</v>
      </c>
      <c r="B2110" t="s">
        <v>237</v>
      </c>
      <c r="C2110" t="s">
        <v>238</v>
      </c>
      <c r="D2110" t="s">
        <v>263</v>
      </c>
      <c r="E2110" t="s">
        <v>228</v>
      </c>
      <c r="F2110">
        <v>2011</v>
      </c>
      <c r="G2110">
        <v>2.9239999999999999E-3</v>
      </c>
      <c r="H2110" t="s">
        <v>240</v>
      </c>
      <c r="I2110" t="s">
        <v>241</v>
      </c>
      <c r="J2110" t="s">
        <v>3</v>
      </c>
      <c r="K2110" s="183">
        <f ca="1">VLOOKUP(F2110,
    OFFSET(INDIRECT(ADDRESS(MATCH(J2110,'Vehicle numbers'!$A$5:$A$162,0),1,1,1,$L$6)),4,1,COUNTIF('Vehicle numbers'!$A$5:$A$162,J2110),4),
    MATCH(K$8,'Vehicle numbers'!$B$4:$D$4,0))*1000</f>
        <v>1238321</v>
      </c>
      <c r="L2110" s="183">
        <f ca="1">VLOOKUP(F2110,
    OFFSET(INDIRECT(ADDRESS(MATCH(J2110,'Vehicle numbers'!$A$5:$A$162,0),1,1,1,$L$6)),4,1,COUNTIF('Vehicle numbers'!$A$5:$A$162,J2110),4),
    MATCH(L$8,'Vehicle numbers'!$B$4:$D$4,0))*1000</f>
        <v>1261076.6089877936</v>
      </c>
      <c r="M2110" s="184">
        <f>VLOOKUP(F2110,'Annual distance covered (GB)'!$A$8:$H$33,MATCH(J2110,'Annual distance covered (GB)'!$A$7:$H$7,0))</f>
        <v>4.7</v>
      </c>
      <c r="N2110" s="2">
        <f t="shared" ca="1" si="78"/>
        <v>13995.340159778805</v>
      </c>
      <c r="O2110" s="180">
        <f t="shared" ca="1" si="79"/>
        <v>1.1097930181269639E-2</v>
      </c>
      <c r="P2110" s="180"/>
      <c r="Q2110" s="180"/>
      <c r="R2110" s="180"/>
      <c r="S2110" s="180"/>
      <c r="T2110" s="180"/>
    </row>
    <row r="2111" spans="1:20" x14ac:dyDescent="0.25">
      <c r="A2111" t="s">
        <v>243</v>
      </c>
      <c r="B2111" t="s">
        <v>237</v>
      </c>
      <c r="C2111" t="s">
        <v>238</v>
      </c>
      <c r="D2111" t="s">
        <v>263</v>
      </c>
      <c r="E2111" t="s">
        <v>228</v>
      </c>
      <c r="F2111">
        <v>2011</v>
      </c>
      <c r="G2111">
        <v>2.0468000000000001E-3</v>
      </c>
      <c r="H2111" t="s">
        <v>240</v>
      </c>
      <c r="I2111" t="s">
        <v>241</v>
      </c>
      <c r="J2111" t="s">
        <v>3</v>
      </c>
      <c r="K2111" s="183">
        <f ca="1">VLOOKUP(F2111,
    OFFSET(INDIRECT(ADDRESS(MATCH(J2111,'Vehicle numbers'!$A$5:$A$162,0),1,1,1,$L$6)),4,1,COUNTIF('Vehicle numbers'!$A$5:$A$162,J2111),4),
    MATCH(K$8,'Vehicle numbers'!$B$4:$D$4,0))*1000</f>
        <v>1238321</v>
      </c>
      <c r="L2111" s="183">
        <f ca="1">VLOOKUP(F2111,
    OFFSET(INDIRECT(ADDRESS(MATCH(J2111,'Vehicle numbers'!$A$5:$A$162,0),1,1,1,$L$6)),4,1,COUNTIF('Vehicle numbers'!$A$5:$A$162,J2111),4),
    MATCH(L$8,'Vehicle numbers'!$B$4:$D$4,0))*1000</f>
        <v>1261076.6089877936</v>
      </c>
      <c r="M2111" s="184">
        <f>VLOOKUP(F2111,'Annual distance covered (GB)'!$A$8:$H$33,MATCH(J2111,'Annual distance covered (GB)'!$A$7:$H$7,0))</f>
        <v>4.7</v>
      </c>
      <c r="N2111" s="2">
        <f t="shared" ca="1" si="78"/>
        <v>9796.7381118451649</v>
      </c>
      <c r="O2111" s="180">
        <f t="shared" ca="1" si="79"/>
        <v>7.768551126888748E-3</v>
      </c>
      <c r="P2111" s="180"/>
      <c r="Q2111" s="180"/>
      <c r="R2111" s="180"/>
      <c r="S2111" s="180"/>
      <c r="T2111" s="180"/>
    </row>
    <row r="2112" spans="1:20" x14ac:dyDescent="0.25">
      <c r="A2112" t="s">
        <v>244</v>
      </c>
      <c r="B2112" t="s">
        <v>237</v>
      </c>
      <c r="C2112" t="s">
        <v>238</v>
      </c>
      <c r="D2112" t="s">
        <v>263</v>
      </c>
      <c r="E2112" t="s">
        <v>228</v>
      </c>
      <c r="F2112">
        <v>2011</v>
      </c>
      <c r="G2112">
        <v>2.8828169014084501E-4</v>
      </c>
      <c r="H2112" t="s">
        <v>240</v>
      </c>
      <c r="I2112" t="s">
        <v>241</v>
      </c>
      <c r="J2112" t="s">
        <v>3</v>
      </c>
      <c r="K2112" s="183">
        <f ca="1">VLOOKUP(F2112,
    OFFSET(INDIRECT(ADDRESS(MATCH(J2112,'Vehicle numbers'!$A$5:$A$162,0),1,1,1,$L$6)),4,1,COUNTIF('Vehicle numbers'!$A$5:$A$162,J2112),4),
    MATCH(K$8,'Vehicle numbers'!$B$4:$D$4,0))*1000</f>
        <v>1238321</v>
      </c>
      <c r="L2112" s="183">
        <f ca="1">VLOOKUP(F2112,
    OFFSET(INDIRECT(ADDRESS(MATCH(J2112,'Vehicle numbers'!$A$5:$A$162,0),1,1,1,$L$6)),4,1,COUNTIF('Vehicle numbers'!$A$5:$A$162,J2112),4),
    MATCH(L$8,'Vehicle numbers'!$B$4:$D$4,0))*1000</f>
        <v>1261076.6089877936</v>
      </c>
      <c r="M2112" s="184">
        <f>VLOOKUP(F2112,'Annual distance covered (GB)'!$A$8:$H$33,MATCH(J2112,'Annual distance covered (GB)'!$A$7:$H$7,0))</f>
        <v>4.7</v>
      </c>
      <c r="N2112" s="2">
        <f t="shared" ca="1" si="78"/>
        <v>1379.8222692739666</v>
      </c>
      <c r="O2112" s="180">
        <f t="shared" ca="1" si="79"/>
        <v>1.0941621305477107E-3</v>
      </c>
      <c r="P2112" s="180"/>
      <c r="Q2112" s="180"/>
      <c r="R2112" s="180"/>
      <c r="S2112" s="180"/>
      <c r="T2112" s="180"/>
    </row>
    <row r="2113" spans="1:20" x14ac:dyDescent="0.25">
      <c r="A2113" t="s">
        <v>246</v>
      </c>
      <c r="B2113" t="s">
        <v>237</v>
      </c>
      <c r="C2113" t="s">
        <v>238</v>
      </c>
      <c r="D2113" t="s">
        <v>263</v>
      </c>
      <c r="E2113" t="s">
        <v>228</v>
      </c>
      <c r="F2113">
        <v>2011</v>
      </c>
      <c r="G2113">
        <v>2.3062535211267599E-4</v>
      </c>
      <c r="H2113" t="s">
        <v>240</v>
      </c>
      <c r="I2113" t="s">
        <v>241</v>
      </c>
      <c r="J2113" t="s">
        <v>3</v>
      </c>
      <c r="K2113" s="183">
        <f ca="1">VLOOKUP(F2113,
    OFFSET(INDIRECT(ADDRESS(MATCH(J2113,'Vehicle numbers'!$A$5:$A$162,0),1,1,1,$L$6)),4,1,COUNTIF('Vehicle numbers'!$A$5:$A$162,J2113),4),
    MATCH(K$8,'Vehicle numbers'!$B$4:$D$4,0))*1000</f>
        <v>1238321</v>
      </c>
      <c r="L2113" s="183">
        <f ca="1">VLOOKUP(F2113,
    OFFSET(INDIRECT(ADDRESS(MATCH(J2113,'Vehicle numbers'!$A$5:$A$162,0),1,1,1,$L$6)),4,1,COUNTIF('Vehicle numbers'!$A$5:$A$162,J2113),4),
    MATCH(L$8,'Vehicle numbers'!$B$4:$D$4,0))*1000</f>
        <v>1261076.6089877936</v>
      </c>
      <c r="M2113" s="184">
        <f>VLOOKUP(F2113,'Annual distance covered (GB)'!$A$8:$H$33,MATCH(J2113,'Annual distance covered (GB)'!$A$7:$H$7,0))</f>
        <v>4.7</v>
      </c>
      <c r="N2113" s="2">
        <f t="shared" ca="1" si="78"/>
        <v>1103.8578154191732</v>
      </c>
      <c r="O2113" s="180">
        <f t="shared" ca="1" si="79"/>
        <v>8.753297044381686E-4</v>
      </c>
      <c r="P2113" s="180"/>
      <c r="Q2113" s="180"/>
      <c r="R2113" s="180"/>
      <c r="S2113" s="180"/>
      <c r="T2113" s="180"/>
    </row>
    <row r="2114" spans="1:20" x14ac:dyDescent="0.25">
      <c r="A2114" t="s">
        <v>236</v>
      </c>
      <c r="B2114" t="s">
        <v>237</v>
      </c>
      <c r="C2114" t="s">
        <v>238</v>
      </c>
      <c r="D2114" t="s">
        <v>264</v>
      </c>
      <c r="E2114" t="s">
        <v>229</v>
      </c>
      <c r="F2114">
        <v>2011</v>
      </c>
      <c r="G2114">
        <v>5.8399999999999902E-3</v>
      </c>
      <c r="H2114" t="s">
        <v>240</v>
      </c>
      <c r="I2114" t="s">
        <v>241</v>
      </c>
      <c r="J2114" t="s">
        <v>3</v>
      </c>
      <c r="K2114" s="183">
        <f ca="1">VLOOKUP(F2114,
    OFFSET(INDIRECT(ADDRESS(MATCH(J2114,'Vehicle numbers'!$A$5:$A$162,0),1,1,1,$L$6)),4,1,COUNTIF('Vehicle numbers'!$A$5:$A$162,J2114),4),
    MATCH(K$8,'Vehicle numbers'!$B$4:$D$4,0))*1000</f>
        <v>1238321</v>
      </c>
      <c r="L2114" s="183">
        <f ca="1">VLOOKUP(F2114,
    OFFSET(INDIRECT(ADDRESS(MATCH(J2114,'Vehicle numbers'!$A$5:$A$162,0),1,1,1,$L$6)),4,1,COUNTIF('Vehicle numbers'!$A$5:$A$162,J2114),4),
    MATCH(L$8,'Vehicle numbers'!$B$4:$D$4,0))*1000</f>
        <v>1261076.6089877936</v>
      </c>
      <c r="M2114" s="184">
        <f>VLOOKUP(F2114,'Annual distance covered (GB)'!$A$8:$H$33,MATCH(J2114,'Annual distance covered (GB)'!$A$7:$H$7,0))</f>
        <v>4.7</v>
      </c>
      <c r="N2114" s="2">
        <f t="shared" ca="1" si="78"/>
        <v>27952.389375207968</v>
      </c>
      <c r="O2114" s="180">
        <f t="shared" ca="1" si="79"/>
        <v>2.2165496668472843E-2</v>
      </c>
      <c r="P2114" s="180"/>
      <c r="Q2114" s="180"/>
      <c r="R2114" s="180"/>
      <c r="S2114" s="180"/>
      <c r="T2114" s="180"/>
    </row>
    <row r="2115" spans="1:20" x14ac:dyDescent="0.25">
      <c r="A2115" t="s">
        <v>243</v>
      </c>
      <c r="B2115" t="s">
        <v>237</v>
      </c>
      <c r="C2115" t="s">
        <v>238</v>
      </c>
      <c r="D2115" t="s">
        <v>264</v>
      </c>
      <c r="E2115" t="s">
        <v>229</v>
      </c>
      <c r="F2115">
        <v>2011</v>
      </c>
      <c r="G2115">
        <v>2.336E-3</v>
      </c>
      <c r="H2115" t="s">
        <v>240</v>
      </c>
      <c r="I2115" t="s">
        <v>241</v>
      </c>
      <c r="J2115" t="s">
        <v>3</v>
      </c>
      <c r="K2115" s="183">
        <f ca="1">VLOOKUP(F2115,
    OFFSET(INDIRECT(ADDRESS(MATCH(J2115,'Vehicle numbers'!$A$5:$A$162,0),1,1,1,$L$6)),4,1,COUNTIF('Vehicle numbers'!$A$5:$A$162,J2115),4),
    MATCH(K$8,'Vehicle numbers'!$B$4:$D$4,0))*1000</f>
        <v>1238321</v>
      </c>
      <c r="L2115" s="183">
        <f ca="1">VLOOKUP(F2115,
    OFFSET(INDIRECT(ADDRESS(MATCH(J2115,'Vehicle numbers'!$A$5:$A$162,0),1,1,1,$L$6)),4,1,COUNTIF('Vehicle numbers'!$A$5:$A$162,J2115),4),
    MATCH(L$8,'Vehicle numbers'!$B$4:$D$4,0))*1000</f>
        <v>1261076.6089877936</v>
      </c>
      <c r="M2115" s="184">
        <f>VLOOKUP(F2115,'Annual distance covered (GB)'!$A$8:$H$33,MATCH(J2115,'Annual distance covered (GB)'!$A$7:$H$7,0))</f>
        <v>4.7</v>
      </c>
      <c r="N2115" s="2">
        <f t="shared" ca="1" si="78"/>
        <v>11180.955750083203</v>
      </c>
      <c r="O2115" s="180">
        <f t="shared" ca="1" si="79"/>
        <v>8.8661986673891496E-3</v>
      </c>
      <c r="P2115" s="180"/>
      <c r="Q2115" s="180"/>
      <c r="R2115" s="180"/>
      <c r="S2115" s="180"/>
      <c r="T2115" s="180"/>
    </row>
    <row r="2116" spans="1:20" x14ac:dyDescent="0.25">
      <c r="A2116" t="s">
        <v>244</v>
      </c>
      <c r="B2116" t="s">
        <v>237</v>
      </c>
      <c r="C2116" t="s">
        <v>238</v>
      </c>
      <c r="D2116" t="s">
        <v>264</v>
      </c>
      <c r="E2116" t="s">
        <v>229</v>
      </c>
      <c r="F2116">
        <v>2011</v>
      </c>
      <c r="G2116">
        <v>5.8399999999999999E-4</v>
      </c>
      <c r="H2116" t="s">
        <v>240</v>
      </c>
      <c r="I2116" t="s">
        <v>241</v>
      </c>
      <c r="J2116" t="s">
        <v>3</v>
      </c>
      <c r="K2116" s="183">
        <f ca="1">VLOOKUP(F2116,
    OFFSET(INDIRECT(ADDRESS(MATCH(J2116,'Vehicle numbers'!$A$5:$A$162,0),1,1,1,$L$6)),4,1,COUNTIF('Vehicle numbers'!$A$5:$A$162,J2116),4),
    MATCH(K$8,'Vehicle numbers'!$B$4:$D$4,0))*1000</f>
        <v>1238321</v>
      </c>
      <c r="L2116" s="183">
        <f ca="1">VLOOKUP(F2116,
    OFFSET(INDIRECT(ADDRESS(MATCH(J2116,'Vehicle numbers'!$A$5:$A$162,0),1,1,1,$L$6)),4,1,COUNTIF('Vehicle numbers'!$A$5:$A$162,J2116),4),
    MATCH(L$8,'Vehicle numbers'!$B$4:$D$4,0))*1000</f>
        <v>1261076.6089877936</v>
      </c>
      <c r="M2116" s="184">
        <f>VLOOKUP(F2116,'Annual distance covered (GB)'!$A$8:$H$33,MATCH(J2116,'Annual distance covered (GB)'!$A$7:$H$7,0))</f>
        <v>4.7</v>
      </c>
      <c r="N2116" s="2">
        <f t="shared" ca="1" si="78"/>
        <v>2795.2389375208008</v>
      </c>
      <c r="O2116" s="180">
        <f t="shared" ca="1" si="79"/>
        <v>2.2165496668472874E-3</v>
      </c>
      <c r="P2116" s="180"/>
      <c r="Q2116" s="180"/>
      <c r="R2116" s="180"/>
      <c r="S2116" s="180"/>
      <c r="T2116" s="180"/>
    </row>
    <row r="2117" spans="1:20" x14ac:dyDescent="0.25">
      <c r="A2117" t="s">
        <v>246</v>
      </c>
      <c r="B2117" t="s">
        <v>237</v>
      </c>
      <c r="C2117" t="s">
        <v>238</v>
      </c>
      <c r="D2117" t="s">
        <v>264</v>
      </c>
      <c r="E2117" t="s">
        <v>229</v>
      </c>
      <c r="F2117">
        <v>2011</v>
      </c>
      <c r="G2117">
        <v>4.6720000000000003E-4</v>
      </c>
      <c r="H2117" t="s">
        <v>240</v>
      </c>
      <c r="I2117" t="s">
        <v>241</v>
      </c>
      <c r="J2117" t="s">
        <v>3</v>
      </c>
      <c r="K2117" s="183">
        <f ca="1">VLOOKUP(F2117,
    OFFSET(INDIRECT(ADDRESS(MATCH(J2117,'Vehicle numbers'!$A$5:$A$162,0),1,1,1,$L$6)),4,1,COUNTIF('Vehicle numbers'!$A$5:$A$162,J2117),4),
    MATCH(K$8,'Vehicle numbers'!$B$4:$D$4,0))*1000</f>
        <v>1238321</v>
      </c>
      <c r="L2117" s="183">
        <f ca="1">VLOOKUP(F2117,
    OFFSET(INDIRECT(ADDRESS(MATCH(J2117,'Vehicle numbers'!$A$5:$A$162,0),1,1,1,$L$6)),4,1,COUNTIF('Vehicle numbers'!$A$5:$A$162,J2117),4),
    MATCH(L$8,'Vehicle numbers'!$B$4:$D$4,0))*1000</f>
        <v>1261076.6089877936</v>
      </c>
      <c r="M2117" s="184">
        <f>VLOOKUP(F2117,'Annual distance covered (GB)'!$A$8:$H$33,MATCH(J2117,'Annual distance covered (GB)'!$A$7:$H$7,0))</f>
        <v>4.7</v>
      </c>
      <c r="N2117" s="2">
        <f t="shared" ca="1" si="78"/>
        <v>2236.1911500166411</v>
      </c>
      <c r="O2117" s="180">
        <f t="shared" ca="1" si="79"/>
        <v>1.7732397334778304E-3</v>
      </c>
      <c r="P2117" s="180"/>
      <c r="Q2117" s="180"/>
      <c r="R2117" s="180"/>
      <c r="S2117" s="180"/>
      <c r="T2117" s="180"/>
    </row>
    <row r="2118" spans="1:20" x14ac:dyDescent="0.25">
      <c r="A2118" t="s">
        <v>236</v>
      </c>
      <c r="B2118" t="s">
        <v>237</v>
      </c>
      <c r="C2118" t="s">
        <v>238</v>
      </c>
      <c r="D2118" t="s">
        <v>264</v>
      </c>
      <c r="E2118" t="s">
        <v>228</v>
      </c>
      <c r="F2118">
        <v>2011</v>
      </c>
      <c r="G2118">
        <v>3.7569999999999899E-3</v>
      </c>
      <c r="H2118" t="s">
        <v>240</v>
      </c>
      <c r="I2118" t="s">
        <v>241</v>
      </c>
      <c r="J2118" t="s">
        <v>3</v>
      </c>
      <c r="K2118" s="183">
        <f ca="1">VLOOKUP(F2118,
    OFFSET(INDIRECT(ADDRESS(MATCH(J2118,'Vehicle numbers'!$A$5:$A$162,0),1,1,1,$L$6)),4,1,COUNTIF('Vehicle numbers'!$A$5:$A$162,J2118),4),
    MATCH(K$8,'Vehicle numbers'!$B$4:$D$4,0))*1000</f>
        <v>1238321</v>
      </c>
      <c r="L2118" s="183">
        <f ca="1">VLOOKUP(F2118,
    OFFSET(INDIRECT(ADDRESS(MATCH(J2118,'Vehicle numbers'!$A$5:$A$162,0),1,1,1,$L$6)),4,1,COUNTIF('Vehicle numbers'!$A$5:$A$162,J2118),4),
    MATCH(L$8,'Vehicle numbers'!$B$4:$D$4,0))*1000</f>
        <v>1261076.6089877936</v>
      </c>
      <c r="M2118" s="184">
        <f>VLOOKUP(F2118,'Annual distance covered (GB)'!$A$8:$H$33,MATCH(J2118,'Annual distance covered (GB)'!$A$7:$H$7,0))</f>
        <v>4.7</v>
      </c>
      <c r="N2118" s="2">
        <f t="shared" ca="1" si="78"/>
        <v>17982.384740180856</v>
      </c>
      <c r="O2118" s="180">
        <f t="shared" ca="1" si="79"/>
        <v>1.4259549825933623E-2</v>
      </c>
      <c r="P2118" s="180"/>
      <c r="Q2118" s="180"/>
      <c r="R2118" s="180"/>
      <c r="S2118" s="180"/>
      <c r="T2118" s="180"/>
    </row>
    <row r="2119" spans="1:20" x14ac:dyDescent="0.25">
      <c r="A2119" t="s">
        <v>243</v>
      </c>
      <c r="B2119" t="s">
        <v>237</v>
      </c>
      <c r="C2119" t="s">
        <v>238</v>
      </c>
      <c r="D2119" t="s">
        <v>264</v>
      </c>
      <c r="E2119" t="s">
        <v>228</v>
      </c>
      <c r="F2119">
        <v>2011</v>
      </c>
      <c r="G2119">
        <v>2.6298999999999901E-3</v>
      </c>
      <c r="H2119" t="s">
        <v>240</v>
      </c>
      <c r="I2119" t="s">
        <v>241</v>
      </c>
      <c r="J2119" t="s">
        <v>3</v>
      </c>
      <c r="K2119" s="183">
        <f ca="1">VLOOKUP(F2119,
    OFFSET(INDIRECT(ADDRESS(MATCH(J2119,'Vehicle numbers'!$A$5:$A$162,0),1,1,1,$L$6)),4,1,COUNTIF('Vehicle numbers'!$A$5:$A$162,J2119),4),
    MATCH(K$8,'Vehicle numbers'!$B$4:$D$4,0))*1000</f>
        <v>1238321</v>
      </c>
      <c r="L2119" s="183">
        <f ca="1">VLOOKUP(F2119,
    OFFSET(INDIRECT(ADDRESS(MATCH(J2119,'Vehicle numbers'!$A$5:$A$162,0),1,1,1,$L$6)),4,1,COUNTIF('Vehicle numbers'!$A$5:$A$162,J2119),4),
    MATCH(L$8,'Vehicle numbers'!$B$4:$D$4,0))*1000</f>
        <v>1261076.6089877936</v>
      </c>
      <c r="M2119" s="184">
        <f>VLOOKUP(F2119,'Annual distance covered (GB)'!$A$8:$H$33,MATCH(J2119,'Annual distance covered (GB)'!$A$7:$H$7,0))</f>
        <v>4.7</v>
      </c>
      <c r="N2119" s="2">
        <f t="shared" ca="1" si="78"/>
        <v>12587.669318126589</v>
      </c>
      <c r="O2119" s="180">
        <f t="shared" ca="1" si="79"/>
        <v>9.9816848781535284E-3</v>
      </c>
      <c r="P2119" s="180"/>
      <c r="Q2119" s="180"/>
      <c r="R2119" s="180"/>
      <c r="S2119" s="180"/>
      <c r="T2119" s="180"/>
    </row>
    <row r="2120" spans="1:20" x14ac:dyDescent="0.25">
      <c r="A2120" t="s">
        <v>244</v>
      </c>
      <c r="B2120" t="s">
        <v>237</v>
      </c>
      <c r="C2120" t="s">
        <v>238</v>
      </c>
      <c r="D2120" t="s">
        <v>264</v>
      </c>
      <c r="E2120" t="s">
        <v>228</v>
      </c>
      <c r="F2120">
        <v>2011</v>
      </c>
      <c r="G2120">
        <v>3.7040845070422299E-4</v>
      </c>
      <c r="H2120" t="s">
        <v>240</v>
      </c>
      <c r="I2120" t="s">
        <v>241</v>
      </c>
      <c r="J2120" t="s">
        <v>3</v>
      </c>
      <c r="K2120" s="183">
        <f ca="1">VLOOKUP(F2120,
    OFFSET(INDIRECT(ADDRESS(MATCH(J2120,'Vehicle numbers'!$A$5:$A$162,0),1,1,1,$L$6)),4,1,COUNTIF('Vehicle numbers'!$A$5:$A$162,J2120),4),
    MATCH(K$8,'Vehicle numbers'!$B$4:$D$4,0))*1000</f>
        <v>1238321</v>
      </c>
      <c r="L2120" s="183">
        <f ca="1">VLOOKUP(F2120,
    OFFSET(INDIRECT(ADDRESS(MATCH(J2120,'Vehicle numbers'!$A$5:$A$162,0),1,1,1,$L$6)),4,1,COUNTIF('Vehicle numbers'!$A$5:$A$162,J2120),4),
    MATCH(L$8,'Vehicle numbers'!$B$4:$D$4,0))*1000</f>
        <v>1261076.6089877936</v>
      </c>
      <c r="M2120" s="184">
        <f>VLOOKUP(F2120,'Annual distance covered (GB)'!$A$8:$H$33,MATCH(J2120,'Annual distance covered (GB)'!$A$7:$H$7,0))</f>
        <v>4.7</v>
      </c>
      <c r="N2120" s="2">
        <f t="shared" ca="1" si="78"/>
        <v>1772.9111715671206</v>
      </c>
      <c r="O2120" s="180">
        <f t="shared" ca="1" si="79"/>
        <v>1.405871109599085E-3</v>
      </c>
      <c r="P2120" s="180"/>
      <c r="Q2120" s="180"/>
      <c r="R2120" s="180"/>
      <c r="S2120" s="180"/>
      <c r="T2120" s="180"/>
    </row>
    <row r="2121" spans="1:20" x14ac:dyDescent="0.25">
      <c r="A2121" t="s">
        <v>246</v>
      </c>
      <c r="B2121" t="s">
        <v>237</v>
      </c>
      <c r="C2121" t="s">
        <v>238</v>
      </c>
      <c r="D2121" t="s">
        <v>264</v>
      </c>
      <c r="E2121" t="s">
        <v>228</v>
      </c>
      <c r="F2121">
        <v>2011</v>
      </c>
      <c r="G2121">
        <v>2.9632676056337901E-4</v>
      </c>
      <c r="H2121" t="s">
        <v>240</v>
      </c>
      <c r="I2121" t="s">
        <v>241</v>
      </c>
      <c r="J2121" t="s">
        <v>3</v>
      </c>
      <c r="K2121" s="183">
        <f ca="1">VLOOKUP(F2121,
    OFFSET(INDIRECT(ADDRESS(MATCH(J2121,'Vehicle numbers'!$A$5:$A$162,0),1,1,1,$L$6)),4,1,COUNTIF('Vehicle numbers'!$A$5:$A$162,J2121),4),
    MATCH(K$8,'Vehicle numbers'!$B$4:$D$4,0))*1000</f>
        <v>1238321</v>
      </c>
      <c r="L2121" s="183">
        <f ca="1">VLOOKUP(F2121,
    OFFSET(INDIRECT(ADDRESS(MATCH(J2121,'Vehicle numbers'!$A$5:$A$162,0),1,1,1,$L$6)),4,1,COUNTIF('Vehicle numbers'!$A$5:$A$162,J2121),4),
    MATCH(L$8,'Vehicle numbers'!$B$4:$D$4,0))*1000</f>
        <v>1261076.6089877936</v>
      </c>
      <c r="M2121" s="184">
        <f>VLOOKUP(F2121,'Annual distance covered (GB)'!$A$8:$H$33,MATCH(J2121,'Annual distance covered (GB)'!$A$7:$H$7,0))</f>
        <v>4.7</v>
      </c>
      <c r="N2121" s="2">
        <f t="shared" ca="1" si="78"/>
        <v>1418.3289372536995</v>
      </c>
      <c r="O2121" s="180">
        <f t="shared" ca="1" si="79"/>
        <v>1.1246968876792703E-3</v>
      </c>
      <c r="P2121" s="180"/>
      <c r="Q2121" s="180"/>
      <c r="R2121" s="180"/>
      <c r="S2121" s="180"/>
      <c r="T2121" s="180"/>
    </row>
    <row r="2122" spans="1:20" x14ac:dyDescent="0.25">
      <c r="A2122" t="s">
        <v>236</v>
      </c>
      <c r="B2122" t="s">
        <v>237</v>
      </c>
      <c r="C2122" t="s">
        <v>238</v>
      </c>
      <c r="D2122" t="s">
        <v>239</v>
      </c>
      <c r="E2122" t="s">
        <v>229</v>
      </c>
      <c r="F2122">
        <v>2012</v>
      </c>
      <c r="G2122">
        <v>8.4410000000000006E-3</v>
      </c>
      <c r="H2122" t="s">
        <v>240</v>
      </c>
      <c r="I2122" t="s">
        <v>241</v>
      </c>
      <c r="J2122" t="s">
        <v>242</v>
      </c>
      <c r="K2122" s="183">
        <f ca="1">VLOOKUP(F2122,
    OFFSET(INDIRECT(ADDRESS(MATCH(J2122,'Vehicle numbers'!$A$5:$A$162,0),1,1,1,$L$6)),4,1,COUNTIF('Vehicle numbers'!$A$5:$A$162,J2122),4),
    MATCH(K$8,'Vehicle numbers'!$B$4:$D$4,0))*1000</f>
        <v>166297</v>
      </c>
      <c r="L2122" s="183">
        <f ca="1">VLOOKUP(F2122,
    OFFSET(INDIRECT(ADDRESS(MATCH(J2122,'Vehicle numbers'!$A$5:$A$162,0),1,1,1,$L$6)),4,1,COUNTIF('Vehicle numbers'!$A$5:$A$162,J2122),4),
    MATCH(L$8,'Vehicle numbers'!$B$4:$D$4,0))*1000</f>
        <v>172107.35670760192</v>
      </c>
      <c r="M2122" s="184">
        <f>VLOOKUP(F2122,'Annual distance covered (GB)'!$A$8:$H$33,MATCH(J2122,'Annual distance covered (GB)'!$A$7:$H$7,0))</f>
        <v>4.5</v>
      </c>
      <c r="N2122" s="2">
        <f t="shared" ca="1" si="78"/>
        <v>39311.66461728057</v>
      </c>
      <c r="O2122" s="180">
        <f t="shared" ca="1" si="79"/>
        <v>0.22841362141229252</v>
      </c>
      <c r="P2122" s="180"/>
      <c r="Q2122" s="180"/>
      <c r="R2122" s="180"/>
      <c r="S2122" s="180"/>
      <c r="T2122" s="180"/>
    </row>
    <row r="2123" spans="1:20" x14ac:dyDescent="0.25">
      <c r="A2123" t="s">
        <v>243</v>
      </c>
      <c r="B2123" t="s">
        <v>237</v>
      </c>
      <c r="C2123" t="s">
        <v>238</v>
      </c>
      <c r="D2123" t="s">
        <v>239</v>
      </c>
      <c r="E2123" t="s">
        <v>229</v>
      </c>
      <c r="F2123">
        <v>2012</v>
      </c>
      <c r="G2123">
        <v>3.3763999999999999E-3</v>
      </c>
      <c r="H2123" t="s">
        <v>240</v>
      </c>
      <c r="I2123" t="s">
        <v>241</v>
      </c>
      <c r="J2123" t="s">
        <v>242</v>
      </c>
      <c r="K2123" s="183">
        <f ca="1">VLOOKUP(F2123,
    OFFSET(INDIRECT(ADDRESS(MATCH(J2123,'Vehicle numbers'!$A$5:$A$162,0),1,1,1,$L$6)),4,1,COUNTIF('Vehicle numbers'!$A$5:$A$162,J2123),4),
    MATCH(K$8,'Vehicle numbers'!$B$4:$D$4,0))*1000</f>
        <v>166297</v>
      </c>
      <c r="L2123" s="183">
        <f ca="1">VLOOKUP(F2123,
    OFFSET(INDIRECT(ADDRESS(MATCH(J2123,'Vehicle numbers'!$A$5:$A$162,0),1,1,1,$L$6)),4,1,COUNTIF('Vehicle numbers'!$A$5:$A$162,J2123),4),
    MATCH(L$8,'Vehicle numbers'!$B$4:$D$4,0))*1000</f>
        <v>172107.35670760192</v>
      </c>
      <c r="M2123" s="184">
        <f>VLOOKUP(F2123,'Annual distance covered (GB)'!$A$8:$H$33,MATCH(J2123,'Annual distance covered (GB)'!$A$7:$H$7,0))</f>
        <v>4.5</v>
      </c>
      <c r="N2123" s="2">
        <f t="shared" ref="N2123:N2186" ca="1" si="80">M2123*G2123*1000000*(L2123/K2123)</f>
        <v>15724.665846912225</v>
      </c>
      <c r="O2123" s="180">
        <f t="shared" ref="O2123:O2186" ca="1" si="81">N2123/L2123</f>
        <v>9.136544856491699E-2</v>
      </c>
      <c r="P2123" s="180"/>
      <c r="Q2123" s="180"/>
      <c r="R2123" s="180"/>
      <c r="S2123" s="180"/>
      <c r="T2123" s="180"/>
    </row>
    <row r="2124" spans="1:20" x14ac:dyDescent="0.25">
      <c r="A2124" t="s">
        <v>244</v>
      </c>
      <c r="B2124" t="s">
        <v>237</v>
      </c>
      <c r="C2124" t="s">
        <v>238</v>
      </c>
      <c r="D2124" t="s">
        <v>239</v>
      </c>
      <c r="E2124" t="s">
        <v>229</v>
      </c>
      <c r="F2124">
        <v>2012</v>
      </c>
      <c r="G2124">
        <v>8.4409999999999997E-4</v>
      </c>
      <c r="H2124" t="s">
        <v>240</v>
      </c>
      <c r="I2124" t="s">
        <v>241</v>
      </c>
      <c r="J2124" t="s">
        <v>242</v>
      </c>
      <c r="K2124" s="183">
        <f ca="1">VLOOKUP(F2124,
    OFFSET(INDIRECT(ADDRESS(MATCH(J2124,'Vehicle numbers'!$A$5:$A$162,0),1,1,1,$L$6)),4,1,COUNTIF('Vehicle numbers'!$A$5:$A$162,J2124),4),
    MATCH(K$8,'Vehicle numbers'!$B$4:$D$4,0))*1000</f>
        <v>166297</v>
      </c>
      <c r="L2124" s="183">
        <f ca="1">VLOOKUP(F2124,
    OFFSET(INDIRECT(ADDRESS(MATCH(J2124,'Vehicle numbers'!$A$5:$A$162,0),1,1,1,$L$6)),4,1,COUNTIF('Vehicle numbers'!$A$5:$A$162,J2124),4),
    MATCH(L$8,'Vehicle numbers'!$B$4:$D$4,0))*1000</f>
        <v>172107.35670760192</v>
      </c>
      <c r="M2124" s="184">
        <f>VLOOKUP(F2124,'Annual distance covered (GB)'!$A$8:$H$33,MATCH(J2124,'Annual distance covered (GB)'!$A$7:$H$7,0))</f>
        <v>4.5</v>
      </c>
      <c r="N2124" s="2">
        <f t="shared" ca="1" si="80"/>
        <v>3931.1664617280562</v>
      </c>
      <c r="O2124" s="180">
        <f t="shared" ca="1" si="81"/>
        <v>2.2841362141229248E-2</v>
      </c>
      <c r="P2124" s="180"/>
      <c r="Q2124" s="180"/>
      <c r="R2124" s="180"/>
      <c r="S2124" s="180"/>
      <c r="T2124" s="180"/>
    </row>
    <row r="2125" spans="1:20" x14ac:dyDescent="0.25">
      <c r="A2125" t="s">
        <v>246</v>
      </c>
      <c r="B2125" t="s">
        <v>237</v>
      </c>
      <c r="C2125" t="s">
        <v>238</v>
      </c>
      <c r="D2125" t="s">
        <v>239</v>
      </c>
      <c r="E2125" t="s">
        <v>229</v>
      </c>
      <c r="F2125">
        <v>2012</v>
      </c>
      <c r="G2125">
        <v>6.7528E-4</v>
      </c>
      <c r="H2125" t="s">
        <v>240</v>
      </c>
      <c r="I2125" t="s">
        <v>241</v>
      </c>
      <c r="J2125" t="s">
        <v>242</v>
      </c>
      <c r="K2125" s="183">
        <f ca="1">VLOOKUP(F2125,
    OFFSET(INDIRECT(ADDRESS(MATCH(J2125,'Vehicle numbers'!$A$5:$A$162,0),1,1,1,$L$6)),4,1,COUNTIF('Vehicle numbers'!$A$5:$A$162,J2125),4),
    MATCH(K$8,'Vehicle numbers'!$B$4:$D$4,0))*1000</f>
        <v>166297</v>
      </c>
      <c r="L2125" s="183">
        <f ca="1">VLOOKUP(F2125,
    OFFSET(INDIRECT(ADDRESS(MATCH(J2125,'Vehicle numbers'!$A$5:$A$162,0),1,1,1,$L$6)),4,1,COUNTIF('Vehicle numbers'!$A$5:$A$162,J2125),4),
    MATCH(L$8,'Vehicle numbers'!$B$4:$D$4,0))*1000</f>
        <v>172107.35670760192</v>
      </c>
      <c r="M2125" s="184">
        <f>VLOOKUP(F2125,'Annual distance covered (GB)'!$A$8:$H$33,MATCH(J2125,'Annual distance covered (GB)'!$A$7:$H$7,0))</f>
        <v>4.5</v>
      </c>
      <c r="N2125" s="2">
        <f t="shared" ca="1" si="80"/>
        <v>3144.9331693824452</v>
      </c>
      <c r="O2125" s="180">
        <f t="shared" ca="1" si="81"/>
        <v>1.8273089712983401E-2</v>
      </c>
      <c r="P2125" s="180"/>
      <c r="Q2125" s="180"/>
      <c r="R2125" s="180"/>
      <c r="S2125" s="180"/>
      <c r="T2125" s="180"/>
    </row>
    <row r="2126" spans="1:20" x14ac:dyDescent="0.25">
      <c r="A2126" t="s">
        <v>236</v>
      </c>
      <c r="B2126" t="s">
        <v>237</v>
      </c>
      <c r="C2126" t="s">
        <v>238</v>
      </c>
      <c r="D2126" t="s">
        <v>239</v>
      </c>
      <c r="E2126" t="s">
        <v>228</v>
      </c>
      <c r="F2126">
        <v>2012</v>
      </c>
      <c r="G2126">
        <v>1.3984E-2</v>
      </c>
      <c r="H2126" t="s">
        <v>240</v>
      </c>
      <c r="I2126" t="s">
        <v>241</v>
      </c>
      <c r="J2126" t="s">
        <v>242</v>
      </c>
      <c r="K2126" s="183">
        <f ca="1">VLOOKUP(F2126,
    OFFSET(INDIRECT(ADDRESS(MATCH(J2126,'Vehicle numbers'!$A$5:$A$162,0),1,1,1,$L$6)),4,1,COUNTIF('Vehicle numbers'!$A$5:$A$162,J2126),4),
    MATCH(K$8,'Vehicle numbers'!$B$4:$D$4,0))*1000</f>
        <v>166297</v>
      </c>
      <c r="L2126" s="183">
        <f ca="1">VLOOKUP(F2126,
    OFFSET(INDIRECT(ADDRESS(MATCH(J2126,'Vehicle numbers'!$A$5:$A$162,0),1,1,1,$L$6)),4,1,COUNTIF('Vehicle numbers'!$A$5:$A$162,J2126),4),
    MATCH(L$8,'Vehicle numbers'!$B$4:$D$4,0))*1000</f>
        <v>172107.35670760192</v>
      </c>
      <c r="M2126" s="184">
        <f>VLOOKUP(F2126,'Annual distance covered (GB)'!$A$8:$H$33,MATCH(J2126,'Annual distance covered (GB)'!$A$7:$H$7,0))</f>
        <v>4.5</v>
      </c>
      <c r="N2126" s="2">
        <f t="shared" ca="1" si="80"/>
        <v>65126.681436802675</v>
      </c>
      <c r="O2126" s="180">
        <f t="shared" ca="1" si="81"/>
        <v>0.37840730740783057</v>
      </c>
      <c r="P2126" s="180"/>
      <c r="Q2126" s="180"/>
      <c r="R2126" s="180"/>
      <c r="S2126" s="180"/>
      <c r="T2126" s="180"/>
    </row>
    <row r="2127" spans="1:20" x14ac:dyDescent="0.25">
      <c r="A2127" t="s">
        <v>243</v>
      </c>
      <c r="B2127" t="s">
        <v>237</v>
      </c>
      <c r="C2127" t="s">
        <v>238</v>
      </c>
      <c r="D2127" t="s">
        <v>239</v>
      </c>
      <c r="E2127" t="s">
        <v>228</v>
      </c>
      <c r="F2127">
        <v>2012</v>
      </c>
      <c r="G2127">
        <v>9.7888000000000003E-3</v>
      </c>
      <c r="H2127" t="s">
        <v>240</v>
      </c>
      <c r="I2127" t="s">
        <v>241</v>
      </c>
      <c r="J2127" t="s">
        <v>242</v>
      </c>
      <c r="K2127" s="183">
        <f ca="1">VLOOKUP(F2127,
    OFFSET(INDIRECT(ADDRESS(MATCH(J2127,'Vehicle numbers'!$A$5:$A$162,0),1,1,1,$L$6)),4,1,COUNTIF('Vehicle numbers'!$A$5:$A$162,J2127),4),
    MATCH(K$8,'Vehicle numbers'!$B$4:$D$4,0))*1000</f>
        <v>166297</v>
      </c>
      <c r="L2127" s="183">
        <f ca="1">VLOOKUP(F2127,
    OFFSET(INDIRECT(ADDRESS(MATCH(J2127,'Vehicle numbers'!$A$5:$A$162,0),1,1,1,$L$6)),4,1,COUNTIF('Vehicle numbers'!$A$5:$A$162,J2127),4),
    MATCH(L$8,'Vehicle numbers'!$B$4:$D$4,0))*1000</f>
        <v>172107.35670760192</v>
      </c>
      <c r="M2127" s="184">
        <f>VLOOKUP(F2127,'Annual distance covered (GB)'!$A$8:$H$33,MATCH(J2127,'Annual distance covered (GB)'!$A$7:$H$7,0))</f>
        <v>4.5</v>
      </c>
      <c r="N2127" s="2">
        <f t="shared" ca="1" si="80"/>
        <v>45588.677005761871</v>
      </c>
      <c r="O2127" s="180">
        <f t="shared" ca="1" si="81"/>
        <v>0.26488511518548141</v>
      </c>
      <c r="P2127" s="180"/>
      <c r="Q2127" s="180"/>
      <c r="R2127" s="180"/>
      <c r="S2127" s="180"/>
      <c r="T2127" s="180"/>
    </row>
    <row r="2128" spans="1:20" x14ac:dyDescent="0.25">
      <c r="A2128" t="s">
        <v>244</v>
      </c>
      <c r="B2128" t="s">
        <v>237</v>
      </c>
      <c r="C2128" t="s">
        <v>238</v>
      </c>
      <c r="D2128" t="s">
        <v>239</v>
      </c>
      <c r="E2128" t="s">
        <v>228</v>
      </c>
      <c r="F2128">
        <v>2012</v>
      </c>
      <c r="G2128">
        <v>1.3787042253521099E-3</v>
      </c>
      <c r="H2128" t="s">
        <v>240</v>
      </c>
      <c r="I2128" t="s">
        <v>241</v>
      </c>
      <c r="J2128" t="s">
        <v>242</v>
      </c>
      <c r="K2128" s="183">
        <f ca="1">VLOOKUP(F2128,
    OFFSET(INDIRECT(ADDRESS(MATCH(J2128,'Vehicle numbers'!$A$5:$A$162,0),1,1,1,$L$6)),4,1,COUNTIF('Vehicle numbers'!$A$5:$A$162,J2128),4),
    MATCH(K$8,'Vehicle numbers'!$B$4:$D$4,0))*1000</f>
        <v>166297</v>
      </c>
      <c r="L2128" s="183">
        <f ca="1">VLOOKUP(F2128,
    OFFSET(INDIRECT(ADDRESS(MATCH(J2128,'Vehicle numbers'!$A$5:$A$162,0),1,1,1,$L$6)),4,1,COUNTIF('Vehicle numbers'!$A$5:$A$162,J2128),4),
    MATCH(L$8,'Vehicle numbers'!$B$4:$D$4,0))*1000</f>
        <v>172107.35670760192</v>
      </c>
      <c r="M2128" s="184">
        <f>VLOOKUP(F2128,'Annual distance covered (GB)'!$A$8:$H$33,MATCH(J2128,'Annual distance covered (GB)'!$A$7:$H$7,0))</f>
        <v>4.5</v>
      </c>
      <c r="N2128" s="2">
        <f t="shared" ca="1" si="80"/>
        <v>6420.9404233467294</v>
      </c>
      <c r="O2128" s="180">
        <f t="shared" ca="1" si="81"/>
        <v>3.7307762702180405E-2</v>
      </c>
      <c r="P2128" s="180"/>
      <c r="Q2128" s="180"/>
      <c r="R2128" s="180"/>
      <c r="S2128" s="180"/>
      <c r="T2128" s="180"/>
    </row>
    <row r="2129" spans="1:20" x14ac:dyDescent="0.25">
      <c r="A2129" t="s">
        <v>246</v>
      </c>
      <c r="B2129" t="s">
        <v>237</v>
      </c>
      <c r="C2129" t="s">
        <v>238</v>
      </c>
      <c r="D2129" t="s">
        <v>239</v>
      </c>
      <c r="E2129" t="s">
        <v>228</v>
      </c>
      <c r="F2129">
        <v>2012</v>
      </c>
      <c r="G2129">
        <v>1.10296338028169E-3</v>
      </c>
      <c r="H2129" t="s">
        <v>240</v>
      </c>
      <c r="I2129" t="s">
        <v>241</v>
      </c>
      <c r="J2129" t="s">
        <v>242</v>
      </c>
      <c r="K2129" s="183">
        <f ca="1">VLOOKUP(F2129,
    OFFSET(INDIRECT(ADDRESS(MATCH(J2129,'Vehicle numbers'!$A$5:$A$162,0),1,1,1,$L$6)),4,1,COUNTIF('Vehicle numbers'!$A$5:$A$162,J2129),4),
    MATCH(K$8,'Vehicle numbers'!$B$4:$D$4,0))*1000</f>
        <v>166297</v>
      </c>
      <c r="L2129" s="183">
        <f ca="1">VLOOKUP(F2129,
    OFFSET(INDIRECT(ADDRESS(MATCH(J2129,'Vehicle numbers'!$A$5:$A$162,0),1,1,1,$L$6)),4,1,COUNTIF('Vehicle numbers'!$A$5:$A$162,J2129),4),
    MATCH(L$8,'Vehicle numbers'!$B$4:$D$4,0))*1000</f>
        <v>172107.35670760192</v>
      </c>
      <c r="M2129" s="184">
        <f>VLOOKUP(F2129,'Annual distance covered (GB)'!$A$8:$H$33,MATCH(J2129,'Annual distance covered (GB)'!$A$7:$H$7,0))</f>
        <v>4.5</v>
      </c>
      <c r="N2129" s="2">
        <f t="shared" ca="1" si="80"/>
        <v>5136.7523386773928</v>
      </c>
      <c r="O2129" s="180">
        <f t="shared" ca="1" si="81"/>
        <v>2.9846210161744376E-2</v>
      </c>
      <c r="P2129" s="180"/>
      <c r="Q2129" s="180"/>
      <c r="R2129" s="180"/>
      <c r="S2129" s="180"/>
      <c r="T2129" s="180"/>
    </row>
    <row r="2130" spans="1:20" x14ac:dyDescent="0.25">
      <c r="A2130" t="s">
        <v>236</v>
      </c>
      <c r="B2130" t="s">
        <v>237</v>
      </c>
      <c r="C2130" t="s">
        <v>238</v>
      </c>
      <c r="D2130" t="s">
        <v>248</v>
      </c>
      <c r="E2130" t="s">
        <v>229</v>
      </c>
      <c r="F2130">
        <v>2012</v>
      </c>
      <c r="G2130">
        <v>2.7143E-2</v>
      </c>
      <c r="H2130" t="s">
        <v>240</v>
      </c>
      <c r="I2130" t="s">
        <v>241</v>
      </c>
      <c r="J2130" t="s">
        <v>242</v>
      </c>
      <c r="K2130" s="183">
        <f ca="1">VLOOKUP(F2130,
    OFFSET(INDIRECT(ADDRESS(MATCH(J2130,'Vehicle numbers'!$A$5:$A$162,0),1,1,1,$L$6)),4,1,COUNTIF('Vehicle numbers'!$A$5:$A$162,J2130),4),
    MATCH(K$8,'Vehicle numbers'!$B$4:$D$4,0))*1000</f>
        <v>166297</v>
      </c>
      <c r="L2130" s="183">
        <f ca="1">VLOOKUP(F2130,
    OFFSET(INDIRECT(ADDRESS(MATCH(J2130,'Vehicle numbers'!$A$5:$A$162,0),1,1,1,$L$6)),4,1,COUNTIF('Vehicle numbers'!$A$5:$A$162,J2130),4),
    MATCH(L$8,'Vehicle numbers'!$B$4:$D$4,0))*1000</f>
        <v>172107.35670760192</v>
      </c>
      <c r="M2130" s="184">
        <f>VLOOKUP(F2130,'Annual distance covered (GB)'!$A$8:$H$33,MATCH(J2130,'Annual distance covered (GB)'!$A$7:$H$7,0))</f>
        <v>4.5</v>
      </c>
      <c r="N2130" s="2">
        <f t="shared" ca="1" si="80"/>
        <v>126411.14947362235</v>
      </c>
      <c r="O2130" s="180">
        <f t="shared" ca="1" si="81"/>
        <v>0.73449009903967</v>
      </c>
      <c r="P2130" s="180"/>
      <c r="Q2130" s="180"/>
      <c r="R2130" s="180"/>
      <c r="S2130" s="180"/>
      <c r="T2130" s="180"/>
    </row>
    <row r="2131" spans="1:20" x14ac:dyDescent="0.25">
      <c r="A2131" t="s">
        <v>243</v>
      </c>
      <c r="B2131" t="s">
        <v>237</v>
      </c>
      <c r="C2131" t="s">
        <v>238</v>
      </c>
      <c r="D2131" t="s">
        <v>248</v>
      </c>
      <c r="E2131" t="s">
        <v>229</v>
      </c>
      <c r="F2131">
        <v>2012</v>
      </c>
      <c r="G2131">
        <v>1.0857199999999999E-2</v>
      </c>
      <c r="H2131" t="s">
        <v>240</v>
      </c>
      <c r="I2131" t="s">
        <v>241</v>
      </c>
      <c r="J2131" t="s">
        <v>242</v>
      </c>
      <c r="K2131" s="183">
        <f ca="1">VLOOKUP(F2131,
    OFFSET(INDIRECT(ADDRESS(MATCH(J2131,'Vehicle numbers'!$A$5:$A$162,0),1,1,1,$L$6)),4,1,COUNTIF('Vehicle numbers'!$A$5:$A$162,J2131),4),
    MATCH(K$8,'Vehicle numbers'!$B$4:$D$4,0))*1000</f>
        <v>166297</v>
      </c>
      <c r="L2131" s="183">
        <f ca="1">VLOOKUP(F2131,
    OFFSET(INDIRECT(ADDRESS(MATCH(J2131,'Vehicle numbers'!$A$5:$A$162,0),1,1,1,$L$6)),4,1,COUNTIF('Vehicle numbers'!$A$5:$A$162,J2131),4),
    MATCH(L$8,'Vehicle numbers'!$B$4:$D$4,0))*1000</f>
        <v>172107.35670760192</v>
      </c>
      <c r="M2131" s="184">
        <f>VLOOKUP(F2131,'Annual distance covered (GB)'!$A$8:$H$33,MATCH(J2131,'Annual distance covered (GB)'!$A$7:$H$7,0))</f>
        <v>4.5</v>
      </c>
      <c r="N2131" s="2">
        <f t="shared" ca="1" si="80"/>
        <v>50564.459789448934</v>
      </c>
      <c r="O2131" s="180">
        <f t="shared" ca="1" si="81"/>
        <v>0.29379603961586798</v>
      </c>
      <c r="P2131" s="180"/>
      <c r="Q2131" s="180"/>
      <c r="R2131" s="180"/>
      <c r="S2131" s="180"/>
      <c r="T2131" s="180"/>
    </row>
    <row r="2132" spans="1:20" x14ac:dyDescent="0.25">
      <c r="A2132" t="s">
        <v>244</v>
      </c>
      <c r="B2132" t="s">
        <v>237</v>
      </c>
      <c r="C2132" t="s">
        <v>238</v>
      </c>
      <c r="D2132" t="s">
        <v>248</v>
      </c>
      <c r="E2132" t="s">
        <v>229</v>
      </c>
      <c r="F2132">
        <v>2012</v>
      </c>
      <c r="G2132">
        <v>2.7142999999999998E-3</v>
      </c>
      <c r="H2132" t="s">
        <v>240</v>
      </c>
      <c r="I2132" t="s">
        <v>241</v>
      </c>
      <c r="J2132" t="s">
        <v>242</v>
      </c>
      <c r="K2132" s="183">
        <f ca="1">VLOOKUP(F2132,
    OFFSET(INDIRECT(ADDRESS(MATCH(J2132,'Vehicle numbers'!$A$5:$A$162,0),1,1,1,$L$6)),4,1,COUNTIF('Vehicle numbers'!$A$5:$A$162,J2132),4),
    MATCH(K$8,'Vehicle numbers'!$B$4:$D$4,0))*1000</f>
        <v>166297</v>
      </c>
      <c r="L2132" s="183">
        <f ca="1">VLOOKUP(F2132,
    OFFSET(INDIRECT(ADDRESS(MATCH(J2132,'Vehicle numbers'!$A$5:$A$162,0),1,1,1,$L$6)),4,1,COUNTIF('Vehicle numbers'!$A$5:$A$162,J2132),4),
    MATCH(L$8,'Vehicle numbers'!$B$4:$D$4,0))*1000</f>
        <v>172107.35670760192</v>
      </c>
      <c r="M2132" s="184">
        <f>VLOOKUP(F2132,'Annual distance covered (GB)'!$A$8:$H$33,MATCH(J2132,'Annual distance covered (GB)'!$A$7:$H$7,0))</f>
        <v>4.5</v>
      </c>
      <c r="N2132" s="2">
        <f t="shared" ca="1" si="80"/>
        <v>12641.114947362234</v>
      </c>
      <c r="O2132" s="180">
        <f t="shared" ca="1" si="81"/>
        <v>7.3449009903966994E-2</v>
      </c>
      <c r="P2132" s="180"/>
      <c r="Q2132" s="180"/>
      <c r="R2132" s="180"/>
      <c r="S2132" s="180"/>
      <c r="T2132" s="180"/>
    </row>
    <row r="2133" spans="1:20" x14ac:dyDescent="0.25">
      <c r="A2133" t="s">
        <v>246</v>
      </c>
      <c r="B2133" t="s">
        <v>237</v>
      </c>
      <c r="C2133" t="s">
        <v>238</v>
      </c>
      <c r="D2133" t="s">
        <v>248</v>
      </c>
      <c r="E2133" t="s">
        <v>229</v>
      </c>
      <c r="F2133">
        <v>2012</v>
      </c>
      <c r="G2133">
        <v>2.1714400000000002E-3</v>
      </c>
      <c r="H2133" t="s">
        <v>240</v>
      </c>
      <c r="I2133" t="s">
        <v>241</v>
      </c>
      <c r="J2133" t="s">
        <v>242</v>
      </c>
      <c r="K2133" s="183">
        <f ca="1">VLOOKUP(F2133,
    OFFSET(INDIRECT(ADDRESS(MATCH(J2133,'Vehicle numbers'!$A$5:$A$162,0),1,1,1,$L$6)),4,1,COUNTIF('Vehicle numbers'!$A$5:$A$162,J2133),4),
    MATCH(K$8,'Vehicle numbers'!$B$4:$D$4,0))*1000</f>
        <v>166297</v>
      </c>
      <c r="L2133" s="183">
        <f ca="1">VLOOKUP(F2133,
    OFFSET(INDIRECT(ADDRESS(MATCH(J2133,'Vehicle numbers'!$A$5:$A$162,0),1,1,1,$L$6)),4,1,COUNTIF('Vehicle numbers'!$A$5:$A$162,J2133),4),
    MATCH(L$8,'Vehicle numbers'!$B$4:$D$4,0))*1000</f>
        <v>172107.35670760192</v>
      </c>
      <c r="M2133" s="184">
        <f>VLOOKUP(F2133,'Annual distance covered (GB)'!$A$8:$H$33,MATCH(J2133,'Annual distance covered (GB)'!$A$7:$H$7,0))</f>
        <v>4.5</v>
      </c>
      <c r="N2133" s="2">
        <f t="shared" ca="1" si="80"/>
        <v>10112.891957889789</v>
      </c>
      <c r="O2133" s="180">
        <f t="shared" ca="1" si="81"/>
        <v>5.8759207923173608E-2</v>
      </c>
      <c r="P2133" s="180"/>
      <c r="Q2133" s="180"/>
      <c r="R2133" s="180"/>
      <c r="S2133" s="180"/>
      <c r="T2133" s="180"/>
    </row>
    <row r="2134" spans="1:20" x14ac:dyDescent="0.25">
      <c r="A2134" t="s">
        <v>236</v>
      </c>
      <c r="B2134" t="s">
        <v>237</v>
      </c>
      <c r="C2134" t="s">
        <v>238</v>
      </c>
      <c r="D2134" t="s">
        <v>248</v>
      </c>
      <c r="E2134" t="s">
        <v>228</v>
      </c>
      <c r="F2134">
        <v>2012</v>
      </c>
      <c r="G2134">
        <v>1.68578987779569E-2</v>
      </c>
      <c r="H2134" t="s">
        <v>240</v>
      </c>
      <c r="I2134" t="s">
        <v>241</v>
      </c>
      <c r="J2134" t="s">
        <v>242</v>
      </c>
      <c r="K2134" s="183">
        <f ca="1">VLOOKUP(F2134,
    OFFSET(INDIRECT(ADDRESS(MATCH(J2134,'Vehicle numbers'!$A$5:$A$162,0),1,1,1,$L$6)),4,1,COUNTIF('Vehicle numbers'!$A$5:$A$162,J2134),4),
    MATCH(K$8,'Vehicle numbers'!$B$4:$D$4,0))*1000</f>
        <v>166297</v>
      </c>
      <c r="L2134" s="183">
        <f ca="1">VLOOKUP(F2134,
    OFFSET(INDIRECT(ADDRESS(MATCH(J2134,'Vehicle numbers'!$A$5:$A$162,0),1,1,1,$L$6)),4,1,COUNTIF('Vehicle numbers'!$A$5:$A$162,J2134),4),
    MATCH(L$8,'Vehicle numbers'!$B$4:$D$4,0))*1000</f>
        <v>172107.35670760192</v>
      </c>
      <c r="M2134" s="184">
        <f>VLOOKUP(F2134,'Annual distance covered (GB)'!$A$8:$H$33,MATCH(J2134,'Annual distance covered (GB)'!$A$7:$H$7,0))</f>
        <v>4.5</v>
      </c>
      <c r="N2134" s="2">
        <f t="shared" ca="1" si="80"/>
        <v>78511.084339664187</v>
      </c>
      <c r="O2134" s="180">
        <f t="shared" ca="1" si="81"/>
        <v>0.45617506329522506</v>
      </c>
      <c r="P2134" s="180"/>
      <c r="Q2134" s="180"/>
      <c r="R2134" s="180"/>
      <c r="S2134" s="180"/>
      <c r="T2134" s="180"/>
    </row>
    <row r="2135" spans="1:20" x14ac:dyDescent="0.25">
      <c r="A2135" t="s">
        <v>243</v>
      </c>
      <c r="B2135" t="s">
        <v>237</v>
      </c>
      <c r="C2135" t="s">
        <v>238</v>
      </c>
      <c r="D2135" t="s">
        <v>248</v>
      </c>
      <c r="E2135" t="s">
        <v>228</v>
      </c>
      <c r="F2135">
        <v>2012</v>
      </c>
      <c r="G2135">
        <v>1.1800529144569799E-2</v>
      </c>
      <c r="H2135" t="s">
        <v>240</v>
      </c>
      <c r="I2135" t="s">
        <v>241</v>
      </c>
      <c r="J2135" t="s">
        <v>242</v>
      </c>
      <c r="K2135" s="183">
        <f ca="1">VLOOKUP(F2135,
    OFFSET(INDIRECT(ADDRESS(MATCH(J2135,'Vehicle numbers'!$A$5:$A$162,0),1,1,1,$L$6)),4,1,COUNTIF('Vehicle numbers'!$A$5:$A$162,J2135),4),
    MATCH(K$8,'Vehicle numbers'!$B$4:$D$4,0))*1000</f>
        <v>166297</v>
      </c>
      <c r="L2135" s="183">
        <f ca="1">VLOOKUP(F2135,
    OFFSET(INDIRECT(ADDRESS(MATCH(J2135,'Vehicle numbers'!$A$5:$A$162,0),1,1,1,$L$6)),4,1,COUNTIF('Vehicle numbers'!$A$5:$A$162,J2135),4),
    MATCH(L$8,'Vehicle numbers'!$B$4:$D$4,0))*1000</f>
        <v>172107.35670760192</v>
      </c>
      <c r="M2135" s="184">
        <f>VLOOKUP(F2135,'Annual distance covered (GB)'!$A$8:$H$33,MATCH(J2135,'Annual distance covered (GB)'!$A$7:$H$7,0))</f>
        <v>4.5</v>
      </c>
      <c r="N2135" s="2">
        <f t="shared" ca="1" si="80"/>
        <v>54957.759037764794</v>
      </c>
      <c r="O2135" s="180">
        <f t="shared" ca="1" si="81"/>
        <v>0.31932254430665674</v>
      </c>
      <c r="P2135" s="180"/>
      <c r="Q2135" s="180"/>
      <c r="R2135" s="180"/>
      <c r="S2135" s="180"/>
      <c r="T2135" s="180"/>
    </row>
    <row r="2136" spans="1:20" x14ac:dyDescent="0.25">
      <c r="A2136" t="s">
        <v>244</v>
      </c>
      <c r="B2136" t="s">
        <v>237</v>
      </c>
      <c r="C2136" t="s">
        <v>238</v>
      </c>
      <c r="D2136" t="s">
        <v>248</v>
      </c>
      <c r="E2136" t="s">
        <v>228</v>
      </c>
      <c r="F2136">
        <v>2012</v>
      </c>
      <c r="G2136">
        <v>1.66204635839011E-3</v>
      </c>
      <c r="H2136" t="s">
        <v>240</v>
      </c>
      <c r="I2136" t="s">
        <v>241</v>
      </c>
      <c r="J2136" t="s">
        <v>242</v>
      </c>
      <c r="K2136" s="183">
        <f ca="1">VLOOKUP(F2136,
    OFFSET(INDIRECT(ADDRESS(MATCH(J2136,'Vehicle numbers'!$A$5:$A$162,0),1,1,1,$L$6)),4,1,COUNTIF('Vehicle numbers'!$A$5:$A$162,J2136),4),
    MATCH(K$8,'Vehicle numbers'!$B$4:$D$4,0))*1000</f>
        <v>166297</v>
      </c>
      <c r="L2136" s="183">
        <f ca="1">VLOOKUP(F2136,
    OFFSET(INDIRECT(ADDRESS(MATCH(J2136,'Vehicle numbers'!$A$5:$A$162,0),1,1,1,$L$6)),4,1,COUNTIF('Vehicle numbers'!$A$5:$A$162,J2136),4),
    MATCH(L$8,'Vehicle numbers'!$B$4:$D$4,0))*1000</f>
        <v>172107.35670760192</v>
      </c>
      <c r="M2136" s="184">
        <f>VLOOKUP(F2136,'Annual distance covered (GB)'!$A$8:$H$33,MATCH(J2136,'Annual distance covered (GB)'!$A$7:$H$7,0))</f>
        <v>4.5</v>
      </c>
      <c r="N2136" s="2">
        <f t="shared" ca="1" si="80"/>
        <v>7740.529441938691</v>
      </c>
      <c r="O2136" s="180">
        <f t="shared" ca="1" si="81"/>
        <v>4.4975006240374121E-2</v>
      </c>
      <c r="P2136" s="180"/>
      <c r="Q2136" s="180"/>
      <c r="R2136" s="180"/>
      <c r="S2136" s="180"/>
      <c r="T2136" s="180"/>
    </row>
    <row r="2137" spans="1:20" x14ac:dyDescent="0.25">
      <c r="A2137" t="s">
        <v>246</v>
      </c>
      <c r="B2137" t="s">
        <v>237</v>
      </c>
      <c r="C2137" t="s">
        <v>238</v>
      </c>
      <c r="D2137" t="s">
        <v>248</v>
      </c>
      <c r="E2137" t="s">
        <v>228</v>
      </c>
      <c r="F2137">
        <v>2012</v>
      </c>
      <c r="G2137">
        <v>1.32963708671209E-3</v>
      </c>
      <c r="H2137" t="s">
        <v>240</v>
      </c>
      <c r="I2137" t="s">
        <v>241</v>
      </c>
      <c r="J2137" t="s">
        <v>242</v>
      </c>
      <c r="K2137" s="183">
        <f ca="1">VLOOKUP(F2137,
    OFFSET(INDIRECT(ADDRESS(MATCH(J2137,'Vehicle numbers'!$A$5:$A$162,0),1,1,1,$L$6)),4,1,COUNTIF('Vehicle numbers'!$A$5:$A$162,J2137),4),
    MATCH(K$8,'Vehicle numbers'!$B$4:$D$4,0))*1000</f>
        <v>166297</v>
      </c>
      <c r="L2137" s="183">
        <f ca="1">VLOOKUP(F2137,
    OFFSET(INDIRECT(ADDRESS(MATCH(J2137,'Vehicle numbers'!$A$5:$A$162,0),1,1,1,$L$6)),4,1,COUNTIF('Vehicle numbers'!$A$5:$A$162,J2137),4),
    MATCH(L$8,'Vehicle numbers'!$B$4:$D$4,0))*1000</f>
        <v>172107.35670760192</v>
      </c>
      <c r="M2137" s="184">
        <f>VLOOKUP(F2137,'Annual distance covered (GB)'!$A$8:$H$33,MATCH(J2137,'Annual distance covered (GB)'!$A$7:$H$7,0))</f>
        <v>4.5</v>
      </c>
      <c r="N2137" s="2">
        <f t="shared" ca="1" si="80"/>
        <v>6192.4235535509633</v>
      </c>
      <c r="O2137" s="180">
        <f t="shared" ca="1" si="81"/>
        <v>3.5980004992299357E-2</v>
      </c>
      <c r="P2137" s="180"/>
      <c r="Q2137" s="180"/>
      <c r="R2137" s="180"/>
      <c r="S2137" s="180"/>
      <c r="T2137" s="180"/>
    </row>
    <row r="2138" spans="1:20" x14ac:dyDescent="0.25">
      <c r="A2138" t="s">
        <v>236</v>
      </c>
      <c r="B2138" t="s">
        <v>237</v>
      </c>
      <c r="C2138" t="s">
        <v>238</v>
      </c>
      <c r="D2138" t="s">
        <v>249</v>
      </c>
      <c r="E2138" t="s">
        <v>229</v>
      </c>
      <c r="F2138">
        <v>2012</v>
      </c>
      <c r="G2138">
        <v>5.3594999999999997E-2</v>
      </c>
      <c r="H2138" t="s">
        <v>240</v>
      </c>
      <c r="I2138" t="s">
        <v>241</v>
      </c>
      <c r="J2138" t="s">
        <v>242</v>
      </c>
      <c r="K2138" s="183">
        <f ca="1">VLOOKUP(F2138,
    OFFSET(INDIRECT(ADDRESS(MATCH(J2138,'Vehicle numbers'!$A$5:$A$162,0),1,1,1,$L$6)),4,1,COUNTIF('Vehicle numbers'!$A$5:$A$162,J2138),4),
    MATCH(K$8,'Vehicle numbers'!$B$4:$D$4,0))*1000</f>
        <v>166297</v>
      </c>
      <c r="L2138" s="183">
        <f ca="1">VLOOKUP(F2138,
    OFFSET(INDIRECT(ADDRESS(MATCH(J2138,'Vehicle numbers'!$A$5:$A$162,0),1,1,1,$L$6)),4,1,COUNTIF('Vehicle numbers'!$A$5:$A$162,J2138),4),
    MATCH(L$8,'Vehicle numbers'!$B$4:$D$4,0))*1000</f>
        <v>172107.35670760192</v>
      </c>
      <c r="M2138" s="184">
        <f>VLOOKUP(F2138,'Annual distance covered (GB)'!$A$8:$H$33,MATCH(J2138,'Annual distance covered (GB)'!$A$7:$H$7,0))</f>
        <v>4.5</v>
      </c>
      <c r="N2138" s="2">
        <f t="shared" ca="1" si="80"/>
        <v>249604.15414798621</v>
      </c>
      <c r="O2138" s="180">
        <f t="shared" ca="1" si="81"/>
        <v>1.4502817248657522</v>
      </c>
      <c r="P2138" s="180"/>
      <c r="Q2138" s="180"/>
      <c r="R2138" s="180"/>
      <c r="S2138" s="180"/>
      <c r="T2138" s="180"/>
    </row>
    <row r="2139" spans="1:20" x14ac:dyDescent="0.25">
      <c r="A2139" t="s">
        <v>243</v>
      </c>
      <c r="B2139" t="s">
        <v>237</v>
      </c>
      <c r="C2139" t="s">
        <v>238</v>
      </c>
      <c r="D2139" t="s">
        <v>249</v>
      </c>
      <c r="E2139" t="s">
        <v>229</v>
      </c>
      <c r="F2139">
        <v>2012</v>
      </c>
      <c r="G2139">
        <v>2.1437999999999999E-2</v>
      </c>
      <c r="H2139" t="s">
        <v>240</v>
      </c>
      <c r="I2139" t="s">
        <v>241</v>
      </c>
      <c r="J2139" t="s">
        <v>242</v>
      </c>
      <c r="K2139" s="183">
        <f ca="1">VLOOKUP(F2139,
    OFFSET(INDIRECT(ADDRESS(MATCH(J2139,'Vehicle numbers'!$A$5:$A$162,0),1,1,1,$L$6)),4,1,COUNTIF('Vehicle numbers'!$A$5:$A$162,J2139),4),
    MATCH(K$8,'Vehicle numbers'!$B$4:$D$4,0))*1000</f>
        <v>166297</v>
      </c>
      <c r="L2139" s="183">
        <f ca="1">VLOOKUP(F2139,
    OFFSET(INDIRECT(ADDRESS(MATCH(J2139,'Vehicle numbers'!$A$5:$A$162,0),1,1,1,$L$6)),4,1,COUNTIF('Vehicle numbers'!$A$5:$A$162,J2139),4),
    MATCH(L$8,'Vehicle numbers'!$B$4:$D$4,0))*1000</f>
        <v>172107.35670760192</v>
      </c>
      <c r="M2139" s="184">
        <f>VLOOKUP(F2139,'Annual distance covered (GB)'!$A$8:$H$33,MATCH(J2139,'Annual distance covered (GB)'!$A$7:$H$7,0))</f>
        <v>4.5</v>
      </c>
      <c r="N2139" s="2">
        <f t="shared" ca="1" si="80"/>
        <v>99841.661659194491</v>
      </c>
      <c r="O2139" s="180">
        <f t="shared" ca="1" si="81"/>
        <v>0.58011268994630094</v>
      </c>
      <c r="P2139" s="180"/>
      <c r="Q2139" s="180"/>
      <c r="R2139" s="180"/>
      <c r="S2139" s="180"/>
      <c r="T2139" s="180"/>
    </row>
    <row r="2140" spans="1:20" x14ac:dyDescent="0.25">
      <c r="A2140" t="s">
        <v>244</v>
      </c>
      <c r="B2140" t="s">
        <v>237</v>
      </c>
      <c r="C2140" t="s">
        <v>238</v>
      </c>
      <c r="D2140" t="s">
        <v>249</v>
      </c>
      <c r="E2140" t="s">
        <v>229</v>
      </c>
      <c r="F2140">
        <v>2012</v>
      </c>
      <c r="G2140">
        <v>5.3594999999999997E-3</v>
      </c>
      <c r="H2140" t="s">
        <v>240</v>
      </c>
      <c r="I2140" t="s">
        <v>241</v>
      </c>
      <c r="J2140" t="s">
        <v>242</v>
      </c>
      <c r="K2140" s="183">
        <f ca="1">VLOOKUP(F2140,
    OFFSET(INDIRECT(ADDRESS(MATCH(J2140,'Vehicle numbers'!$A$5:$A$162,0),1,1,1,$L$6)),4,1,COUNTIF('Vehicle numbers'!$A$5:$A$162,J2140),4),
    MATCH(K$8,'Vehicle numbers'!$B$4:$D$4,0))*1000</f>
        <v>166297</v>
      </c>
      <c r="L2140" s="183">
        <f ca="1">VLOOKUP(F2140,
    OFFSET(INDIRECT(ADDRESS(MATCH(J2140,'Vehicle numbers'!$A$5:$A$162,0),1,1,1,$L$6)),4,1,COUNTIF('Vehicle numbers'!$A$5:$A$162,J2140),4),
    MATCH(L$8,'Vehicle numbers'!$B$4:$D$4,0))*1000</f>
        <v>172107.35670760192</v>
      </c>
      <c r="M2140" s="184">
        <f>VLOOKUP(F2140,'Annual distance covered (GB)'!$A$8:$H$33,MATCH(J2140,'Annual distance covered (GB)'!$A$7:$H$7,0))</f>
        <v>4.5</v>
      </c>
      <c r="N2140" s="2">
        <f t="shared" ca="1" si="80"/>
        <v>24960.415414798623</v>
      </c>
      <c r="O2140" s="180">
        <f t="shared" ca="1" si="81"/>
        <v>0.14502817248657524</v>
      </c>
      <c r="P2140" s="180"/>
      <c r="Q2140" s="180"/>
      <c r="R2140" s="180"/>
      <c r="S2140" s="180"/>
      <c r="T2140" s="180"/>
    </row>
    <row r="2141" spans="1:20" x14ac:dyDescent="0.25">
      <c r="A2141" t="s">
        <v>246</v>
      </c>
      <c r="B2141" t="s">
        <v>237</v>
      </c>
      <c r="C2141" t="s">
        <v>238</v>
      </c>
      <c r="D2141" t="s">
        <v>249</v>
      </c>
      <c r="E2141" t="s">
        <v>229</v>
      </c>
      <c r="F2141">
        <v>2012</v>
      </c>
      <c r="G2141">
        <v>4.2875999999999999E-3</v>
      </c>
      <c r="H2141" t="s">
        <v>240</v>
      </c>
      <c r="I2141" t="s">
        <v>241</v>
      </c>
      <c r="J2141" t="s">
        <v>242</v>
      </c>
      <c r="K2141" s="183">
        <f ca="1">VLOOKUP(F2141,
    OFFSET(INDIRECT(ADDRESS(MATCH(J2141,'Vehicle numbers'!$A$5:$A$162,0),1,1,1,$L$6)),4,1,COUNTIF('Vehicle numbers'!$A$5:$A$162,J2141),4),
    MATCH(K$8,'Vehicle numbers'!$B$4:$D$4,0))*1000</f>
        <v>166297</v>
      </c>
      <c r="L2141" s="183">
        <f ca="1">VLOOKUP(F2141,
    OFFSET(INDIRECT(ADDRESS(MATCH(J2141,'Vehicle numbers'!$A$5:$A$162,0),1,1,1,$L$6)),4,1,COUNTIF('Vehicle numbers'!$A$5:$A$162,J2141),4),
    MATCH(L$8,'Vehicle numbers'!$B$4:$D$4,0))*1000</f>
        <v>172107.35670760192</v>
      </c>
      <c r="M2141" s="184">
        <f>VLOOKUP(F2141,'Annual distance covered (GB)'!$A$8:$H$33,MATCH(J2141,'Annual distance covered (GB)'!$A$7:$H$7,0))</f>
        <v>4.5</v>
      </c>
      <c r="N2141" s="2">
        <f t="shared" ca="1" si="80"/>
        <v>19968.332331838898</v>
      </c>
      <c r="O2141" s="180">
        <f t="shared" ca="1" si="81"/>
        <v>0.11602253798926018</v>
      </c>
      <c r="P2141" s="180"/>
      <c r="Q2141" s="180"/>
      <c r="R2141" s="180"/>
      <c r="S2141" s="180"/>
      <c r="T2141" s="180"/>
    </row>
    <row r="2142" spans="1:20" x14ac:dyDescent="0.25">
      <c r="A2142" t="s">
        <v>236</v>
      </c>
      <c r="B2142" t="s">
        <v>237</v>
      </c>
      <c r="C2142" t="s">
        <v>238</v>
      </c>
      <c r="D2142" t="s">
        <v>249</v>
      </c>
      <c r="E2142" t="s">
        <v>228</v>
      </c>
      <c r="F2142">
        <v>2012</v>
      </c>
      <c r="G2142">
        <v>2.13862335921646E-2</v>
      </c>
      <c r="H2142" t="s">
        <v>240</v>
      </c>
      <c r="I2142" t="s">
        <v>241</v>
      </c>
      <c r="J2142" t="s">
        <v>242</v>
      </c>
      <c r="K2142" s="183">
        <f ca="1">VLOOKUP(F2142,
    OFFSET(INDIRECT(ADDRESS(MATCH(J2142,'Vehicle numbers'!$A$5:$A$162,0),1,1,1,$L$6)),4,1,COUNTIF('Vehicle numbers'!$A$5:$A$162,J2142),4),
    MATCH(K$8,'Vehicle numbers'!$B$4:$D$4,0))*1000</f>
        <v>166297</v>
      </c>
      <c r="L2142" s="183">
        <f ca="1">VLOOKUP(F2142,
    OFFSET(INDIRECT(ADDRESS(MATCH(J2142,'Vehicle numbers'!$A$5:$A$162,0),1,1,1,$L$6)),4,1,COUNTIF('Vehicle numbers'!$A$5:$A$162,J2142),4),
    MATCH(L$8,'Vehicle numbers'!$B$4:$D$4,0))*1000</f>
        <v>172107.35670760192</v>
      </c>
      <c r="M2142" s="184">
        <f>VLOOKUP(F2142,'Annual distance covered (GB)'!$A$8:$H$33,MATCH(J2142,'Annual distance covered (GB)'!$A$7:$H$7,0))</f>
        <v>4.5</v>
      </c>
      <c r="N2142" s="2">
        <f t="shared" ca="1" si="80"/>
        <v>99600.573676340951</v>
      </c>
      <c r="O2142" s="180">
        <f t="shared" ca="1" si="81"/>
        <v>0.57871188996037626</v>
      </c>
      <c r="P2142" s="180"/>
      <c r="Q2142" s="180"/>
      <c r="R2142" s="180"/>
      <c r="S2142" s="180"/>
      <c r="T2142" s="180"/>
    </row>
    <row r="2143" spans="1:20" x14ac:dyDescent="0.25">
      <c r="A2143" t="s">
        <v>243</v>
      </c>
      <c r="B2143" t="s">
        <v>237</v>
      </c>
      <c r="C2143" t="s">
        <v>238</v>
      </c>
      <c r="D2143" t="s">
        <v>249</v>
      </c>
      <c r="E2143" t="s">
        <v>228</v>
      </c>
      <c r="F2143">
        <v>2012</v>
      </c>
      <c r="G2143">
        <v>1.49703635145152E-2</v>
      </c>
      <c r="H2143" t="s">
        <v>240</v>
      </c>
      <c r="I2143" t="s">
        <v>241</v>
      </c>
      <c r="J2143" t="s">
        <v>242</v>
      </c>
      <c r="K2143" s="183">
        <f ca="1">VLOOKUP(F2143,
    OFFSET(INDIRECT(ADDRESS(MATCH(J2143,'Vehicle numbers'!$A$5:$A$162,0),1,1,1,$L$6)),4,1,COUNTIF('Vehicle numbers'!$A$5:$A$162,J2143),4),
    MATCH(K$8,'Vehicle numbers'!$B$4:$D$4,0))*1000</f>
        <v>166297</v>
      </c>
      <c r="L2143" s="183">
        <f ca="1">VLOOKUP(F2143,
    OFFSET(INDIRECT(ADDRESS(MATCH(J2143,'Vehicle numbers'!$A$5:$A$162,0),1,1,1,$L$6)),4,1,COUNTIF('Vehicle numbers'!$A$5:$A$162,J2143),4),
    MATCH(L$8,'Vehicle numbers'!$B$4:$D$4,0))*1000</f>
        <v>172107.35670760192</v>
      </c>
      <c r="M2143" s="184">
        <f>VLOOKUP(F2143,'Annual distance covered (GB)'!$A$8:$H$33,MATCH(J2143,'Annual distance covered (GB)'!$A$7:$H$7,0))</f>
        <v>4.5</v>
      </c>
      <c r="N2143" s="2">
        <f t="shared" ca="1" si="80"/>
        <v>69720.401573438576</v>
      </c>
      <c r="O2143" s="180">
        <f t="shared" ca="1" si="81"/>
        <v>0.40509832297226284</v>
      </c>
      <c r="P2143" s="180"/>
      <c r="Q2143" s="180"/>
      <c r="R2143" s="180"/>
      <c r="S2143" s="180"/>
      <c r="T2143" s="180"/>
    </row>
    <row r="2144" spans="1:20" x14ac:dyDescent="0.25">
      <c r="A2144" t="s">
        <v>244</v>
      </c>
      <c r="B2144" t="s">
        <v>237</v>
      </c>
      <c r="C2144" t="s">
        <v>238</v>
      </c>
      <c r="D2144" t="s">
        <v>249</v>
      </c>
      <c r="E2144" t="s">
        <v>228</v>
      </c>
      <c r="F2144">
        <v>2012</v>
      </c>
      <c r="G2144">
        <v>2.1085019034528399E-3</v>
      </c>
      <c r="H2144" t="s">
        <v>240</v>
      </c>
      <c r="I2144" t="s">
        <v>241</v>
      </c>
      <c r="J2144" t="s">
        <v>242</v>
      </c>
      <c r="K2144" s="183">
        <f ca="1">VLOOKUP(F2144,
    OFFSET(INDIRECT(ADDRESS(MATCH(J2144,'Vehicle numbers'!$A$5:$A$162,0),1,1,1,$L$6)),4,1,COUNTIF('Vehicle numbers'!$A$5:$A$162,J2144),4),
    MATCH(K$8,'Vehicle numbers'!$B$4:$D$4,0))*1000</f>
        <v>166297</v>
      </c>
      <c r="L2144" s="183">
        <f ca="1">VLOOKUP(F2144,
    OFFSET(INDIRECT(ADDRESS(MATCH(J2144,'Vehicle numbers'!$A$5:$A$162,0),1,1,1,$L$6)),4,1,COUNTIF('Vehicle numbers'!$A$5:$A$162,J2144),4),
    MATCH(L$8,'Vehicle numbers'!$B$4:$D$4,0))*1000</f>
        <v>172107.35670760192</v>
      </c>
      <c r="M2144" s="184">
        <f>VLOOKUP(F2144,'Annual distance covered (GB)'!$A$8:$H$33,MATCH(J2144,'Annual distance covered (GB)'!$A$7:$H$7,0))</f>
        <v>4.5</v>
      </c>
      <c r="N2144" s="2">
        <f t="shared" ca="1" si="80"/>
        <v>9819.7748694983675</v>
      </c>
      <c r="O2144" s="180">
        <f t="shared" ca="1" si="81"/>
        <v>5.7056101827079139E-2</v>
      </c>
      <c r="P2144" s="180"/>
      <c r="Q2144" s="180"/>
      <c r="R2144" s="180"/>
      <c r="S2144" s="180"/>
      <c r="T2144" s="180"/>
    </row>
    <row r="2145" spans="1:20" x14ac:dyDescent="0.25">
      <c r="A2145" t="s">
        <v>246</v>
      </c>
      <c r="B2145" t="s">
        <v>237</v>
      </c>
      <c r="C2145" t="s">
        <v>238</v>
      </c>
      <c r="D2145" t="s">
        <v>249</v>
      </c>
      <c r="E2145" t="s">
        <v>228</v>
      </c>
      <c r="F2145">
        <v>2012</v>
      </c>
      <c r="G2145">
        <v>1.68680152276227E-3</v>
      </c>
      <c r="H2145" t="s">
        <v>240</v>
      </c>
      <c r="I2145" t="s">
        <v>241</v>
      </c>
      <c r="J2145" t="s">
        <v>242</v>
      </c>
      <c r="K2145" s="183">
        <f ca="1">VLOOKUP(F2145,
    OFFSET(INDIRECT(ADDRESS(MATCH(J2145,'Vehicle numbers'!$A$5:$A$162,0),1,1,1,$L$6)),4,1,COUNTIF('Vehicle numbers'!$A$5:$A$162,J2145),4),
    MATCH(K$8,'Vehicle numbers'!$B$4:$D$4,0))*1000</f>
        <v>166297</v>
      </c>
      <c r="L2145" s="183">
        <f ca="1">VLOOKUP(F2145,
    OFFSET(INDIRECT(ADDRESS(MATCH(J2145,'Vehicle numbers'!$A$5:$A$162,0),1,1,1,$L$6)),4,1,COUNTIF('Vehicle numbers'!$A$5:$A$162,J2145),4),
    MATCH(L$8,'Vehicle numbers'!$B$4:$D$4,0))*1000</f>
        <v>172107.35670760192</v>
      </c>
      <c r="M2145" s="184">
        <f>VLOOKUP(F2145,'Annual distance covered (GB)'!$A$8:$H$33,MATCH(J2145,'Annual distance covered (GB)'!$A$7:$H$7,0))</f>
        <v>4.5</v>
      </c>
      <c r="N2145" s="2">
        <f t="shared" ca="1" si="80"/>
        <v>7855.8198955986845</v>
      </c>
      <c r="O2145" s="180">
        <f t="shared" ca="1" si="81"/>
        <v>4.5644881461663254E-2</v>
      </c>
      <c r="P2145" s="180"/>
      <c r="Q2145" s="180"/>
      <c r="R2145" s="180"/>
      <c r="S2145" s="180"/>
      <c r="T2145" s="180"/>
    </row>
    <row r="2146" spans="1:20" x14ac:dyDescent="0.25">
      <c r="A2146" t="s">
        <v>236</v>
      </c>
      <c r="B2146" t="s">
        <v>237</v>
      </c>
      <c r="C2146" t="s">
        <v>238</v>
      </c>
      <c r="D2146" t="s">
        <v>250</v>
      </c>
      <c r="E2146" t="s">
        <v>229</v>
      </c>
      <c r="F2146">
        <v>2012</v>
      </c>
      <c r="G2146">
        <v>1.3600000000000001E-3</v>
      </c>
      <c r="H2146" t="s">
        <v>240</v>
      </c>
      <c r="I2146" t="s">
        <v>241</v>
      </c>
      <c r="J2146" t="s">
        <v>2</v>
      </c>
      <c r="K2146" s="183">
        <f ca="1">VLOOKUP(F2146,
    OFFSET(INDIRECT(ADDRESS(MATCH(J2146,'Vehicle numbers'!$A$5:$A$162,0),1,1,1,$L$6)),4,1,COUNTIF('Vehicle numbers'!$A$5:$A$162,J2146),4),
    MATCH(K$8,'Vehicle numbers'!$B$4:$D$4,0))*1000</f>
        <v>28722453</v>
      </c>
      <c r="L2146" s="183">
        <f ca="1">VLOOKUP(F2146,
    OFFSET(INDIRECT(ADDRESS(MATCH(J2146,'Vehicle numbers'!$A$5:$A$162,0),1,1,1,$L$6)),4,1,COUNTIF('Vehicle numbers'!$A$5:$A$162,J2146),4),
    MATCH(L$8,'Vehicle numbers'!$B$4:$D$4,0))*1000</f>
        <v>29605165.745808348</v>
      </c>
      <c r="M2146" s="184">
        <f>VLOOKUP(F2146,'Annual distance covered (GB)'!$A$8:$H$33,MATCH(J2146,'Annual distance covered (GB)'!$A$7:$H$7,0))</f>
        <v>395.1</v>
      </c>
      <c r="N2146" s="2">
        <f t="shared" ca="1" si="80"/>
        <v>553849.67785271246</v>
      </c>
      <c r="O2146" s="180">
        <f t="shared" ca="1" si="81"/>
        <v>1.8707872896510616E-2</v>
      </c>
      <c r="P2146" s="180"/>
      <c r="Q2146" s="180"/>
      <c r="R2146" s="180"/>
      <c r="S2146" s="180"/>
      <c r="T2146" s="180"/>
    </row>
    <row r="2147" spans="1:20" x14ac:dyDescent="0.25">
      <c r="A2147" t="s">
        <v>243</v>
      </c>
      <c r="B2147" t="s">
        <v>237</v>
      </c>
      <c r="C2147" t="s">
        <v>238</v>
      </c>
      <c r="D2147" t="s">
        <v>250</v>
      </c>
      <c r="E2147" t="s">
        <v>229</v>
      </c>
      <c r="F2147">
        <v>2012</v>
      </c>
      <c r="G2147">
        <v>5.44E-4</v>
      </c>
      <c r="H2147" t="s">
        <v>240</v>
      </c>
      <c r="I2147" t="s">
        <v>241</v>
      </c>
      <c r="J2147" t="s">
        <v>2</v>
      </c>
      <c r="K2147" s="183">
        <f ca="1">VLOOKUP(F2147,
    OFFSET(INDIRECT(ADDRESS(MATCH(J2147,'Vehicle numbers'!$A$5:$A$162,0),1,1,1,$L$6)),4,1,COUNTIF('Vehicle numbers'!$A$5:$A$162,J2147),4),
    MATCH(K$8,'Vehicle numbers'!$B$4:$D$4,0))*1000</f>
        <v>28722453</v>
      </c>
      <c r="L2147" s="183">
        <f ca="1">VLOOKUP(F2147,
    OFFSET(INDIRECT(ADDRESS(MATCH(J2147,'Vehicle numbers'!$A$5:$A$162,0),1,1,1,$L$6)),4,1,COUNTIF('Vehicle numbers'!$A$5:$A$162,J2147),4),
    MATCH(L$8,'Vehicle numbers'!$B$4:$D$4,0))*1000</f>
        <v>29605165.745808348</v>
      </c>
      <c r="M2147" s="184">
        <f>VLOOKUP(F2147,'Annual distance covered (GB)'!$A$8:$H$33,MATCH(J2147,'Annual distance covered (GB)'!$A$7:$H$7,0))</f>
        <v>395.1</v>
      </c>
      <c r="N2147" s="2">
        <f t="shared" ca="1" si="80"/>
        <v>221539.87114108496</v>
      </c>
      <c r="O2147" s="180">
        <f t="shared" ca="1" si="81"/>
        <v>7.4831491586042449E-3</v>
      </c>
      <c r="P2147" s="180"/>
      <c r="Q2147" s="180"/>
      <c r="R2147" s="180"/>
      <c r="S2147" s="180"/>
      <c r="T2147" s="180"/>
    </row>
    <row r="2148" spans="1:20" x14ac:dyDescent="0.25">
      <c r="A2148" t="s">
        <v>244</v>
      </c>
      <c r="B2148" t="s">
        <v>237</v>
      </c>
      <c r="C2148" t="s">
        <v>238</v>
      </c>
      <c r="D2148" t="s">
        <v>250</v>
      </c>
      <c r="E2148" t="s">
        <v>229</v>
      </c>
      <c r="F2148">
        <v>2012</v>
      </c>
      <c r="G2148">
        <v>1.36E-4</v>
      </c>
      <c r="H2148" t="s">
        <v>240</v>
      </c>
      <c r="I2148" t="s">
        <v>241</v>
      </c>
      <c r="J2148" t="s">
        <v>2</v>
      </c>
      <c r="K2148" s="183">
        <f ca="1">VLOOKUP(F2148,
    OFFSET(INDIRECT(ADDRESS(MATCH(J2148,'Vehicle numbers'!$A$5:$A$162,0),1,1,1,$L$6)),4,1,COUNTIF('Vehicle numbers'!$A$5:$A$162,J2148),4),
    MATCH(K$8,'Vehicle numbers'!$B$4:$D$4,0))*1000</f>
        <v>28722453</v>
      </c>
      <c r="L2148" s="183">
        <f ca="1">VLOOKUP(F2148,
    OFFSET(INDIRECT(ADDRESS(MATCH(J2148,'Vehicle numbers'!$A$5:$A$162,0),1,1,1,$L$6)),4,1,COUNTIF('Vehicle numbers'!$A$5:$A$162,J2148),4),
    MATCH(L$8,'Vehicle numbers'!$B$4:$D$4,0))*1000</f>
        <v>29605165.745808348</v>
      </c>
      <c r="M2148" s="184">
        <f>VLOOKUP(F2148,'Annual distance covered (GB)'!$A$8:$H$33,MATCH(J2148,'Annual distance covered (GB)'!$A$7:$H$7,0))</f>
        <v>395.1</v>
      </c>
      <c r="N2148" s="2">
        <f t="shared" ca="1" si="80"/>
        <v>55384.967785271241</v>
      </c>
      <c r="O2148" s="180">
        <f t="shared" ca="1" si="81"/>
        <v>1.8707872896510612E-3</v>
      </c>
      <c r="P2148" s="180"/>
      <c r="Q2148" s="180"/>
      <c r="R2148" s="180"/>
      <c r="S2148" s="180"/>
      <c r="T2148" s="180"/>
    </row>
    <row r="2149" spans="1:20" x14ac:dyDescent="0.25">
      <c r="A2149" t="s">
        <v>246</v>
      </c>
      <c r="B2149" t="s">
        <v>237</v>
      </c>
      <c r="C2149" t="s">
        <v>238</v>
      </c>
      <c r="D2149" t="s">
        <v>250</v>
      </c>
      <c r="E2149" t="s">
        <v>229</v>
      </c>
      <c r="F2149">
        <v>2012</v>
      </c>
      <c r="G2149">
        <v>1.088E-4</v>
      </c>
      <c r="H2149" t="s">
        <v>240</v>
      </c>
      <c r="I2149" t="s">
        <v>241</v>
      </c>
      <c r="J2149" t="s">
        <v>2</v>
      </c>
      <c r="K2149" s="183">
        <f ca="1">VLOOKUP(F2149,
    OFFSET(INDIRECT(ADDRESS(MATCH(J2149,'Vehicle numbers'!$A$5:$A$162,0),1,1,1,$L$6)),4,1,COUNTIF('Vehicle numbers'!$A$5:$A$162,J2149),4),
    MATCH(K$8,'Vehicle numbers'!$B$4:$D$4,0))*1000</f>
        <v>28722453</v>
      </c>
      <c r="L2149" s="183">
        <f ca="1">VLOOKUP(F2149,
    OFFSET(INDIRECT(ADDRESS(MATCH(J2149,'Vehicle numbers'!$A$5:$A$162,0),1,1,1,$L$6)),4,1,COUNTIF('Vehicle numbers'!$A$5:$A$162,J2149),4),
    MATCH(L$8,'Vehicle numbers'!$B$4:$D$4,0))*1000</f>
        <v>29605165.745808348</v>
      </c>
      <c r="M2149" s="184">
        <f>VLOOKUP(F2149,'Annual distance covered (GB)'!$A$8:$H$33,MATCH(J2149,'Annual distance covered (GB)'!$A$7:$H$7,0))</f>
        <v>395.1</v>
      </c>
      <c r="N2149" s="2">
        <f t="shared" ca="1" si="80"/>
        <v>44307.974228216997</v>
      </c>
      <c r="O2149" s="180">
        <f t="shared" ca="1" si="81"/>
        <v>1.4966298317208493E-3</v>
      </c>
      <c r="P2149" s="180"/>
      <c r="Q2149" s="180"/>
      <c r="R2149" s="180"/>
      <c r="S2149" s="180"/>
      <c r="T2149" s="180"/>
    </row>
    <row r="2150" spans="1:20" x14ac:dyDescent="0.25">
      <c r="A2150" t="s">
        <v>236</v>
      </c>
      <c r="B2150" t="s">
        <v>237</v>
      </c>
      <c r="C2150" t="s">
        <v>238</v>
      </c>
      <c r="D2150" t="s">
        <v>250</v>
      </c>
      <c r="E2150" t="s">
        <v>228</v>
      </c>
      <c r="F2150">
        <v>2012</v>
      </c>
      <c r="G2150">
        <v>5.7910000000000001E-3</v>
      </c>
      <c r="H2150" t="s">
        <v>240</v>
      </c>
      <c r="I2150" t="s">
        <v>241</v>
      </c>
      <c r="J2150" t="s">
        <v>2</v>
      </c>
      <c r="K2150" s="183">
        <f ca="1">VLOOKUP(F2150,
    OFFSET(INDIRECT(ADDRESS(MATCH(J2150,'Vehicle numbers'!$A$5:$A$162,0),1,1,1,$L$6)),4,1,COUNTIF('Vehicle numbers'!$A$5:$A$162,J2150),4),
    MATCH(K$8,'Vehicle numbers'!$B$4:$D$4,0))*1000</f>
        <v>28722453</v>
      </c>
      <c r="L2150" s="183">
        <f ca="1">VLOOKUP(F2150,
    OFFSET(INDIRECT(ADDRESS(MATCH(J2150,'Vehicle numbers'!$A$5:$A$162,0),1,1,1,$L$6)),4,1,COUNTIF('Vehicle numbers'!$A$5:$A$162,J2150),4),
    MATCH(L$8,'Vehicle numbers'!$B$4:$D$4,0))*1000</f>
        <v>29605165.745808348</v>
      </c>
      <c r="M2150" s="184">
        <f>VLOOKUP(F2150,'Annual distance covered (GB)'!$A$8:$H$33,MATCH(J2150,'Annual distance covered (GB)'!$A$7:$H$7,0))</f>
        <v>395.1</v>
      </c>
      <c r="N2150" s="2">
        <f t="shared" ca="1" si="80"/>
        <v>2358340.7973860721</v>
      </c>
      <c r="O2150" s="180">
        <f t="shared" ca="1" si="81"/>
        <v>7.9659773488009539E-2</v>
      </c>
      <c r="P2150" s="180"/>
      <c r="Q2150" s="180"/>
      <c r="R2150" s="180"/>
      <c r="S2150" s="180"/>
      <c r="T2150" s="180"/>
    </row>
    <row r="2151" spans="1:20" x14ac:dyDescent="0.25">
      <c r="A2151" t="s">
        <v>243</v>
      </c>
      <c r="B2151" t="s">
        <v>237</v>
      </c>
      <c r="C2151" t="s">
        <v>238</v>
      </c>
      <c r="D2151" t="s">
        <v>250</v>
      </c>
      <c r="E2151" t="s">
        <v>228</v>
      </c>
      <c r="F2151">
        <v>2012</v>
      </c>
      <c r="G2151">
        <v>4.0537000000000004E-3</v>
      </c>
      <c r="H2151" t="s">
        <v>240</v>
      </c>
      <c r="I2151" t="s">
        <v>241</v>
      </c>
      <c r="J2151" t="s">
        <v>2</v>
      </c>
      <c r="K2151" s="183">
        <f ca="1">VLOOKUP(F2151,
    OFFSET(INDIRECT(ADDRESS(MATCH(J2151,'Vehicle numbers'!$A$5:$A$162,0),1,1,1,$L$6)),4,1,COUNTIF('Vehicle numbers'!$A$5:$A$162,J2151),4),
    MATCH(K$8,'Vehicle numbers'!$B$4:$D$4,0))*1000</f>
        <v>28722453</v>
      </c>
      <c r="L2151" s="183">
        <f ca="1">VLOOKUP(F2151,
    OFFSET(INDIRECT(ADDRESS(MATCH(J2151,'Vehicle numbers'!$A$5:$A$162,0),1,1,1,$L$6)),4,1,COUNTIF('Vehicle numbers'!$A$5:$A$162,J2151),4),
    MATCH(L$8,'Vehicle numbers'!$B$4:$D$4,0))*1000</f>
        <v>29605165.745808348</v>
      </c>
      <c r="M2151" s="184">
        <f>VLOOKUP(F2151,'Annual distance covered (GB)'!$A$8:$H$33,MATCH(J2151,'Annual distance covered (GB)'!$A$7:$H$7,0))</f>
        <v>395.1</v>
      </c>
      <c r="N2151" s="2">
        <f t="shared" ca="1" si="80"/>
        <v>1650838.5581702504</v>
      </c>
      <c r="O2151" s="180">
        <f t="shared" ca="1" si="81"/>
        <v>5.5761841441606674E-2</v>
      </c>
      <c r="P2151" s="180"/>
      <c r="Q2151" s="180"/>
      <c r="R2151" s="180"/>
      <c r="S2151" s="180"/>
      <c r="T2151" s="180"/>
    </row>
    <row r="2152" spans="1:20" x14ac:dyDescent="0.25">
      <c r="A2152" t="s">
        <v>244</v>
      </c>
      <c r="B2152" t="s">
        <v>237</v>
      </c>
      <c r="C2152" t="s">
        <v>238</v>
      </c>
      <c r="D2152" t="s">
        <v>250</v>
      </c>
      <c r="E2152" t="s">
        <v>228</v>
      </c>
      <c r="F2152">
        <v>2012</v>
      </c>
      <c r="G2152">
        <v>5.7094366197182997E-4</v>
      </c>
      <c r="H2152" t="s">
        <v>240</v>
      </c>
      <c r="I2152" t="s">
        <v>241</v>
      </c>
      <c r="J2152" t="s">
        <v>2</v>
      </c>
      <c r="K2152" s="183">
        <f ca="1">VLOOKUP(F2152,
    OFFSET(INDIRECT(ADDRESS(MATCH(J2152,'Vehicle numbers'!$A$5:$A$162,0),1,1,1,$L$6)),4,1,COUNTIF('Vehicle numbers'!$A$5:$A$162,J2152),4),
    MATCH(K$8,'Vehicle numbers'!$B$4:$D$4,0))*1000</f>
        <v>28722453</v>
      </c>
      <c r="L2152" s="183">
        <f ca="1">VLOOKUP(F2152,
    OFFSET(INDIRECT(ADDRESS(MATCH(J2152,'Vehicle numbers'!$A$5:$A$162,0),1,1,1,$L$6)),4,1,COUNTIF('Vehicle numbers'!$A$5:$A$162,J2152),4),
    MATCH(L$8,'Vehicle numbers'!$B$4:$D$4,0))*1000</f>
        <v>29605165.745808348</v>
      </c>
      <c r="M2152" s="184">
        <f>VLOOKUP(F2152,'Annual distance covered (GB)'!$A$8:$H$33,MATCH(J2152,'Annual distance covered (GB)'!$A$7:$H$7,0))</f>
        <v>395.1</v>
      </c>
      <c r="N2152" s="2">
        <f t="shared" ca="1" si="80"/>
        <v>232512.472981725</v>
      </c>
      <c r="O2152" s="180">
        <f t="shared" ca="1" si="81"/>
        <v>7.8537804847333206E-3</v>
      </c>
      <c r="P2152" s="180"/>
      <c r="Q2152" s="180"/>
      <c r="R2152" s="180"/>
      <c r="S2152" s="180"/>
      <c r="T2152" s="180"/>
    </row>
    <row r="2153" spans="1:20" x14ac:dyDescent="0.25">
      <c r="A2153" t="s">
        <v>246</v>
      </c>
      <c r="B2153" t="s">
        <v>237</v>
      </c>
      <c r="C2153" t="s">
        <v>238</v>
      </c>
      <c r="D2153" t="s">
        <v>250</v>
      </c>
      <c r="E2153" t="s">
        <v>228</v>
      </c>
      <c r="F2153">
        <v>2012</v>
      </c>
      <c r="G2153">
        <v>4.5675492957746402E-4</v>
      </c>
      <c r="H2153" t="s">
        <v>240</v>
      </c>
      <c r="I2153" t="s">
        <v>241</v>
      </c>
      <c r="J2153" t="s">
        <v>2</v>
      </c>
      <c r="K2153" s="183">
        <f ca="1">VLOOKUP(F2153,
    OFFSET(INDIRECT(ADDRESS(MATCH(J2153,'Vehicle numbers'!$A$5:$A$162,0),1,1,1,$L$6)),4,1,COUNTIF('Vehicle numbers'!$A$5:$A$162,J2153),4),
    MATCH(K$8,'Vehicle numbers'!$B$4:$D$4,0))*1000</f>
        <v>28722453</v>
      </c>
      <c r="L2153" s="183">
        <f ca="1">VLOOKUP(F2153,
    OFFSET(INDIRECT(ADDRESS(MATCH(J2153,'Vehicle numbers'!$A$5:$A$162,0),1,1,1,$L$6)),4,1,COUNTIF('Vehicle numbers'!$A$5:$A$162,J2153),4),
    MATCH(L$8,'Vehicle numbers'!$B$4:$D$4,0))*1000</f>
        <v>29605165.745808348</v>
      </c>
      <c r="M2153" s="184">
        <f>VLOOKUP(F2153,'Annual distance covered (GB)'!$A$8:$H$33,MATCH(J2153,'Annual distance covered (GB)'!$A$7:$H$7,0))</f>
        <v>395.1</v>
      </c>
      <c r="N2153" s="2">
        <f t="shared" ca="1" si="80"/>
        <v>186009.97838538</v>
      </c>
      <c r="O2153" s="180">
        <f t="shared" ca="1" si="81"/>
        <v>6.2830243877866569E-3</v>
      </c>
      <c r="P2153" s="180"/>
      <c r="Q2153" s="180"/>
      <c r="R2153" s="180"/>
      <c r="S2153" s="180"/>
      <c r="T2153" s="180"/>
    </row>
    <row r="2154" spans="1:20" x14ac:dyDescent="0.25">
      <c r="A2154" t="s">
        <v>236</v>
      </c>
      <c r="B2154" t="s">
        <v>237</v>
      </c>
      <c r="C2154" t="s">
        <v>238</v>
      </c>
      <c r="D2154" t="s">
        <v>255</v>
      </c>
      <c r="E2154" t="s">
        <v>229</v>
      </c>
      <c r="F2154">
        <v>2012</v>
      </c>
      <c r="G2154">
        <v>5.5269999999999998E-3</v>
      </c>
      <c r="H2154" t="s">
        <v>240</v>
      </c>
      <c r="I2154" t="s">
        <v>241</v>
      </c>
      <c r="J2154" t="s">
        <v>2</v>
      </c>
      <c r="K2154" s="183">
        <f ca="1">VLOOKUP(F2154,
    OFFSET(INDIRECT(ADDRESS(MATCH(J2154,'Vehicle numbers'!$A$5:$A$162,0),1,1,1,$L$6)),4,1,COUNTIF('Vehicle numbers'!$A$5:$A$162,J2154),4),
    MATCH(K$8,'Vehicle numbers'!$B$4:$D$4,0))*1000</f>
        <v>28722453</v>
      </c>
      <c r="L2154" s="183">
        <f ca="1">VLOOKUP(F2154,
    OFFSET(INDIRECT(ADDRESS(MATCH(J2154,'Vehicle numbers'!$A$5:$A$162,0),1,1,1,$L$6)),4,1,COUNTIF('Vehicle numbers'!$A$5:$A$162,J2154),4),
    MATCH(L$8,'Vehicle numbers'!$B$4:$D$4,0))*1000</f>
        <v>29605165.745808348</v>
      </c>
      <c r="M2154" s="184">
        <f>VLOOKUP(F2154,'Annual distance covered (GB)'!$A$8:$H$33,MATCH(J2154,'Annual distance covered (GB)'!$A$7:$H$7,0))</f>
        <v>395.1</v>
      </c>
      <c r="N2154" s="2">
        <f t="shared" ca="1" si="80"/>
        <v>2250828.8010970154</v>
      </c>
      <c r="O2154" s="180">
        <f t="shared" ca="1" si="81"/>
        <v>7.6028245219863344E-2</v>
      </c>
      <c r="P2154" s="180"/>
      <c r="Q2154" s="180"/>
      <c r="R2154" s="180"/>
      <c r="S2154" s="180"/>
      <c r="T2154" s="180"/>
    </row>
    <row r="2155" spans="1:20" x14ac:dyDescent="0.25">
      <c r="A2155" t="s">
        <v>243</v>
      </c>
      <c r="B2155" t="s">
        <v>237</v>
      </c>
      <c r="C2155" t="s">
        <v>238</v>
      </c>
      <c r="D2155" t="s">
        <v>255</v>
      </c>
      <c r="E2155" t="s">
        <v>229</v>
      </c>
      <c r="F2155">
        <v>2012</v>
      </c>
      <c r="G2155">
        <v>2.2108000000000002E-3</v>
      </c>
      <c r="H2155" t="s">
        <v>240</v>
      </c>
      <c r="I2155" t="s">
        <v>241</v>
      </c>
      <c r="J2155" t="s">
        <v>2</v>
      </c>
      <c r="K2155" s="183">
        <f ca="1">VLOOKUP(F2155,
    OFFSET(INDIRECT(ADDRESS(MATCH(J2155,'Vehicle numbers'!$A$5:$A$162,0),1,1,1,$L$6)),4,1,COUNTIF('Vehicle numbers'!$A$5:$A$162,J2155),4),
    MATCH(K$8,'Vehicle numbers'!$B$4:$D$4,0))*1000</f>
        <v>28722453</v>
      </c>
      <c r="L2155" s="183">
        <f ca="1">VLOOKUP(F2155,
    OFFSET(INDIRECT(ADDRESS(MATCH(J2155,'Vehicle numbers'!$A$5:$A$162,0),1,1,1,$L$6)),4,1,COUNTIF('Vehicle numbers'!$A$5:$A$162,J2155),4),
    MATCH(L$8,'Vehicle numbers'!$B$4:$D$4,0))*1000</f>
        <v>29605165.745808348</v>
      </c>
      <c r="M2155" s="184">
        <f>VLOOKUP(F2155,'Annual distance covered (GB)'!$A$8:$H$33,MATCH(J2155,'Annual distance covered (GB)'!$A$7:$H$7,0))</f>
        <v>395.1</v>
      </c>
      <c r="N2155" s="2">
        <f t="shared" ca="1" si="80"/>
        <v>900331.52043880639</v>
      </c>
      <c r="O2155" s="180">
        <f t="shared" ca="1" si="81"/>
        <v>3.0411298087945342E-2</v>
      </c>
      <c r="P2155" s="180"/>
      <c r="Q2155" s="180"/>
      <c r="R2155" s="180"/>
      <c r="S2155" s="180"/>
      <c r="T2155" s="180"/>
    </row>
    <row r="2156" spans="1:20" x14ac:dyDescent="0.25">
      <c r="A2156" t="s">
        <v>244</v>
      </c>
      <c r="B2156" t="s">
        <v>237</v>
      </c>
      <c r="C2156" t="s">
        <v>238</v>
      </c>
      <c r="D2156" t="s">
        <v>255</v>
      </c>
      <c r="E2156" t="s">
        <v>229</v>
      </c>
      <c r="F2156">
        <v>2012</v>
      </c>
      <c r="G2156">
        <v>5.5270000000000004E-4</v>
      </c>
      <c r="H2156" t="s">
        <v>240</v>
      </c>
      <c r="I2156" t="s">
        <v>241</v>
      </c>
      <c r="J2156" t="s">
        <v>2</v>
      </c>
      <c r="K2156" s="183">
        <f ca="1">VLOOKUP(F2156,
    OFFSET(INDIRECT(ADDRESS(MATCH(J2156,'Vehicle numbers'!$A$5:$A$162,0),1,1,1,$L$6)),4,1,COUNTIF('Vehicle numbers'!$A$5:$A$162,J2156),4),
    MATCH(K$8,'Vehicle numbers'!$B$4:$D$4,0))*1000</f>
        <v>28722453</v>
      </c>
      <c r="L2156" s="183">
        <f ca="1">VLOOKUP(F2156,
    OFFSET(INDIRECT(ADDRESS(MATCH(J2156,'Vehicle numbers'!$A$5:$A$162,0),1,1,1,$L$6)),4,1,COUNTIF('Vehicle numbers'!$A$5:$A$162,J2156),4),
    MATCH(L$8,'Vehicle numbers'!$B$4:$D$4,0))*1000</f>
        <v>29605165.745808348</v>
      </c>
      <c r="M2156" s="184">
        <f>VLOOKUP(F2156,'Annual distance covered (GB)'!$A$8:$H$33,MATCH(J2156,'Annual distance covered (GB)'!$A$7:$H$7,0))</f>
        <v>395.1</v>
      </c>
      <c r="N2156" s="2">
        <f t="shared" ca="1" si="80"/>
        <v>225082.8801097016</v>
      </c>
      <c r="O2156" s="180">
        <f t="shared" ca="1" si="81"/>
        <v>7.6028245219863354E-3</v>
      </c>
      <c r="P2156" s="180"/>
      <c r="Q2156" s="180"/>
      <c r="R2156" s="180"/>
      <c r="S2156" s="180"/>
      <c r="T2156" s="180"/>
    </row>
    <row r="2157" spans="1:20" x14ac:dyDescent="0.25">
      <c r="A2157" t="s">
        <v>246</v>
      </c>
      <c r="B2157" t="s">
        <v>237</v>
      </c>
      <c r="C2157" t="s">
        <v>238</v>
      </c>
      <c r="D2157" t="s">
        <v>255</v>
      </c>
      <c r="E2157" t="s">
        <v>229</v>
      </c>
      <c r="F2157">
        <v>2012</v>
      </c>
      <c r="G2157">
        <v>4.4215999999999998E-4</v>
      </c>
      <c r="H2157" t="s">
        <v>240</v>
      </c>
      <c r="I2157" t="s">
        <v>241</v>
      </c>
      <c r="J2157" t="s">
        <v>2</v>
      </c>
      <c r="K2157" s="183">
        <f ca="1">VLOOKUP(F2157,
    OFFSET(INDIRECT(ADDRESS(MATCH(J2157,'Vehicle numbers'!$A$5:$A$162,0),1,1,1,$L$6)),4,1,COUNTIF('Vehicle numbers'!$A$5:$A$162,J2157),4),
    MATCH(K$8,'Vehicle numbers'!$B$4:$D$4,0))*1000</f>
        <v>28722453</v>
      </c>
      <c r="L2157" s="183">
        <f ca="1">VLOOKUP(F2157,
    OFFSET(INDIRECT(ADDRESS(MATCH(J2157,'Vehicle numbers'!$A$5:$A$162,0),1,1,1,$L$6)),4,1,COUNTIF('Vehicle numbers'!$A$5:$A$162,J2157),4),
    MATCH(L$8,'Vehicle numbers'!$B$4:$D$4,0))*1000</f>
        <v>29605165.745808348</v>
      </c>
      <c r="M2157" s="184">
        <f>VLOOKUP(F2157,'Annual distance covered (GB)'!$A$8:$H$33,MATCH(J2157,'Annual distance covered (GB)'!$A$7:$H$7,0))</f>
        <v>395.1</v>
      </c>
      <c r="N2157" s="2">
        <f t="shared" ca="1" si="80"/>
        <v>180066.30408776127</v>
      </c>
      <c r="O2157" s="180">
        <f t="shared" ca="1" si="81"/>
        <v>6.082259617589068E-3</v>
      </c>
      <c r="P2157" s="180"/>
      <c r="Q2157" s="180"/>
      <c r="R2157" s="180"/>
      <c r="S2157" s="180"/>
      <c r="T2157" s="180"/>
    </row>
    <row r="2158" spans="1:20" x14ac:dyDescent="0.25">
      <c r="A2158" t="s">
        <v>236</v>
      </c>
      <c r="B2158" t="s">
        <v>237</v>
      </c>
      <c r="C2158" t="s">
        <v>238</v>
      </c>
      <c r="D2158" t="s">
        <v>255</v>
      </c>
      <c r="E2158" t="s">
        <v>228</v>
      </c>
      <c r="F2158">
        <v>2012</v>
      </c>
      <c r="G2158">
        <v>6.7999999999999996E-3</v>
      </c>
      <c r="H2158" t="s">
        <v>240</v>
      </c>
      <c r="I2158" t="s">
        <v>241</v>
      </c>
      <c r="J2158" t="s">
        <v>2</v>
      </c>
      <c r="K2158" s="183">
        <f ca="1">VLOOKUP(F2158,
    OFFSET(INDIRECT(ADDRESS(MATCH(J2158,'Vehicle numbers'!$A$5:$A$162,0),1,1,1,$L$6)),4,1,COUNTIF('Vehicle numbers'!$A$5:$A$162,J2158),4),
    MATCH(K$8,'Vehicle numbers'!$B$4:$D$4,0))*1000</f>
        <v>28722453</v>
      </c>
      <c r="L2158" s="183">
        <f ca="1">VLOOKUP(F2158,
    OFFSET(INDIRECT(ADDRESS(MATCH(J2158,'Vehicle numbers'!$A$5:$A$162,0),1,1,1,$L$6)),4,1,COUNTIF('Vehicle numbers'!$A$5:$A$162,J2158),4),
    MATCH(L$8,'Vehicle numbers'!$B$4:$D$4,0))*1000</f>
        <v>29605165.745808348</v>
      </c>
      <c r="M2158" s="184">
        <f>VLOOKUP(F2158,'Annual distance covered (GB)'!$A$8:$H$33,MATCH(J2158,'Annual distance covered (GB)'!$A$7:$H$7,0))</f>
        <v>395.1</v>
      </c>
      <c r="N2158" s="2">
        <f t="shared" ca="1" si="80"/>
        <v>2769248.3892635619</v>
      </c>
      <c r="O2158" s="180">
        <f t="shared" ca="1" si="81"/>
        <v>9.3539364482553067E-2</v>
      </c>
      <c r="P2158" s="180"/>
      <c r="Q2158" s="180"/>
      <c r="R2158" s="180"/>
      <c r="S2158" s="180"/>
      <c r="T2158" s="180"/>
    </row>
    <row r="2159" spans="1:20" x14ac:dyDescent="0.25">
      <c r="A2159" t="s">
        <v>243</v>
      </c>
      <c r="B2159" t="s">
        <v>237</v>
      </c>
      <c r="C2159" t="s">
        <v>238</v>
      </c>
      <c r="D2159" t="s">
        <v>255</v>
      </c>
      <c r="E2159" t="s">
        <v>228</v>
      </c>
      <c r="F2159">
        <v>2012</v>
      </c>
      <c r="G2159">
        <v>4.7600000000000003E-3</v>
      </c>
      <c r="H2159" t="s">
        <v>240</v>
      </c>
      <c r="I2159" t="s">
        <v>241</v>
      </c>
      <c r="J2159" t="s">
        <v>2</v>
      </c>
      <c r="K2159" s="183">
        <f ca="1">VLOOKUP(F2159,
    OFFSET(INDIRECT(ADDRESS(MATCH(J2159,'Vehicle numbers'!$A$5:$A$162,0),1,1,1,$L$6)),4,1,COUNTIF('Vehicle numbers'!$A$5:$A$162,J2159),4),
    MATCH(K$8,'Vehicle numbers'!$B$4:$D$4,0))*1000</f>
        <v>28722453</v>
      </c>
      <c r="L2159" s="183">
        <f ca="1">VLOOKUP(F2159,
    OFFSET(INDIRECT(ADDRESS(MATCH(J2159,'Vehicle numbers'!$A$5:$A$162,0),1,1,1,$L$6)),4,1,COUNTIF('Vehicle numbers'!$A$5:$A$162,J2159),4),
    MATCH(L$8,'Vehicle numbers'!$B$4:$D$4,0))*1000</f>
        <v>29605165.745808348</v>
      </c>
      <c r="M2159" s="184">
        <f>VLOOKUP(F2159,'Annual distance covered (GB)'!$A$8:$H$33,MATCH(J2159,'Annual distance covered (GB)'!$A$7:$H$7,0))</f>
        <v>395.1</v>
      </c>
      <c r="N2159" s="2">
        <f t="shared" ca="1" si="80"/>
        <v>1938473.8724844938</v>
      </c>
      <c r="O2159" s="180">
        <f t="shared" ca="1" si="81"/>
        <v>6.5477555137787163E-2</v>
      </c>
      <c r="P2159" s="180"/>
      <c r="Q2159" s="180"/>
      <c r="R2159" s="180"/>
      <c r="S2159" s="180"/>
      <c r="T2159" s="180"/>
    </row>
    <row r="2160" spans="1:20" x14ac:dyDescent="0.25">
      <c r="A2160" t="s">
        <v>244</v>
      </c>
      <c r="B2160" t="s">
        <v>237</v>
      </c>
      <c r="C2160" t="s">
        <v>238</v>
      </c>
      <c r="D2160" t="s">
        <v>255</v>
      </c>
      <c r="E2160" t="s">
        <v>228</v>
      </c>
      <c r="F2160">
        <v>2012</v>
      </c>
      <c r="G2160">
        <v>6.7042253521126696E-4</v>
      </c>
      <c r="H2160" t="s">
        <v>240</v>
      </c>
      <c r="I2160" t="s">
        <v>241</v>
      </c>
      <c r="J2160" t="s">
        <v>2</v>
      </c>
      <c r="K2160" s="183">
        <f ca="1">VLOOKUP(F2160,
    OFFSET(INDIRECT(ADDRESS(MATCH(J2160,'Vehicle numbers'!$A$5:$A$162,0),1,1,1,$L$6)),4,1,COUNTIF('Vehicle numbers'!$A$5:$A$162,J2160),4),
    MATCH(K$8,'Vehicle numbers'!$B$4:$D$4,0))*1000</f>
        <v>28722453</v>
      </c>
      <c r="L2160" s="183">
        <f ca="1">VLOOKUP(F2160,
    OFFSET(INDIRECT(ADDRESS(MATCH(J2160,'Vehicle numbers'!$A$5:$A$162,0),1,1,1,$L$6)),4,1,COUNTIF('Vehicle numbers'!$A$5:$A$162,J2160),4),
    MATCH(L$8,'Vehicle numbers'!$B$4:$D$4,0))*1000</f>
        <v>29605165.745808348</v>
      </c>
      <c r="M2160" s="184">
        <f>VLOOKUP(F2160,'Annual distance covered (GB)'!$A$8:$H$33,MATCH(J2160,'Annual distance covered (GB)'!$A$7:$H$7,0))</f>
        <v>395.1</v>
      </c>
      <c r="N2160" s="2">
        <f t="shared" ca="1" si="80"/>
        <v>273024.48908232281</v>
      </c>
      <c r="O2160" s="180">
        <f t="shared" ca="1" si="81"/>
        <v>9.2221908644770558E-3</v>
      </c>
      <c r="P2160" s="180"/>
      <c r="Q2160" s="180"/>
      <c r="R2160" s="180"/>
      <c r="S2160" s="180"/>
      <c r="T2160" s="180"/>
    </row>
    <row r="2161" spans="1:20" x14ac:dyDescent="0.25">
      <c r="A2161" t="s">
        <v>246</v>
      </c>
      <c r="B2161" t="s">
        <v>237</v>
      </c>
      <c r="C2161" t="s">
        <v>238</v>
      </c>
      <c r="D2161" t="s">
        <v>255</v>
      </c>
      <c r="E2161" t="s">
        <v>228</v>
      </c>
      <c r="F2161">
        <v>2012</v>
      </c>
      <c r="G2161">
        <v>5.3633802816901305E-4</v>
      </c>
      <c r="H2161" t="s">
        <v>240</v>
      </c>
      <c r="I2161" t="s">
        <v>241</v>
      </c>
      <c r="J2161" t="s">
        <v>2</v>
      </c>
      <c r="K2161" s="183">
        <f ca="1">VLOOKUP(F2161,
    OFFSET(INDIRECT(ADDRESS(MATCH(J2161,'Vehicle numbers'!$A$5:$A$162,0),1,1,1,$L$6)),4,1,COUNTIF('Vehicle numbers'!$A$5:$A$162,J2161),4),
    MATCH(K$8,'Vehicle numbers'!$B$4:$D$4,0))*1000</f>
        <v>28722453</v>
      </c>
      <c r="L2161" s="183">
        <f ca="1">VLOOKUP(F2161,
    OFFSET(INDIRECT(ADDRESS(MATCH(J2161,'Vehicle numbers'!$A$5:$A$162,0),1,1,1,$L$6)),4,1,COUNTIF('Vehicle numbers'!$A$5:$A$162,J2161),4),
    MATCH(L$8,'Vehicle numbers'!$B$4:$D$4,0))*1000</f>
        <v>29605165.745808348</v>
      </c>
      <c r="M2161" s="184">
        <f>VLOOKUP(F2161,'Annual distance covered (GB)'!$A$8:$H$33,MATCH(J2161,'Annual distance covered (GB)'!$A$7:$H$7,0))</f>
        <v>395.1</v>
      </c>
      <c r="N2161" s="2">
        <f t="shared" ca="1" si="80"/>
        <v>218419.59126585803</v>
      </c>
      <c r="O2161" s="180">
        <f t="shared" ca="1" si="81"/>
        <v>7.377752691581637E-3</v>
      </c>
      <c r="P2161" s="180"/>
      <c r="Q2161" s="180"/>
      <c r="R2161" s="180"/>
      <c r="S2161" s="180"/>
      <c r="T2161" s="180"/>
    </row>
    <row r="2162" spans="1:20" x14ac:dyDescent="0.25">
      <c r="A2162" t="s">
        <v>236</v>
      </c>
      <c r="B2162" t="s">
        <v>237</v>
      </c>
      <c r="C2162" t="s">
        <v>238</v>
      </c>
      <c r="D2162" t="s">
        <v>256</v>
      </c>
      <c r="E2162" t="s">
        <v>229</v>
      </c>
      <c r="F2162">
        <v>2012</v>
      </c>
      <c r="G2162">
        <v>1.1722880248336899E-2</v>
      </c>
      <c r="H2162" t="s">
        <v>240</v>
      </c>
      <c r="I2162" t="s">
        <v>241</v>
      </c>
      <c r="J2162" t="s">
        <v>2</v>
      </c>
      <c r="K2162" s="183">
        <f ca="1">VLOOKUP(F2162,
    OFFSET(INDIRECT(ADDRESS(MATCH(J2162,'Vehicle numbers'!$A$5:$A$162,0),1,1,1,$L$6)),4,1,COUNTIF('Vehicle numbers'!$A$5:$A$162,J2162),4),
    MATCH(K$8,'Vehicle numbers'!$B$4:$D$4,0))*1000</f>
        <v>28722453</v>
      </c>
      <c r="L2162" s="183">
        <f ca="1">VLOOKUP(F2162,
    OFFSET(INDIRECT(ADDRESS(MATCH(J2162,'Vehicle numbers'!$A$5:$A$162,0),1,1,1,$L$6)),4,1,COUNTIF('Vehicle numbers'!$A$5:$A$162,J2162),4),
    MATCH(L$8,'Vehicle numbers'!$B$4:$D$4,0))*1000</f>
        <v>29605165.745808348</v>
      </c>
      <c r="M2162" s="184">
        <f>VLOOKUP(F2162,'Annual distance covered (GB)'!$A$8:$H$33,MATCH(J2162,'Annual distance covered (GB)'!$A$7:$H$7,0))</f>
        <v>395.1</v>
      </c>
      <c r="N2162" s="2">
        <f t="shared" ca="1" si="80"/>
        <v>4774054.006652439</v>
      </c>
      <c r="O2162" s="180">
        <f t="shared" ca="1" si="81"/>
        <v>0.16125746593154522</v>
      </c>
      <c r="P2162" s="180"/>
      <c r="Q2162" s="180"/>
      <c r="R2162" s="180"/>
      <c r="S2162" s="180"/>
      <c r="T2162" s="180"/>
    </row>
    <row r="2163" spans="1:20" x14ac:dyDescent="0.25">
      <c r="A2163" t="s">
        <v>243</v>
      </c>
      <c r="B2163" t="s">
        <v>237</v>
      </c>
      <c r="C2163" t="s">
        <v>238</v>
      </c>
      <c r="D2163" t="s">
        <v>256</v>
      </c>
      <c r="E2163" t="s">
        <v>229</v>
      </c>
      <c r="F2163">
        <v>2012</v>
      </c>
      <c r="G2163">
        <v>4.6891520993347603E-3</v>
      </c>
      <c r="H2163" t="s">
        <v>240</v>
      </c>
      <c r="I2163" t="s">
        <v>241</v>
      </c>
      <c r="J2163" t="s">
        <v>2</v>
      </c>
      <c r="K2163" s="183">
        <f ca="1">VLOOKUP(F2163,
    OFFSET(INDIRECT(ADDRESS(MATCH(J2163,'Vehicle numbers'!$A$5:$A$162,0),1,1,1,$L$6)),4,1,COUNTIF('Vehicle numbers'!$A$5:$A$162,J2163),4),
    MATCH(K$8,'Vehicle numbers'!$B$4:$D$4,0))*1000</f>
        <v>28722453</v>
      </c>
      <c r="L2163" s="183">
        <f ca="1">VLOOKUP(F2163,
    OFFSET(INDIRECT(ADDRESS(MATCH(J2163,'Vehicle numbers'!$A$5:$A$162,0),1,1,1,$L$6)),4,1,COUNTIF('Vehicle numbers'!$A$5:$A$162,J2163),4),
    MATCH(L$8,'Vehicle numbers'!$B$4:$D$4,0))*1000</f>
        <v>29605165.745808348</v>
      </c>
      <c r="M2163" s="184">
        <f>VLOOKUP(F2163,'Annual distance covered (GB)'!$A$8:$H$33,MATCH(J2163,'Annual distance covered (GB)'!$A$7:$H$7,0))</f>
        <v>395.1</v>
      </c>
      <c r="N2163" s="2">
        <f t="shared" ca="1" si="80"/>
        <v>1909621.6026609759</v>
      </c>
      <c r="O2163" s="180">
        <f t="shared" ca="1" si="81"/>
        <v>6.4502986372618101E-2</v>
      </c>
      <c r="P2163" s="180"/>
      <c r="Q2163" s="180"/>
      <c r="R2163" s="180"/>
      <c r="S2163" s="180"/>
      <c r="T2163" s="180"/>
    </row>
    <row r="2164" spans="1:20" x14ac:dyDescent="0.25">
      <c r="A2164" t="s">
        <v>244</v>
      </c>
      <c r="B2164" t="s">
        <v>237</v>
      </c>
      <c r="C2164" t="s">
        <v>238</v>
      </c>
      <c r="D2164" t="s">
        <v>256</v>
      </c>
      <c r="E2164" t="s">
        <v>229</v>
      </c>
      <c r="F2164">
        <v>2012</v>
      </c>
      <c r="G2164">
        <v>1.1722880248336901E-3</v>
      </c>
      <c r="H2164" t="s">
        <v>240</v>
      </c>
      <c r="I2164" t="s">
        <v>241</v>
      </c>
      <c r="J2164" t="s">
        <v>2</v>
      </c>
      <c r="K2164" s="183">
        <f ca="1">VLOOKUP(F2164,
    OFFSET(INDIRECT(ADDRESS(MATCH(J2164,'Vehicle numbers'!$A$5:$A$162,0),1,1,1,$L$6)),4,1,COUNTIF('Vehicle numbers'!$A$5:$A$162,J2164),4),
    MATCH(K$8,'Vehicle numbers'!$B$4:$D$4,0))*1000</f>
        <v>28722453</v>
      </c>
      <c r="L2164" s="183">
        <f ca="1">VLOOKUP(F2164,
    OFFSET(INDIRECT(ADDRESS(MATCH(J2164,'Vehicle numbers'!$A$5:$A$162,0),1,1,1,$L$6)),4,1,COUNTIF('Vehicle numbers'!$A$5:$A$162,J2164),4),
    MATCH(L$8,'Vehicle numbers'!$B$4:$D$4,0))*1000</f>
        <v>29605165.745808348</v>
      </c>
      <c r="M2164" s="184">
        <f>VLOOKUP(F2164,'Annual distance covered (GB)'!$A$8:$H$33,MATCH(J2164,'Annual distance covered (GB)'!$A$7:$H$7,0))</f>
        <v>395.1</v>
      </c>
      <c r="N2164" s="2">
        <f t="shared" ca="1" si="80"/>
        <v>477405.40066524397</v>
      </c>
      <c r="O2164" s="180">
        <f t="shared" ca="1" si="81"/>
        <v>1.6125746593154525E-2</v>
      </c>
      <c r="P2164" s="180"/>
      <c r="Q2164" s="180"/>
      <c r="R2164" s="180"/>
      <c r="S2164" s="180"/>
      <c r="T2164" s="180"/>
    </row>
    <row r="2165" spans="1:20" x14ac:dyDescent="0.25">
      <c r="A2165" t="s">
        <v>246</v>
      </c>
      <c r="B2165" t="s">
        <v>237</v>
      </c>
      <c r="C2165" t="s">
        <v>238</v>
      </c>
      <c r="D2165" t="s">
        <v>256</v>
      </c>
      <c r="E2165" t="s">
        <v>229</v>
      </c>
      <c r="F2165">
        <v>2012</v>
      </c>
      <c r="G2165">
        <v>9.3783041986695204E-4</v>
      </c>
      <c r="H2165" t="s">
        <v>240</v>
      </c>
      <c r="I2165" t="s">
        <v>241</v>
      </c>
      <c r="J2165" t="s">
        <v>2</v>
      </c>
      <c r="K2165" s="183">
        <f ca="1">VLOOKUP(F2165,
    OFFSET(INDIRECT(ADDRESS(MATCH(J2165,'Vehicle numbers'!$A$5:$A$162,0),1,1,1,$L$6)),4,1,COUNTIF('Vehicle numbers'!$A$5:$A$162,J2165),4),
    MATCH(K$8,'Vehicle numbers'!$B$4:$D$4,0))*1000</f>
        <v>28722453</v>
      </c>
      <c r="L2165" s="183">
        <f ca="1">VLOOKUP(F2165,
    OFFSET(INDIRECT(ADDRESS(MATCH(J2165,'Vehicle numbers'!$A$5:$A$162,0),1,1,1,$L$6)),4,1,COUNTIF('Vehicle numbers'!$A$5:$A$162,J2165),4),
    MATCH(L$8,'Vehicle numbers'!$B$4:$D$4,0))*1000</f>
        <v>29605165.745808348</v>
      </c>
      <c r="M2165" s="184">
        <f>VLOOKUP(F2165,'Annual distance covered (GB)'!$A$8:$H$33,MATCH(J2165,'Annual distance covered (GB)'!$A$7:$H$7,0))</f>
        <v>395.1</v>
      </c>
      <c r="N2165" s="2">
        <f t="shared" ca="1" si="80"/>
        <v>381924.32053219515</v>
      </c>
      <c r="O2165" s="180">
        <f t="shared" ca="1" si="81"/>
        <v>1.2900597274523619E-2</v>
      </c>
      <c r="P2165" s="180"/>
      <c r="Q2165" s="180"/>
      <c r="R2165" s="180"/>
      <c r="S2165" s="180"/>
      <c r="T2165" s="180"/>
    </row>
    <row r="2166" spans="1:20" x14ac:dyDescent="0.25">
      <c r="A2166" t="s">
        <v>236</v>
      </c>
      <c r="B2166" t="s">
        <v>237</v>
      </c>
      <c r="C2166" t="s">
        <v>238</v>
      </c>
      <c r="D2166" t="s">
        <v>256</v>
      </c>
      <c r="E2166" t="s">
        <v>228</v>
      </c>
      <c r="F2166">
        <v>2012</v>
      </c>
      <c r="G2166">
        <v>8.7729702901115907E-3</v>
      </c>
      <c r="H2166" t="s">
        <v>240</v>
      </c>
      <c r="I2166" t="s">
        <v>241</v>
      </c>
      <c r="J2166" t="s">
        <v>2</v>
      </c>
      <c r="K2166" s="183">
        <f ca="1">VLOOKUP(F2166,
    OFFSET(INDIRECT(ADDRESS(MATCH(J2166,'Vehicle numbers'!$A$5:$A$162,0),1,1,1,$L$6)),4,1,COUNTIF('Vehicle numbers'!$A$5:$A$162,J2166),4),
    MATCH(K$8,'Vehicle numbers'!$B$4:$D$4,0))*1000</f>
        <v>28722453</v>
      </c>
      <c r="L2166" s="183">
        <f ca="1">VLOOKUP(F2166,
    OFFSET(INDIRECT(ADDRESS(MATCH(J2166,'Vehicle numbers'!$A$5:$A$162,0),1,1,1,$L$6)),4,1,COUNTIF('Vehicle numbers'!$A$5:$A$162,J2166),4),
    MATCH(L$8,'Vehicle numbers'!$B$4:$D$4,0))*1000</f>
        <v>29605165.745808348</v>
      </c>
      <c r="M2166" s="184">
        <f>VLOOKUP(F2166,'Annual distance covered (GB)'!$A$8:$H$33,MATCH(J2166,'Annual distance covered (GB)'!$A$7:$H$7,0))</f>
        <v>395.1</v>
      </c>
      <c r="N2166" s="2">
        <f t="shared" ca="1" si="80"/>
        <v>3572725.5654336186</v>
      </c>
      <c r="O2166" s="180">
        <f t="shared" ca="1" si="81"/>
        <v>0.12067912728843491</v>
      </c>
      <c r="P2166" s="180"/>
      <c r="Q2166" s="180"/>
      <c r="R2166" s="180"/>
      <c r="S2166" s="180"/>
      <c r="T2166" s="180"/>
    </row>
    <row r="2167" spans="1:20" x14ac:dyDescent="0.25">
      <c r="A2167" t="s">
        <v>243</v>
      </c>
      <c r="B2167" t="s">
        <v>237</v>
      </c>
      <c r="C2167" t="s">
        <v>238</v>
      </c>
      <c r="D2167" t="s">
        <v>256</v>
      </c>
      <c r="E2167" t="s">
        <v>228</v>
      </c>
      <c r="F2167">
        <v>2012</v>
      </c>
      <c r="G2167">
        <v>6.1410792030781097E-3</v>
      </c>
      <c r="H2167" t="s">
        <v>240</v>
      </c>
      <c r="I2167" t="s">
        <v>241</v>
      </c>
      <c r="J2167" t="s">
        <v>2</v>
      </c>
      <c r="K2167" s="183">
        <f ca="1">VLOOKUP(F2167,
    OFFSET(INDIRECT(ADDRESS(MATCH(J2167,'Vehicle numbers'!$A$5:$A$162,0),1,1,1,$L$6)),4,1,COUNTIF('Vehicle numbers'!$A$5:$A$162,J2167),4),
    MATCH(K$8,'Vehicle numbers'!$B$4:$D$4,0))*1000</f>
        <v>28722453</v>
      </c>
      <c r="L2167" s="183">
        <f ca="1">VLOOKUP(F2167,
    OFFSET(INDIRECT(ADDRESS(MATCH(J2167,'Vehicle numbers'!$A$5:$A$162,0),1,1,1,$L$6)),4,1,COUNTIF('Vehicle numbers'!$A$5:$A$162,J2167),4),
    MATCH(L$8,'Vehicle numbers'!$B$4:$D$4,0))*1000</f>
        <v>29605165.745808348</v>
      </c>
      <c r="M2167" s="184">
        <f>VLOOKUP(F2167,'Annual distance covered (GB)'!$A$8:$H$33,MATCH(J2167,'Annual distance covered (GB)'!$A$7:$H$7,0))</f>
        <v>395.1</v>
      </c>
      <c r="N2167" s="2">
        <f t="shared" ca="1" si="80"/>
        <v>2500907.8958035312</v>
      </c>
      <c r="O2167" s="180">
        <f t="shared" ca="1" si="81"/>
        <v>8.4475389101904372E-2</v>
      </c>
      <c r="P2167" s="180"/>
      <c r="Q2167" s="180"/>
      <c r="R2167" s="180"/>
      <c r="S2167" s="180"/>
      <c r="T2167" s="180"/>
    </row>
    <row r="2168" spans="1:20" x14ac:dyDescent="0.25">
      <c r="A2168" t="s">
        <v>244</v>
      </c>
      <c r="B2168" t="s">
        <v>237</v>
      </c>
      <c r="C2168" t="s">
        <v>238</v>
      </c>
      <c r="D2168" t="s">
        <v>256</v>
      </c>
      <c r="E2168" t="s">
        <v>228</v>
      </c>
      <c r="F2168">
        <v>2012</v>
      </c>
      <c r="G2168">
        <v>8.6494073282790103E-4</v>
      </c>
      <c r="H2168" t="s">
        <v>240</v>
      </c>
      <c r="I2168" t="s">
        <v>241</v>
      </c>
      <c r="J2168" t="s">
        <v>2</v>
      </c>
      <c r="K2168" s="183">
        <f ca="1">VLOOKUP(F2168,
    OFFSET(INDIRECT(ADDRESS(MATCH(J2168,'Vehicle numbers'!$A$5:$A$162,0),1,1,1,$L$6)),4,1,COUNTIF('Vehicle numbers'!$A$5:$A$162,J2168),4),
    MATCH(K$8,'Vehicle numbers'!$B$4:$D$4,0))*1000</f>
        <v>28722453</v>
      </c>
      <c r="L2168" s="183">
        <f ca="1">VLOOKUP(F2168,
    OFFSET(INDIRECT(ADDRESS(MATCH(J2168,'Vehicle numbers'!$A$5:$A$162,0),1,1,1,$L$6)),4,1,COUNTIF('Vehicle numbers'!$A$5:$A$162,J2168),4),
    MATCH(L$8,'Vehicle numbers'!$B$4:$D$4,0))*1000</f>
        <v>29605165.745808348</v>
      </c>
      <c r="M2168" s="184">
        <f>VLOOKUP(F2168,'Annual distance covered (GB)'!$A$8:$H$33,MATCH(J2168,'Annual distance covered (GB)'!$A$7:$H$7,0))</f>
        <v>395.1</v>
      </c>
      <c r="N2168" s="2">
        <f t="shared" ca="1" si="80"/>
        <v>352240.54870472202</v>
      </c>
      <c r="O2168" s="180">
        <f t="shared" ca="1" si="81"/>
        <v>1.1897942127028762E-2</v>
      </c>
      <c r="P2168" s="180"/>
      <c r="Q2168" s="180"/>
      <c r="R2168" s="180"/>
      <c r="S2168" s="180"/>
      <c r="T2168" s="180"/>
    </row>
    <row r="2169" spans="1:20" x14ac:dyDescent="0.25">
      <c r="A2169" t="s">
        <v>246</v>
      </c>
      <c r="B2169" t="s">
        <v>237</v>
      </c>
      <c r="C2169" t="s">
        <v>238</v>
      </c>
      <c r="D2169" t="s">
        <v>256</v>
      </c>
      <c r="E2169" t="s">
        <v>228</v>
      </c>
      <c r="F2169">
        <v>2012</v>
      </c>
      <c r="G2169">
        <v>6.9195258626232104E-4</v>
      </c>
      <c r="H2169" t="s">
        <v>240</v>
      </c>
      <c r="I2169" t="s">
        <v>241</v>
      </c>
      <c r="J2169" t="s">
        <v>2</v>
      </c>
      <c r="K2169" s="183">
        <f ca="1">VLOOKUP(F2169,
    OFFSET(INDIRECT(ADDRESS(MATCH(J2169,'Vehicle numbers'!$A$5:$A$162,0),1,1,1,$L$6)),4,1,COUNTIF('Vehicle numbers'!$A$5:$A$162,J2169),4),
    MATCH(K$8,'Vehicle numbers'!$B$4:$D$4,0))*1000</f>
        <v>28722453</v>
      </c>
      <c r="L2169" s="183">
        <f ca="1">VLOOKUP(F2169,
    OFFSET(INDIRECT(ADDRESS(MATCH(J2169,'Vehicle numbers'!$A$5:$A$162,0),1,1,1,$L$6)),4,1,COUNTIF('Vehicle numbers'!$A$5:$A$162,J2169),4),
    MATCH(L$8,'Vehicle numbers'!$B$4:$D$4,0))*1000</f>
        <v>29605165.745808348</v>
      </c>
      <c r="M2169" s="184">
        <f>VLOOKUP(F2169,'Annual distance covered (GB)'!$A$8:$H$33,MATCH(J2169,'Annual distance covered (GB)'!$A$7:$H$7,0))</f>
        <v>395.1</v>
      </c>
      <c r="N2169" s="2">
        <f t="shared" ca="1" si="80"/>
        <v>281792.43896377768</v>
      </c>
      <c r="O2169" s="180">
        <f t="shared" ca="1" si="81"/>
        <v>9.5183537016230117E-3</v>
      </c>
      <c r="P2169" s="180"/>
      <c r="Q2169" s="180"/>
      <c r="R2169" s="180"/>
      <c r="S2169" s="180"/>
      <c r="T2169" s="180"/>
    </row>
    <row r="2170" spans="1:20" x14ac:dyDescent="0.25">
      <c r="A2170" t="s">
        <v>236</v>
      </c>
      <c r="B2170" t="s">
        <v>237</v>
      </c>
      <c r="C2170" t="s">
        <v>238</v>
      </c>
      <c r="D2170" t="s">
        <v>265</v>
      </c>
      <c r="E2170" t="s">
        <v>229</v>
      </c>
      <c r="F2170">
        <v>2012</v>
      </c>
      <c r="G2170">
        <v>8.4410000000000006E-3</v>
      </c>
      <c r="H2170" t="s">
        <v>240</v>
      </c>
      <c r="I2170" t="s">
        <v>241</v>
      </c>
      <c r="J2170" t="s">
        <v>247</v>
      </c>
      <c r="K2170" s="183">
        <f ca="1">VLOOKUP(F2170,
    OFFSET(INDIRECT(ADDRESS(MATCH(J2170,'Vehicle numbers'!$A$5:$A$162,0),1,1,1,$L$6)),4,1,COUNTIF('Vehicle numbers'!$A$5:$A$162,J2170),4),
    MATCH(K$8,'Vehicle numbers'!$B$4:$D$4,0))*1000</f>
        <v>106086</v>
      </c>
      <c r="L2170" s="183">
        <f ca="1">VLOOKUP(F2170,
    OFFSET(INDIRECT(ADDRESS(MATCH(J2170,'Vehicle numbers'!$A$5:$A$162,0),1,1,1,$L$6)),4,1,COUNTIF('Vehicle numbers'!$A$5:$A$162,J2170),4),
    MATCH(L$8,'Vehicle numbers'!$B$4:$D$4,0))*1000</f>
        <v>111650.27851955933</v>
      </c>
      <c r="M2170" s="184">
        <f ca="1">VLOOKUP(F2170,'Annual distance covered (GB)'!$A$8:$H$33,MATCH(J2170,'Annual distance covered (GB)'!$A$7:$H$7,0))</f>
        <v>15.6</v>
      </c>
      <c r="N2170" s="2">
        <f t="shared" ca="1" si="80"/>
        <v>138586.27920125338</v>
      </c>
      <c r="O2170" s="180">
        <f t="shared" ca="1" si="81"/>
        <v>1.2412533227758611</v>
      </c>
      <c r="P2170" s="180"/>
      <c r="Q2170" s="180"/>
      <c r="R2170" s="180"/>
      <c r="S2170" s="180"/>
      <c r="T2170" s="180"/>
    </row>
    <row r="2171" spans="1:20" x14ac:dyDescent="0.25">
      <c r="A2171" t="s">
        <v>243</v>
      </c>
      <c r="B2171" t="s">
        <v>237</v>
      </c>
      <c r="C2171" t="s">
        <v>238</v>
      </c>
      <c r="D2171" t="s">
        <v>265</v>
      </c>
      <c r="E2171" t="s">
        <v>229</v>
      </c>
      <c r="F2171">
        <v>2012</v>
      </c>
      <c r="G2171">
        <v>3.3763999999999999E-3</v>
      </c>
      <c r="H2171" t="s">
        <v>240</v>
      </c>
      <c r="I2171" t="s">
        <v>241</v>
      </c>
      <c r="J2171" t="s">
        <v>247</v>
      </c>
      <c r="K2171" s="183">
        <f ca="1">VLOOKUP(F2171,
    OFFSET(INDIRECT(ADDRESS(MATCH(J2171,'Vehicle numbers'!$A$5:$A$162,0),1,1,1,$L$6)),4,1,COUNTIF('Vehicle numbers'!$A$5:$A$162,J2171),4),
    MATCH(K$8,'Vehicle numbers'!$B$4:$D$4,0))*1000</f>
        <v>106086</v>
      </c>
      <c r="L2171" s="183">
        <f ca="1">VLOOKUP(F2171,
    OFFSET(INDIRECT(ADDRESS(MATCH(J2171,'Vehicle numbers'!$A$5:$A$162,0),1,1,1,$L$6)),4,1,COUNTIF('Vehicle numbers'!$A$5:$A$162,J2171),4),
    MATCH(L$8,'Vehicle numbers'!$B$4:$D$4,0))*1000</f>
        <v>111650.27851955933</v>
      </c>
      <c r="M2171" s="184">
        <f ca="1">VLOOKUP(F2171,'Annual distance covered (GB)'!$A$8:$H$33,MATCH(J2171,'Annual distance covered (GB)'!$A$7:$H$7,0))</f>
        <v>15.6</v>
      </c>
      <c r="N2171" s="2">
        <f t="shared" ca="1" si="80"/>
        <v>55434.511680501346</v>
      </c>
      <c r="O2171" s="180">
        <f t="shared" ca="1" si="81"/>
        <v>0.49650132911034445</v>
      </c>
      <c r="P2171" s="180"/>
      <c r="Q2171" s="180"/>
      <c r="R2171" s="180"/>
      <c r="S2171" s="180"/>
      <c r="T2171" s="180"/>
    </row>
    <row r="2172" spans="1:20" x14ac:dyDescent="0.25">
      <c r="A2172" t="s">
        <v>244</v>
      </c>
      <c r="B2172" t="s">
        <v>237</v>
      </c>
      <c r="C2172" t="s">
        <v>238</v>
      </c>
      <c r="D2172" t="s">
        <v>265</v>
      </c>
      <c r="E2172" t="s">
        <v>229</v>
      </c>
      <c r="F2172">
        <v>2012</v>
      </c>
      <c r="G2172">
        <v>8.4409999999999997E-4</v>
      </c>
      <c r="H2172" t="s">
        <v>240</v>
      </c>
      <c r="I2172" t="s">
        <v>241</v>
      </c>
      <c r="J2172" t="s">
        <v>247</v>
      </c>
      <c r="K2172" s="183">
        <f ca="1">VLOOKUP(F2172,
    OFFSET(INDIRECT(ADDRESS(MATCH(J2172,'Vehicle numbers'!$A$5:$A$162,0),1,1,1,$L$6)),4,1,COUNTIF('Vehicle numbers'!$A$5:$A$162,J2172),4),
    MATCH(K$8,'Vehicle numbers'!$B$4:$D$4,0))*1000</f>
        <v>106086</v>
      </c>
      <c r="L2172" s="183">
        <f ca="1">VLOOKUP(F2172,
    OFFSET(INDIRECT(ADDRESS(MATCH(J2172,'Vehicle numbers'!$A$5:$A$162,0),1,1,1,$L$6)),4,1,COUNTIF('Vehicle numbers'!$A$5:$A$162,J2172),4),
    MATCH(L$8,'Vehicle numbers'!$B$4:$D$4,0))*1000</f>
        <v>111650.27851955933</v>
      </c>
      <c r="M2172" s="184">
        <f ca="1">VLOOKUP(F2172,'Annual distance covered (GB)'!$A$8:$H$33,MATCH(J2172,'Annual distance covered (GB)'!$A$7:$H$7,0))</f>
        <v>15.6</v>
      </c>
      <c r="N2172" s="2">
        <f t="shared" ca="1" si="80"/>
        <v>13858.627920125336</v>
      </c>
      <c r="O2172" s="180">
        <f t="shared" ca="1" si="81"/>
        <v>0.12412533227758611</v>
      </c>
      <c r="P2172" s="180"/>
      <c r="Q2172" s="180"/>
      <c r="R2172" s="180"/>
      <c r="S2172" s="180"/>
      <c r="T2172" s="180"/>
    </row>
    <row r="2173" spans="1:20" x14ac:dyDescent="0.25">
      <c r="A2173" t="s">
        <v>246</v>
      </c>
      <c r="B2173" t="s">
        <v>237</v>
      </c>
      <c r="C2173" t="s">
        <v>238</v>
      </c>
      <c r="D2173" t="s">
        <v>265</v>
      </c>
      <c r="E2173" t="s">
        <v>229</v>
      </c>
      <c r="F2173">
        <v>2012</v>
      </c>
      <c r="G2173">
        <v>6.7528E-4</v>
      </c>
      <c r="H2173" t="s">
        <v>240</v>
      </c>
      <c r="I2173" t="s">
        <v>241</v>
      </c>
      <c r="J2173" t="s">
        <v>247</v>
      </c>
      <c r="K2173" s="183">
        <f ca="1">VLOOKUP(F2173,
    OFFSET(INDIRECT(ADDRESS(MATCH(J2173,'Vehicle numbers'!$A$5:$A$162,0),1,1,1,$L$6)),4,1,COUNTIF('Vehicle numbers'!$A$5:$A$162,J2173),4),
    MATCH(K$8,'Vehicle numbers'!$B$4:$D$4,0))*1000</f>
        <v>106086</v>
      </c>
      <c r="L2173" s="183">
        <f ca="1">VLOOKUP(F2173,
    OFFSET(INDIRECT(ADDRESS(MATCH(J2173,'Vehicle numbers'!$A$5:$A$162,0),1,1,1,$L$6)),4,1,COUNTIF('Vehicle numbers'!$A$5:$A$162,J2173),4),
    MATCH(L$8,'Vehicle numbers'!$B$4:$D$4,0))*1000</f>
        <v>111650.27851955933</v>
      </c>
      <c r="M2173" s="184">
        <f ca="1">VLOOKUP(F2173,'Annual distance covered (GB)'!$A$8:$H$33,MATCH(J2173,'Annual distance covered (GB)'!$A$7:$H$7,0))</f>
        <v>15.6</v>
      </c>
      <c r="N2173" s="2">
        <f t="shared" ca="1" si="80"/>
        <v>11086.902336100271</v>
      </c>
      <c r="O2173" s="180">
        <f t="shared" ca="1" si="81"/>
        <v>9.9300265822068898E-2</v>
      </c>
      <c r="P2173" s="180"/>
      <c r="Q2173" s="180"/>
      <c r="R2173" s="180"/>
      <c r="S2173" s="180"/>
      <c r="T2173" s="180"/>
    </row>
    <row r="2174" spans="1:20" x14ac:dyDescent="0.25">
      <c r="A2174" t="s">
        <v>236</v>
      </c>
      <c r="B2174" t="s">
        <v>237</v>
      </c>
      <c r="C2174" t="s">
        <v>238</v>
      </c>
      <c r="D2174" t="s">
        <v>265</v>
      </c>
      <c r="E2174" t="s">
        <v>228</v>
      </c>
      <c r="F2174">
        <v>2012</v>
      </c>
      <c r="G2174">
        <v>3.1494399999999999E-2</v>
      </c>
      <c r="H2174" t="s">
        <v>240</v>
      </c>
      <c r="I2174" t="s">
        <v>241</v>
      </c>
      <c r="J2174" t="s">
        <v>247</v>
      </c>
      <c r="K2174" s="183">
        <f ca="1">VLOOKUP(F2174,
    OFFSET(INDIRECT(ADDRESS(MATCH(J2174,'Vehicle numbers'!$A$5:$A$162,0),1,1,1,$L$6)),4,1,COUNTIF('Vehicle numbers'!$A$5:$A$162,J2174),4),
    MATCH(K$8,'Vehicle numbers'!$B$4:$D$4,0))*1000</f>
        <v>106086</v>
      </c>
      <c r="L2174" s="183">
        <f ca="1">VLOOKUP(F2174,
    OFFSET(INDIRECT(ADDRESS(MATCH(J2174,'Vehicle numbers'!$A$5:$A$162,0),1,1,1,$L$6)),4,1,COUNTIF('Vehicle numbers'!$A$5:$A$162,J2174),4),
    MATCH(L$8,'Vehicle numbers'!$B$4:$D$4,0))*1000</f>
        <v>111650.27851955933</v>
      </c>
      <c r="M2174" s="184">
        <f ca="1">VLOOKUP(F2174,'Annual distance covered (GB)'!$A$8:$H$33,MATCH(J2174,'Annual distance covered (GB)'!$A$7:$H$7,0))</f>
        <v>15.6</v>
      </c>
      <c r="N2174" s="2">
        <f t="shared" ca="1" si="80"/>
        <v>517082.30205851846</v>
      </c>
      <c r="O2174" s="180">
        <f t="shared" ca="1" si="81"/>
        <v>4.6312674622476102</v>
      </c>
      <c r="P2174" s="180"/>
      <c r="Q2174" s="180"/>
      <c r="R2174" s="180"/>
      <c r="S2174" s="180"/>
      <c r="T2174" s="180"/>
    </row>
    <row r="2175" spans="1:20" x14ac:dyDescent="0.25">
      <c r="A2175" t="s">
        <v>243</v>
      </c>
      <c r="B2175" t="s">
        <v>237</v>
      </c>
      <c r="C2175" t="s">
        <v>238</v>
      </c>
      <c r="D2175" t="s">
        <v>265</v>
      </c>
      <c r="E2175" t="s">
        <v>228</v>
      </c>
      <c r="F2175">
        <v>2012</v>
      </c>
      <c r="G2175">
        <v>2.2046079999999999E-2</v>
      </c>
      <c r="H2175" t="s">
        <v>240</v>
      </c>
      <c r="I2175" t="s">
        <v>241</v>
      </c>
      <c r="J2175" t="s">
        <v>247</v>
      </c>
      <c r="K2175" s="183">
        <f ca="1">VLOOKUP(F2175,
    OFFSET(INDIRECT(ADDRESS(MATCH(J2175,'Vehicle numbers'!$A$5:$A$162,0),1,1,1,$L$6)),4,1,COUNTIF('Vehicle numbers'!$A$5:$A$162,J2175),4),
    MATCH(K$8,'Vehicle numbers'!$B$4:$D$4,0))*1000</f>
        <v>106086</v>
      </c>
      <c r="L2175" s="183">
        <f ca="1">VLOOKUP(F2175,
    OFFSET(INDIRECT(ADDRESS(MATCH(J2175,'Vehicle numbers'!$A$5:$A$162,0),1,1,1,$L$6)),4,1,COUNTIF('Vehicle numbers'!$A$5:$A$162,J2175),4),
    MATCH(L$8,'Vehicle numbers'!$B$4:$D$4,0))*1000</f>
        <v>111650.27851955933</v>
      </c>
      <c r="M2175" s="184">
        <f ca="1">VLOOKUP(F2175,'Annual distance covered (GB)'!$A$8:$H$33,MATCH(J2175,'Annual distance covered (GB)'!$A$7:$H$7,0))</f>
        <v>15.6</v>
      </c>
      <c r="N2175" s="2">
        <f t="shared" ca="1" si="80"/>
        <v>361957.61144096294</v>
      </c>
      <c r="O2175" s="180">
        <f t="shared" ca="1" si="81"/>
        <v>3.2418872235733276</v>
      </c>
      <c r="P2175" s="180"/>
      <c r="Q2175" s="180"/>
      <c r="R2175" s="180"/>
      <c r="S2175" s="180"/>
      <c r="T2175" s="180"/>
    </row>
    <row r="2176" spans="1:20" x14ac:dyDescent="0.25">
      <c r="A2176" t="s">
        <v>244</v>
      </c>
      <c r="B2176" t="s">
        <v>237</v>
      </c>
      <c r="C2176" t="s">
        <v>238</v>
      </c>
      <c r="D2176" t="s">
        <v>265</v>
      </c>
      <c r="E2176" t="s">
        <v>228</v>
      </c>
      <c r="F2176">
        <v>2012</v>
      </c>
      <c r="G2176">
        <v>3.1050816901408399E-3</v>
      </c>
      <c r="H2176" t="s">
        <v>240</v>
      </c>
      <c r="I2176" t="s">
        <v>241</v>
      </c>
      <c r="J2176" t="s">
        <v>247</v>
      </c>
      <c r="K2176" s="183">
        <f ca="1">VLOOKUP(F2176,
    OFFSET(INDIRECT(ADDRESS(MATCH(J2176,'Vehicle numbers'!$A$5:$A$162,0),1,1,1,$L$6)),4,1,COUNTIF('Vehicle numbers'!$A$5:$A$162,J2176),4),
    MATCH(K$8,'Vehicle numbers'!$B$4:$D$4,0))*1000</f>
        <v>106086</v>
      </c>
      <c r="L2176" s="183">
        <f ca="1">VLOOKUP(F2176,
    OFFSET(INDIRECT(ADDRESS(MATCH(J2176,'Vehicle numbers'!$A$5:$A$162,0),1,1,1,$L$6)),4,1,COUNTIF('Vehicle numbers'!$A$5:$A$162,J2176),4),
    MATCH(L$8,'Vehicle numbers'!$B$4:$D$4,0))*1000</f>
        <v>111650.27851955933</v>
      </c>
      <c r="M2176" s="184">
        <f ca="1">VLOOKUP(F2176,'Annual distance covered (GB)'!$A$8:$H$33,MATCH(J2176,'Annual distance covered (GB)'!$A$7:$H$7,0))</f>
        <v>15.6</v>
      </c>
      <c r="N2176" s="2">
        <f t="shared" ca="1" si="80"/>
        <v>50979.945273374971</v>
      </c>
      <c r="O2176" s="180">
        <f t="shared" ca="1" si="81"/>
        <v>0.45660383430610169</v>
      </c>
      <c r="P2176" s="180"/>
      <c r="Q2176" s="180"/>
      <c r="R2176" s="180"/>
      <c r="S2176" s="180"/>
      <c r="T2176" s="180"/>
    </row>
    <row r="2177" spans="1:20" x14ac:dyDescent="0.25">
      <c r="A2177" t="s">
        <v>246</v>
      </c>
      <c r="B2177" t="s">
        <v>237</v>
      </c>
      <c r="C2177" t="s">
        <v>238</v>
      </c>
      <c r="D2177" t="s">
        <v>265</v>
      </c>
      <c r="E2177" t="s">
        <v>228</v>
      </c>
      <c r="F2177">
        <v>2012</v>
      </c>
      <c r="G2177">
        <v>2.4840653521126699E-3</v>
      </c>
      <c r="H2177" t="s">
        <v>240</v>
      </c>
      <c r="I2177" t="s">
        <v>241</v>
      </c>
      <c r="J2177" t="s">
        <v>247</v>
      </c>
      <c r="K2177" s="183">
        <f ca="1">VLOOKUP(F2177,
    OFFSET(INDIRECT(ADDRESS(MATCH(J2177,'Vehicle numbers'!$A$5:$A$162,0),1,1,1,$L$6)),4,1,COUNTIF('Vehicle numbers'!$A$5:$A$162,J2177),4),
    MATCH(K$8,'Vehicle numbers'!$B$4:$D$4,0))*1000</f>
        <v>106086</v>
      </c>
      <c r="L2177" s="183">
        <f ca="1">VLOOKUP(F2177,
    OFFSET(INDIRECT(ADDRESS(MATCH(J2177,'Vehicle numbers'!$A$5:$A$162,0),1,1,1,$L$6)),4,1,COUNTIF('Vehicle numbers'!$A$5:$A$162,J2177),4),
    MATCH(L$8,'Vehicle numbers'!$B$4:$D$4,0))*1000</f>
        <v>111650.27851955933</v>
      </c>
      <c r="M2177" s="184">
        <f ca="1">VLOOKUP(F2177,'Annual distance covered (GB)'!$A$8:$H$33,MATCH(J2177,'Annual distance covered (GB)'!$A$7:$H$7,0))</f>
        <v>15.6</v>
      </c>
      <c r="N2177" s="2">
        <f t="shared" ca="1" si="80"/>
        <v>40783.956218699946</v>
      </c>
      <c r="O2177" s="180">
        <f t="shared" ca="1" si="81"/>
        <v>0.36528306744488104</v>
      </c>
      <c r="P2177" s="180"/>
      <c r="Q2177" s="180"/>
      <c r="R2177" s="180"/>
      <c r="S2177" s="180"/>
      <c r="T2177" s="180"/>
    </row>
    <row r="2178" spans="1:20" x14ac:dyDescent="0.25">
      <c r="A2178" t="s">
        <v>236</v>
      </c>
      <c r="B2178" t="s">
        <v>237</v>
      </c>
      <c r="C2178" t="s">
        <v>238</v>
      </c>
      <c r="D2178" t="s">
        <v>266</v>
      </c>
      <c r="E2178" t="s">
        <v>229</v>
      </c>
      <c r="F2178">
        <v>2012</v>
      </c>
      <c r="G2178">
        <v>2.7143E-2</v>
      </c>
      <c r="H2178" t="s">
        <v>240</v>
      </c>
      <c r="I2178" t="s">
        <v>241</v>
      </c>
      <c r="J2178" t="s">
        <v>247</v>
      </c>
      <c r="K2178" s="183">
        <f ca="1">VLOOKUP(F2178,
    OFFSET(INDIRECT(ADDRESS(MATCH(J2178,'Vehicle numbers'!$A$5:$A$162,0),1,1,1,$L$6)),4,1,COUNTIF('Vehicle numbers'!$A$5:$A$162,J2178),4),
    MATCH(K$8,'Vehicle numbers'!$B$4:$D$4,0))*1000</f>
        <v>106086</v>
      </c>
      <c r="L2178" s="183">
        <f ca="1">VLOOKUP(F2178,
    OFFSET(INDIRECT(ADDRESS(MATCH(J2178,'Vehicle numbers'!$A$5:$A$162,0),1,1,1,$L$6)),4,1,COUNTIF('Vehicle numbers'!$A$5:$A$162,J2178),4),
    MATCH(L$8,'Vehicle numbers'!$B$4:$D$4,0))*1000</f>
        <v>111650.27851955933</v>
      </c>
      <c r="M2178" s="184">
        <f ca="1">VLOOKUP(F2178,'Annual distance covered (GB)'!$A$8:$H$33,MATCH(J2178,'Annual distance covered (GB)'!$A$7:$H$7,0))</f>
        <v>15.6</v>
      </c>
      <c r="N2178" s="2">
        <f t="shared" ca="1" si="80"/>
        <v>445640.01615443913</v>
      </c>
      <c r="O2178" s="180">
        <f t="shared" ca="1" si="81"/>
        <v>3.9913918895990053</v>
      </c>
      <c r="P2178" s="180"/>
      <c r="Q2178" s="180"/>
      <c r="R2178" s="180"/>
      <c r="S2178" s="180"/>
      <c r="T2178" s="180"/>
    </row>
    <row r="2179" spans="1:20" x14ac:dyDescent="0.25">
      <c r="A2179" t="s">
        <v>243</v>
      </c>
      <c r="B2179" t="s">
        <v>237</v>
      </c>
      <c r="C2179" t="s">
        <v>238</v>
      </c>
      <c r="D2179" t="s">
        <v>266</v>
      </c>
      <c r="E2179" t="s">
        <v>229</v>
      </c>
      <c r="F2179">
        <v>2012</v>
      </c>
      <c r="G2179">
        <v>1.0857199999999999E-2</v>
      </c>
      <c r="H2179" t="s">
        <v>240</v>
      </c>
      <c r="I2179" t="s">
        <v>241</v>
      </c>
      <c r="J2179" t="s">
        <v>247</v>
      </c>
      <c r="K2179" s="183">
        <f ca="1">VLOOKUP(F2179,
    OFFSET(INDIRECT(ADDRESS(MATCH(J2179,'Vehicle numbers'!$A$5:$A$162,0),1,1,1,$L$6)),4,1,COUNTIF('Vehicle numbers'!$A$5:$A$162,J2179),4),
    MATCH(K$8,'Vehicle numbers'!$B$4:$D$4,0))*1000</f>
        <v>106086</v>
      </c>
      <c r="L2179" s="183">
        <f ca="1">VLOOKUP(F2179,
    OFFSET(INDIRECT(ADDRESS(MATCH(J2179,'Vehicle numbers'!$A$5:$A$162,0),1,1,1,$L$6)),4,1,COUNTIF('Vehicle numbers'!$A$5:$A$162,J2179),4),
    MATCH(L$8,'Vehicle numbers'!$B$4:$D$4,0))*1000</f>
        <v>111650.27851955933</v>
      </c>
      <c r="M2179" s="184">
        <f ca="1">VLOOKUP(F2179,'Annual distance covered (GB)'!$A$8:$H$33,MATCH(J2179,'Annual distance covered (GB)'!$A$7:$H$7,0))</f>
        <v>15.6</v>
      </c>
      <c r="N2179" s="2">
        <f t="shared" ca="1" si="80"/>
        <v>178256.00646177566</v>
      </c>
      <c r="O2179" s="180">
        <f t="shared" ca="1" si="81"/>
        <v>1.5965567558396021</v>
      </c>
      <c r="P2179" s="180"/>
      <c r="Q2179" s="180"/>
      <c r="R2179" s="180"/>
      <c r="S2179" s="180"/>
      <c r="T2179" s="180"/>
    </row>
    <row r="2180" spans="1:20" x14ac:dyDescent="0.25">
      <c r="A2180" t="s">
        <v>244</v>
      </c>
      <c r="B2180" t="s">
        <v>237</v>
      </c>
      <c r="C2180" t="s">
        <v>238</v>
      </c>
      <c r="D2180" t="s">
        <v>266</v>
      </c>
      <c r="E2180" t="s">
        <v>229</v>
      </c>
      <c r="F2180">
        <v>2012</v>
      </c>
      <c r="G2180">
        <v>2.7142999999999998E-3</v>
      </c>
      <c r="H2180" t="s">
        <v>240</v>
      </c>
      <c r="I2180" t="s">
        <v>241</v>
      </c>
      <c r="J2180" t="s">
        <v>247</v>
      </c>
      <c r="K2180" s="183">
        <f ca="1">VLOOKUP(F2180,
    OFFSET(INDIRECT(ADDRESS(MATCH(J2180,'Vehicle numbers'!$A$5:$A$162,0),1,1,1,$L$6)),4,1,COUNTIF('Vehicle numbers'!$A$5:$A$162,J2180),4),
    MATCH(K$8,'Vehicle numbers'!$B$4:$D$4,0))*1000</f>
        <v>106086</v>
      </c>
      <c r="L2180" s="183">
        <f ca="1">VLOOKUP(F2180,
    OFFSET(INDIRECT(ADDRESS(MATCH(J2180,'Vehicle numbers'!$A$5:$A$162,0),1,1,1,$L$6)),4,1,COUNTIF('Vehicle numbers'!$A$5:$A$162,J2180),4),
    MATCH(L$8,'Vehicle numbers'!$B$4:$D$4,0))*1000</f>
        <v>111650.27851955933</v>
      </c>
      <c r="M2180" s="184">
        <f ca="1">VLOOKUP(F2180,'Annual distance covered (GB)'!$A$8:$H$33,MATCH(J2180,'Annual distance covered (GB)'!$A$7:$H$7,0))</f>
        <v>15.6</v>
      </c>
      <c r="N2180" s="2">
        <f t="shared" ca="1" si="80"/>
        <v>44564.001615443914</v>
      </c>
      <c r="O2180" s="180">
        <f t="shared" ca="1" si="81"/>
        <v>0.39913918895990053</v>
      </c>
      <c r="P2180" s="180"/>
      <c r="Q2180" s="180"/>
      <c r="R2180" s="180"/>
      <c r="S2180" s="180"/>
      <c r="T2180" s="180"/>
    </row>
    <row r="2181" spans="1:20" x14ac:dyDescent="0.25">
      <c r="A2181" t="s">
        <v>246</v>
      </c>
      <c r="B2181" t="s">
        <v>237</v>
      </c>
      <c r="C2181" t="s">
        <v>238</v>
      </c>
      <c r="D2181" t="s">
        <v>266</v>
      </c>
      <c r="E2181" t="s">
        <v>229</v>
      </c>
      <c r="F2181">
        <v>2012</v>
      </c>
      <c r="G2181">
        <v>2.1714400000000002E-3</v>
      </c>
      <c r="H2181" t="s">
        <v>240</v>
      </c>
      <c r="I2181" t="s">
        <v>241</v>
      </c>
      <c r="J2181" t="s">
        <v>247</v>
      </c>
      <c r="K2181" s="183">
        <f ca="1">VLOOKUP(F2181,
    OFFSET(INDIRECT(ADDRESS(MATCH(J2181,'Vehicle numbers'!$A$5:$A$162,0),1,1,1,$L$6)),4,1,COUNTIF('Vehicle numbers'!$A$5:$A$162,J2181),4),
    MATCH(K$8,'Vehicle numbers'!$B$4:$D$4,0))*1000</f>
        <v>106086</v>
      </c>
      <c r="L2181" s="183">
        <f ca="1">VLOOKUP(F2181,
    OFFSET(INDIRECT(ADDRESS(MATCH(J2181,'Vehicle numbers'!$A$5:$A$162,0),1,1,1,$L$6)),4,1,COUNTIF('Vehicle numbers'!$A$5:$A$162,J2181),4),
    MATCH(L$8,'Vehicle numbers'!$B$4:$D$4,0))*1000</f>
        <v>111650.27851955933</v>
      </c>
      <c r="M2181" s="184">
        <f ca="1">VLOOKUP(F2181,'Annual distance covered (GB)'!$A$8:$H$33,MATCH(J2181,'Annual distance covered (GB)'!$A$7:$H$7,0))</f>
        <v>15.6</v>
      </c>
      <c r="N2181" s="2">
        <f t="shared" ca="1" si="80"/>
        <v>35651.20129235513</v>
      </c>
      <c r="O2181" s="180">
        <f t="shared" ca="1" si="81"/>
        <v>0.31931135116792042</v>
      </c>
      <c r="P2181" s="180"/>
      <c r="Q2181" s="180"/>
      <c r="R2181" s="180"/>
      <c r="S2181" s="180"/>
      <c r="T2181" s="180"/>
    </row>
    <row r="2182" spans="1:20" x14ac:dyDescent="0.25">
      <c r="A2182" t="s">
        <v>236</v>
      </c>
      <c r="B2182" t="s">
        <v>237</v>
      </c>
      <c r="C2182" t="s">
        <v>238</v>
      </c>
      <c r="D2182" t="s">
        <v>266</v>
      </c>
      <c r="E2182" t="s">
        <v>228</v>
      </c>
      <c r="F2182">
        <v>2012</v>
      </c>
      <c r="G2182">
        <v>3.8239919999999997E-2</v>
      </c>
      <c r="H2182" t="s">
        <v>240</v>
      </c>
      <c r="I2182" t="s">
        <v>241</v>
      </c>
      <c r="J2182" t="s">
        <v>247</v>
      </c>
      <c r="K2182" s="183">
        <f ca="1">VLOOKUP(F2182,
    OFFSET(INDIRECT(ADDRESS(MATCH(J2182,'Vehicle numbers'!$A$5:$A$162,0),1,1,1,$L$6)),4,1,COUNTIF('Vehicle numbers'!$A$5:$A$162,J2182),4),
    MATCH(K$8,'Vehicle numbers'!$B$4:$D$4,0))*1000</f>
        <v>106086</v>
      </c>
      <c r="L2182" s="183">
        <f ca="1">VLOOKUP(F2182,
    OFFSET(INDIRECT(ADDRESS(MATCH(J2182,'Vehicle numbers'!$A$5:$A$162,0),1,1,1,$L$6)),4,1,COUNTIF('Vehicle numbers'!$A$5:$A$162,J2182),4),
    MATCH(L$8,'Vehicle numbers'!$B$4:$D$4,0))*1000</f>
        <v>111650.27851955933</v>
      </c>
      <c r="M2182" s="184">
        <f ca="1">VLOOKUP(F2182,'Annual distance covered (GB)'!$A$8:$H$33,MATCH(J2182,'Annual distance covered (GB)'!$A$7:$H$7,0))</f>
        <v>15.6</v>
      </c>
      <c r="N2182" s="2">
        <f t="shared" ca="1" si="80"/>
        <v>627831.80070531846</v>
      </c>
      <c r="O2182" s="180">
        <f t="shared" ca="1" si="81"/>
        <v>5.6231995927832141</v>
      </c>
      <c r="P2182" s="180"/>
      <c r="Q2182" s="180"/>
      <c r="R2182" s="180"/>
      <c r="S2182" s="180"/>
      <c r="T2182" s="180"/>
    </row>
    <row r="2183" spans="1:20" x14ac:dyDescent="0.25">
      <c r="A2183" t="s">
        <v>243</v>
      </c>
      <c r="B2183" t="s">
        <v>237</v>
      </c>
      <c r="C2183" t="s">
        <v>238</v>
      </c>
      <c r="D2183" t="s">
        <v>266</v>
      </c>
      <c r="E2183" t="s">
        <v>228</v>
      </c>
      <c r="F2183">
        <v>2012</v>
      </c>
      <c r="G2183">
        <v>2.6767943999999998E-2</v>
      </c>
      <c r="H2183" t="s">
        <v>240</v>
      </c>
      <c r="I2183" t="s">
        <v>241</v>
      </c>
      <c r="J2183" t="s">
        <v>247</v>
      </c>
      <c r="K2183" s="183">
        <f ca="1">VLOOKUP(F2183,
    OFFSET(INDIRECT(ADDRESS(MATCH(J2183,'Vehicle numbers'!$A$5:$A$162,0),1,1,1,$L$6)),4,1,COUNTIF('Vehicle numbers'!$A$5:$A$162,J2183),4),
    MATCH(K$8,'Vehicle numbers'!$B$4:$D$4,0))*1000</f>
        <v>106086</v>
      </c>
      <c r="L2183" s="183">
        <f ca="1">VLOOKUP(F2183,
    OFFSET(INDIRECT(ADDRESS(MATCH(J2183,'Vehicle numbers'!$A$5:$A$162,0),1,1,1,$L$6)),4,1,COUNTIF('Vehicle numbers'!$A$5:$A$162,J2183),4),
    MATCH(L$8,'Vehicle numbers'!$B$4:$D$4,0))*1000</f>
        <v>111650.27851955933</v>
      </c>
      <c r="M2183" s="184">
        <f ca="1">VLOOKUP(F2183,'Annual distance covered (GB)'!$A$8:$H$33,MATCH(J2183,'Annual distance covered (GB)'!$A$7:$H$7,0))</f>
        <v>15.6</v>
      </c>
      <c r="N2183" s="2">
        <f t="shared" ca="1" si="80"/>
        <v>439482.26049372292</v>
      </c>
      <c r="O2183" s="180">
        <f t="shared" ca="1" si="81"/>
        <v>3.93623971494825</v>
      </c>
      <c r="P2183" s="180"/>
      <c r="Q2183" s="180"/>
      <c r="R2183" s="180"/>
      <c r="S2183" s="180"/>
      <c r="T2183" s="180"/>
    </row>
    <row r="2184" spans="1:20" x14ac:dyDescent="0.25">
      <c r="A2184" t="s">
        <v>244</v>
      </c>
      <c r="B2184" t="s">
        <v>237</v>
      </c>
      <c r="C2184" t="s">
        <v>238</v>
      </c>
      <c r="D2184" t="s">
        <v>266</v>
      </c>
      <c r="E2184" t="s">
        <v>228</v>
      </c>
      <c r="F2184">
        <v>2012</v>
      </c>
      <c r="G2184">
        <v>3.7701329577464701E-3</v>
      </c>
      <c r="H2184" t="s">
        <v>240</v>
      </c>
      <c r="I2184" t="s">
        <v>241</v>
      </c>
      <c r="J2184" t="s">
        <v>247</v>
      </c>
      <c r="K2184" s="183">
        <f ca="1">VLOOKUP(F2184,
    OFFSET(INDIRECT(ADDRESS(MATCH(J2184,'Vehicle numbers'!$A$5:$A$162,0),1,1,1,$L$6)),4,1,COUNTIF('Vehicle numbers'!$A$5:$A$162,J2184),4),
    MATCH(K$8,'Vehicle numbers'!$B$4:$D$4,0))*1000</f>
        <v>106086</v>
      </c>
      <c r="L2184" s="183">
        <f ca="1">VLOOKUP(F2184,
    OFFSET(INDIRECT(ADDRESS(MATCH(J2184,'Vehicle numbers'!$A$5:$A$162,0),1,1,1,$L$6)),4,1,COUNTIF('Vehicle numbers'!$A$5:$A$162,J2184),4),
    MATCH(L$8,'Vehicle numbers'!$B$4:$D$4,0))*1000</f>
        <v>111650.27851955933</v>
      </c>
      <c r="M2184" s="184">
        <f ca="1">VLOOKUP(F2184,'Annual distance covered (GB)'!$A$8:$H$33,MATCH(J2184,'Annual distance covered (GB)'!$A$7:$H$7,0))</f>
        <v>15.6</v>
      </c>
      <c r="N2184" s="2">
        <f t="shared" ca="1" si="80"/>
        <v>61898.909928693225</v>
      </c>
      <c r="O2184" s="180">
        <f t="shared" ca="1" si="81"/>
        <v>0.55439995985186485</v>
      </c>
      <c r="P2184" s="180"/>
      <c r="Q2184" s="180"/>
      <c r="R2184" s="180"/>
      <c r="S2184" s="180"/>
      <c r="T2184" s="180"/>
    </row>
    <row r="2185" spans="1:20" x14ac:dyDescent="0.25">
      <c r="A2185" t="s">
        <v>246</v>
      </c>
      <c r="B2185" t="s">
        <v>237</v>
      </c>
      <c r="C2185" t="s">
        <v>238</v>
      </c>
      <c r="D2185" t="s">
        <v>266</v>
      </c>
      <c r="E2185" t="s">
        <v>228</v>
      </c>
      <c r="F2185">
        <v>2012</v>
      </c>
      <c r="G2185">
        <v>3.01610636619718E-3</v>
      </c>
      <c r="H2185" t="s">
        <v>240</v>
      </c>
      <c r="I2185" t="s">
        <v>241</v>
      </c>
      <c r="J2185" t="s">
        <v>247</v>
      </c>
      <c r="K2185" s="183">
        <f ca="1">VLOOKUP(F2185,
    OFFSET(INDIRECT(ADDRESS(MATCH(J2185,'Vehicle numbers'!$A$5:$A$162,0),1,1,1,$L$6)),4,1,COUNTIF('Vehicle numbers'!$A$5:$A$162,J2185),4),
    MATCH(K$8,'Vehicle numbers'!$B$4:$D$4,0))*1000</f>
        <v>106086</v>
      </c>
      <c r="L2185" s="183">
        <f ca="1">VLOOKUP(F2185,
    OFFSET(INDIRECT(ADDRESS(MATCH(J2185,'Vehicle numbers'!$A$5:$A$162,0),1,1,1,$L$6)),4,1,COUNTIF('Vehicle numbers'!$A$5:$A$162,J2185),4),
    MATCH(L$8,'Vehicle numbers'!$B$4:$D$4,0))*1000</f>
        <v>111650.27851955933</v>
      </c>
      <c r="M2185" s="184">
        <f ca="1">VLOOKUP(F2185,'Annual distance covered (GB)'!$A$8:$H$33,MATCH(J2185,'Annual distance covered (GB)'!$A$7:$H$7,0))</f>
        <v>15.6</v>
      </c>
      <c r="N2185" s="2">
        <f t="shared" ca="1" si="80"/>
        <v>49519.127942954648</v>
      </c>
      <c r="O2185" s="180">
        <f t="shared" ca="1" si="81"/>
        <v>0.44351996788149251</v>
      </c>
      <c r="P2185" s="180"/>
      <c r="Q2185" s="180"/>
      <c r="R2185" s="180"/>
      <c r="S2185" s="180"/>
      <c r="T2185" s="180"/>
    </row>
    <row r="2186" spans="1:20" x14ac:dyDescent="0.25">
      <c r="A2186" t="s">
        <v>236</v>
      </c>
      <c r="B2186" t="s">
        <v>237</v>
      </c>
      <c r="C2186" t="s">
        <v>238</v>
      </c>
      <c r="D2186" t="s">
        <v>267</v>
      </c>
      <c r="E2186" t="s">
        <v>229</v>
      </c>
      <c r="F2186">
        <v>2012</v>
      </c>
      <c r="G2186">
        <v>5.0994999999999999E-2</v>
      </c>
      <c r="H2186" t="s">
        <v>240</v>
      </c>
      <c r="I2186" t="s">
        <v>241</v>
      </c>
      <c r="J2186" t="s">
        <v>247</v>
      </c>
      <c r="K2186" s="183">
        <f ca="1">VLOOKUP(F2186,
    OFFSET(INDIRECT(ADDRESS(MATCH(J2186,'Vehicle numbers'!$A$5:$A$162,0),1,1,1,$L$6)),4,1,COUNTIF('Vehicle numbers'!$A$5:$A$162,J2186),4),
    MATCH(K$8,'Vehicle numbers'!$B$4:$D$4,0))*1000</f>
        <v>106086</v>
      </c>
      <c r="L2186" s="183">
        <f ca="1">VLOOKUP(F2186,
    OFFSET(INDIRECT(ADDRESS(MATCH(J2186,'Vehicle numbers'!$A$5:$A$162,0),1,1,1,$L$6)),4,1,COUNTIF('Vehicle numbers'!$A$5:$A$162,J2186),4),
    MATCH(L$8,'Vehicle numbers'!$B$4:$D$4,0))*1000</f>
        <v>111650.27851955933</v>
      </c>
      <c r="M2186" s="184">
        <f ca="1">VLOOKUP(F2186,'Annual distance covered (GB)'!$A$8:$H$33,MATCH(J2186,'Annual distance covered (GB)'!$A$7:$H$7,0))</f>
        <v>15.6</v>
      </c>
      <c r="N2186" s="2">
        <f t="shared" ca="1" si="80"/>
        <v>837247.63746806257</v>
      </c>
      <c r="O2186" s="180">
        <f t="shared" ca="1" si="81"/>
        <v>7.4988405633165556</v>
      </c>
      <c r="P2186" s="180"/>
      <c r="Q2186" s="180"/>
      <c r="R2186" s="180"/>
      <c r="S2186" s="180"/>
      <c r="T2186" s="180"/>
    </row>
    <row r="2187" spans="1:20" x14ac:dyDescent="0.25">
      <c r="A2187" t="s">
        <v>243</v>
      </c>
      <c r="B2187" t="s">
        <v>237</v>
      </c>
      <c r="C2187" t="s">
        <v>238</v>
      </c>
      <c r="D2187" t="s">
        <v>267</v>
      </c>
      <c r="E2187" t="s">
        <v>229</v>
      </c>
      <c r="F2187">
        <v>2012</v>
      </c>
      <c r="G2187">
        <v>2.0397999999999999E-2</v>
      </c>
      <c r="H2187" t="s">
        <v>240</v>
      </c>
      <c r="I2187" t="s">
        <v>241</v>
      </c>
      <c r="J2187" t="s">
        <v>247</v>
      </c>
      <c r="K2187" s="183">
        <f ca="1">VLOOKUP(F2187,
    OFFSET(INDIRECT(ADDRESS(MATCH(J2187,'Vehicle numbers'!$A$5:$A$162,0),1,1,1,$L$6)),4,1,COUNTIF('Vehicle numbers'!$A$5:$A$162,J2187),4),
    MATCH(K$8,'Vehicle numbers'!$B$4:$D$4,0))*1000</f>
        <v>106086</v>
      </c>
      <c r="L2187" s="183">
        <f ca="1">VLOOKUP(F2187,
    OFFSET(INDIRECT(ADDRESS(MATCH(J2187,'Vehicle numbers'!$A$5:$A$162,0),1,1,1,$L$6)),4,1,COUNTIF('Vehicle numbers'!$A$5:$A$162,J2187),4),
    MATCH(L$8,'Vehicle numbers'!$B$4:$D$4,0))*1000</f>
        <v>111650.27851955933</v>
      </c>
      <c r="M2187" s="184">
        <f ca="1">VLOOKUP(F2187,'Annual distance covered (GB)'!$A$8:$H$33,MATCH(J2187,'Annual distance covered (GB)'!$A$7:$H$7,0))</f>
        <v>15.6</v>
      </c>
      <c r="N2187" s="2">
        <f t="shared" ref="N2187:N2250" ca="1" si="82">M2187*G2187*1000000*(L2187/K2187)</f>
        <v>334899.05498722498</v>
      </c>
      <c r="O2187" s="180">
        <f t="shared" ref="O2187:O2250" ca="1" si="83">N2187/L2187</f>
        <v>2.9995362253266218</v>
      </c>
      <c r="P2187" s="180"/>
      <c r="Q2187" s="180"/>
      <c r="R2187" s="180"/>
      <c r="S2187" s="180"/>
      <c r="T2187" s="180"/>
    </row>
    <row r="2188" spans="1:20" x14ac:dyDescent="0.25">
      <c r="A2188" t="s">
        <v>244</v>
      </c>
      <c r="B2188" t="s">
        <v>237</v>
      </c>
      <c r="C2188" t="s">
        <v>238</v>
      </c>
      <c r="D2188" t="s">
        <v>267</v>
      </c>
      <c r="E2188" t="s">
        <v>229</v>
      </c>
      <c r="F2188">
        <v>2012</v>
      </c>
      <c r="G2188">
        <v>5.0994999999999999E-3</v>
      </c>
      <c r="H2188" t="s">
        <v>240</v>
      </c>
      <c r="I2188" t="s">
        <v>241</v>
      </c>
      <c r="J2188" t="s">
        <v>247</v>
      </c>
      <c r="K2188" s="183">
        <f ca="1">VLOOKUP(F2188,
    OFFSET(INDIRECT(ADDRESS(MATCH(J2188,'Vehicle numbers'!$A$5:$A$162,0),1,1,1,$L$6)),4,1,COUNTIF('Vehicle numbers'!$A$5:$A$162,J2188),4),
    MATCH(K$8,'Vehicle numbers'!$B$4:$D$4,0))*1000</f>
        <v>106086</v>
      </c>
      <c r="L2188" s="183">
        <f ca="1">VLOOKUP(F2188,
    OFFSET(INDIRECT(ADDRESS(MATCH(J2188,'Vehicle numbers'!$A$5:$A$162,0),1,1,1,$L$6)),4,1,COUNTIF('Vehicle numbers'!$A$5:$A$162,J2188),4),
    MATCH(L$8,'Vehicle numbers'!$B$4:$D$4,0))*1000</f>
        <v>111650.27851955933</v>
      </c>
      <c r="M2188" s="184">
        <f ca="1">VLOOKUP(F2188,'Annual distance covered (GB)'!$A$8:$H$33,MATCH(J2188,'Annual distance covered (GB)'!$A$7:$H$7,0))</f>
        <v>15.6</v>
      </c>
      <c r="N2188" s="2">
        <f t="shared" ca="1" si="82"/>
        <v>83724.763746806246</v>
      </c>
      <c r="O2188" s="180">
        <f t="shared" ca="1" si="83"/>
        <v>0.74988405633165545</v>
      </c>
      <c r="P2188" s="180"/>
      <c r="Q2188" s="180"/>
      <c r="R2188" s="180"/>
      <c r="S2188" s="180"/>
      <c r="T2188" s="180"/>
    </row>
    <row r="2189" spans="1:20" x14ac:dyDescent="0.25">
      <c r="A2189" t="s">
        <v>246</v>
      </c>
      <c r="B2189" t="s">
        <v>237</v>
      </c>
      <c r="C2189" t="s">
        <v>238</v>
      </c>
      <c r="D2189" t="s">
        <v>267</v>
      </c>
      <c r="E2189" t="s">
        <v>229</v>
      </c>
      <c r="F2189">
        <v>2012</v>
      </c>
      <c r="G2189">
        <v>4.0796000000000001E-3</v>
      </c>
      <c r="H2189" t="s">
        <v>240</v>
      </c>
      <c r="I2189" t="s">
        <v>241</v>
      </c>
      <c r="J2189" t="s">
        <v>247</v>
      </c>
      <c r="K2189" s="183">
        <f ca="1">VLOOKUP(F2189,
    OFFSET(INDIRECT(ADDRESS(MATCH(J2189,'Vehicle numbers'!$A$5:$A$162,0),1,1,1,$L$6)),4,1,COUNTIF('Vehicle numbers'!$A$5:$A$162,J2189),4),
    MATCH(K$8,'Vehicle numbers'!$B$4:$D$4,0))*1000</f>
        <v>106086</v>
      </c>
      <c r="L2189" s="183">
        <f ca="1">VLOOKUP(F2189,
    OFFSET(INDIRECT(ADDRESS(MATCH(J2189,'Vehicle numbers'!$A$5:$A$162,0),1,1,1,$L$6)),4,1,COUNTIF('Vehicle numbers'!$A$5:$A$162,J2189),4),
    MATCH(L$8,'Vehicle numbers'!$B$4:$D$4,0))*1000</f>
        <v>111650.27851955933</v>
      </c>
      <c r="M2189" s="184">
        <f ca="1">VLOOKUP(F2189,'Annual distance covered (GB)'!$A$8:$H$33,MATCH(J2189,'Annual distance covered (GB)'!$A$7:$H$7,0))</f>
        <v>15.6</v>
      </c>
      <c r="N2189" s="2">
        <f t="shared" ca="1" si="82"/>
        <v>66979.810997445005</v>
      </c>
      <c r="O2189" s="180">
        <f t="shared" ca="1" si="83"/>
        <v>0.59990724506532445</v>
      </c>
      <c r="P2189" s="180"/>
      <c r="Q2189" s="180"/>
      <c r="R2189" s="180"/>
      <c r="S2189" s="180"/>
      <c r="T2189" s="180"/>
    </row>
    <row r="2190" spans="1:20" x14ac:dyDescent="0.25">
      <c r="A2190" t="s">
        <v>236</v>
      </c>
      <c r="B2190" t="s">
        <v>237</v>
      </c>
      <c r="C2190" t="s">
        <v>238</v>
      </c>
      <c r="D2190" t="s">
        <v>267</v>
      </c>
      <c r="E2190" t="s">
        <v>228</v>
      </c>
      <c r="F2190">
        <v>2012</v>
      </c>
      <c r="G2190">
        <v>4.7072879999999998E-2</v>
      </c>
      <c r="H2190" t="s">
        <v>240</v>
      </c>
      <c r="I2190" t="s">
        <v>241</v>
      </c>
      <c r="J2190" t="s">
        <v>247</v>
      </c>
      <c r="K2190" s="183">
        <f ca="1">VLOOKUP(F2190,
    OFFSET(INDIRECT(ADDRESS(MATCH(J2190,'Vehicle numbers'!$A$5:$A$162,0),1,1,1,$L$6)),4,1,COUNTIF('Vehicle numbers'!$A$5:$A$162,J2190),4),
    MATCH(K$8,'Vehicle numbers'!$B$4:$D$4,0))*1000</f>
        <v>106086</v>
      </c>
      <c r="L2190" s="183">
        <f ca="1">VLOOKUP(F2190,
    OFFSET(INDIRECT(ADDRESS(MATCH(J2190,'Vehicle numbers'!$A$5:$A$162,0),1,1,1,$L$6)),4,1,COUNTIF('Vehicle numbers'!$A$5:$A$162,J2190),4),
    MATCH(L$8,'Vehicle numbers'!$B$4:$D$4,0))*1000</f>
        <v>111650.27851955933</v>
      </c>
      <c r="M2190" s="184">
        <f ca="1">VLOOKUP(F2190,'Annual distance covered (GB)'!$A$8:$H$33,MATCH(J2190,'Annual distance covered (GB)'!$A$7:$H$7,0))</f>
        <v>15.6</v>
      </c>
      <c r="N2190" s="2">
        <f t="shared" ca="1" si="82"/>
        <v>772853.36932674993</v>
      </c>
      <c r="O2190" s="180">
        <f t="shared" ca="1" si="83"/>
        <v>6.9220908319665186</v>
      </c>
      <c r="P2190" s="180"/>
      <c r="Q2190" s="180"/>
      <c r="R2190" s="180"/>
      <c r="S2190" s="180"/>
      <c r="T2190" s="180"/>
    </row>
    <row r="2191" spans="1:20" x14ac:dyDescent="0.25">
      <c r="A2191" t="s">
        <v>243</v>
      </c>
      <c r="B2191" t="s">
        <v>237</v>
      </c>
      <c r="C2191" t="s">
        <v>238</v>
      </c>
      <c r="D2191" t="s">
        <v>267</v>
      </c>
      <c r="E2191" t="s">
        <v>228</v>
      </c>
      <c r="F2191">
        <v>2012</v>
      </c>
      <c r="G2191">
        <v>3.2951016E-2</v>
      </c>
      <c r="H2191" t="s">
        <v>240</v>
      </c>
      <c r="I2191" t="s">
        <v>241</v>
      </c>
      <c r="J2191" t="s">
        <v>247</v>
      </c>
      <c r="K2191" s="183">
        <f ca="1">VLOOKUP(F2191,
    OFFSET(INDIRECT(ADDRESS(MATCH(J2191,'Vehicle numbers'!$A$5:$A$162,0),1,1,1,$L$6)),4,1,COUNTIF('Vehicle numbers'!$A$5:$A$162,J2191),4),
    MATCH(K$8,'Vehicle numbers'!$B$4:$D$4,0))*1000</f>
        <v>106086</v>
      </c>
      <c r="L2191" s="183">
        <f ca="1">VLOOKUP(F2191,
    OFFSET(INDIRECT(ADDRESS(MATCH(J2191,'Vehicle numbers'!$A$5:$A$162,0),1,1,1,$L$6)),4,1,COUNTIF('Vehicle numbers'!$A$5:$A$162,J2191),4),
    MATCH(L$8,'Vehicle numbers'!$B$4:$D$4,0))*1000</f>
        <v>111650.27851955933</v>
      </c>
      <c r="M2191" s="184">
        <f ca="1">VLOOKUP(F2191,'Annual distance covered (GB)'!$A$8:$H$33,MATCH(J2191,'Annual distance covered (GB)'!$A$7:$H$7,0))</f>
        <v>15.6</v>
      </c>
      <c r="N2191" s="2">
        <f t="shared" ca="1" si="82"/>
        <v>540997.35852872487</v>
      </c>
      <c r="O2191" s="180">
        <f t="shared" ca="1" si="83"/>
        <v>4.8454635823765617</v>
      </c>
      <c r="P2191" s="180"/>
      <c r="Q2191" s="180"/>
      <c r="R2191" s="180"/>
      <c r="S2191" s="180"/>
      <c r="T2191" s="180"/>
    </row>
    <row r="2192" spans="1:20" x14ac:dyDescent="0.25">
      <c r="A2192" t="s">
        <v>244</v>
      </c>
      <c r="B2192" t="s">
        <v>237</v>
      </c>
      <c r="C2192" t="s">
        <v>238</v>
      </c>
      <c r="D2192" t="s">
        <v>267</v>
      </c>
      <c r="E2192" t="s">
        <v>228</v>
      </c>
      <c r="F2192">
        <v>2012</v>
      </c>
      <c r="G2192">
        <v>4.64098816901408E-3</v>
      </c>
      <c r="H2192" t="s">
        <v>240</v>
      </c>
      <c r="I2192" t="s">
        <v>241</v>
      </c>
      <c r="J2192" t="s">
        <v>247</v>
      </c>
      <c r="K2192" s="183">
        <f ca="1">VLOOKUP(F2192,
    OFFSET(INDIRECT(ADDRESS(MATCH(J2192,'Vehicle numbers'!$A$5:$A$162,0),1,1,1,$L$6)),4,1,COUNTIF('Vehicle numbers'!$A$5:$A$162,J2192),4),
    MATCH(K$8,'Vehicle numbers'!$B$4:$D$4,0))*1000</f>
        <v>106086</v>
      </c>
      <c r="L2192" s="183">
        <f ca="1">VLOOKUP(F2192,
    OFFSET(INDIRECT(ADDRESS(MATCH(J2192,'Vehicle numbers'!$A$5:$A$162,0),1,1,1,$L$6)),4,1,COUNTIF('Vehicle numbers'!$A$5:$A$162,J2192),4),
    MATCH(L$8,'Vehicle numbers'!$B$4:$D$4,0))*1000</f>
        <v>111650.27851955933</v>
      </c>
      <c r="M2192" s="184">
        <f ca="1">VLOOKUP(F2192,'Annual distance covered (GB)'!$A$8:$H$33,MATCH(J2192,'Annual distance covered (GB)'!$A$7:$H$7,0))</f>
        <v>15.6</v>
      </c>
      <c r="N2192" s="2">
        <f t="shared" ca="1" si="82"/>
        <v>76196.811060383727</v>
      </c>
      <c r="O2192" s="180">
        <f t="shared" ca="1" si="83"/>
        <v>0.68245965948965615</v>
      </c>
      <c r="P2192" s="180"/>
      <c r="Q2192" s="180"/>
      <c r="R2192" s="180"/>
      <c r="S2192" s="180"/>
      <c r="T2192" s="180"/>
    </row>
    <row r="2193" spans="1:20" x14ac:dyDescent="0.25">
      <c r="A2193" t="s">
        <v>246</v>
      </c>
      <c r="B2193" t="s">
        <v>237</v>
      </c>
      <c r="C2193" t="s">
        <v>238</v>
      </c>
      <c r="D2193" t="s">
        <v>267</v>
      </c>
      <c r="E2193" t="s">
        <v>228</v>
      </c>
      <c r="F2193">
        <v>2012</v>
      </c>
      <c r="G2193">
        <v>3.71279053521126E-3</v>
      </c>
      <c r="H2193" t="s">
        <v>240</v>
      </c>
      <c r="I2193" t="s">
        <v>241</v>
      </c>
      <c r="J2193" t="s">
        <v>247</v>
      </c>
      <c r="K2193" s="183">
        <f ca="1">VLOOKUP(F2193,
    OFFSET(INDIRECT(ADDRESS(MATCH(J2193,'Vehicle numbers'!$A$5:$A$162,0),1,1,1,$L$6)),4,1,COUNTIF('Vehicle numbers'!$A$5:$A$162,J2193),4),
    MATCH(K$8,'Vehicle numbers'!$B$4:$D$4,0))*1000</f>
        <v>106086</v>
      </c>
      <c r="L2193" s="183">
        <f ca="1">VLOOKUP(F2193,
    OFFSET(INDIRECT(ADDRESS(MATCH(J2193,'Vehicle numbers'!$A$5:$A$162,0),1,1,1,$L$6)),4,1,COUNTIF('Vehicle numbers'!$A$5:$A$162,J2193),4),
    MATCH(L$8,'Vehicle numbers'!$B$4:$D$4,0))*1000</f>
        <v>111650.27851955933</v>
      </c>
      <c r="M2193" s="184">
        <f ca="1">VLOOKUP(F2193,'Annual distance covered (GB)'!$A$8:$H$33,MATCH(J2193,'Annual distance covered (GB)'!$A$7:$H$7,0))</f>
        <v>15.6</v>
      </c>
      <c r="N2193" s="2">
        <f t="shared" ca="1" si="82"/>
        <v>60957.448848306907</v>
      </c>
      <c r="O2193" s="180">
        <f t="shared" ca="1" si="83"/>
        <v>0.54596772759172418</v>
      </c>
      <c r="P2193" s="180"/>
      <c r="Q2193" s="180"/>
      <c r="R2193" s="180"/>
      <c r="S2193" s="180"/>
      <c r="T2193" s="180"/>
    </row>
    <row r="2194" spans="1:20" x14ac:dyDescent="0.25">
      <c r="A2194" t="s">
        <v>236</v>
      </c>
      <c r="B2194" t="s">
        <v>237</v>
      </c>
      <c r="C2194" t="s">
        <v>238</v>
      </c>
      <c r="D2194" t="s">
        <v>268</v>
      </c>
      <c r="E2194" t="s">
        <v>229</v>
      </c>
      <c r="F2194">
        <v>2012</v>
      </c>
      <c r="G2194">
        <v>8.4410000000000006E-3</v>
      </c>
      <c r="H2194" t="s">
        <v>240</v>
      </c>
      <c r="I2194" t="s">
        <v>241</v>
      </c>
      <c r="J2194" t="s">
        <v>245</v>
      </c>
      <c r="K2194" s="183">
        <f ca="1">VLOOKUP(F2194,
    OFFSET(INDIRECT(ADDRESS(MATCH(J2194,'Vehicle numbers'!$A$5:$A$162,0),1,1,1,$L$6)),4,1,COUNTIF('Vehicle numbers'!$A$5:$A$162,J2194),4),
    MATCH(K$8,'Vehicle numbers'!$B$4:$D$4,0))*1000</f>
        <v>272689</v>
      </c>
      <c r="L2194" s="183">
        <f ca="1">VLOOKUP(F2194,
    OFFSET(INDIRECT(ADDRESS(MATCH(J2194,'Vehicle numbers'!$A$5:$A$162,0),1,1,1,$L$6)),4,1,COUNTIF('Vehicle numbers'!$A$5:$A$162,J2194),4),
    MATCH(L$8,'Vehicle numbers'!$B$4:$D$4,0))*1000</f>
        <v>286500.48457212967</v>
      </c>
      <c r="M2194" s="184">
        <f ca="1">VLOOKUP(F2194,'Annual distance covered (GB)'!$A$8:$H$33,MATCH(J2194,'Annual distance covered (GB)'!$A$7:$H$7,0))</f>
        <v>12.4</v>
      </c>
      <c r="N2194" s="2">
        <f t="shared" ca="1" si="82"/>
        <v>109969.77259584911</v>
      </c>
      <c r="O2194" s="180">
        <f t="shared" ca="1" si="83"/>
        <v>0.38383799859913675</v>
      </c>
      <c r="P2194" s="180"/>
      <c r="Q2194" s="180"/>
      <c r="R2194" s="180"/>
      <c r="S2194" s="180"/>
      <c r="T2194" s="180"/>
    </row>
    <row r="2195" spans="1:20" x14ac:dyDescent="0.25">
      <c r="A2195" t="s">
        <v>243</v>
      </c>
      <c r="B2195" t="s">
        <v>237</v>
      </c>
      <c r="C2195" t="s">
        <v>238</v>
      </c>
      <c r="D2195" t="s">
        <v>268</v>
      </c>
      <c r="E2195" t="s">
        <v>229</v>
      </c>
      <c r="F2195">
        <v>2012</v>
      </c>
      <c r="G2195">
        <v>3.3763999999999999E-3</v>
      </c>
      <c r="H2195" t="s">
        <v>240</v>
      </c>
      <c r="I2195" t="s">
        <v>241</v>
      </c>
      <c r="J2195" t="s">
        <v>245</v>
      </c>
      <c r="K2195" s="183">
        <f ca="1">VLOOKUP(F2195,
    OFFSET(INDIRECT(ADDRESS(MATCH(J2195,'Vehicle numbers'!$A$5:$A$162,0),1,1,1,$L$6)),4,1,COUNTIF('Vehicle numbers'!$A$5:$A$162,J2195),4),
    MATCH(K$8,'Vehicle numbers'!$B$4:$D$4,0))*1000</f>
        <v>272689</v>
      </c>
      <c r="L2195" s="183">
        <f ca="1">VLOOKUP(F2195,
    OFFSET(INDIRECT(ADDRESS(MATCH(J2195,'Vehicle numbers'!$A$5:$A$162,0),1,1,1,$L$6)),4,1,COUNTIF('Vehicle numbers'!$A$5:$A$162,J2195),4),
    MATCH(L$8,'Vehicle numbers'!$B$4:$D$4,0))*1000</f>
        <v>286500.48457212967</v>
      </c>
      <c r="M2195" s="184">
        <f ca="1">VLOOKUP(F2195,'Annual distance covered (GB)'!$A$8:$H$33,MATCH(J2195,'Annual distance covered (GB)'!$A$7:$H$7,0))</f>
        <v>12.4</v>
      </c>
      <c r="N2195" s="2">
        <f t="shared" ca="1" si="82"/>
        <v>43987.90903833964</v>
      </c>
      <c r="O2195" s="180">
        <f t="shared" ca="1" si="83"/>
        <v>0.15353519943965468</v>
      </c>
      <c r="P2195" s="180"/>
      <c r="Q2195" s="180"/>
      <c r="R2195" s="180"/>
      <c r="S2195" s="180"/>
      <c r="T2195" s="180"/>
    </row>
    <row r="2196" spans="1:20" x14ac:dyDescent="0.25">
      <c r="A2196" t="s">
        <v>244</v>
      </c>
      <c r="B2196" t="s">
        <v>237</v>
      </c>
      <c r="C2196" t="s">
        <v>238</v>
      </c>
      <c r="D2196" t="s">
        <v>268</v>
      </c>
      <c r="E2196" t="s">
        <v>229</v>
      </c>
      <c r="F2196">
        <v>2012</v>
      </c>
      <c r="G2196">
        <v>8.4409999999999997E-4</v>
      </c>
      <c r="H2196" t="s">
        <v>240</v>
      </c>
      <c r="I2196" t="s">
        <v>241</v>
      </c>
      <c r="J2196" t="s">
        <v>245</v>
      </c>
      <c r="K2196" s="183">
        <f ca="1">VLOOKUP(F2196,
    OFFSET(INDIRECT(ADDRESS(MATCH(J2196,'Vehicle numbers'!$A$5:$A$162,0),1,1,1,$L$6)),4,1,COUNTIF('Vehicle numbers'!$A$5:$A$162,J2196),4),
    MATCH(K$8,'Vehicle numbers'!$B$4:$D$4,0))*1000</f>
        <v>272689</v>
      </c>
      <c r="L2196" s="183">
        <f ca="1">VLOOKUP(F2196,
    OFFSET(INDIRECT(ADDRESS(MATCH(J2196,'Vehicle numbers'!$A$5:$A$162,0),1,1,1,$L$6)),4,1,COUNTIF('Vehicle numbers'!$A$5:$A$162,J2196),4),
    MATCH(L$8,'Vehicle numbers'!$B$4:$D$4,0))*1000</f>
        <v>286500.48457212967</v>
      </c>
      <c r="M2196" s="184">
        <f ca="1">VLOOKUP(F2196,'Annual distance covered (GB)'!$A$8:$H$33,MATCH(J2196,'Annual distance covered (GB)'!$A$7:$H$7,0))</f>
        <v>12.4</v>
      </c>
      <c r="N2196" s="2">
        <f t="shared" ca="1" si="82"/>
        <v>10996.97725958491</v>
      </c>
      <c r="O2196" s="180">
        <f t="shared" ca="1" si="83"/>
        <v>3.8383799859913671E-2</v>
      </c>
      <c r="P2196" s="180"/>
      <c r="Q2196" s="180"/>
      <c r="R2196" s="180"/>
      <c r="S2196" s="180"/>
      <c r="T2196" s="180"/>
    </row>
    <row r="2197" spans="1:20" x14ac:dyDescent="0.25">
      <c r="A2197" t="s">
        <v>246</v>
      </c>
      <c r="B2197" t="s">
        <v>237</v>
      </c>
      <c r="C2197" t="s">
        <v>238</v>
      </c>
      <c r="D2197" t="s">
        <v>268</v>
      </c>
      <c r="E2197" t="s">
        <v>229</v>
      </c>
      <c r="F2197">
        <v>2012</v>
      </c>
      <c r="G2197">
        <v>6.7528E-4</v>
      </c>
      <c r="H2197" t="s">
        <v>240</v>
      </c>
      <c r="I2197" t="s">
        <v>241</v>
      </c>
      <c r="J2197" t="s">
        <v>245</v>
      </c>
      <c r="K2197" s="183">
        <f ca="1">VLOOKUP(F2197,
    OFFSET(INDIRECT(ADDRESS(MATCH(J2197,'Vehicle numbers'!$A$5:$A$162,0),1,1,1,$L$6)),4,1,COUNTIF('Vehicle numbers'!$A$5:$A$162,J2197),4),
    MATCH(K$8,'Vehicle numbers'!$B$4:$D$4,0))*1000</f>
        <v>272689</v>
      </c>
      <c r="L2197" s="183">
        <f ca="1">VLOOKUP(F2197,
    OFFSET(INDIRECT(ADDRESS(MATCH(J2197,'Vehicle numbers'!$A$5:$A$162,0),1,1,1,$L$6)),4,1,COUNTIF('Vehicle numbers'!$A$5:$A$162,J2197),4),
    MATCH(L$8,'Vehicle numbers'!$B$4:$D$4,0))*1000</f>
        <v>286500.48457212967</v>
      </c>
      <c r="M2197" s="184">
        <f ca="1">VLOOKUP(F2197,'Annual distance covered (GB)'!$A$8:$H$33,MATCH(J2197,'Annual distance covered (GB)'!$A$7:$H$7,0))</f>
        <v>12.4</v>
      </c>
      <c r="N2197" s="2">
        <f t="shared" ca="1" si="82"/>
        <v>8797.5818076679279</v>
      </c>
      <c r="O2197" s="180">
        <f t="shared" ca="1" si="83"/>
        <v>3.0707039887930936E-2</v>
      </c>
      <c r="P2197" s="180"/>
      <c r="Q2197" s="180"/>
      <c r="R2197" s="180"/>
      <c r="S2197" s="180"/>
      <c r="T2197" s="180"/>
    </row>
    <row r="2198" spans="1:20" x14ac:dyDescent="0.25">
      <c r="A2198" t="s">
        <v>236</v>
      </c>
      <c r="B2198" t="s">
        <v>237</v>
      </c>
      <c r="C2198" t="s">
        <v>238</v>
      </c>
      <c r="D2198" t="s">
        <v>268</v>
      </c>
      <c r="E2198" t="s">
        <v>228</v>
      </c>
      <c r="F2198">
        <v>2012</v>
      </c>
      <c r="G2198">
        <v>1.3984E-2</v>
      </c>
      <c r="H2198" t="s">
        <v>240</v>
      </c>
      <c r="I2198" t="s">
        <v>241</v>
      </c>
      <c r="J2198" t="s">
        <v>245</v>
      </c>
      <c r="K2198" s="183">
        <f ca="1">VLOOKUP(F2198,
    OFFSET(INDIRECT(ADDRESS(MATCH(J2198,'Vehicle numbers'!$A$5:$A$162,0),1,1,1,$L$6)),4,1,COUNTIF('Vehicle numbers'!$A$5:$A$162,J2198),4),
    MATCH(K$8,'Vehicle numbers'!$B$4:$D$4,0))*1000</f>
        <v>272689</v>
      </c>
      <c r="L2198" s="183">
        <f ca="1">VLOOKUP(F2198,
    OFFSET(INDIRECT(ADDRESS(MATCH(J2198,'Vehicle numbers'!$A$5:$A$162,0),1,1,1,$L$6)),4,1,COUNTIF('Vehicle numbers'!$A$5:$A$162,J2198),4),
    MATCH(L$8,'Vehicle numbers'!$B$4:$D$4,0))*1000</f>
        <v>286500.48457212967</v>
      </c>
      <c r="M2198" s="184">
        <f ca="1">VLOOKUP(F2198,'Annual distance covered (GB)'!$A$8:$H$33,MATCH(J2198,'Annual distance covered (GB)'!$A$7:$H$7,0))</f>
        <v>12.4</v>
      </c>
      <c r="N2198" s="2">
        <f t="shared" ca="1" si="82"/>
        <v>182184.25541764646</v>
      </c>
      <c r="O2198" s="180">
        <f t="shared" ca="1" si="83"/>
        <v>0.6358951039462537</v>
      </c>
      <c r="P2198" s="180"/>
      <c r="Q2198" s="180"/>
      <c r="R2198" s="180"/>
      <c r="S2198" s="180"/>
      <c r="T2198" s="180"/>
    </row>
    <row r="2199" spans="1:20" x14ac:dyDescent="0.25">
      <c r="A2199" t="s">
        <v>243</v>
      </c>
      <c r="B2199" t="s">
        <v>237</v>
      </c>
      <c r="C2199" t="s">
        <v>238</v>
      </c>
      <c r="D2199" t="s">
        <v>268</v>
      </c>
      <c r="E2199" t="s">
        <v>228</v>
      </c>
      <c r="F2199">
        <v>2012</v>
      </c>
      <c r="G2199">
        <v>9.7888000000000003E-3</v>
      </c>
      <c r="H2199" t="s">
        <v>240</v>
      </c>
      <c r="I2199" t="s">
        <v>241</v>
      </c>
      <c r="J2199" t="s">
        <v>245</v>
      </c>
      <c r="K2199" s="183">
        <f ca="1">VLOOKUP(F2199,
    OFFSET(INDIRECT(ADDRESS(MATCH(J2199,'Vehicle numbers'!$A$5:$A$162,0),1,1,1,$L$6)),4,1,COUNTIF('Vehicle numbers'!$A$5:$A$162,J2199),4),
    MATCH(K$8,'Vehicle numbers'!$B$4:$D$4,0))*1000</f>
        <v>272689</v>
      </c>
      <c r="L2199" s="183">
        <f ca="1">VLOOKUP(F2199,
    OFFSET(INDIRECT(ADDRESS(MATCH(J2199,'Vehicle numbers'!$A$5:$A$162,0),1,1,1,$L$6)),4,1,COUNTIF('Vehicle numbers'!$A$5:$A$162,J2199),4),
    MATCH(L$8,'Vehicle numbers'!$B$4:$D$4,0))*1000</f>
        <v>286500.48457212967</v>
      </c>
      <c r="M2199" s="184">
        <f ca="1">VLOOKUP(F2199,'Annual distance covered (GB)'!$A$8:$H$33,MATCH(J2199,'Annual distance covered (GB)'!$A$7:$H$7,0))</f>
        <v>12.4</v>
      </c>
      <c r="N2199" s="2">
        <f t="shared" ca="1" si="82"/>
        <v>127528.97879235253</v>
      </c>
      <c r="O2199" s="180">
        <f t="shared" ca="1" si="83"/>
        <v>0.44512657276237766</v>
      </c>
      <c r="P2199" s="180"/>
      <c r="Q2199" s="180"/>
      <c r="R2199" s="180"/>
      <c r="S2199" s="180"/>
      <c r="T2199" s="180"/>
    </row>
    <row r="2200" spans="1:20" x14ac:dyDescent="0.25">
      <c r="A2200" t="s">
        <v>244</v>
      </c>
      <c r="B2200" t="s">
        <v>237</v>
      </c>
      <c r="C2200" t="s">
        <v>238</v>
      </c>
      <c r="D2200" t="s">
        <v>268</v>
      </c>
      <c r="E2200" t="s">
        <v>228</v>
      </c>
      <c r="F2200">
        <v>2012</v>
      </c>
      <c r="G2200">
        <v>1.3787042253521099E-3</v>
      </c>
      <c r="H2200" t="s">
        <v>240</v>
      </c>
      <c r="I2200" t="s">
        <v>241</v>
      </c>
      <c r="J2200" t="s">
        <v>245</v>
      </c>
      <c r="K2200" s="183">
        <f ca="1">VLOOKUP(F2200,
    OFFSET(INDIRECT(ADDRESS(MATCH(J2200,'Vehicle numbers'!$A$5:$A$162,0),1,1,1,$L$6)),4,1,COUNTIF('Vehicle numbers'!$A$5:$A$162,J2200),4),
    MATCH(K$8,'Vehicle numbers'!$B$4:$D$4,0))*1000</f>
        <v>272689</v>
      </c>
      <c r="L2200" s="183">
        <f ca="1">VLOOKUP(F2200,
    OFFSET(INDIRECT(ADDRESS(MATCH(J2200,'Vehicle numbers'!$A$5:$A$162,0),1,1,1,$L$6)),4,1,COUNTIF('Vehicle numbers'!$A$5:$A$162,J2200),4),
    MATCH(L$8,'Vehicle numbers'!$B$4:$D$4,0))*1000</f>
        <v>286500.48457212967</v>
      </c>
      <c r="M2200" s="184">
        <f ca="1">VLOOKUP(F2200,'Annual distance covered (GB)'!$A$8:$H$33,MATCH(J2200,'Annual distance covered (GB)'!$A$7:$H$7,0))</f>
        <v>12.4</v>
      </c>
      <c r="N2200" s="2">
        <f t="shared" ca="1" si="82"/>
        <v>17961.827998922854</v>
      </c>
      <c r="O2200" s="180">
        <f t="shared" ca="1" si="83"/>
        <v>6.2693883487658697E-2</v>
      </c>
      <c r="P2200" s="180"/>
      <c r="Q2200" s="180"/>
      <c r="R2200" s="180"/>
      <c r="S2200" s="180"/>
      <c r="T2200" s="180"/>
    </row>
    <row r="2201" spans="1:20" x14ac:dyDescent="0.25">
      <c r="A2201" t="s">
        <v>246</v>
      </c>
      <c r="B2201" t="s">
        <v>237</v>
      </c>
      <c r="C2201" t="s">
        <v>238</v>
      </c>
      <c r="D2201" t="s">
        <v>268</v>
      </c>
      <c r="E2201" t="s">
        <v>228</v>
      </c>
      <c r="F2201">
        <v>2012</v>
      </c>
      <c r="G2201">
        <v>1.10296338028169E-3</v>
      </c>
      <c r="H2201" t="s">
        <v>240</v>
      </c>
      <c r="I2201" t="s">
        <v>241</v>
      </c>
      <c r="J2201" t="s">
        <v>245</v>
      </c>
      <c r="K2201" s="183">
        <f ca="1">VLOOKUP(F2201,
    OFFSET(INDIRECT(ADDRESS(MATCH(J2201,'Vehicle numbers'!$A$5:$A$162,0),1,1,1,$L$6)),4,1,COUNTIF('Vehicle numbers'!$A$5:$A$162,J2201),4),
    MATCH(K$8,'Vehicle numbers'!$B$4:$D$4,0))*1000</f>
        <v>272689</v>
      </c>
      <c r="L2201" s="183">
        <f ca="1">VLOOKUP(F2201,
    OFFSET(INDIRECT(ADDRESS(MATCH(J2201,'Vehicle numbers'!$A$5:$A$162,0),1,1,1,$L$6)),4,1,COUNTIF('Vehicle numbers'!$A$5:$A$162,J2201),4),
    MATCH(L$8,'Vehicle numbers'!$B$4:$D$4,0))*1000</f>
        <v>286500.48457212967</v>
      </c>
      <c r="M2201" s="184">
        <f ca="1">VLOOKUP(F2201,'Annual distance covered (GB)'!$A$8:$H$33,MATCH(J2201,'Annual distance covered (GB)'!$A$7:$H$7,0))</f>
        <v>12.4</v>
      </c>
      <c r="N2201" s="2">
        <f t="shared" ca="1" si="82"/>
        <v>14369.462399138311</v>
      </c>
      <c r="O2201" s="180">
        <f t="shared" ca="1" si="83"/>
        <v>5.0155106790127045E-2</v>
      </c>
      <c r="P2201" s="180"/>
      <c r="Q2201" s="180"/>
      <c r="R2201" s="180"/>
      <c r="S2201" s="180"/>
      <c r="T2201" s="180"/>
    </row>
    <row r="2202" spans="1:20" x14ac:dyDescent="0.25">
      <c r="A2202" t="s">
        <v>236</v>
      </c>
      <c r="B2202" t="s">
        <v>237</v>
      </c>
      <c r="C2202" t="s">
        <v>238</v>
      </c>
      <c r="D2202" t="s">
        <v>269</v>
      </c>
      <c r="E2202" t="s">
        <v>229</v>
      </c>
      <c r="F2202">
        <v>2012</v>
      </c>
      <c r="G2202">
        <v>2.7143E-2</v>
      </c>
      <c r="H2202" t="s">
        <v>240</v>
      </c>
      <c r="I2202" t="s">
        <v>241</v>
      </c>
      <c r="J2202" t="s">
        <v>245</v>
      </c>
      <c r="K2202" s="183">
        <f ca="1">VLOOKUP(F2202,
    OFFSET(INDIRECT(ADDRESS(MATCH(J2202,'Vehicle numbers'!$A$5:$A$162,0),1,1,1,$L$6)),4,1,COUNTIF('Vehicle numbers'!$A$5:$A$162,J2202),4),
    MATCH(K$8,'Vehicle numbers'!$B$4:$D$4,0))*1000</f>
        <v>272689</v>
      </c>
      <c r="L2202" s="183">
        <f ca="1">VLOOKUP(F2202,
    OFFSET(INDIRECT(ADDRESS(MATCH(J2202,'Vehicle numbers'!$A$5:$A$162,0),1,1,1,$L$6)),4,1,COUNTIF('Vehicle numbers'!$A$5:$A$162,J2202),4),
    MATCH(L$8,'Vehicle numbers'!$B$4:$D$4,0))*1000</f>
        <v>286500.48457212967</v>
      </c>
      <c r="M2202" s="184">
        <f ca="1">VLOOKUP(F2202,'Annual distance covered (GB)'!$A$8:$H$33,MATCH(J2202,'Annual distance covered (GB)'!$A$7:$H$7,0))</f>
        <v>12.4</v>
      </c>
      <c r="N2202" s="2">
        <f t="shared" ca="1" si="82"/>
        <v>353620.36933646869</v>
      </c>
      <c r="O2202" s="180">
        <f t="shared" ca="1" si="83"/>
        <v>1.2342749432503695</v>
      </c>
      <c r="P2202" s="180"/>
      <c r="Q2202" s="180"/>
      <c r="R2202" s="180"/>
      <c r="S2202" s="180"/>
      <c r="T2202" s="180"/>
    </row>
    <row r="2203" spans="1:20" x14ac:dyDescent="0.25">
      <c r="A2203" t="s">
        <v>243</v>
      </c>
      <c r="B2203" t="s">
        <v>237</v>
      </c>
      <c r="C2203" t="s">
        <v>238</v>
      </c>
      <c r="D2203" t="s">
        <v>269</v>
      </c>
      <c r="E2203" t="s">
        <v>229</v>
      </c>
      <c r="F2203">
        <v>2012</v>
      </c>
      <c r="G2203">
        <v>1.0857199999999999E-2</v>
      </c>
      <c r="H2203" t="s">
        <v>240</v>
      </c>
      <c r="I2203" t="s">
        <v>241</v>
      </c>
      <c r="J2203" t="s">
        <v>245</v>
      </c>
      <c r="K2203" s="183">
        <f ca="1">VLOOKUP(F2203,
    OFFSET(INDIRECT(ADDRESS(MATCH(J2203,'Vehicle numbers'!$A$5:$A$162,0),1,1,1,$L$6)),4,1,COUNTIF('Vehicle numbers'!$A$5:$A$162,J2203),4),
    MATCH(K$8,'Vehicle numbers'!$B$4:$D$4,0))*1000</f>
        <v>272689</v>
      </c>
      <c r="L2203" s="183">
        <f ca="1">VLOOKUP(F2203,
    OFFSET(INDIRECT(ADDRESS(MATCH(J2203,'Vehicle numbers'!$A$5:$A$162,0),1,1,1,$L$6)),4,1,COUNTIF('Vehicle numbers'!$A$5:$A$162,J2203),4),
    MATCH(L$8,'Vehicle numbers'!$B$4:$D$4,0))*1000</f>
        <v>286500.48457212967</v>
      </c>
      <c r="M2203" s="184">
        <f ca="1">VLOOKUP(F2203,'Annual distance covered (GB)'!$A$8:$H$33,MATCH(J2203,'Annual distance covered (GB)'!$A$7:$H$7,0))</f>
        <v>12.4</v>
      </c>
      <c r="N2203" s="2">
        <f t="shared" ca="1" si="82"/>
        <v>141448.14773458746</v>
      </c>
      <c r="O2203" s="180">
        <f t="shared" ca="1" si="83"/>
        <v>0.49370997730014771</v>
      </c>
      <c r="P2203" s="180"/>
      <c r="Q2203" s="180"/>
      <c r="R2203" s="180"/>
      <c r="S2203" s="180"/>
      <c r="T2203" s="180"/>
    </row>
    <row r="2204" spans="1:20" x14ac:dyDescent="0.25">
      <c r="A2204" t="s">
        <v>244</v>
      </c>
      <c r="B2204" t="s">
        <v>237</v>
      </c>
      <c r="C2204" t="s">
        <v>238</v>
      </c>
      <c r="D2204" t="s">
        <v>269</v>
      </c>
      <c r="E2204" t="s">
        <v>229</v>
      </c>
      <c r="F2204">
        <v>2012</v>
      </c>
      <c r="G2204">
        <v>2.7142999999999998E-3</v>
      </c>
      <c r="H2204" t="s">
        <v>240</v>
      </c>
      <c r="I2204" t="s">
        <v>241</v>
      </c>
      <c r="J2204" t="s">
        <v>245</v>
      </c>
      <c r="K2204" s="183">
        <f ca="1">VLOOKUP(F2204,
    OFFSET(INDIRECT(ADDRESS(MATCH(J2204,'Vehicle numbers'!$A$5:$A$162,0),1,1,1,$L$6)),4,1,COUNTIF('Vehicle numbers'!$A$5:$A$162,J2204),4),
    MATCH(K$8,'Vehicle numbers'!$B$4:$D$4,0))*1000</f>
        <v>272689</v>
      </c>
      <c r="L2204" s="183">
        <f ca="1">VLOOKUP(F2204,
    OFFSET(INDIRECT(ADDRESS(MATCH(J2204,'Vehicle numbers'!$A$5:$A$162,0),1,1,1,$L$6)),4,1,COUNTIF('Vehicle numbers'!$A$5:$A$162,J2204),4),
    MATCH(L$8,'Vehicle numbers'!$B$4:$D$4,0))*1000</f>
        <v>286500.48457212967</v>
      </c>
      <c r="M2204" s="184">
        <f ca="1">VLOOKUP(F2204,'Annual distance covered (GB)'!$A$8:$H$33,MATCH(J2204,'Annual distance covered (GB)'!$A$7:$H$7,0))</f>
        <v>12.4</v>
      </c>
      <c r="N2204" s="2">
        <f t="shared" ca="1" si="82"/>
        <v>35362.036933646865</v>
      </c>
      <c r="O2204" s="180">
        <f t="shared" ca="1" si="83"/>
        <v>0.12342749432503693</v>
      </c>
      <c r="P2204" s="180"/>
      <c r="Q2204" s="180"/>
      <c r="R2204" s="180"/>
      <c r="S2204" s="180"/>
      <c r="T2204" s="180"/>
    </row>
    <row r="2205" spans="1:20" x14ac:dyDescent="0.25">
      <c r="A2205" t="s">
        <v>246</v>
      </c>
      <c r="B2205" t="s">
        <v>237</v>
      </c>
      <c r="C2205" t="s">
        <v>238</v>
      </c>
      <c r="D2205" t="s">
        <v>269</v>
      </c>
      <c r="E2205" t="s">
        <v>229</v>
      </c>
      <c r="F2205">
        <v>2012</v>
      </c>
      <c r="G2205">
        <v>2.1714400000000002E-3</v>
      </c>
      <c r="H2205" t="s">
        <v>240</v>
      </c>
      <c r="I2205" t="s">
        <v>241</v>
      </c>
      <c r="J2205" t="s">
        <v>245</v>
      </c>
      <c r="K2205" s="183">
        <f ca="1">VLOOKUP(F2205,
    OFFSET(INDIRECT(ADDRESS(MATCH(J2205,'Vehicle numbers'!$A$5:$A$162,0),1,1,1,$L$6)),4,1,COUNTIF('Vehicle numbers'!$A$5:$A$162,J2205),4),
    MATCH(K$8,'Vehicle numbers'!$B$4:$D$4,0))*1000</f>
        <v>272689</v>
      </c>
      <c r="L2205" s="183">
        <f ca="1">VLOOKUP(F2205,
    OFFSET(INDIRECT(ADDRESS(MATCH(J2205,'Vehicle numbers'!$A$5:$A$162,0),1,1,1,$L$6)),4,1,COUNTIF('Vehicle numbers'!$A$5:$A$162,J2205),4),
    MATCH(L$8,'Vehicle numbers'!$B$4:$D$4,0))*1000</f>
        <v>286500.48457212967</v>
      </c>
      <c r="M2205" s="184">
        <f ca="1">VLOOKUP(F2205,'Annual distance covered (GB)'!$A$8:$H$33,MATCH(J2205,'Annual distance covered (GB)'!$A$7:$H$7,0))</f>
        <v>12.4</v>
      </c>
      <c r="N2205" s="2">
        <f t="shared" ca="1" si="82"/>
        <v>28289.629546917495</v>
      </c>
      <c r="O2205" s="180">
        <f t="shared" ca="1" si="83"/>
        <v>9.8741995460029555E-2</v>
      </c>
      <c r="P2205" s="180"/>
      <c r="Q2205" s="180"/>
      <c r="R2205" s="180"/>
      <c r="S2205" s="180"/>
      <c r="T2205" s="180"/>
    </row>
    <row r="2206" spans="1:20" x14ac:dyDescent="0.25">
      <c r="A2206" t="s">
        <v>236</v>
      </c>
      <c r="B2206" t="s">
        <v>237</v>
      </c>
      <c r="C2206" t="s">
        <v>238</v>
      </c>
      <c r="D2206" t="s">
        <v>269</v>
      </c>
      <c r="E2206" t="s">
        <v>228</v>
      </c>
      <c r="F2206">
        <v>2012</v>
      </c>
      <c r="G2206">
        <v>1.7388480000000001E-2</v>
      </c>
      <c r="H2206" t="s">
        <v>240</v>
      </c>
      <c r="I2206" t="s">
        <v>241</v>
      </c>
      <c r="J2206" t="s">
        <v>245</v>
      </c>
      <c r="K2206" s="183">
        <f ca="1">VLOOKUP(F2206,
    OFFSET(INDIRECT(ADDRESS(MATCH(J2206,'Vehicle numbers'!$A$5:$A$162,0),1,1,1,$L$6)),4,1,COUNTIF('Vehicle numbers'!$A$5:$A$162,J2206),4),
    MATCH(K$8,'Vehicle numbers'!$B$4:$D$4,0))*1000</f>
        <v>272689</v>
      </c>
      <c r="L2206" s="183">
        <f ca="1">VLOOKUP(F2206,
    OFFSET(INDIRECT(ADDRESS(MATCH(J2206,'Vehicle numbers'!$A$5:$A$162,0),1,1,1,$L$6)),4,1,COUNTIF('Vehicle numbers'!$A$5:$A$162,J2206),4),
    MATCH(L$8,'Vehicle numbers'!$B$4:$D$4,0))*1000</f>
        <v>286500.48457212967</v>
      </c>
      <c r="M2206" s="184">
        <f ca="1">VLOOKUP(F2206,'Annual distance covered (GB)'!$A$8:$H$33,MATCH(J2206,'Annual distance covered (GB)'!$A$7:$H$7,0))</f>
        <v>12.4</v>
      </c>
      <c r="N2206" s="2">
        <f t="shared" ca="1" si="82"/>
        <v>226537.99210845522</v>
      </c>
      <c r="O2206" s="180">
        <f t="shared" ca="1" si="83"/>
        <v>0.7907071865751828</v>
      </c>
      <c r="P2206" s="180"/>
      <c r="Q2206" s="180"/>
      <c r="R2206" s="180"/>
      <c r="S2206" s="180"/>
      <c r="T2206" s="180"/>
    </row>
    <row r="2207" spans="1:20" x14ac:dyDescent="0.25">
      <c r="A2207" t="s">
        <v>243</v>
      </c>
      <c r="B2207" t="s">
        <v>237</v>
      </c>
      <c r="C2207" t="s">
        <v>238</v>
      </c>
      <c r="D2207" t="s">
        <v>269</v>
      </c>
      <c r="E2207" t="s">
        <v>228</v>
      </c>
      <c r="F2207">
        <v>2012</v>
      </c>
      <c r="G2207">
        <v>1.2171936E-2</v>
      </c>
      <c r="H2207" t="s">
        <v>240</v>
      </c>
      <c r="I2207" t="s">
        <v>241</v>
      </c>
      <c r="J2207" t="s">
        <v>245</v>
      </c>
      <c r="K2207" s="183">
        <f ca="1">VLOOKUP(F2207,
    OFFSET(INDIRECT(ADDRESS(MATCH(J2207,'Vehicle numbers'!$A$5:$A$162,0),1,1,1,$L$6)),4,1,COUNTIF('Vehicle numbers'!$A$5:$A$162,J2207),4),
    MATCH(K$8,'Vehicle numbers'!$B$4:$D$4,0))*1000</f>
        <v>272689</v>
      </c>
      <c r="L2207" s="183">
        <f ca="1">VLOOKUP(F2207,
    OFFSET(INDIRECT(ADDRESS(MATCH(J2207,'Vehicle numbers'!$A$5:$A$162,0),1,1,1,$L$6)),4,1,COUNTIF('Vehicle numbers'!$A$5:$A$162,J2207),4),
    MATCH(L$8,'Vehicle numbers'!$B$4:$D$4,0))*1000</f>
        <v>286500.48457212967</v>
      </c>
      <c r="M2207" s="184">
        <f ca="1">VLOOKUP(F2207,'Annual distance covered (GB)'!$A$8:$H$33,MATCH(J2207,'Annual distance covered (GB)'!$A$7:$H$7,0))</f>
        <v>12.4</v>
      </c>
      <c r="N2207" s="2">
        <f t="shared" ca="1" si="82"/>
        <v>158576.59447591859</v>
      </c>
      <c r="O2207" s="180">
        <f t="shared" ca="1" si="83"/>
        <v>0.55349503060262772</v>
      </c>
      <c r="P2207" s="180"/>
      <c r="Q2207" s="180"/>
      <c r="R2207" s="180"/>
      <c r="S2207" s="180"/>
      <c r="T2207" s="180"/>
    </row>
    <row r="2208" spans="1:20" x14ac:dyDescent="0.25">
      <c r="A2208" t="s">
        <v>244</v>
      </c>
      <c r="B2208" t="s">
        <v>237</v>
      </c>
      <c r="C2208" t="s">
        <v>238</v>
      </c>
      <c r="D2208" t="s">
        <v>269</v>
      </c>
      <c r="E2208" t="s">
        <v>228</v>
      </c>
      <c r="F2208">
        <v>2012</v>
      </c>
      <c r="G2208">
        <v>1.71435718309859E-3</v>
      </c>
      <c r="H2208" t="s">
        <v>240</v>
      </c>
      <c r="I2208" t="s">
        <v>241</v>
      </c>
      <c r="J2208" t="s">
        <v>245</v>
      </c>
      <c r="K2208" s="183">
        <f ca="1">VLOOKUP(F2208,
    OFFSET(INDIRECT(ADDRESS(MATCH(J2208,'Vehicle numbers'!$A$5:$A$162,0),1,1,1,$L$6)),4,1,COUNTIF('Vehicle numbers'!$A$5:$A$162,J2208),4),
    MATCH(K$8,'Vehicle numbers'!$B$4:$D$4,0))*1000</f>
        <v>272689</v>
      </c>
      <c r="L2208" s="183">
        <f ca="1">VLOOKUP(F2208,
    OFFSET(INDIRECT(ADDRESS(MATCH(J2208,'Vehicle numbers'!$A$5:$A$162,0),1,1,1,$L$6)),4,1,COUNTIF('Vehicle numbers'!$A$5:$A$162,J2208),4),
    MATCH(L$8,'Vehicle numbers'!$B$4:$D$4,0))*1000</f>
        <v>286500.48457212967</v>
      </c>
      <c r="M2208" s="184">
        <f ca="1">VLOOKUP(F2208,'Annual distance covered (GB)'!$A$8:$H$33,MATCH(J2208,'Annual distance covered (GB)'!$A$7:$H$7,0))</f>
        <v>12.4</v>
      </c>
      <c r="N2208" s="2">
        <f t="shared" ca="1" si="82"/>
        <v>22334.731616326546</v>
      </c>
      <c r="O2208" s="180">
        <f t="shared" ca="1" si="83"/>
        <v>7.7957046563750326E-2</v>
      </c>
      <c r="P2208" s="180"/>
      <c r="Q2208" s="180"/>
      <c r="R2208" s="180"/>
      <c r="S2208" s="180"/>
      <c r="T2208" s="180"/>
    </row>
    <row r="2209" spans="1:20" x14ac:dyDescent="0.25">
      <c r="A2209" t="s">
        <v>246</v>
      </c>
      <c r="B2209" t="s">
        <v>237</v>
      </c>
      <c r="C2209" t="s">
        <v>238</v>
      </c>
      <c r="D2209" t="s">
        <v>269</v>
      </c>
      <c r="E2209" t="s">
        <v>228</v>
      </c>
      <c r="F2209">
        <v>2012</v>
      </c>
      <c r="G2209">
        <v>1.37148574647887E-3</v>
      </c>
      <c r="H2209" t="s">
        <v>240</v>
      </c>
      <c r="I2209" t="s">
        <v>241</v>
      </c>
      <c r="J2209" t="s">
        <v>245</v>
      </c>
      <c r="K2209" s="183">
        <f ca="1">VLOOKUP(F2209,
    OFFSET(INDIRECT(ADDRESS(MATCH(J2209,'Vehicle numbers'!$A$5:$A$162,0),1,1,1,$L$6)),4,1,COUNTIF('Vehicle numbers'!$A$5:$A$162,J2209),4),
    MATCH(K$8,'Vehicle numbers'!$B$4:$D$4,0))*1000</f>
        <v>272689</v>
      </c>
      <c r="L2209" s="183">
        <f ca="1">VLOOKUP(F2209,
    OFFSET(INDIRECT(ADDRESS(MATCH(J2209,'Vehicle numbers'!$A$5:$A$162,0),1,1,1,$L$6)),4,1,COUNTIF('Vehicle numbers'!$A$5:$A$162,J2209),4),
    MATCH(L$8,'Vehicle numbers'!$B$4:$D$4,0))*1000</f>
        <v>286500.48457212967</v>
      </c>
      <c r="M2209" s="184">
        <f ca="1">VLOOKUP(F2209,'Annual distance covered (GB)'!$A$8:$H$33,MATCH(J2209,'Annual distance covered (GB)'!$A$7:$H$7,0))</f>
        <v>12.4</v>
      </c>
      <c r="N2209" s="2">
        <f t="shared" ca="1" si="82"/>
        <v>17867.78529306121</v>
      </c>
      <c r="O2209" s="180">
        <f t="shared" ca="1" si="83"/>
        <v>6.2365637251000167E-2</v>
      </c>
      <c r="P2209" s="180"/>
      <c r="Q2209" s="180"/>
      <c r="R2209" s="180"/>
      <c r="S2209" s="180"/>
      <c r="T2209" s="180"/>
    </row>
    <row r="2210" spans="1:20" x14ac:dyDescent="0.25">
      <c r="A2210" t="s">
        <v>236</v>
      </c>
      <c r="B2210" t="s">
        <v>237</v>
      </c>
      <c r="C2210" t="s">
        <v>238</v>
      </c>
      <c r="D2210" t="s">
        <v>270</v>
      </c>
      <c r="E2210" t="s">
        <v>229</v>
      </c>
      <c r="F2210">
        <v>2012</v>
      </c>
      <c r="G2210">
        <v>5.0994999999999999E-2</v>
      </c>
      <c r="H2210" t="s">
        <v>240</v>
      </c>
      <c r="I2210" t="s">
        <v>241</v>
      </c>
      <c r="J2210" t="s">
        <v>245</v>
      </c>
      <c r="K2210" s="183">
        <f ca="1">VLOOKUP(F2210,
    OFFSET(INDIRECT(ADDRESS(MATCH(J2210,'Vehicle numbers'!$A$5:$A$162,0),1,1,1,$L$6)),4,1,COUNTIF('Vehicle numbers'!$A$5:$A$162,J2210),4),
    MATCH(K$8,'Vehicle numbers'!$B$4:$D$4,0))*1000</f>
        <v>272689</v>
      </c>
      <c r="L2210" s="183">
        <f ca="1">VLOOKUP(F2210,
    OFFSET(INDIRECT(ADDRESS(MATCH(J2210,'Vehicle numbers'!$A$5:$A$162,0),1,1,1,$L$6)),4,1,COUNTIF('Vehicle numbers'!$A$5:$A$162,J2210),4),
    MATCH(L$8,'Vehicle numbers'!$B$4:$D$4,0))*1000</f>
        <v>286500.48457212967</v>
      </c>
      <c r="M2210" s="184">
        <f ca="1">VLOOKUP(F2210,'Annual distance covered (GB)'!$A$8:$H$33,MATCH(J2210,'Annual distance covered (GB)'!$A$7:$H$7,0))</f>
        <v>12.4</v>
      </c>
      <c r="N2210" s="2">
        <f t="shared" ca="1" si="82"/>
        <v>664365.42513035482</v>
      </c>
      <c r="O2210" s="180">
        <f t="shared" ca="1" si="83"/>
        <v>2.3188980853646459</v>
      </c>
      <c r="P2210" s="180"/>
      <c r="Q2210" s="180"/>
      <c r="R2210" s="180"/>
      <c r="S2210" s="180"/>
      <c r="T2210" s="180"/>
    </row>
    <row r="2211" spans="1:20" x14ac:dyDescent="0.25">
      <c r="A2211" t="s">
        <v>243</v>
      </c>
      <c r="B2211" t="s">
        <v>237</v>
      </c>
      <c r="C2211" t="s">
        <v>238</v>
      </c>
      <c r="D2211" t="s">
        <v>270</v>
      </c>
      <c r="E2211" t="s">
        <v>229</v>
      </c>
      <c r="F2211">
        <v>2012</v>
      </c>
      <c r="G2211">
        <v>2.0397999999999999E-2</v>
      </c>
      <c r="H2211" t="s">
        <v>240</v>
      </c>
      <c r="I2211" t="s">
        <v>241</v>
      </c>
      <c r="J2211" t="s">
        <v>245</v>
      </c>
      <c r="K2211" s="183">
        <f ca="1">VLOOKUP(F2211,
    OFFSET(INDIRECT(ADDRESS(MATCH(J2211,'Vehicle numbers'!$A$5:$A$162,0),1,1,1,$L$6)),4,1,COUNTIF('Vehicle numbers'!$A$5:$A$162,J2211),4),
    MATCH(K$8,'Vehicle numbers'!$B$4:$D$4,0))*1000</f>
        <v>272689</v>
      </c>
      <c r="L2211" s="183">
        <f ca="1">VLOOKUP(F2211,
    OFFSET(INDIRECT(ADDRESS(MATCH(J2211,'Vehicle numbers'!$A$5:$A$162,0),1,1,1,$L$6)),4,1,COUNTIF('Vehicle numbers'!$A$5:$A$162,J2211),4),
    MATCH(L$8,'Vehicle numbers'!$B$4:$D$4,0))*1000</f>
        <v>286500.48457212967</v>
      </c>
      <c r="M2211" s="184">
        <f ca="1">VLOOKUP(F2211,'Annual distance covered (GB)'!$A$8:$H$33,MATCH(J2211,'Annual distance covered (GB)'!$A$7:$H$7,0))</f>
        <v>12.4</v>
      </c>
      <c r="N2211" s="2">
        <f t="shared" ca="1" si="82"/>
        <v>265746.17005214194</v>
      </c>
      <c r="O2211" s="180">
        <f t="shared" ca="1" si="83"/>
        <v>0.9275592341458585</v>
      </c>
      <c r="P2211" s="180"/>
      <c r="Q2211" s="180"/>
      <c r="R2211" s="180"/>
      <c r="S2211" s="180"/>
      <c r="T2211" s="180"/>
    </row>
    <row r="2212" spans="1:20" x14ac:dyDescent="0.25">
      <c r="A2212" t="s">
        <v>244</v>
      </c>
      <c r="B2212" t="s">
        <v>237</v>
      </c>
      <c r="C2212" t="s">
        <v>238</v>
      </c>
      <c r="D2212" t="s">
        <v>270</v>
      </c>
      <c r="E2212" t="s">
        <v>229</v>
      </c>
      <c r="F2212">
        <v>2012</v>
      </c>
      <c r="G2212">
        <v>5.0994999999999999E-3</v>
      </c>
      <c r="H2212" t="s">
        <v>240</v>
      </c>
      <c r="I2212" t="s">
        <v>241</v>
      </c>
      <c r="J2212" t="s">
        <v>245</v>
      </c>
      <c r="K2212" s="183">
        <f ca="1">VLOOKUP(F2212,
    OFFSET(INDIRECT(ADDRESS(MATCH(J2212,'Vehicle numbers'!$A$5:$A$162,0),1,1,1,$L$6)),4,1,COUNTIF('Vehicle numbers'!$A$5:$A$162,J2212),4),
    MATCH(K$8,'Vehicle numbers'!$B$4:$D$4,0))*1000</f>
        <v>272689</v>
      </c>
      <c r="L2212" s="183">
        <f ca="1">VLOOKUP(F2212,
    OFFSET(INDIRECT(ADDRESS(MATCH(J2212,'Vehicle numbers'!$A$5:$A$162,0),1,1,1,$L$6)),4,1,COUNTIF('Vehicle numbers'!$A$5:$A$162,J2212),4),
    MATCH(L$8,'Vehicle numbers'!$B$4:$D$4,0))*1000</f>
        <v>286500.48457212967</v>
      </c>
      <c r="M2212" s="184">
        <f ca="1">VLOOKUP(F2212,'Annual distance covered (GB)'!$A$8:$H$33,MATCH(J2212,'Annual distance covered (GB)'!$A$7:$H$7,0))</f>
        <v>12.4</v>
      </c>
      <c r="N2212" s="2">
        <f t="shared" ca="1" si="82"/>
        <v>66436.542513035485</v>
      </c>
      <c r="O2212" s="180">
        <f t="shared" ca="1" si="83"/>
        <v>0.23188980853646463</v>
      </c>
      <c r="P2212" s="180"/>
      <c r="Q2212" s="180"/>
      <c r="R2212" s="180"/>
      <c r="S2212" s="180"/>
      <c r="T2212" s="180"/>
    </row>
    <row r="2213" spans="1:20" x14ac:dyDescent="0.25">
      <c r="A2213" t="s">
        <v>246</v>
      </c>
      <c r="B2213" t="s">
        <v>237</v>
      </c>
      <c r="C2213" t="s">
        <v>238</v>
      </c>
      <c r="D2213" t="s">
        <v>270</v>
      </c>
      <c r="E2213" t="s">
        <v>229</v>
      </c>
      <c r="F2213">
        <v>2012</v>
      </c>
      <c r="G2213">
        <v>4.0796000000000001E-3</v>
      </c>
      <c r="H2213" t="s">
        <v>240</v>
      </c>
      <c r="I2213" t="s">
        <v>241</v>
      </c>
      <c r="J2213" t="s">
        <v>245</v>
      </c>
      <c r="K2213" s="183">
        <f ca="1">VLOOKUP(F2213,
    OFFSET(INDIRECT(ADDRESS(MATCH(J2213,'Vehicle numbers'!$A$5:$A$162,0),1,1,1,$L$6)),4,1,COUNTIF('Vehicle numbers'!$A$5:$A$162,J2213),4),
    MATCH(K$8,'Vehicle numbers'!$B$4:$D$4,0))*1000</f>
        <v>272689</v>
      </c>
      <c r="L2213" s="183">
        <f ca="1">VLOOKUP(F2213,
    OFFSET(INDIRECT(ADDRESS(MATCH(J2213,'Vehicle numbers'!$A$5:$A$162,0),1,1,1,$L$6)),4,1,COUNTIF('Vehicle numbers'!$A$5:$A$162,J2213),4),
    MATCH(L$8,'Vehicle numbers'!$B$4:$D$4,0))*1000</f>
        <v>286500.48457212967</v>
      </c>
      <c r="M2213" s="184">
        <f ca="1">VLOOKUP(F2213,'Annual distance covered (GB)'!$A$8:$H$33,MATCH(J2213,'Annual distance covered (GB)'!$A$7:$H$7,0))</f>
        <v>12.4</v>
      </c>
      <c r="N2213" s="2">
        <f t="shared" ca="1" si="82"/>
        <v>53149.234010428387</v>
      </c>
      <c r="O2213" s="180">
        <f t="shared" ca="1" si="83"/>
        <v>0.18551184682917168</v>
      </c>
      <c r="P2213" s="180"/>
      <c r="Q2213" s="180"/>
      <c r="R2213" s="180"/>
      <c r="S2213" s="180"/>
      <c r="T2213" s="180"/>
    </row>
    <row r="2214" spans="1:20" x14ac:dyDescent="0.25">
      <c r="A2214" t="s">
        <v>236</v>
      </c>
      <c r="B2214" t="s">
        <v>237</v>
      </c>
      <c r="C2214" t="s">
        <v>238</v>
      </c>
      <c r="D2214" t="s">
        <v>270</v>
      </c>
      <c r="E2214" t="s">
        <v>228</v>
      </c>
      <c r="F2214">
        <v>2012</v>
      </c>
      <c r="G2214">
        <v>2.0737760000000001E-2</v>
      </c>
      <c r="H2214" t="s">
        <v>240</v>
      </c>
      <c r="I2214" t="s">
        <v>241</v>
      </c>
      <c r="J2214" t="s">
        <v>245</v>
      </c>
      <c r="K2214" s="183">
        <f ca="1">VLOOKUP(F2214,
    OFFSET(INDIRECT(ADDRESS(MATCH(J2214,'Vehicle numbers'!$A$5:$A$162,0),1,1,1,$L$6)),4,1,COUNTIF('Vehicle numbers'!$A$5:$A$162,J2214),4),
    MATCH(K$8,'Vehicle numbers'!$B$4:$D$4,0))*1000</f>
        <v>272689</v>
      </c>
      <c r="L2214" s="183">
        <f ca="1">VLOOKUP(F2214,
    OFFSET(INDIRECT(ADDRESS(MATCH(J2214,'Vehicle numbers'!$A$5:$A$162,0),1,1,1,$L$6)),4,1,COUNTIF('Vehicle numbers'!$A$5:$A$162,J2214),4),
    MATCH(L$8,'Vehicle numbers'!$B$4:$D$4,0))*1000</f>
        <v>286500.48457212967</v>
      </c>
      <c r="M2214" s="184">
        <f ca="1">VLOOKUP(F2214,'Annual distance covered (GB)'!$A$8:$H$33,MATCH(J2214,'Annual distance covered (GB)'!$A$7:$H$7,0))</f>
        <v>12.4</v>
      </c>
      <c r="N2214" s="2">
        <f t="shared" ca="1" si="82"/>
        <v>270172.58042261534</v>
      </c>
      <c r="O2214" s="180">
        <f t="shared" ca="1" si="83"/>
        <v>0.9430091569516923</v>
      </c>
      <c r="P2214" s="180"/>
      <c r="Q2214" s="180"/>
      <c r="R2214" s="180"/>
      <c r="S2214" s="180"/>
      <c r="T2214" s="180"/>
    </row>
    <row r="2215" spans="1:20" x14ac:dyDescent="0.25">
      <c r="A2215" t="s">
        <v>243</v>
      </c>
      <c r="B2215" t="s">
        <v>237</v>
      </c>
      <c r="C2215" t="s">
        <v>238</v>
      </c>
      <c r="D2215" t="s">
        <v>270</v>
      </c>
      <c r="E2215" t="s">
        <v>228</v>
      </c>
      <c r="F2215">
        <v>2012</v>
      </c>
      <c r="G2215">
        <v>1.4516431999999999E-2</v>
      </c>
      <c r="H2215" t="s">
        <v>240</v>
      </c>
      <c r="I2215" t="s">
        <v>241</v>
      </c>
      <c r="J2215" t="s">
        <v>245</v>
      </c>
      <c r="K2215" s="183">
        <f ca="1">VLOOKUP(F2215,
    OFFSET(INDIRECT(ADDRESS(MATCH(J2215,'Vehicle numbers'!$A$5:$A$162,0),1,1,1,$L$6)),4,1,COUNTIF('Vehicle numbers'!$A$5:$A$162,J2215),4),
    MATCH(K$8,'Vehicle numbers'!$B$4:$D$4,0))*1000</f>
        <v>272689</v>
      </c>
      <c r="L2215" s="183">
        <f ca="1">VLOOKUP(F2215,
    OFFSET(INDIRECT(ADDRESS(MATCH(J2215,'Vehicle numbers'!$A$5:$A$162,0),1,1,1,$L$6)),4,1,COUNTIF('Vehicle numbers'!$A$5:$A$162,J2215),4),
    MATCH(L$8,'Vehicle numbers'!$B$4:$D$4,0))*1000</f>
        <v>286500.48457212967</v>
      </c>
      <c r="M2215" s="184">
        <f ca="1">VLOOKUP(F2215,'Annual distance covered (GB)'!$A$8:$H$33,MATCH(J2215,'Annual distance covered (GB)'!$A$7:$H$7,0))</f>
        <v>12.4</v>
      </c>
      <c r="N2215" s="2">
        <f t="shared" ca="1" si="82"/>
        <v>189120.8062958307</v>
      </c>
      <c r="O2215" s="180">
        <f t="shared" ca="1" si="83"/>
        <v>0.66010640986618452</v>
      </c>
      <c r="P2215" s="180"/>
      <c r="Q2215" s="180"/>
      <c r="R2215" s="180"/>
      <c r="S2215" s="180"/>
      <c r="T2215" s="180"/>
    </row>
    <row r="2216" spans="1:20" x14ac:dyDescent="0.25">
      <c r="A2216" t="s">
        <v>244</v>
      </c>
      <c r="B2216" t="s">
        <v>237</v>
      </c>
      <c r="C2216" t="s">
        <v>238</v>
      </c>
      <c r="D2216" t="s">
        <v>270</v>
      </c>
      <c r="E2216" t="s">
        <v>228</v>
      </c>
      <c r="F2216">
        <v>2012</v>
      </c>
      <c r="G2216">
        <v>2.0445678873239402E-3</v>
      </c>
      <c r="H2216" t="s">
        <v>240</v>
      </c>
      <c r="I2216" t="s">
        <v>241</v>
      </c>
      <c r="J2216" t="s">
        <v>245</v>
      </c>
      <c r="K2216" s="183">
        <f ca="1">VLOOKUP(F2216,
    OFFSET(INDIRECT(ADDRESS(MATCH(J2216,'Vehicle numbers'!$A$5:$A$162,0),1,1,1,$L$6)),4,1,COUNTIF('Vehicle numbers'!$A$5:$A$162,J2216),4),
    MATCH(K$8,'Vehicle numbers'!$B$4:$D$4,0))*1000</f>
        <v>272689</v>
      </c>
      <c r="L2216" s="183">
        <f ca="1">VLOOKUP(F2216,
    OFFSET(INDIRECT(ADDRESS(MATCH(J2216,'Vehicle numbers'!$A$5:$A$162,0),1,1,1,$L$6)),4,1,COUNTIF('Vehicle numbers'!$A$5:$A$162,J2216),4),
    MATCH(L$8,'Vehicle numbers'!$B$4:$D$4,0))*1000</f>
        <v>286500.48457212967</v>
      </c>
      <c r="M2216" s="184">
        <f ca="1">VLOOKUP(F2216,'Annual distance covered (GB)'!$A$8:$H$33,MATCH(J2216,'Annual distance covered (GB)'!$A$7:$H$7,0))</f>
        <v>12.4</v>
      </c>
      <c r="N2216" s="2">
        <f t="shared" ca="1" si="82"/>
        <v>26636.733281102872</v>
      </c>
      <c r="O2216" s="180">
        <f t="shared" ca="1" si="83"/>
        <v>9.2972733783969502E-2</v>
      </c>
      <c r="P2216" s="180"/>
      <c r="Q2216" s="180"/>
      <c r="R2216" s="180"/>
      <c r="S2216" s="180"/>
      <c r="T2216" s="180"/>
    </row>
    <row r="2217" spans="1:20" x14ac:dyDescent="0.25">
      <c r="A2217" t="s">
        <v>246</v>
      </c>
      <c r="B2217" t="s">
        <v>237</v>
      </c>
      <c r="C2217" t="s">
        <v>238</v>
      </c>
      <c r="D2217" t="s">
        <v>270</v>
      </c>
      <c r="E2217" t="s">
        <v>228</v>
      </c>
      <c r="F2217">
        <v>2012</v>
      </c>
      <c r="G2217">
        <v>1.6356543098591499E-3</v>
      </c>
      <c r="H2217" t="s">
        <v>240</v>
      </c>
      <c r="I2217" t="s">
        <v>241</v>
      </c>
      <c r="J2217" t="s">
        <v>245</v>
      </c>
      <c r="K2217" s="183">
        <f ca="1">VLOOKUP(F2217,
    OFFSET(INDIRECT(ADDRESS(MATCH(J2217,'Vehicle numbers'!$A$5:$A$162,0),1,1,1,$L$6)),4,1,COUNTIF('Vehicle numbers'!$A$5:$A$162,J2217),4),
    MATCH(K$8,'Vehicle numbers'!$B$4:$D$4,0))*1000</f>
        <v>272689</v>
      </c>
      <c r="L2217" s="183">
        <f ca="1">VLOOKUP(F2217,
    OFFSET(INDIRECT(ADDRESS(MATCH(J2217,'Vehicle numbers'!$A$5:$A$162,0),1,1,1,$L$6)),4,1,COUNTIF('Vehicle numbers'!$A$5:$A$162,J2217),4),
    MATCH(L$8,'Vehicle numbers'!$B$4:$D$4,0))*1000</f>
        <v>286500.48457212967</v>
      </c>
      <c r="M2217" s="184">
        <f ca="1">VLOOKUP(F2217,'Annual distance covered (GB)'!$A$8:$H$33,MATCH(J2217,'Annual distance covered (GB)'!$A$7:$H$7,0))</f>
        <v>12.4</v>
      </c>
      <c r="N2217" s="2">
        <f t="shared" ca="1" si="82"/>
        <v>21309.386624882267</v>
      </c>
      <c r="O2217" s="180">
        <f t="shared" ca="1" si="83"/>
        <v>7.4378187027175496E-2</v>
      </c>
      <c r="P2217" s="180"/>
      <c r="Q2217" s="180"/>
      <c r="R2217" s="180"/>
      <c r="S2217" s="180"/>
      <c r="T2217" s="180"/>
    </row>
    <row r="2218" spans="1:20" x14ac:dyDescent="0.25">
      <c r="A2218" t="s">
        <v>236</v>
      </c>
      <c r="B2218" t="s">
        <v>237</v>
      </c>
      <c r="C2218" t="s">
        <v>238</v>
      </c>
      <c r="D2218" t="s">
        <v>257</v>
      </c>
      <c r="E2218" t="s">
        <v>229</v>
      </c>
      <c r="F2218">
        <v>2012</v>
      </c>
      <c r="G2218">
        <v>2.12100000000001E-3</v>
      </c>
      <c r="H2218" t="s">
        <v>240</v>
      </c>
      <c r="I2218" t="s">
        <v>241</v>
      </c>
      <c r="J2218" t="s">
        <v>188</v>
      </c>
      <c r="K2218" s="183">
        <f ca="1">VLOOKUP(F2218,
    OFFSET(INDIRECT(ADDRESS(MATCH(J2218,'Vehicle numbers'!$A$5:$A$162,0),1,1,1,$L$6)),4,1,COUNTIF('Vehicle numbers'!$A$5:$A$162,J2218),4),
    MATCH(K$8,'Vehicle numbers'!$B$4:$D$4,0))*1000</f>
        <v>3280615</v>
      </c>
      <c r="L2218" s="183">
        <f ca="1">VLOOKUP(F2218,
    OFFSET(INDIRECT(ADDRESS(MATCH(J2218,'Vehicle numbers'!$A$5:$A$162,0),1,1,1,$L$6)),4,1,COUNTIF('Vehicle numbers'!$A$5:$A$162,J2218),4),
    MATCH(L$8,'Vehicle numbers'!$B$4:$D$4,0))*1000</f>
        <v>3374754.1632310669</v>
      </c>
      <c r="M2218" s="184">
        <f>VLOOKUP(F2218,'Annual distance covered (GB)'!$A$8:$H$33,MATCH(J2218,'Annual distance covered (GB)'!$A$7:$H$7,0))</f>
        <v>67.900000000000006</v>
      </c>
      <c r="N2218" s="2">
        <f t="shared" ca="1" si="82"/>
        <v>148148.52035257759</v>
      </c>
      <c r="O2218" s="180">
        <f t="shared" ca="1" si="83"/>
        <v>4.3899055512457479E-2</v>
      </c>
      <c r="P2218" s="180"/>
      <c r="Q2218" s="180"/>
      <c r="R2218" s="180"/>
      <c r="S2218" s="180"/>
      <c r="T2218" s="180"/>
    </row>
    <row r="2219" spans="1:20" x14ac:dyDescent="0.25">
      <c r="A2219" t="s">
        <v>243</v>
      </c>
      <c r="B2219" t="s">
        <v>237</v>
      </c>
      <c r="C2219" t="s">
        <v>238</v>
      </c>
      <c r="D2219" t="s">
        <v>257</v>
      </c>
      <c r="E2219" t="s">
        <v>229</v>
      </c>
      <c r="F2219">
        <v>2012</v>
      </c>
      <c r="G2219">
        <v>8.4840000000000403E-4</v>
      </c>
      <c r="H2219" t="s">
        <v>240</v>
      </c>
      <c r="I2219" t="s">
        <v>241</v>
      </c>
      <c r="J2219" t="s">
        <v>188</v>
      </c>
      <c r="K2219" s="183">
        <f ca="1">VLOOKUP(F2219,
    OFFSET(INDIRECT(ADDRESS(MATCH(J2219,'Vehicle numbers'!$A$5:$A$162,0),1,1,1,$L$6)),4,1,COUNTIF('Vehicle numbers'!$A$5:$A$162,J2219),4),
    MATCH(K$8,'Vehicle numbers'!$B$4:$D$4,0))*1000</f>
        <v>3280615</v>
      </c>
      <c r="L2219" s="183">
        <f ca="1">VLOOKUP(F2219,
    OFFSET(INDIRECT(ADDRESS(MATCH(J2219,'Vehicle numbers'!$A$5:$A$162,0),1,1,1,$L$6)),4,1,COUNTIF('Vehicle numbers'!$A$5:$A$162,J2219),4),
    MATCH(L$8,'Vehicle numbers'!$B$4:$D$4,0))*1000</f>
        <v>3374754.1632310669</v>
      </c>
      <c r="M2219" s="184">
        <f>VLOOKUP(F2219,'Annual distance covered (GB)'!$A$8:$H$33,MATCH(J2219,'Annual distance covered (GB)'!$A$7:$H$7,0))</f>
        <v>67.900000000000006</v>
      </c>
      <c r="N2219" s="2">
        <f t="shared" ca="1" si="82"/>
        <v>59259.408141031032</v>
      </c>
      <c r="O2219" s="180">
        <f t="shared" ca="1" si="83"/>
        <v>1.7559622204982989E-2</v>
      </c>
      <c r="P2219" s="180"/>
      <c r="Q2219" s="180"/>
      <c r="R2219" s="180"/>
      <c r="S2219" s="180"/>
      <c r="T2219" s="180"/>
    </row>
    <row r="2220" spans="1:20" x14ac:dyDescent="0.25">
      <c r="A2220" t="s">
        <v>244</v>
      </c>
      <c r="B2220" t="s">
        <v>237</v>
      </c>
      <c r="C2220" t="s">
        <v>238</v>
      </c>
      <c r="D2220" t="s">
        <v>257</v>
      </c>
      <c r="E2220" t="s">
        <v>229</v>
      </c>
      <c r="F2220">
        <v>2012</v>
      </c>
      <c r="G2220">
        <v>2.1210000000000101E-4</v>
      </c>
      <c r="H2220" t="s">
        <v>240</v>
      </c>
      <c r="I2220" t="s">
        <v>241</v>
      </c>
      <c r="J2220" t="s">
        <v>188</v>
      </c>
      <c r="K2220" s="183">
        <f ca="1">VLOOKUP(F2220,
    OFFSET(INDIRECT(ADDRESS(MATCH(J2220,'Vehicle numbers'!$A$5:$A$162,0),1,1,1,$L$6)),4,1,COUNTIF('Vehicle numbers'!$A$5:$A$162,J2220),4),
    MATCH(K$8,'Vehicle numbers'!$B$4:$D$4,0))*1000</f>
        <v>3280615</v>
      </c>
      <c r="L2220" s="183">
        <f ca="1">VLOOKUP(F2220,
    OFFSET(INDIRECT(ADDRESS(MATCH(J2220,'Vehicle numbers'!$A$5:$A$162,0),1,1,1,$L$6)),4,1,COUNTIF('Vehicle numbers'!$A$5:$A$162,J2220),4),
    MATCH(L$8,'Vehicle numbers'!$B$4:$D$4,0))*1000</f>
        <v>3374754.1632310669</v>
      </c>
      <c r="M2220" s="184">
        <f>VLOOKUP(F2220,'Annual distance covered (GB)'!$A$8:$H$33,MATCH(J2220,'Annual distance covered (GB)'!$A$7:$H$7,0))</f>
        <v>67.900000000000006</v>
      </c>
      <c r="N2220" s="2">
        <f t="shared" ca="1" si="82"/>
        <v>14814.852035257758</v>
      </c>
      <c r="O2220" s="180">
        <f t="shared" ca="1" si="83"/>
        <v>4.3899055512457473E-3</v>
      </c>
      <c r="P2220" s="180"/>
      <c r="Q2220" s="180"/>
      <c r="R2220" s="180"/>
      <c r="S2220" s="180"/>
      <c r="T2220" s="180"/>
    </row>
    <row r="2221" spans="1:20" x14ac:dyDescent="0.25">
      <c r="A2221" t="s">
        <v>246</v>
      </c>
      <c r="B2221" t="s">
        <v>237</v>
      </c>
      <c r="C2221" t="s">
        <v>238</v>
      </c>
      <c r="D2221" t="s">
        <v>257</v>
      </c>
      <c r="E2221" t="s">
        <v>229</v>
      </c>
      <c r="F2221">
        <v>2012</v>
      </c>
      <c r="G2221">
        <v>1.6968000000000099E-4</v>
      </c>
      <c r="H2221" t="s">
        <v>240</v>
      </c>
      <c r="I2221" t="s">
        <v>241</v>
      </c>
      <c r="J2221" t="s">
        <v>188</v>
      </c>
      <c r="K2221" s="183">
        <f ca="1">VLOOKUP(F2221,
    OFFSET(INDIRECT(ADDRESS(MATCH(J2221,'Vehicle numbers'!$A$5:$A$162,0),1,1,1,$L$6)),4,1,COUNTIF('Vehicle numbers'!$A$5:$A$162,J2221),4),
    MATCH(K$8,'Vehicle numbers'!$B$4:$D$4,0))*1000</f>
        <v>3280615</v>
      </c>
      <c r="L2221" s="183">
        <f ca="1">VLOOKUP(F2221,
    OFFSET(INDIRECT(ADDRESS(MATCH(J2221,'Vehicle numbers'!$A$5:$A$162,0),1,1,1,$L$6)),4,1,COUNTIF('Vehicle numbers'!$A$5:$A$162,J2221),4),
    MATCH(L$8,'Vehicle numbers'!$B$4:$D$4,0))*1000</f>
        <v>3374754.1632310669</v>
      </c>
      <c r="M2221" s="184">
        <f>VLOOKUP(F2221,'Annual distance covered (GB)'!$A$8:$H$33,MATCH(J2221,'Annual distance covered (GB)'!$A$7:$H$7,0))</f>
        <v>67.900000000000006</v>
      </c>
      <c r="N2221" s="2">
        <f t="shared" ca="1" si="82"/>
        <v>11851.88162820622</v>
      </c>
      <c r="O2221" s="180">
        <f t="shared" ca="1" si="83"/>
        <v>3.5119244409966021E-3</v>
      </c>
      <c r="P2221" s="180"/>
      <c r="Q2221" s="180"/>
      <c r="R2221" s="180"/>
      <c r="S2221" s="180"/>
      <c r="T2221" s="180"/>
    </row>
    <row r="2222" spans="1:20" x14ac:dyDescent="0.25">
      <c r="A2222" t="s">
        <v>236</v>
      </c>
      <c r="B2222" t="s">
        <v>237</v>
      </c>
      <c r="C2222" t="s">
        <v>238</v>
      </c>
      <c r="D2222" t="s">
        <v>257</v>
      </c>
      <c r="E2222" t="s">
        <v>228</v>
      </c>
      <c r="F2222">
        <v>2012</v>
      </c>
      <c r="G2222">
        <v>9.1460000000000308E-3</v>
      </c>
      <c r="H2222" t="s">
        <v>240</v>
      </c>
      <c r="I2222" t="s">
        <v>241</v>
      </c>
      <c r="J2222" t="s">
        <v>188</v>
      </c>
      <c r="K2222" s="183">
        <f ca="1">VLOOKUP(F2222,
    OFFSET(INDIRECT(ADDRESS(MATCH(J2222,'Vehicle numbers'!$A$5:$A$162,0),1,1,1,$L$6)),4,1,COUNTIF('Vehicle numbers'!$A$5:$A$162,J2222),4),
    MATCH(K$8,'Vehicle numbers'!$B$4:$D$4,0))*1000</f>
        <v>3280615</v>
      </c>
      <c r="L2222" s="183">
        <f ca="1">VLOOKUP(F2222,
    OFFSET(INDIRECT(ADDRESS(MATCH(J2222,'Vehicle numbers'!$A$5:$A$162,0),1,1,1,$L$6)),4,1,COUNTIF('Vehicle numbers'!$A$5:$A$162,J2222),4),
    MATCH(L$8,'Vehicle numbers'!$B$4:$D$4,0))*1000</f>
        <v>3374754.1632310669</v>
      </c>
      <c r="M2222" s="184">
        <f>VLOOKUP(F2222,'Annual distance covered (GB)'!$A$8:$H$33,MATCH(J2222,'Annual distance covered (GB)'!$A$7:$H$7,0))</f>
        <v>67.900000000000006</v>
      </c>
      <c r="N2222" s="2">
        <f t="shared" ca="1" si="82"/>
        <v>638833.74217099138</v>
      </c>
      <c r="O2222" s="180">
        <f t="shared" ca="1" si="83"/>
        <v>0.18929786030972914</v>
      </c>
      <c r="P2222" s="180"/>
      <c r="Q2222" s="180"/>
      <c r="R2222" s="180"/>
      <c r="S2222" s="180"/>
      <c r="T2222" s="180"/>
    </row>
    <row r="2223" spans="1:20" x14ac:dyDescent="0.25">
      <c r="A2223" t="s">
        <v>243</v>
      </c>
      <c r="B2223" t="s">
        <v>237</v>
      </c>
      <c r="C2223" t="s">
        <v>238</v>
      </c>
      <c r="D2223" t="s">
        <v>257</v>
      </c>
      <c r="E2223" t="s">
        <v>228</v>
      </c>
      <c r="F2223">
        <v>2012</v>
      </c>
      <c r="G2223">
        <v>6.4022000000000202E-3</v>
      </c>
      <c r="H2223" t="s">
        <v>240</v>
      </c>
      <c r="I2223" t="s">
        <v>241</v>
      </c>
      <c r="J2223" t="s">
        <v>188</v>
      </c>
      <c r="K2223" s="183">
        <f ca="1">VLOOKUP(F2223,
    OFFSET(INDIRECT(ADDRESS(MATCH(J2223,'Vehicle numbers'!$A$5:$A$162,0),1,1,1,$L$6)),4,1,COUNTIF('Vehicle numbers'!$A$5:$A$162,J2223),4),
    MATCH(K$8,'Vehicle numbers'!$B$4:$D$4,0))*1000</f>
        <v>3280615</v>
      </c>
      <c r="L2223" s="183">
        <f ca="1">VLOOKUP(F2223,
    OFFSET(INDIRECT(ADDRESS(MATCH(J2223,'Vehicle numbers'!$A$5:$A$162,0),1,1,1,$L$6)),4,1,COUNTIF('Vehicle numbers'!$A$5:$A$162,J2223),4),
    MATCH(L$8,'Vehicle numbers'!$B$4:$D$4,0))*1000</f>
        <v>3374754.1632310669</v>
      </c>
      <c r="M2223" s="184">
        <f>VLOOKUP(F2223,'Annual distance covered (GB)'!$A$8:$H$33,MATCH(J2223,'Annual distance covered (GB)'!$A$7:$H$7,0))</f>
        <v>67.900000000000006</v>
      </c>
      <c r="N2223" s="2">
        <f t="shared" ca="1" si="82"/>
        <v>447183.61951969389</v>
      </c>
      <c r="O2223" s="180">
        <f t="shared" ca="1" si="83"/>
        <v>0.13250850221681038</v>
      </c>
      <c r="P2223" s="180"/>
      <c r="Q2223" s="180"/>
      <c r="R2223" s="180"/>
      <c r="S2223" s="180"/>
      <c r="T2223" s="180"/>
    </row>
    <row r="2224" spans="1:20" x14ac:dyDescent="0.25">
      <c r="A2224" t="s">
        <v>244</v>
      </c>
      <c r="B2224" t="s">
        <v>237</v>
      </c>
      <c r="C2224" t="s">
        <v>238</v>
      </c>
      <c r="D2224" t="s">
        <v>257</v>
      </c>
      <c r="E2224" t="s">
        <v>228</v>
      </c>
      <c r="F2224">
        <v>2012</v>
      </c>
      <c r="G2224">
        <v>9.0171830985915605E-4</v>
      </c>
      <c r="H2224" t="s">
        <v>240</v>
      </c>
      <c r="I2224" t="s">
        <v>241</v>
      </c>
      <c r="J2224" t="s">
        <v>188</v>
      </c>
      <c r="K2224" s="183">
        <f ca="1">VLOOKUP(F2224,
    OFFSET(INDIRECT(ADDRESS(MATCH(J2224,'Vehicle numbers'!$A$5:$A$162,0),1,1,1,$L$6)),4,1,COUNTIF('Vehicle numbers'!$A$5:$A$162,J2224),4),
    MATCH(K$8,'Vehicle numbers'!$B$4:$D$4,0))*1000</f>
        <v>3280615</v>
      </c>
      <c r="L2224" s="183">
        <f ca="1">VLOOKUP(F2224,
    OFFSET(INDIRECT(ADDRESS(MATCH(J2224,'Vehicle numbers'!$A$5:$A$162,0),1,1,1,$L$6)),4,1,COUNTIF('Vehicle numbers'!$A$5:$A$162,J2224),4),
    MATCH(L$8,'Vehicle numbers'!$B$4:$D$4,0))*1000</f>
        <v>3374754.1632310669</v>
      </c>
      <c r="M2224" s="184">
        <f>VLOOKUP(F2224,'Annual distance covered (GB)'!$A$8:$H$33,MATCH(J2224,'Annual distance covered (GB)'!$A$7:$H$7,0))</f>
        <v>67.900000000000006</v>
      </c>
      <c r="N2224" s="2">
        <f t="shared" ca="1" si="82"/>
        <v>62983.608383055354</v>
      </c>
      <c r="O2224" s="180">
        <f t="shared" ca="1" si="83"/>
        <v>1.8663169326311284E-2</v>
      </c>
      <c r="P2224" s="180"/>
      <c r="Q2224" s="180"/>
      <c r="R2224" s="180"/>
      <c r="S2224" s="180"/>
      <c r="T2224" s="180"/>
    </row>
    <row r="2225" spans="1:20" x14ac:dyDescent="0.25">
      <c r="A2225" t="s">
        <v>246</v>
      </c>
      <c r="B2225" t="s">
        <v>237</v>
      </c>
      <c r="C2225" t="s">
        <v>238</v>
      </c>
      <c r="D2225" t="s">
        <v>257</v>
      </c>
      <c r="E2225" t="s">
        <v>228</v>
      </c>
      <c r="F2225">
        <v>2012</v>
      </c>
      <c r="G2225">
        <v>7.2137464788732495E-4</v>
      </c>
      <c r="H2225" t="s">
        <v>240</v>
      </c>
      <c r="I2225" t="s">
        <v>241</v>
      </c>
      <c r="J2225" t="s">
        <v>188</v>
      </c>
      <c r="K2225" s="183">
        <f ca="1">VLOOKUP(F2225,
    OFFSET(INDIRECT(ADDRESS(MATCH(J2225,'Vehicle numbers'!$A$5:$A$162,0),1,1,1,$L$6)),4,1,COUNTIF('Vehicle numbers'!$A$5:$A$162,J2225),4),
    MATCH(K$8,'Vehicle numbers'!$B$4:$D$4,0))*1000</f>
        <v>3280615</v>
      </c>
      <c r="L2225" s="183">
        <f ca="1">VLOOKUP(F2225,
    OFFSET(INDIRECT(ADDRESS(MATCH(J2225,'Vehicle numbers'!$A$5:$A$162,0),1,1,1,$L$6)),4,1,COUNTIF('Vehicle numbers'!$A$5:$A$162,J2225),4),
    MATCH(L$8,'Vehicle numbers'!$B$4:$D$4,0))*1000</f>
        <v>3374754.1632310669</v>
      </c>
      <c r="M2225" s="184">
        <f>VLOOKUP(F2225,'Annual distance covered (GB)'!$A$8:$H$33,MATCH(J2225,'Annual distance covered (GB)'!$A$7:$H$7,0))</f>
        <v>67.900000000000006</v>
      </c>
      <c r="N2225" s="2">
        <f t="shared" ca="1" si="82"/>
        <v>50386.886706444297</v>
      </c>
      <c r="O2225" s="180">
        <f t="shared" ca="1" si="83"/>
        <v>1.4930535461049032E-2</v>
      </c>
      <c r="P2225" s="180"/>
      <c r="Q2225" s="180"/>
      <c r="R2225" s="180"/>
      <c r="S2225" s="180"/>
      <c r="T2225" s="180"/>
    </row>
    <row r="2226" spans="1:20" x14ac:dyDescent="0.25">
      <c r="A2226" t="s">
        <v>236</v>
      </c>
      <c r="B2226" t="s">
        <v>237</v>
      </c>
      <c r="C2226" t="s">
        <v>238</v>
      </c>
      <c r="D2226" t="s">
        <v>258</v>
      </c>
      <c r="E2226" t="s">
        <v>229</v>
      </c>
      <c r="F2226">
        <v>2012</v>
      </c>
      <c r="G2226">
        <v>8.6219999999999908E-3</v>
      </c>
      <c r="H2226" t="s">
        <v>240</v>
      </c>
      <c r="I2226" t="s">
        <v>241</v>
      </c>
      <c r="J2226" t="s">
        <v>188</v>
      </c>
      <c r="K2226" s="183">
        <f ca="1">VLOOKUP(F2226,
    OFFSET(INDIRECT(ADDRESS(MATCH(J2226,'Vehicle numbers'!$A$5:$A$162,0),1,1,1,$L$6)),4,1,COUNTIF('Vehicle numbers'!$A$5:$A$162,J2226),4),
    MATCH(K$8,'Vehicle numbers'!$B$4:$D$4,0))*1000</f>
        <v>3280615</v>
      </c>
      <c r="L2226" s="183">
        <f ca="1">VLOOKUP(F2226,
    OFFSET(INDIRECT(ADDRESS(MATCH(J2226,'Vehicle numbers'!$A$5:$A$162,0),1,1,1,$L$6)),4,1,COUNTIF('Vehicle numbers'!$A$5:$A$162,J2226),4),
    MATCH(L$8,'Vehicle numbers'!$B$4:$D$4,0))*1000</f>
        <v>3374754.1632310669</v>
      </c>
      <c r="M2226" s="184">
        <f>VLOOKUP(F2226,'Annual distance covered (GB)'!$A$8:$H$33,MATCH(J2226,'Annual distance covered (GB)'!$A$7:$H$7,0))</f>
        <v>67.900000000000006</v>
      </c>
      <c r="N2226" s="2">
        <f t="shared" ca="1" si="82"/>
        <v>602233.16477129504</v>
      </c>
      <c r="O2226" s="180">
        <f t="shared" ca="1" si="83"/>
        <v>0.1784524547988714</v>
      </c>
      <c r="P2226" s="180"/>
      <c r="Q2226" s="180"/>
      <c r="R2226" s="180"/>
      <c r="S2226" s="180"/>
      <c r="T2226" s="180"/>
    </row>
    <row r="2227" spans="1:20" x14ac:dyDescent="0.25">
      <c r="A2227" t="s">
        <v>243</v>
      </c>
      <c r="B2227" t="s">
        <v>237</v>
      </c>
      <c r="C2227" t="s">
        <v>238</v>
      </c>
      <c r="D2227" t="s">
        <v>258</v>
      </c>
      <c r="E2227" t="s">
        <v>229</v>
      </c>
      <c r="F2227">
        <v>2012</v>
      </c>
      <c r="G2227">
        <v>3.4488000000000001E-3</v>
      </c>
      <c r="H2227" t="s">
        <v>240</v>
      </c>
      <c r="I2227" t="s">
        <v>241</v>
      </c>
      <c r="J2227" t="s">
        <v>188</v>
      </c>
      <c r="K2227" s="183">
        <f ca="1">VLOOKUP(F2227,
    OFFSET(INDIRECT(ADDRESS(MATCH(J2227,'Vehicle numbers'!$A$5:$A$162,0),1,1,1,$L$6)),4,1,COUNTIF('Vehicle numbers'!$A$5:$A$162,J2227),4),
    MATCH(K$8,'Vehicle numbers'!$B$4:$D$4,0))*1000</f>
        <v>3280615</v>
      </c>
      <c r="L2227" s="183">
        <f ca="1">VLOOKUP(F2227,
    OFFSET(INDIRECT(ADDRESS(MATCH(J2227,'Vehicle numbers'!$A$5:$A$162,0),1,1,1,$L$6)),4,1,COUNTIF('Vehicle numbers'!$A$5:$A$162,J2227),4),
    MATCH(L$8,'Vehicle numbers'!$B$4:$D$4,0))*1000</f>
        <v>3374754.1632310669</v>
      </c>
      <c r="M2227" s="184">
        <f>VLOOKUP(F2227,'Annual distance covered (GB)'!$A$8:$H$33,MATCH(J2227,'Annual distance covered (GB)'!$A$7:$H$7,0))</f>
        <v>67.900000000000006</v>
      </c>
      <c r="N2227" s="2">
        <f t="shared" ca="1" si="82"/>
        <v>240893.26590851822</v>
      </c>
      <c r="O2227" s="180">
        <f t="shared" ca="1" si="83"/>
        <v>7.1380981919548628E-2</v>
      </c>
      <c r="P2227" s="180"/>
      <c r="Q2227" s="180"/>
      <c r="R2227" s="180"/>
      <c r="S2227" s="180"/>
      <c r="T2227" s="180"/>
    </row>
    <row r="2228" spans="1:20" x14ac:dyDescent="0.25">
      <c r="A2228" t="s">
        <v>244</v>
      </c>
      <c r="B2228" t="s">
        <v>237</v>
      </c>
      <c r="C2228" t="s">
        <v>238</v>
      </c>
      <c r="D2228" t="s">
        <v>258</v>
      </c>
      <c r="E2228" t="s">
        <v>229</v>
      </c>
      <c r="F2228">
        <v>2012</v>
      </c>
      <c r="G2228">
        <v>8.6220000000000003E-4</v>
      </c>
      <c r="H2228" t="s">
        <v>240</v>
      </c>
      <c r="I2228" t="s">
        <v>241</v>
      </c>
      <c r="J2228" t="s">
        <v>188</v>
      </c>
      <c r="K2228" s="183">
        <f ca="1">VLOOKUP(F2228,
    OFFSET(INDIRECT(ADDRESS(MATCH(J2228,'Vehicle numbers'!$A$5:$A$162,0),1,1,1,$L$6)),4,1,COUNTIF('Vehicle numbers'!$A$5:$A$162,J2228),4),
    MATCH(K$8,'Vehicle numbers'!$B$4:$D$4,0))*1000</f>
        <v>3280615</v>
      </c>
      <c r="L2228" s="183">
        <f ca="1">VLOOKUP(F2228,
    OFFSET(INDIRECT(ADDRESS(MATCH(J2228,'Vehicle numbers'!$A$5:$A$162,0),1,1,1,$L$6)),4,1,COUNTIF('Vehicle numbers'!$A$5:$A$162,J2228),4),
    MATCH(L$8,'Vehicle numbers'!$B$4:$D$4,0))*1000</f>
        <v>3374754.1632310669</v>
      </c>
      <c r="M2228" s="184">
        <f>VLOOKUP(F2228,'Annual distance covered (GB)'!$A$8:$H$33,MATCH(J2228,'Annual distance covered (GB)'!$A$7:$H$7,0))</f>
        <v>67.900000000000006</v>
      </c>
      <c r="N2228" s="2">
        <f t="shared" ca="1" si="82"/>
        <v>60223.316477129556</v>
      </c>
      <c r="O2228" s="180">
        <f t="shared" ca="1" si="83"/>
        <v>1.7845245479887157E-2</v>
      </c>
      <c r="P2228" s="180"/>
      <c r="Q2228" s="180"/>
      <c r="R2228" s="180"/>
      <c r="S2228" s="180"/>
      <c r="T2228" s="180"/>
    </row>
    <row r="2229" spans="1:20" x14ac:dyDescent="0.25">
      <c r="A2229" t="s">
        <v>246</v>
      </c>
      <c r="B2229" t="s">
        <v>237</v>
      </c>
      <c r="C2229" t="s">
        <v>238</v>
      </c>
      <c r="D2229" t="s">
        <v>258</v>
      </c>
      <c r="E2229" t="s">
        <v>229</v>
      </c>
      <c r="F2229">
        <v>2012</v>
      </c>
      <c r="G2229">
        <v>6.8975999999999998E-4</v>
      </c>
      <c r="H2229" t="s">
        <v>240</v>
      </c>
      <c r="I2229" t="s">
        <v>241</v>
      </c>
      <c r="J2229" t="s">
        <v>188</v>
      </c>
      <c r="K2229" s="183">
        <f ca="1">VLOOKUP(F2229,
    OFFSET(INDIRECT(ADDRESS(MATCH(J2229,'Vehicle numbers'!$A$5:$A$162,0),1,1,1,$L$6)),4,1,COUNTIF('Vehicle numbers'!$A$5:$A$162,J2229),4),
    MATCH(K$8,'Vehicle numbers'!$B$4:$D$4,0))*1000</f>
        <v>3280615</v>
      </c>
      <c r="L2229" s="183">
        <f ca="1">VLOOKUP(F2229,
    OFFSET(INDIRECT(ADDRESS(MATCH(J2229,'Vehicle numbers'!$A$5:$A$162,0),1,1,1,$L$6)),4,1,COUNTIF('Vehicle numbers'!$A$5:$A$162,J2229),4),
    MATCH(L$8,'Vehicle numbers'!$B$4:$D$4,0))*1000</f>
        <v>3374754.1632310669</v>
      </c>
      <c r="M2229" s="184">
        <f>VLOOKUP(F2229,'Annual distance covered (GB)'!$A$8:$H$33,MATCH(J2229,'Annual distance covered (GB)'!$A$7:$H$7,0))</f>
        <v>67.900000000000006</v>
      </c>
      <c r="N2229" s="2">
        <f t="shared" ca="1" si="82"/>
        <v>48178.653181703645</v>
      </c>
      <c r="O2229" s="180">
        <f t="shared" ca="1" si="83"/>
        <v>1.4276196383909725E-2</v>
      </c>
      <c r="P2229" s="180"/>
      <c r="Q2229" s="180"/>
      <c r="R2229" s="180"/>
      <c r="S2229" s="180"/>
      <c r="T2229" s="180"/>
    </row>
    <row r="2230" spans="1:20" x14ac:dyDescent="0.25">
      <c r="A2230" t="s">
        <v>236</v>
      </c>
      <c r="B2230" t="s">
        <v>237</v>
      </c>
      <c r="C2230" t="s">
        <v>238</v>
      </c>
      <c r="D2230" t="s">
        <v>258</v>
      </c>
      <c r="E2230" t="s">
        <v>228</v>
      </c>
      <c r="F2230">
        <v>2012</v>
      </c>
      <c r="G2230">
        <v>1.0741000000000001E-2</v>
      </c>
      <c r="H2230" t="s">
        <v>240</v>
      </c>
      <c r="I2230" t="s">
        <v>241</v>
      </c>
      <c r="J2230" t="s">
        <v>188</v>
      </c>
      <c r="K2230" s="183">
        <f ca="1">VLOOKUP(F2230,
    OFFSET(INDIRECT(ADDRESS(MATCH(J2230,'Vehicle numbers'!$A$5:$A$162,0),1,1,1,$L$6)),4,1,COUNTIF('Vehicle numbers'!$A$5:$A$162,J2230),4),
    MATCH(K$8,'Vehicle numbers'!$B$4:$D$4,0))*1000</f>
        <v>3280615</v>
      </c>
      <c r="L2230" s="183">
        <f ca="1">VLOOKUP(F2230,
    OFFSET(INDIRECT(ADDRESS(MATCH(J2230,'Vehicle numbers'!$A$5:$A$162,0),1,1,1,$L$6)),4,1,COUNTIF('Vehicle numbers'!$A$5:$A$162,J2230),4),
    MATCH(L$8,'Vehicle numbers'!$B$4:$D$4,0))*1000</f>
        <v>3374754.1632310669</v>
      </c>
      <c r="M2230" s="184">
        <f>VLOOKUP(F2230,'Annual distance covered (GB)'!$A$8:$H$33,MATCH(J2230,'Annual distance covered (GB)'!$A$7:$H$7,0))</f>
        <v>67.900000000000006</v>
      </c>
      <c r="N2230" s="2">
        <f t="shared" ca="1" si="82"/>
        <v>750241.98826356826</v>
      </c>
      <c r="O2230" s="180">
        <f t="shared" ca="1" si="83"/>
        <v>0.22231011563380645</v>
      </c>
      <c r="P2230" s="180"/>
      <c r="Q2230" s="180"/>
      <c r="R2230" s="180"/>
      <c r="S2230" s="180"/>
      <c r="T2230" s="180"/>
    </row>
    <row r="2231" spans="1:20" x14ac:dyDescent="0.25">
      <c r="A2231" t="s">
        <v>243</v>
      </c>
      <c r="B2231" t="s">
        <v>237</v>
      </c>
      <c r="C2231" t="s">
        <v>238</v>
      </c>
      <c r="D2231" t="s">
        <v>258</v>
      </c>
      <c r="E2231" t="s">
        <v>228</v>
      </c>
      <c r="F2231">
        <v>2012</v>
      </c>
      <c r="G2231">
        <v>7.5186999999999997E-3</v>
      </c>
      <c r="H2231" t="s">
        <v>240</v>
      </c>
      <c r="I2231" t="s">
        <v>241</v>
      </c>
      <c r="J2231" t="s">
        <v>188</v>
      </c>
      <c r="K2231" s="183">
        <f ca="1">VLOOKUP(F2231,
    OFFSET(INDIRECT(ADDRESS(MATCH(J2231,'Vehicle numbers'!$A$5:$A$162,0),1,1,1,$L$6)),4,1,COUNTIF('Vehicle numbers'!$A$5:$A$162,J2231),4),
    MATCH(K$8,'Vehicle numbers'!$B$4:$D$4,0))*1000</f>
        <v>3280615</v>
      </c>
      <c r="L2231" s="183">
        <f ca="1">VLOOKUP(F2231,
    OFFSET(INDIRECT(ADDRESS(MATCH(J2231,'Vehicle numbers'!$A$5:$A$162,0),1,1,1,$L$6)),4,1,COUNTIF('Vehicle numbers'!$A$5:$A$162,J2231),4),
    MATCH(L$8,'Vehicle numbers'!$B$4:$D$4,0))*1000</f>
        <v>3374754.1632310669</v>
      </c>
      <c r="M2231" s="184">
        <f>VLOOKUP(F2231,'Annual distance covered (GB)'!$A$8:$H$33,MATCH(J2231,'Annual distance covered (GB)'!$A$7:$H$7,0))</f>
        <v>67.900000000000006</v>
      </c>
      <c r="N2231" s="2">
        <f t="shared" ca="1" si="82"/>
        <v>525169.39178449777</v>
      </c>
      <c r="O2231" s="180">
        <f t="shared" ca="1" si="83"/>
        <v>0.15561708094366453</v>
      </c>
      <c r="P2231" s="180"/>
      <c r="Q2231" s="180"/>
      <c r="R2231" s="180"/>
      <c r="S2231" s="180"/>
      <c r="T2231" s="180"/>
    </row>
    <row r="2232" spans="1:20" x14ac:dyDescent="0.25">
      <c r="A2232" t="s">
        <v>244</v>
      </c>
      <c r="B2232" t="s">
        <v>237</v>
      </c>
      <c r="C2232" t="s">
        <v>238</v>
      </c>
      <c r="D2232" t="s">
        <v>258</v>
      </c>
      <c r="E2232" t="s">
        <v>228</v>
      </c>
      <c r="F2232">
        <v>2012</v>
      </c>
      <c r="G2232">
        <v>1.05897183098591E-3</v>
      </c>
      <c r="H2232" t="s">
        <v>240</v>
      </c>
      <c r="I2232" t="s">
        <v>241</v>
      </c>
      <c r="J2232" t="s">
        <v>188</v>
      </c>
      <c r="K2232" s="183">
        <f ca="1">VLOOKUP(F2232,
    OFFSET(INDIRECT(ADDRESS(MATCH(J2232,'Vehicle numbers'!$A$5:$A$162,0),1,1,1,$L$6)),4,1,COUNTIF('Vehicle numbers'!$A$5:$A$162,J2232),4),
    MATCH(K$8,'Vehicle numbers'!$B$4:$D$4,0))*1000</f>
        <v>3280615</v>
      </c>
      <c r="L2232" s="183">
        <f ca="1">VLOOKUP(F2232,
    OFFSET(INDIRECT(ADDRESS(MATCH(J2232,'Vehicle numbers'!$A$5:$A$162,0),1,1,1,$L$6)),4,1,COUNTIF('Vehicle numbers'!$A$5:$A$162,J2232),4),
    MATCH(L$8,'Vehicle numbers'!$B$4:$D$4,0))*1000</f>
        <v>3374754.1632310669</v>
      </c>
      <c r="M2232" s="184">
        <f>VLOOKUP(F2232,'Annual distance covered (GB)'!$A$8:$H$33,MATCH(J2232,'Annual distance covered (GB)'!$A$7:$H$7,0))</f>
        <v>67.900000000000006</v>
      </c>
      <c r="N2232" s="2">
        <f t="shared" ca="1" si="82"/>
        <v>73967.519969647197</v>
      </c>
      <c r="O2232" s="180">
        <f t="shared" ca="1" si="83"/>
        <v>2.1917898724459681E-2</v>
      </c>
      <c r="P2232" s="180"/>
      <c r="Q2232" s="180"/>
      <c r="R2232" s="180"/>
      <c r="S2232" s="180"/>
      <c r="T2232" s="180"/>
    </row>
    <row r="2233" spans="1:20" x14ac:dyDescent="0.25">
      <c r="A2233" t="s">
        <v>246</v>
      </c>
      <c r="B2233" t="s">
        <v>237</v>
      </c>
      <c r="C2233" t="s">
        <v>238</v>
      </c>
      <c r="D2233" t="s">
        <v>258</v>
      </c>
      <c r="E2233" t="s">
        <v>228</v>
      </c>
      <c r="F2233">
        <v>2012</v>
      </c>
      <c r="G2233">
        <v>8.47177464788731E-4</v>
      </c>
      <c r="H2233" t="s">
        <v>240</v>
      </c>
      <c r="I2233" t="s">
        <v>241</v>
      </c>
      <c r="J2233" t="s">
        <v>188</v>
      </c>
      <c r="K2233" s="183">
        <f ca="1">VLOOKUP(F2233,
    OFFSET(INDIRECT(ADDRESS(MATCH(J2233,'Vehicle numbers'!$A$5:$A$162,0),1,1,1,$L$6)),4,1,COUNTIF('Vehicle numbers'!$A$5:$A$162,J2233),4),
    MATCH(K$8,'Vehicle numbers'!$B$4:$D$4,0))*1000</f>
        <v>3280615</v>
      </c>
      <c r="L2233" s="183">
        <f ca="1">VLOOKUP(F2233,
    OFFSET(INDIRECT(ADDRESS(MATCH(J2233,'Vehicle numbers'!$A$5:$A$162,0),1,1,1,$L$6)),4,1,COUNTIF('Vehicle numbers'!$A$5:$A$162,J2233),4),
    MATCH(L$8,'Vehicle numbers'!$B$4:$D$4,0))*1000</f>
        <v>3374754.1632310669</v>
      </c>
      <c r="M2233" s="184">
        <f>VLOOKUP(F2233,'Annual distance covered (GB)'!$A$8:$H$33,MATCH(J2233,'Annual distance covered (GB)'!$A$7:$H$7,0))</f>
        <v>67.900000000000006</v>
      </c>
      <c r="N2233" s="2">
        <f t="shared" ca="1" si="82"/>
        <v>59174.015975717964</v>
      </c>
      <c r="O2233" s="180">
        <f t="shared" ca="1" si="83"/>
        <v>1.7534318979567805E-2</v>
      </c>
      <c r="P2233" s="180"/>
      <c r="Q2233" s="180"/>
      <c r="R2233" s="180"/>
      <c r="S2233" s="180"/>
      <c r="T2233" s="180"/>
    </row>
    <row r="2234" spans="1:20" x14ac:dyDescent="0.25">
      <c r="A2234" t="s">
        <v>236</v>
      </c>
      <c r="B2234" t="s">
        <v>237</v>
      </c>
      <c r="C2234" t="s">
        <v>238</v>
      </c>
      <c r="D2234" t="s">
        <v>259</v>
      </c>
      <c r="E2234" t="s">
        <v>229</v>
      </c>
      <c r="F2234">
        <v>2012</v>
      </c>
      <c r="G2234">
        <v>1.8218999999999999E-2</v>
      </c>
      <c r="H2234" t="s">
        <v>240</v>
      </c>
      <c r="I2234" t="s">
        <v>241</v>
      </c>
      <c r="J2234" t="s">
        <v>188</v>
      </c>
      <c r="K2234" s="183">
        <f ca="1">VLOOKUP(F2234,
    OFFSET(INDIRECT(ADDRESS(MATCH(J2234,'Vehicle numbers'!$A$5:$A$162,0),1,1,1,$L$6)),4,1,COUNTIF('Vehicle numbers'!$A$5:$A$162,J2234),4),
    MATCH(K$8,'Vehicle numbers'!$B$4:$D$4,0))*1000</f>
        <v>3280615</v>
      </c>
      <c r="L2234" s="183">
        <f ca="1">VLOOKUP(F2234,
    OFFSET(INDIRECT(ADDRESS(MATCH(J2234,'Vehicle numbers'!$A$5:$A$162,0),1,1,1,$L$6)),4,1,COUNTIF('Vehicle numbers'!$A$5:$A$162,J2234),4),
    MATCH(L$8,'Vehicle numbers'!$B$4:$D$4,0))*1000</f>
        <v>3374754.1632310669</v>
      </c>
      <c r="M2234" s="184">
        <f>VLOOKUP(F2234,'Annual distance covered (GB)'!$A$8:$H$33,MATCH(J2234,'Annual distance covered (GB)'!$A$7:$H$7,0))</f>
        <v>67.900000000000006</v>
      </c>
      <c r="N2234" s="2">
        <f t="shared" ca="1" si="82"/>
        <v>1272568.5489408758</v>
      </c>
      <c r="O2234" s="180">
        <f t="shared" ca="1" si="83"/>
        <v>0.37708481488989098</v>
      </c>
      <c r="P2234" s="180"/>
      <c r="Q2234" s="180"/>
      <c r="R2234" s="180"/>
      <c r="S2234" s="180"/>
      <c r="T2234" s="180"/>
    </row>
    <row r="2235" spans="1:20" x14ac:dyDescent="0.25">
      <c r="A2235" t="s">
        <v>243</v>
      </c>
      <c r="B2235" t="s">
        <v>237</v>
      </c>
      <c r="C2235" t="s">
        <v>238</v>
      </c>
      <c r="D2235" t="s">
        <v>259</v>
      </c>
      <c r="E2235" t="s">
        <v>229</v>
      </c>
      <c r="F2235">
        <v>2012</v>
      </c>
      <c r="G2235">
        <v>7.2876E-3</v>
      </c>
      <c r="H2235" t="s">
        <v>240</v>
      </c>
      <c r="I2235" t="s">
        <v>241</v>
      </c>
      <c r="J2235" t="s">
        <v>188</v>
      </c>
      <c r="K2235" s="183">
        <f ca="1">VLOOKUP(F2235,
    OFFSET(INDIRECT(ADDRESS(MATCH(J2235,'Vehicle numbers'!$A$5:$A$162,0),1,1,1,$L$6)),4,1,COUNTIF('Vehicle numbers'!$A$5:$A$162,J2235),4),
    MATCH(K$8,'Vehicle numbers'!$B$4:$D$4,0))*1000</f>
        <v>3280615</v>
      </c>
      <c r="L2235" s="183">
        <f ca="1">VLOOKUP(F2235,
    OFFSET(INDIRECT(ADDRESS(MATCH(J2235,'Vehicle numbers'!$A$5:$A$162,0),1,1,1,$L$6)),4,1,COUNTIF('Vehicle numbers'!$A$5:$A$162,J2235),4),
    MATCH(L$8,'Vehicle numbers'!$B$4:$D$4,0))*1000</f>
        <v>3374754.1632310669</v>
      </c>
      <c r="M2235" s="184">
        <f>VLOOKUP(F2235,'Annual distance covered (GB)'!$A$8:$H$33,MATCH(J2235,'Annual distance covered (GB)'!$A$7:$H$7,0))</f>
        <v>67.900000000000006</v>
      </c>
      <c r="N2235" s="2">
        <f t="shared" ca="1" si="82"/>
        <v>509027.41957635048</v>
      </c>
      <c r="O2235" s="180">
        <f t="shared" ca="1" si="83"/>
        <v>0.15083392595595643</v>
      </c>
      <c r="P2235" s="180"/>
      <c r="Q2235" s="180"/>
      <c r="R2235" s="180"/>
      <c r="S2235" s="180"/>
      <c r="T2235" s="180"/>
    </row>
    <row r="2236" spans="1:20" x14ac:dyDescent="0.25">
      <c r="A2236" t="s">
        <v>244</v>
      </c>
      <c r="B2236" t="s">
        <v>237</v>
      </c>
      <c r="C2236" t="s">
        <v>238</v>
      </c>
      <c r="D2236" t="s">
        <v>259</v>
      </c>
      <c r="E2236" t="s">
        <v>229</v>
      </c>
      <c r="F2236">
        <v>2012</v>
      </c>
      <c r="G2236">
        <v>1.8219E-3</v>
      </c>
      <c r="H2236" t="s">
        <v>240</v>
      </c>
      <c r="I2236" t="s">
        <v>241</v>
      </c>
      <c r="J2236" t="s">
        <v>188</v>
      </c>
      <c r="K2236" s="183">
        <f ca="1">VLOOKUP(F2236,
    OFFSET(INDIRECT(ADDRESS(MATCH(J2236,'Vehicle numbers'!$A$5:$A$162,0),1,1,1,$L$6)),4,1,COUNTIF('Vehicle numbers'!$A$5:$A$162,J2236),4),
    MATCH(K$8,'Vehicle numbers'!$B$4:$D$4,0))*1000</f>
        <v>3280615</v>
      </c>
      <c r="L2236" s="183">
        <f ca="1">VLOOKUP(F2236,
    OFFSET(INDIRECT(ADDRESS(MATCH(J2236,'Vehicle numbers'!$A$5:$A$162,0),1,1,1,$L$6)),4,1,COUNTIF('Vehicle numbers'!$A$5:$A$162,J2236),4),
    MATCH(L$8,'Vehicle numbers'!$B$4:$D$4,0))*1000</f>
        <v>3374754.1632310669</v>
      </c>
      <c r="M2236" s="184">
        <f>VLOOKUP(F2236,'Annual distance covered (GB)'!$A$8:$H$33,MATCH(J2236,'Annual distance covered (GB)'!$A$7:$H$7,0))</f>
        <v>67.900000000000006</v>
      </c>
      <c r="N2236" s="2">
        <f t="shared" ca="1" si="82"/>
        <v>127256.85489408762</v>
      </c>
      <c r="O2236" s="180">
        <f t="shared" ca="1" si="83"/>
        <v>3.7708481488989108E-2</v>
      </c>
      <c r="P2236" s="180"/>
      <c r="Q2236" s="180"/>
      <c r="R2236" s="180"/>
      <c r="S2236" s="180"/>
      <c r="T2236" s="180"/>
    </row>
    <row r="2237" spans="1:20" x14ac:dyDescent="0.25">
      <c r="A2237" t="s">
        <v>246</v>
      </c>
      <c r="B2237" t="s">
        <v>237</v>
      </c>
      <c r="C2237" t="s">
        <v>238</v>
      </c>
      <c r="D2237" t="s">
        <v>259</v>
      </c>
      <c r="E2237" t="s">
        <v>229</v>
      </c>
      <c r="F2237">
        <v>2012</v>
      </c>
      <c r="G2237">
        <v>1.4575199999999999E-3</v>
      </c>
      <c r="H2237" t="s">
        <v>240</v>
      </c>
      <c r="I2237" t="s">
        <v>241</v>
      </c>
      <c r="J2237" t="s">
        <v>188</v>
      </c>
      <c r="K2237" s="183">
        <f ca="1">VLOOKUP(F2237,
    OFFSET(INDIRECT(ADDRESS(MATCH(J2237,'Vehicle numbers'!$A$5:$A$162,0),1,1,1,$L$6)),4,1,COUNTIF('Vehicle numbers'!$A$5:$A$162,J2237),4),
    MATCH(K$8,'Vehicle numbers'!$B$4:$D$4,0))*1000</f>
        <v>3280615</v>
      </c>
      <c r="L2237" s="183">
        <f ca="1">VLOOKUP(F2237,
    OFFSET(INDIRECT(ADDRESS(MATCH(J2237,'Vehicle numbers'!$A$5:$A$162,0),1,1,1,$L$6)),4,1,COUNTIF('Vehicle numbers'!$A$5:$A$162,J2237),4),
    MATCH(L$8,'Vehicle numbers'!$B$4:$D$4,0))*1000</f>
        <v>3374754.1632310669</v>
      </c>
      <c r="M2237" s="184">
        <f>VLOOKUP(F2237,'Annual distance covered (GB)'!$A$8:$H$33,MATCH(J2237,'Annual distance covered (GB)'!$A$7:$H$7,0))</f>
        <v>67.900000000000006</v>
      </c>
      <c r="N2237" s="2">
        <f t="shared" ca="1" si="82"/>
        <v>101805.48391527007</v>
      </c>
      <c r="O2237" s="180">
        <f t="shared" ca="1" si="83"/>
        <v>3.0166785191191283E-2</v>
      </c>
      <c r="P2237" s="180"/>
      <c r="Q2237" s="180"/>
      <c r="R2237" s="180"/>
      <c r="S2237" s="180"/>
      <c r="T2237" s="180"/>
    </row>
    <row r="2238" spans="1:20" x14ac:dyDescent="0.25">
      <c r="A2238" t="s">
        <v>236</v>
      </c>
      <c r="B2238" t="s">
        <v>237</v>
      </c>
      <c r="C2238" t="s">
        <v>238</v>
      </c>
      <c r="D2238" t="s">
        <v>259</v>
      </c>
      <c r="E2238" t="s">
        <v>228</v>
      </c>
      <c r="F2238">
        <v>2012</v>
      </c>
      <c r="G2238">
        <v>1.3802E-2</v>
      </c>
      <c r="H2238" t="s">
        <v>240</v>
      </c>
      <c r="I2238" t="s">
        <v>241</v>
      </c>
      <c r="J2238" t="s">
        <v>188</v>
      </c>
      <c r="K2238" s="183">
        <f ca="1">VLOOKUP(F2238,
    OFFSET(INDIRECT(ADDRESS(MATCH(J2238,'Vehicle numbers'!$A$5:$A$162,0),1,1,1,$L$6)),4,1,COUNTIF('Vehicle numbers'!$A$5:$A$162,J2238),4),
    MATCH(K$8,'Vehicle numbers'!$B$4:$D$4,0))*1000</f>
        <v>3280615</v>
      </c>
      <c r="L2238" s="183">
        <f ca="1">VLOOKUP(F2238,
    OFFSET(INDIRECT(ADDRESS(MATCH(J2238,'Vehicle numbers'!$A$5:$A$162,0),1,1,1,$L$6)),4,1,COUNTIF('Vehicle numbers'!$A$5:$A$162,J2238),4),
    MATCH(L$8,'Vehicle numbers'!$B$4:$D$4,0))*1000</f>
        <v>3374754.1632310669</v>
      </c>
      <c r="M2238" s="184">
        <f>VLOOKUP(F2238,'Annual distance covered (GB)'!$A$8:$H$33,MATCH(J2238,'Annual distance covered (GB)'!$A$7:$H$7,0))</f>
        <v>67.900000000000006</v>
      </c>
      <c r="N2238" s="2">
        <f t="shared" ca="1" si="82"/>
        <v>964048.03295910708</v>
      </c>
      <c r="O2238" s="180">
        <f t="shared" ca="1" si="83"/>
        <v>0.2856646695817705</v>
      </c>
      <c r="P2238" s="180"/>
      <c r="Q2238" s="180"/>
      <c r="R2238" s="180"/>
      <c r="S2238" s="180"/>
      <c r="T2238" s="180"/>
    </row>
    <row r="2239" spans="1:20" x14ac:dyDescent="0.25">
      <c r="A2239" t="s">
        <v>243</v>
      </c>
      <c r="B2239" t="s">
        <v>237</v>
      </c>
      <c r="C2239" t="s">
        <v>238</v>
      </c>
      <c r="D2239" t="s">
        <v>259</v>
      </c>
      <c r="E2239" t="s">
        <v>228</v>
      </c>
      <c r="F2239">
        <v>2012</v>
      </c>
      <c r="G2239">
        <v>9.6614000000000005E-3</v>
      </c>
      <c r="H2239" t="s">
        <v>240</v>
      </c>
      <c r="I2239" t="s">
        <v>241</v>
      </c>
      <c r="J2239" t="s">
        <v>188</v>
      </c>
      <c r="K2239" s="183">
        <f ca="1">VLOOKUP(F2239,
    OFFSET(INDIRECT(ADDRESS(MATCH(J2239,'Vehicle numbers'!$A$5:$A$162,0),1,1,1,$L$6)),4,1,COUNTIF('Vehicle numbers'!$A$5:$A$162,J2239),4),
    MATCH(K$8,'Vehicle numbers'!$B$4:$D$4,0))*1000</f>
        <v>3280615</v>
      </c>
      <c r="L2239" s="183">
        <f ca="1">VLOOKUP(F2239,
    OFFSET(INDIRECT(ADDRESS(MATCH(J2239,'Vehicle numbers'!$A$5:$A$162,0),1,1,1,$L$6)),4,1,COUNTIF('Vehicle numbers'!$A$5:$A$162,J2239),4),
    MATCH(L$8,'Vehicle numbers'!$B$4:$D$4,0))*1000</f>
        <v>3374754.1632310669</v>
      </c>
      <c r="M2239" s="184">
        <f>VLOOKUP(F2239,'Annual distance covered (GB)'!$A$8:$H$33,MATCH(J2239,'Annual distance covered (GB)'!$A$7:$H$7,0))</f>
        <v>67.900000000000006</v>
      </c>
      <c r="N2239" s="2">
        <f t="shared" ca="1" si="82"/>
        <v>674833.62307137507</v>
      </c>
      <c r="O2239" s="180">
        <f t="shared" ca="1" si="83"/>
        <v>0.19996526870723938</v>
      </c>
      <c r="P2239" s="180"/>
      <c r="Q2239" s="180"/>
      <c r="R2239" s="180"/>
      <c r="S2239" s="180"/>
      <c r="T2239" s="180"/>
    </row>
    <row r="2240" spans="1:20" x14ac:dyDescent="0.25">
      <c r="A2240" t="s">
        <v>244</v>
      </c>
      <c r="B2240" t="s">
        <v>237</v>
      </c>
      <c r="C2240" t="s">
        <v>238</v>
      </c>
      <c r="D2240" t="s">
        <v>259</v>
      </c>
      <c r="E2240" t="s">
        <v>228</v>
      </c>
      <c r="F2240">
        <v>2012</v>
      </c>
      <c r="G2240">
        <v>1.3607605633802801E-3</v>
      </c>
      <c r="H2240" t="s">
        <v>240</v>
      </c>
      <c r="I2240" t="s">
        <v>241</v>
      </c>
      <c r="J2240" t="s">
        <v>188</v>
      </c>
      <c r="K2240" s="183">
        <f ca="1">VLOOKUP(F2240,
    OFFSET(INDIRECT(ADDRESS(MATCH(J2240,'Vehicle numbers'!$A$5:$A$162,0),1,1,1,$L$6)),4,1,COUNTIF('Vehicle numbers'!$A$5:$A$162,J2240),4),
    MATCH(K$8,'Vehicle numbers'!$B$4:$D$4,0))*1000</f>
        <v>3280615</v>
      </c>
      <c r="L2240" s="183">
        <f ca="1">VLOOKUP(F2240,
    OFFSET(INDIRECT(ADDRESS(MATCH(J2240,'Vehicle numbers'!$A$5:$A$162,0),1,1,1,$L$6)),4,1,COUNTIF('Vehicle numbers'!$A$5:$A$162,J2240),4),
    MATCH(L$8,'Vehicle numbers'!$B$4:$D$4,0))*1000</f>
        <v>3374754.1632310669</v>
      </c>
      <c r="M2240" s="184">
        <f>VLOOKUP(F2240,'Annual distance covered (GB)'!$A$8:$H$33,MATCH(J2240,'Annual distance covered (GB)'!$A$7:$H$7,0))</f>
        <v>67.900000000000006</v>
      </c>
      <c r="N2240" s="2">
        <f t="shared" ca="1" si="82"/>
        <v>95046.989164982282</v>
      </c>
      <c r="O2240" s="180">
        <f t="shared" ca="1" si="83"/>
        <v>2.816412235313227E-2</v>
      </c>
      <c r="P2240" s="180"/>
      <c r="Q2240" s="180"/>
      <c r="R2240" s="180"/>
      <c r="S2240" s="180"/>
      <c r="T2240" s="180"/>
    </row>
    <row r="2241" spans="1:20" x14ac:dyDescent="0.25">
      <c r="A2241" t="s">
        <v>246</v>
      </c>
      <c r="B2241" t="s">
        <v>237</v>
      </c>
      <c r="C2241" t="s">
        <v>238</v>
      </c>
      <c r="D2241" t="s">
        <v>259</v>
      </c>
      <c r="E2241" t="s">
        <v>228</v>
      </c>
      <c r="F2241">
        <v>2012</v>
      </c>
      <c r="G2241">
        <v>1.0886084507042201E-3</v>
      </c>
      <c r="H2241" t="s">
        <v>240</v>
      </c>
      <c r="I2241" t="s">
        <v>241</v>
      </c>
      <c r="J2241" t="s">
        <v>188</v>
      </c>
      <c r="K2241" s="183">
        <f ca="1">VLOOKUP(F2241,
    OFFSET(INDIRECT(ADDRESS(MATCH(J2241,'Vehicle numbers'!$A$5:$A$162,0),1,1,1,$L$6)),4,1,COUNTIF('Vehicle numbers'!$A$5:$A$162,J2241),4),
    MATCH(K$8,'Vehicle numbers'!$B$4:$D$4,0))*1000</f>
        <v>3280615</v>
      </c>
      <c r="L2241" s="183">
        <f ca="1">VLOOKUP(F2241,
    OFFSET(INDIRECT(ADDRESS(MATCH(J2241,'Vehicle numbers'!$A$5:$A$162,0),1,1,1,$L$6)),4,1,COUNTIF('Vehicle numbers'!$A$5:$A$162,J2241),4),
    MATCH(L$8,'Vehicle numbers'!$B$4:$D$4,0))*1000</f>
        <v>3374754.1632310669</v>
      </c>
      <c r="M2241" s="184">
        <f>VLOOKUP(F2241,'Annual distance covered (GB)'!$A$8:$H$33,MATCH(J2241,'Annual distance covered (GB)'!$A$7:$H$7,0))</f>
        <v>67.900000000000006</v>
      </c>
      <c r="N2241" s="2">
        <f t="shared" ca="1" si="82"/>
        <v>76037.591331985546</v>
      </c>
      <c r="O2241" s="180">
        <f t="shared" ca="1" si="83"/>
        <v>2.2531297882505734E-2</v>
      </c>
      <c r="P2241" s="180"/>
      <c r="Q2241" s="180"/>
      <c r="R2241" s="180"/>
      <c r="S2241" s="180"/>
      <c r="T2241" s="180"/>
    </row>
    <row r="2242" spans="1:20" x14ac:dyDescent="0.25">
      <c r="A2242" t="s">
        <v>236</v>
      </c>
      <c r="B2242" t="s">
        <v>237</v>
      </c>
      <c r="C2242" t="s">
        <v>238</v>
      </c>
      <c r="D2242" t="s">
        <v>260</v>
      </c>
      <c r="E2242" t="s">
        <v>229</v>
      </c>
      <c r="F2242">
        <v>2012</v>
      </c>
      <c r="G2242">
        <v>5.8400000000000101E-3</v>
      </c>
      <c r="H2242" t="s">
        <v>240</v>
      </c>
      <c r="I2242" t="s">
        <v>241</v>
      </c>
      <c r="J2242" t="s">
        <v>3</v>
      </c>
      <c r="K2242" s="183">
        <f ca="1">VLOOKUP(F2242,
    OFFSET(INDIRECT(ADDRESS(MATCH(J2242,'Vehicle numbers'!$A$5:$A$162,0),1,1,1,$L$6)),4,1,COUNTIF('Vehicle numbers'!$A$5:$A$162,J2242),4),
    MATCH(K$8,'Vehicle numbers'!$B$4:$D$4,0))*1000</f>
        <v>1224849</v>
      </c>
      <c r="L2242" s="183">
        <f ca="1">VLOOKUP(F2242,
    OFFSET(INDIRECT(ADDRESS(MATCH(J2242,'Vehicle numbers'!$A$5:$A$162,0),1,1,1,$L$6)),4,1,COUNTIF('Vehicle numbers'!$A$5:$A$162,J2242),4),
    MATCH(L$8,'Vehicle numbers'!$B$4:$D$4,0))*1000</f>
        <v>1247357.0450974263</v>
      </c>
      <c r="M2242" s="184">
        <f>VLOOKUP(F2242,'Annual distance covered (GB)'!$A$8:$H$33,MATCH(J2242,'Annual distance covered (GB)'!$A$7:$H$7,0))</f>
        <v>4.7</v>
      </c>
      <c r="N2242" s="2">
        <f t="shared" ca="1" si="82"/>
        <v>27952.389375208062</v>
      </c>
      <c r="O2242" s="180">
        <f t="shared" ca="1" si="83"/>
        <v>2.2409292900594319E-2</v>
      </c>
      <c r="P2242" s="180"/>
      <c r="Q2242" s="180"/>
      <c r="R2242" s="180"/>
      <c r="S2242" s="180"/>
      <c r="T2242" s="180"/>
    </row>
    <row r="2243" spans="1:20" x14ac:dyDescent="0.25">
      <c r="A2243" t="s">
        <v>243</v>
      </c>
      <c r="B2243" t="s">
        <v>237</v>
      </c>
      <c r="C2243" t="s">
        <v>238</v>
      </c>
      <c r="D2243" t="s">
        <v>260</v>
      </c>
      <c r="E2243" t="s">
        <v>229</v>
      </c>
      <c r="F2243">
        <v>2012</v>
      </c>
      <c r="G2243">
        <v>2.336E-3</v>
      </c>
      <c r="H2243" t="s">
        <v>240</v>
      </c>
      <c r="I2243" t="s">
        <v>241</v>
      </c>
      <c r="J2243" t="s">
        <v>3</v>
      </c>
      <c r="K2243" s="183">
        <f ca="1">VLOOKUP(F2243,
    OFFSET(INDIRECT(ADDRESS(MATCH(J2243,'Vehicle numbers'!$A$5:$A$162,0),1,1,1,$L$6)),4,1,COUNTIF('Vehicle numbers'!$A$5:$A$162,J2243),4),
    MATCH(K$8,'Vehicle numbers'!$B$4:$D$4,0))*1000</f>
        <v>1224849</v>
      </c>
      <c r="L2243" s="183">
        <f ca="1">VLOOKUP(F2243,
    OFFSET(INDIRECT(ADDRESS(MATCH(J2243,'Vehicle numbers'!$A$5:$A$162,0),1,1,1,$L$6)),4,1,COUNTIF('Vehicle numbers'!$A$5:$A$162,J2243),4),
    MATCH(L$8,'Vehicle numbers'!$B$4:$D$4,0))*1000</f>
        <v>1247357.0450974263</v>
      </c>
      <c r="M2243" s="184">
        <f>VLOOKUP(F2243,'Annual distance covered (GB)'!$A$8:$H$33,MATCH(J2243,'Annual distance covered (GB)'!$A$7:$H$7,0))</f>
        <v>4.7</v>
      </c>
      <c r="N2243" s="2">
        <f t="shared" ca="1" si="82"/>
        <v>11180.955750083203</v>
      </c>
      <c r="O2243" s="180">
        <f t="shared" ca="1" si="83"/>
        <v>8.9637171602377098E-3</v>
      </c>
      <c r="P2243" s="180"/>
      <c r="Q2243" s="180"/>
      <c r="R2243" s="180"/>
      <c r="S2243" s="180"/>
      <c r="T2243" s="180"/>
    </row>
    <row r="2244" spans="1:20" x14ac:dyDescent="0.25">
      <c r="A2244" t="s">
        <v>244</v>
      </c>
      <c r="B2244" t="s">
        <v>237</v>
      </c>
      <c r="C2244" t="s">
        <v>238</v>
      </c>
      <c r="D2244" t="s">
        <v>260</v>
      </c>
      <c r="E2244" t="s">
        <v>229</v>
      </c>
      <c r="F2244">
        <v>2012</v>
      </c>
      <c r="G2244">
        <v>5.8399999999999999E-4</v>
      </c>
      <c r="H2244" t="s">
        <v>240</v>
      </c>
      <c r="I2244" t="s">
        <v>241</v>
      </c>
      <c r="J2244" t="s">
        <v>3</v>
      </c>
      <c r="K2244" s="183">
        <f ca="1">VLOOKUP(F2244,
    OFFSET(INDIRECT(ADDRESS(MATCH(J2244,'Vehicle numbers'!$A$5:$A$162,0),1,1,1,$L$6)),4,1,COUNTIF('Vehicle numbers'!$A$5:$A$162,J2244),4),
    MATCH(K$8,'Vehicle numbers'!$B$4:$D$4,0))*1000</f>
        <v>1224849</v>
      </c>
      <c r="L2244" s="183">
        <f ca="1">VLOOKUP(F2244,
    OFFSET(INDIRECT(ADDRESS(MATCH(J2244,'Vehicle numbers'!$A$5:$A$162,0),1,1,1,$L$6)),4,1,COUNTIF('Vehicle numbers'!$A$5:$A$162,J2244),4),
    MATCH(L$8,'Vehicle numbers'!$B$4:$D$4,0))*1000</f>
        <v>1247357.0450974263</v>
      </c>
      <c r="M2244" s="184">
        <f>VLOOKUP(F2244,'Annual distance covered (GB)'!$A$8:$H$33,MATCH(J2244,'Annual distance covered (GB)'!$A$7:$H$7,0))</f>
        <v>4.7</v>
      </c>
      <c r="N2244" s="2">
        <f t="shared" ca="1" si="82"/>
        <v>2795.2389375208008</v>
      </c>
      <c r="O2244" s="180">
        <f t="shared" ca="1" si="83"/>
        <v>2.2409292900594274E-3</v>
      </c>
      <c r="P2244" s="180"/>
      <c r="Q2244" s="180"/>
      <c r="R2244" s="180"/>
      <c r="S2244" s="180"/>
      <c r="T2244" s="180"/>
    </row>
    <row r="2245" spans="1:20" x14ac:dyDescent="0.25">
      <c r="A2245" t="s">
        <v>246</v>
      </c>
      <c r="B2245" t="s">
        <v>237</v>
      </c>
      <c r="C2245" t="s">
        <v>238</v>
      </c>
      <c r="D2245" t="s">
        <v>260</v>
      </c>
      <c r="E2245" t="s">
        <v>229</v>
      </c>
      <c r="F2245">
        <v>2012</v>
      </c>
      <c r="G2245">
        <v>4.6720000000000003E-4</v>
      </c>
      <c r="H2245" t="s">
        <v>240</v>
      </c>
      <c r="I2245" t="s">
        <v>241</v>
      </c>
      <c r="J2245" t="s">
        <v>3</v>
      </c>
      <c r="K2245" s="183">
        <f ca="1">VLOOKUP(F2245,
    OFFSET(INDIRECT(ADDRESS(MATCH(J2245,'Vehicle numbers'!$A$5:$A$162,0),1,1,1,$L$6)),4,1,COUNTIF('Vehicle numbers'!$A$5:$A$162,J2245),4),
    MATCH(K$8,'Vehicle numbers'!$B$4:$D$4,0))*1000</f>
        <v>1224849</v>
      </c>
      <c r="L2245" s="183">
        <f ca="1">VLOOKUP(F2245,
    OFFSET(INDIRECT(ADDRESS(MATCH(J2245,'Vehicle numbers'!$A$5:$A$162,0),1,1,1,$L$6)),4,1,COUNTIF('Vehicle numbers'!$A$5:$A$162,J2245),4),
    MATCH(L$8,'Vehicle numbers'!$B$4:$D$4,0))*1000</f>
        <v>1247357.0450974263</v>
      </c>
      <c r="M2245" s="184">
        <f>VLOOKUP(F2245,'Annual distance covered (GB)'!$A$8:$H$33,MATCH(J2245,'Annual distance covered (GB)'!$A$7:$H$7,0))</f>
        <v>4.7</v>
      </c>
      <c r="N2245" s="2">
        <f t="shared" ca="1" si="82"/>
        <v>2236.1911500166411</v>
      </c>
      <c r="O2245" s="180">
        <f t="shared" ca="1" si="83"/>
        <v>1.7927434320475423E-3</v>
      </c>
      <c r="P2245" s="180"/>
      <c r="Q2245" s="180"/>
      <c r="R2245" s="180"/>
      <c r="S2245" s="180"/>
      <c r="T2245" s="180"/>
    </row>
    <row r="2246" spans="1:20" x14ac:dyDescent="0.25">
      <c r="A2246" t="s">
        <v>236</v>
      </c>
      <c r="B2246" t="s">
        <v>237</v>
      </c>
      <c r="C2246" t="s">
        <v>238</v>
      </c>
      <c r="D2246" t="s">
        <v>260</v>
      </c>
      <c r="E2246" t="s">
        <v>228</v>
      </c>
      <c r="F2246">
        <v>2012</v>
      </c>
      <c r="G2246">
        <v>3.7570000000000099E-3</v>
      </c>
      <c r="H2246" t="s">
        <v>240</v>
      </c>
      <c r="I2246" t="s">
        <v>241</v>
      </c>
      <c r="J2246" t="s">
        <v>3</v>
      </c>
      <c r="K2246" s="183">
        <f ca="1">VLOOKUP(F2246,
    OFFSET(INDIRECT(ADDRESS(MATCH(J2246,'Vehicle numbers'!$A$5:$A$162,0),1,1,1,$L$6)),4,1,COUNTIF('Vehicle numbers'!$A$5:$A$162,J2246),4),
    MATCH(K$8,'Vehicle numbers'!$B$4:$D$4,0))*1000</f>
        <v>1224849</v>
      </c>
      <c r="L2246" s="183">
        <f ca="1">VLOOKUP(F2246,
    OFFSET(INDIRECT(ADDRESS(MATCH(J2246,'Vehicle numbers'!$A$5:$A$162,0),1,1,1,$L$6)),4,1,COUNTIF('Vehicle numbers'!$A$5:$A$162,J2246),4),
    MATCH(L$8,'Vehicle numbers'!$B$4:$D$4,0))*1000</f>
        <v>1247357.0450974263</v>
      </c>
      <c r="M2246" s="184">
        <f>VLOOKUP(F2246,'Annual distance covered (GB)'!$A$8:$H$33,MATCH(J2246,'Annual distance covered (GB)'!$A$7:$H$7,0))</f>
        <v>4.7</v>
      </c>
      <c r="N2246" s="2">
        <f t="shared" ca="1" si="82"/>
        <v>17982.384740180954</v>
      </c>
      <c r="O2246" s="180">
        <f t="shared" ca="1" si="83"/>
        <v>1.4416389285536459E-2</v>
      </c>
      <c r="P2246" s="180"/>
      <c r="Q2246" s="180"/>
      <c r="R2246" s="180"/>
      <c r="S2246" s="180"/>
      <c r="T2246" s="180"/>
    </row>
    <row r="2247" spans="1:20" x14ac:dyDescent="0.25">
      <c r="A2247" t="s">
        <v>243</v>
      </c>
      <c r="B2247" t="s">
        <v>237</v>
      </c>
      <c r="C2247" t="s">
        <v>238</v>
      </c>
      <c r="D2247" t="s">
        <v>260</v>
      </c>
      <c r="E2247" t="s">
        <v>228</v>
      </c>
      <c r="F2247">
        <v>2012</v>
      </c>
      <c r="G2247">
        <v>2.6299000000000101E-3</v>
      </c>
      <c r="H2247" t="s">
        <v>240</v>
      </c>
      <c r="I2247" t="s">
        <v>241</v>
      </c>
      <c r="J2247" t="s">
        <v>3</v>
      </c>
      <c r="K2247" s="183">
        <f ca="1">VLOOKUP(F2247,
    OFFSET(INDIRECT(ADDRESS(MATCH(J2247,'Vehicle numbers'!$A$5:$A$162,0),1,1,1,$L$6)),4,1,COUNTIF('Vehicle numbers'!$A$5:$A$162,J2247),4),
    MATCH(K$8,'Vehicle numbers'!$B$4:$D$4,0))*1000</f>
        <v>1224849</v>
      </c>
      <c r="L2247" s="183">
        <f ca="1">VLOOKUP(F2247,
    OFFSET(INDIRECT(ADDRESS(MATCH(J2247,'Vehicle numbers'!$A$5:$A$162,0),1,1,1,$L$6)),4,1,COUNTIF('Vehicle numbers'!$A$5:$A$162,J2247),4),
    MATCH(L$8,'Vehicle numbers'!$B$4:$D$4,0))*1000</f>
        <v>1247357.0450974263</v>
      </c>
      <c r="M2247" s="184">
        <f>VLOOKUP(F2247,'Annual distance covered (GB)'!$A$8:$H$33,MATCH(J2247,'Annual distance covered (GB)'!$A$7:$H$7,0))</f>
        <v>4.7</v>
      </c>
      <c r="N2247" s="2">
        <f t="shared" ca="1" si="82"/>
        <v>12587.669318126684</v>
      </c>
      <c r="O2247" s="180">
        <f t="shared" ca="1" si="83"/>
        <v>1.0091472499875534E-2</v>
      </c>
      <c r="P2247" s="180"/>
      <c r="Q2247" s="180"/>
      <c r="R2247" s="180"/>
      <c r="S2247" s="180"/>
      <c r="T2247" s="180"/>
    </row>
    <row r="2248" spans="1:20" x14ac:dyDescent="0.25">
      <c r="A2248" t="s">
        <v>244</v>
      </c>
      <c r="B2248" t="s">
        <v>237</v>
      </c>
      <c r="C2248" t="s">
        <v>238</v>
      </c>
      <c r="D2248" t="s">
        <v>260</v>
      </c>
      <c r="E2248" t="s">
        <v>228</v>
      </c>
      <c r="F2248">
        <v>2012</v>
      </c>
      <c r="G2248">
        <v>3.7040845070422602E-4</v>
      </c>
      <c r="H2248" t="s">
        <v>240</v>
      </c>
      <c r="I2248" t="s">
        <v>241</v>
      </c>
      <c r="J2248" t="s">
        <v>3</v>
      </c>
      <c r="K2248" s="183">
        <f ca="1">VLOOKUP(F2248,
    OFFSET(INDIRECT(ADDRESS(MATCH(J2248,'Vehicle numbers'!$A$5:$A$162,0),1,1,1,$L$6)),4,1,COUNTIF('Vehicle numbers'!$A$5:$A$162,J2248),4),
    MATCH(K$8,'Vehicle numbers'!$B$4:$D$4,0))*1000</f>
        <v>1224849</v>
      </c>
      <c r="L2248" s="183">
        <f ca="1">VLOOKUP(F2248,
    OFFSET(INDIRECT(ADDRESS(MATCH(J2248,'Vehicle numbers'!$A$5:$A$162,0),1,1,1,$L$6)),4,1,COUNTIF('Vehicle numbers'!$A$5:$A$162,J2248),4),
    MATCH(L$8,'Vehicle numbers'!$B$4:$D$4,0))*1000</f>
        <v>1247357.0450974263</v>
      </c>
      <c r="M2248" s="184">
        <f>VLOOKUP(F2248,'Annual distance covered (GB)'!$A$8:$H$33,MATCH(J2248,'Annual distance covered (GB)'!$A$7:$H$7,0))</f>
        <v>4.7</v>
      </c>
      <c r="N2248" s="2">
        <f t="shared" ca="1" si="82"/>
        <v>1772.9111715671352</v>
      </c>
      <c r="O2248" s="180">
        <f t="shared" ca="1" si="83"/>
        <v>1.4213341549120444E-3</v>
      </c>
      <c r="P2248" s="180"/>
      <c r="Q2248" s="180"/>
      <c r="R2248" s="180"/>
      <c r="S2248" s="180"/>
      <c r="T2248" s="180"/>
    </row>
    <row r="2249" spans="1:20" x14ac:dyDescent="0.25">
      <c r="A2249" t="s">
        <v>246</v>
      </c>
      <c r="B2249" t="s">
        <v>237</v>
      </c>
      <c r="C2249" t="s">
        <v>238</v>
      </c>
      <c r="D2249" t="s">
        <v>260</v>
      </c>
      <c r="E2249" t="s">
        <v>228</v>
      </c>
      <c r="F2249">
        <v>2012</v>
      </c>
      <c r="G2249">
        <v>2.9632676056338101E-4</v>
      </c>
      <c r="H2249" t="s">
        <v>240</v>
      </c>
      <c r="I2249" t="s">
        <v>241</v>
      </c>
      <c r="J2249" t="s">
        <v>3</v>
      </c>
      <c r="K2249" s="183">
        <f ca="1">VLOOKUP(F2249,
    OFFSET(INDIRECT(ADDRESS(MATCH(J2249,'Vehicle numbers'!$A$5:$A$162,0),1,1,1,$L$6)),4,1,COUNTIF('Vehicle numbers'!$A$5:$A$162,J2249),4),
    MATCH(K$8,'Vehicle numbers'!$B$4:$D$4,0))*1000</f>
        <v>1224849</v>
      </c>
      <c r="L2249" s="183">
        <f ca="1">VLOOKUP(F2249,
    OFFSET(INDIRECT(ADDRESS(MATCH(J2249,'Vehicle numbers'!$A$5:$A$162,0),1,1,1,$L$6)),4,1,COUNTIF('Vehicle numbers'!$A$5:$A$162,J2249),4),
    MATCH(L$8,'Vehicle numbers'!$B$4:$D$4,0))*1000</f>
        <v>1247357.0450974263</v>
      </c>
      <c r="M2249" s="184">
        <f>VLOOKUP(F2249,'Annual distance covered (GB)'!$A$8:$H$33,MATCH(J2249,'Annual distance covered (GB)'!$A$7:$H$7,0))</f>
        <v>4.7</v>
      </c>
      <c r="N2249" s="2">
        <f t="shared" ca="1" si="82"/>
        <v>1418.328937253709</v>
      </c>
      <c r="O2249" s="180">
        <f t="shared" ca="1" si="83"/>
        <v>1.1370673239296362E-3</v>
      </c>
      <c r="P2249" s="180"/>
      <c r="Q2249" s="180"/>
      <c r="R2249" s="180"/>
      <c r="S2249" s="180"/>
      <c r="T2249" s="180"/>
    </row>
    <row r="2250" spans="1:20" x14ac:dyDescent="0.25">
      <c r="A2250" t="s">
        <v>236</v>
      </c>
      <c r="B2250" t="s">
        <v>237</v>
      </c>
      <c r="C2250" t="s">
        <v>238</v>
      </c>
      <c r="D2250" t="s">
        <v>261</v>
      </c>
      <c r="E2250" t="s">
        <v>229</v>
      </c>
      <c r="F2250">
        <v>2012</v>
      </c>
      <c r="G2250">
        <v>5.8399999999999902E-3</v>
      </c>
      <c r="H2250" t="s">
        <v>240</v>
      </c>
      <c r="I2250" t="s">
        <v>241</v>
      </c>
      <c r="J2250" t="s">
        <v>3</v>
      </c>
      <c r="K2250" s="183">
        <f ca="1">VLOOKUP(F2250,
    OFFSET(INDIRECT(ADDRESS(MATCH(J2250,'Vehicle numbers'!$A$5:$A$162,0),1,1,1,$L$6)),4,1,COUNTIF('Vehicle numbers'!$A$5:$A$162,J2250),4),
    MATCH(K$8,'Vehicle numbers'!$B$4:$D$4,0))*1000</f>
        <v>1224849</v>
      </c>
      <c r="L2250" s="183">
        <f ca="1">VLOOKUP(F2250,
    OFFSET(INDIRECT(ADDRESS(MATCH(J2250,'Vehicle numbers'!$A$5:$A$162,0),1,1,1,$L$6)),4,1,COUNTIF('Vehicle numbers'!$A$5:$A$162,J2250),4),
    MATCH(L$8,'Vehicle numbers'!$B$4:$D$4,0))*1000</f>
        <v>1247357.0450974263</v>
      </c>
      <c r="M2250" s="184">
        <f>VLOOKUP(F2250,'Annual distance covered (GB)'!$A$8:$H$33,MATCH(J2250,'Annual distance covered (GB)'!$A$7:$H$7,0))</f>
        <v>4.7</v>
      </c>
      <c r="N2250" s="2">
        <f t="shared" ca="1" si="82"/>
        <v>27952.389375207968</v>
      </c>
      <c r="O2250" s="180">
        <f t="shared" ca="1" si="83"/>
        <v>2.2409292900594242E-2</v>
      </c>
      <c r="P2250" s="180"/>
      <c r="Q2250" s="180"/>
      <c r="R2250" s="180"/>
      <c r="S2250" s="180"/>
      <c r="T2250" s="180"/>
    </row>
    <row r="2251" spans="1:20" x14ac:dyDescent="0.25">
      <c r="A2251" t="s">
        <v>243</v>
      </c>
      <c r="B2251" t="s">
        <v>237</v>
      </c>
      <c r="C2251" t="s">
        <v>238</v>
      </c>
      <c r="D2251" t="s">
        <v>261</v>
      </c>
      <c r="E2251" t="s">
        <v>229</v>
      </c>
      <c r="F2251">
        <v>2012</v>
      </c>
      <c r="G2251">
        <v>2.336E-3</v>
      </c>
      <c r="H2251" t="s">
        <v>240</v>
      </c>
      <c r="I2251" t="s">
        <v>241</v>
      </c>
      <c r="J2251" t="s">
        <v>3</v>
      </c>
      <c r="K2251" s="183">
        <f ca="1">VLOOKUP(F2251,
    OFFSET(INDIRECT(ADDRESS(MATCH(J2251,'Vehicle numbers'!$A$5:$A$162,0),1,1,1,$L$6)),4,1,COUNTIF('Vehicle numbers'!$A$5:$A$162,J2251),4),
    MATCH(K$8,'Vehicle numbers'!$B$4:$D$4,0))*1000</f>
        <v>1224849</v>
      </c>
      <c r="L2251" s="183">
        <f ca="1">VLOOKUP(F2251,
    OFFSET(INDIRECT(ADDRESS(MATCH(J2251,'Vehicle numbers'!$A$5:$A$162,0),1,1,1,$L$6)),4,1,COUNTIF('Vehicle numbers'!$A$5:$A$162,J2251),4),
    MATCH(L$8,'Vehicle numbers'!$B$4:$D$4,0))*1000</f>
        <v>1247357.0450974263</v>
      </c>
      <c r="M2251" s="184">
        <f>VLOOKUP(F2251,'Annual distance covered (GB)'!$A$8:$H$33,MATCH(J2251,'Annual distance covered (GB)'!$A$7:$H$7,0))</f>
        <v>4.7</v>
      </c>
      <c r="N2251" s="2">
        <f t="shared" ref="N2251:N2314" ca="1" si="84">M2251*G2251*1000000*(L2251/K2251)</f>
        <v>11180.955750083203</v>
      </c>
      <c r="O2251" s="180">
        <f t="shared" ref="O2251:O2314" ca="1" si="85">N2251/L2251</f>
        <v>8.9637171602377098E-3</v>
      </c>
      <c r="P2251" s="180"/>
      <c r="Q2251" s="180"/>
      <c r="R2251" s="180"/>
      <c r="S2251" s="180"/>
      <c r="T2251" s="180"/>
    </row>
    <row r="2252" spans="1:20" x14ac:dyDescent="0.25">
      <c r="A2252" t="s">
        <v>244</v>
      </c>
      <c r="B2252" t="s">
        <v>237</v>
      </c>
      <c r="C2252" t="s">
        <v>238</v>
      </c>
      <c r="D2252" t="s">
        <v>261</v>
      </c>
      <c r="E2252" t="s">
        <v>229</v>
      </c>
      <c r="F2252">
        <v>2012</v>
      </c>
      <c r="G2252">
        <v>5.8399999999999999E-4</v>
      </c>
      <c r="H2252" t="s">
        <v>240</v>
      </c>
      <c r="I2252" t="s">
        <v>241</v>
      </c>
      <c r="J2252" t="s">
        <v>3</v>
      </c>
      <c r="K2252" s="183">
        <f ca="1">VLOOKUP(F2252,
    OFFSET(INDIRECT(ADDRESS(MATCH(J2252,'Vehicle numbers'!$A$5:$A$162,0),1,1,1,$L$6)),4,1,COUNTIF('Vehicle numbers'!$A$5:$A$162,J2252),4),
    MATCH(K$8,'Vehicle numbers'!$B$4:$D$4,0))*1000</f>
        <v>1224849</v>
      </c>
      <c r="L2252" s="183">
        <f ca="1">VLOOKUP(F2252,
    OFFSET(INDIRECT(ADDRESS(MATCH(J2252,'Vehicle numbers'!$A$5:$A$162,0),1,1,1,$L$6)),4,1,COUNTIF('Vehicle numbers'!$A$5:$A$162,J2252),4),
    MATCH(L$8,'Vehicle numbers'!$B$4:$D$4,0))*1000</f>
        <v>1247357.0450974263</v>
      </c>
      <c r="M2252" s="184">
        <f>VLOOKUP(F2252,'Annual distance covered (GB)'!$A$8:$H$33,MATCH(J2252,'Annual distance covered (GB)'!$A$7:$H$7,0))</f>
        <v>4.7</v>
      </c>
      <c r="N2252" s="2">
        <f t="shared" ca="1" si="84"/>
        <v>2795.2389375208008</v>
      </c>
      <c r="O2252" s="180">
        <f t="shared" ca="1" si="85"/>
        <v>2.2409292900594274E-3</v>
      </c>
      <c r="P2252" s="180"/>
      <c r="Q2252" s="180"/>
      <c r="R2252" s="180"/>
      <c r="S2252" s="180"/>
      <c r="T2252" s="180"/>
    </row>
    <row r="2253" spans="1:20" x14ac:dyDescent="0.25">
      <c r="A2253" t="s">
        <v>246</v>
      </c>
      <c r="B2253" t="s">
        <v>237</v>
      </c>
      <c r="C2253" t="s">
        <v>238</v>
      </c>
      <c r="D2253" t="s">
        <v>261</v>
      </c>
      <c r="E2253" t="s">
        <v>229</v>
      </c>
      <c r="F2253">
        <v>2012</v>
      </c>
      <c r="G2253">
        <v>4.6720000000000003E-4</v>
      </c>
      <c r="H2253" t="s">
        <v>240</v>
      </c>
      <c r="I2253" t="s">
        <v>241</v>
      </c>
      <c r="J2253" t="s">
        <v>3</v>
      </c>
      <c r="K2253" s="183">
        <f ca="1">VLOOKUP(F2253,
    OFFSET(INDIRECT(ADDRESS(MATCH(J2253,'Vehicle numbers'!$A$5:$A$162,0),1,1,1,$L$6)),4,1,COUNTIF('Vehicle numbers'!$A$5:$A$162,J2253),4),
    MATCH(K$8,'Vehicle numbers'!$B$4:$D$4,0))*1000</f>
        <v>1224849</v>
      </c>
      <c r="L2253" s="183">
        <f ca="1">VLOOKUP(F2253,
    OFFSET(INDIRECT(ADDRESS(MATCH(J2253,'Vehicle numbers'!$A$5:$A$162,0),1,1,1,$L$6)),4,1,COUNTIF('Vehicle numbers'!$A$5:$A$162,J2253),4),
    MATCH(L$8,'Vehicle numbers'!$B$4:$D$4,0))*1000</f>
        <v>1247357.0450974263</v>
      </c>
      <c r="M2253" s="184">
        <f>VLOOKUP(F2253,'Annual distance covered (GB)'!$A$8:$H$33,MATCH(J2253,'Annual distance covered (GB)'!$A$7:$H$7,0))</f>
        <v>4.7</v>
      </c>
      <c r="N2253" s="2">
        <f t="shared" ca="1" si="84"/>
        <v>2236.1911500166411</v>
      </c>
      <c r="O2253" s="180">
        <f t="shared" ca="1" si="85"/>
        <v>1.7927434320475423E-3</v>
      </c>
      <c r="P2253" s="180"/>
      <c r="Q2253" s="180"/>
      <c r="R2253" s="180"/>
      <c r="S2253" s="180"/>
      <c r="T2253" s="180"/>
    </row>
    <row r="2254" spans="1:20" x14ac:dyDescent="0.25">
      <c r="A2254" t="s">
        <v>236</v>
      </c>
      <c r="B2254" t="s">
        <v>237</v>
      </c>
      <c r="C2254" t="s">
        <v>238</v>
      </c>
      <c r="D2254" t="s">
        <v>261</v>
      </c>
      <c r="E2254" t="s">
        <v>228</v>
      </c>
      <c r="F2254">
        <v>2012</v>
      </c>
      <c r="G2254">
        <v>3.7569999999999999E-3</v>
      </c>
      <c r="H2254" t="s">
        <v>240</v>
      </c>
      <c r="I2254" t="s">
        <v>241</v>
      </c>
      <c r="J2254" t="s">
        <v>3</v>
      </c>
      <c r="K2254" s="183">
        <f ca="1">VLOOKUP(F2254,
    OFFSET(INDIRECT(ADDRESS(MATCH(J2254,'Vehicle numbers'!$A$5:$A$162,0),1,1,1,$L$6)),4,1,COUNTIF('Vehicle numbers'!$A$5:$A$162,J2254),4),
    MATCH(K$8,'Vehicle numbers'!$B$4:$D$4,0))*1000</f>
        <v>1224849</v>
      </c>
      <c r="L2254" s="183">
        <f ca="1">VLOOKUP(F2254,
    OFFSET(INDIRECT(ADDRESS(MATCH(J2254,'Vehicle numbers'!$A$5:$A$162,0),1,1,1,$L$6)),4,1,COUNTIF('Vehicle numbers'!$A$5:$A$162,J2254),4),
    MATCH(L$8,'Vehicle numbers'!$B$4:$D$4,0))*1000</f>
        <v>1247357.0450974263</v>
      </c>
      <c r="M2254" s="184">
        <f>VLOOKUP(F2254,'Annual distance covered (GB)'!$A$8:$H$33,MATCH(J2254,'Annual distance covered (GB)'!$A$7:$H$7,0))</f>
        <v>4.7</v>
      </c>
      <c r="N2254" s="2">
        <f t="shared" ca="1" si="84"/>
        <v>17982.384740180911</v>
      </c>
      <c r="O2254" s="180">
        <f t="shared" ca="1" si="85"/>
        <v>1.4416389285536424E-2</v>
      </c>
      <c r="P2254" s="180"/>
      <c r="Q2254" s="180"/>
      <c r="R2254" s="180"/>
      <c r="S2254" s="180"/>
      <c r="T2254" s="180"/>
    </row>
    <row r="2255" spans="1:20" x14ac:dyDescent="0.25">
      <c r="A2255" t="s">
        <v>243</v>
      </c>
      <c r="B2255" t="s">
        <v>237</v>
      </c>
      <c r="C2255" t="s">
        <v>238</v>
      </c>
      <c r="D2255" t="s">
        <v>261</v>
      </c>
      <c r="E2255" t="s">
        <v>228</v>
      </c>
      <c r="F2255">
        <v>2012</v>
      </c>
      <c r="G2255">
        <v>2.6299000000000001E-3</v>
      </c>
      <c r="H2255" t="s">
        <v>240</v>
      </c>
      <c r="I2255" t="s">
        <v>241</v>
      </c>
      <c r="J2255" t="s">
        <v>3</v>
      </c>
      <c r="K2255" s="183">
        <f ca="1">VLOOKUP(F2255,
    OFFSET(INDIRECT(ADDRESS(MATCH(J2255,'Vehicle numbers'!$A$5:$A$162,0),1,1,1,$L$6)),4,1,COUNTIF('Vehicle numbers'!$A$5:$A$162,J2255),4),
    MATCH(K$8,'Vehicle numbers'!$B$4:$D$4,0))*1000</f>
        <v>1224849</v>
      </c>
      <c r="L2255" s="183">
        <f ca="1">VLOOKUP(F2255,
    OFFSET(INDIRECT(ADDRESS(MATCH(J2255,'Vehicle numbers'!$A$5:$A$162,0),1,1,1,$L$6)),4,1,COUNTIF('Vehicle numbers'!$A$5:$A$162,J2255),4),
    MATCH(L$8,'Vehicle numbers'!$B$4:$D$4,0))*1000</f>
        <v>1247357.0450974263</v>
      </c>
      <c r="M2255" s="184">
        <f>VLOOKUP(F2255,'Annual distance covered (GB)'!$A$8:$H$33,MATCH(J2255,'Annual distance covered (GB)'!$A$7:$H$7,0))</f>
        <v>4.7</v>
      </c>
      <c r="N2255" s="2">
        <f t="shared" ca="1" si="84"/>
        <v>12587.669318126636</v>
      </c>
      <c r="O2255" s="180">
        <f t="shared" ca="1" si="85"/>
        <v>1.0091472499875496E-2</v>
      </c>
      <c r="P2255" s="180"/>
      <c r="Q2255" s="180"/>
      <c r="R2255" s="180"/>
      <c r="S2255" s="180"/>
      <c r="T2255" s="180"/>
    </row>
    <row r="2256" spans="1:20" x14ac:dyDescent="0.25">
      <c r="A2256" t="s">
        <v>244</v>
      </c>
      <c r="B2256" t="s">
        <v>237</v>
      </c>
      <c r="C2256" t="s">
        <v>238</v>
      </c>
      <c r="D2256" t="s">
        <v>261</v>
      </c>
      <c r="E2256" t="s">
        <v>228</v>
      </c>
      <c r="F2256">
        <v>2012</v>
      </c>
      <c r="G2256">
        <v>3.7040845070422499E-4</v>
      </c>
      <c r="H2256" t="s">
        <v>240</v>
      </c>
      <c r="I2256" t="s">
        <v>241</v>
      </c>
      <c r="J2256" t="s">
        <v>3</v>
      </c>
      <c r="K2256" s="183">
        <f ca="1">VLOOKUP(F2256,
    OFFSET(INDIRECT(ADDRESS(MATCH(J2256,'Vehicle numbers'!$A$5:$A$162,0),1,1,1,$L$6)),4,1,COUNTIF('Vehicle numbers'!$A$5:$A$162,J2256),4),
    MATCH(K$8,'Vehicle numbers'!$B$4:$D$4,0))*1000</f>
        <v>1224849</v>
      </c>
      <c r="L2256" s="183">
        <f ca="1">VLOOKUP(F2256,
    OFFSET(INDIRECT(ADDRESS(MATCH(J2256,'Vehicle numbers'!$A$5:$A$162,0),1,1,1,$L$6)),4,1,COUNTIF('Vehicle numbers'!$A$5:$A$162,J2256),4),
    MATCH(L$8,'Vehicle numbers'!$B$4:$D$4,0))*1000</f>
        <v>1247357.0450974263</v>
      </c>
      <c r="M2256" s="184">
        <f>VLOOKUP(F2256,'Annual distance covered (GB)'!$A$8:$H$33,MATCH(J2256,'Annual distance covered (GB)'!$A$7:$H$7,0))</f>
        <v>4.7</v>
      </c>
      <c r="N2256" s="2">
        <f t="shared" ca="1" si="84"/>
        <v>1772.9111715671302</v>
      </c>
      <c r="O2256" s="180">
        <f t="shared" ca="1" si="85"/>
        <v>1.4213341549120402E-3</v>
      </c>
      <c r="P2256" s="180"/>
      <c r="Q2256" s="180"/>
      <c r="R2256" s="180"/>
      <c r="S2256" s="180"/>
      <c r="T2256" s="180"/>
    </row>
    <row r="2257" spans="1:20" x14ac:dyDescent="0.25">
      <c r="A2257" t="s">
        <v>246</v>
      </c>
      <c r="B2257" t="s">
        <v>237</v>
      </c>
      <c r="C2257" t="s">
        <v>238</v>
      </c>
      <c r="D2257" t="s">
        <v>261</v>
      </c>
      <c r="E2257" t="s">
        <v>228</v>
      </c>
      <c r="F2257">
        <v>2012</v>
      </c>
      <c r="G2257">
        <v>2.9632676056337998E-4</v>
      </c>
      <c r="H2257" t="s">
        <v>240</v>
      </c>
      <c r="I2257" t="s">
        <v>241</v>
      </c>
      <c r="J2257" t="s">
        <v>3</v>
      </c>
      <c r="K2257" s="183">
        <f ca="1">VLOOKUP(F2257,
    OFFSET(INDIRECT(ADDRESS(MATCH(J2257,'Vehicle numbers'!$A$5:$A$162,0),1,1,1,$L$6)),4,1,COUNTIF('Vehicle numbers'!$A$5:$A$162,J2257),4),
    MATCH(K$8,'Vehicle numbers'!$B$4:$D$4,0))*1000</f>
        <v>1224849</v>
      </c>
      <c r="L2257" s="183">
        <f ca="1">VLOOKUP(F2257,
    OFFSET(INDIRECT(ADDRESS(MATCH(J2257,'Vehicle numbers'!$A$5:$A$162,0),1,1,1,$L$6)),4,1,COUNTIF('Vehicle numbers'!$A$5:$A$162,J2257),4),
    MATCH(L$8,'Vehicle numbers'!$B$4:$D$4,0))*1000</f>
        <v>1247357.0450974263</v>
      </c>
      <c r="M2257" s="184">
        <f>VLOOKUP(F2257,'Annual distance covered (GB)'!$A$8:$H$33,MATCH(J2257,'Annual distance covered (GB)'!$A$7:$H$7,0))</f>
        <v>4.7</v>
      </c>
      <c r="N2257" s="2">
        <f t="shared" ca="1" si="84"/>
        <v>1418.3289372537042</v>
      </c>
      <c r="O2257" s="180">
        <f t="shared" ca="1" si="85"/>
        <v>1.1370673239296323E-3</v>
      </c>
      <c r="P2257" s="180"/>
      <c r="Q2257" s="180"/>
      <c r="R2257" s="180"/>
      <c r="S2257" s="180"/>
      <c r="T2257" s="180"/>
    </row>
    <row r="2258" spans="1:20" x14ac:dyDescent="0.25">
      <c r="A2258" t="s">
        <v>236</v>
      </c>
      <c r="B2258" t="s">
        <v>237</v>
      </c>
      <c r="C2258" t="s">
        <v>238</v>
      </c>
      <c r="D2258" t="s">
        <v>262</v>
      </c>
      <c r="E2258" t="s">
        <v>229</v>
      </c>
      <c r="F2258">
        <v>2012</v>
      </c>
      <c r="G2258">
        <v>6.8000000000000005E-4</v>
      </c>
      <c r="H2258" t="s">
        <v>240</v>
      </c>
      <c r="I2258" t="s">
        <v>241</v>
      </c>
      <c r="J2258" t="s">
        <v>3</v>
      </c>
      <c r="K2258" s="183">
        <f ca="1">VLOOKUP(F2258,
    OFFSET(INDIRECT(ADDRESS(MATCH(J2258,'Vehicle numbers'!$A$5:$A$162,0),1,1,1,$L$6)),4,1,COUNTIF('Vehicle numbers'!$A$5:$A$162,J2258),4),
    MATCH(K$8,'Vehicle numbers'!$B$4:$D$4,0))*1000</f>
        <v>1224849</v>
      </c>
      <c r="L2258" s="183">
        <f ca="1">VLOOKUP(F2258,
    OFFSET(INDIRECT(ADDRESS(MATCH(J2258,'Vehicle numbers'!$A$5:$A$162,0),1,1,1,$L$6)),4,1,COUNTIF('Vehicle numbers'!$A$5:$A$162,J2258),4),
    MATCH(L$8,'Vehicle numbers'!$B$4:$D$4,0))*1000</f>
        <v>1247357.0450974263</v>
      </c>
      <c r="M2258" s="184">
        <f>VLOOKUP(F2258,'Annual distance covered (GB)'!$A$8:$H$33,MATCH(J2258,'Annual distance covered (GB)'!$A$7:$H$7,0))</f>
        <v>4.7</v>
      </c>
      <c r="N2258" s="2">
        <f t="shared" ca="1" si="84"/>
        <v>3254.7302697160021</v>
      </c>
      <c r="O2258" s="180">
        <f t="shared" ca="1" si="85"/>
        <v>2.6093012281513893E-3</v>
      </c>
      <c r="P2258" s="180"/>
      <c r="Q2258" s="180"/>
      <c r="R2258" s="180"/>
      <c r="S2258" s="180"/>
      <c r="T2258" s="180"/>
    </row>
    <row r="2259" spans="1:20" x14ac:dyDescent="0.25">
      <c r="A2259" t="s">
        <v>243</v>
      </c>
      <c r="B2259" t="s">
        <v>237</v>
      </c>
      <c r="C2259" t="s">
        <v>238</v>
      </c>
      <c r="D2259" t="s">
        <v>262</v>
      </c>
      <c r="E2259" t="s">
        <v>229</v>
      </c>
      <c r="F2259">
        <v>2012</v>
      </c>
      <c r="G2259">
        <v>2.72E-4</v>
      </c>
      <c r="H2259" t="s">
        <v>240</v>
      </c>
      <c r="I2259" t="s">
        <v>241</v>
      </c>
      <c r="J2259" t="s">
        <v>3</v>
      </c>
      <c r="K2259" s="183">
        <f ca="1">VLOOKUP(F2259,
    OFFSET(INDIRECT(ADDRESS(MATCH(J2259,'Vehicle numbers'!$A$5:$A$162,0),1,1,1,$L$6)),4,1,COUNTIF('Vehicle numbers'!$A$5:$A$162,J2259),4),
    MATCH(K$8,'Vehicle numbers'!$B$4:$D$4,0))*1000</f>
        <v>1224849</v>
      </c>
      <c r="L2259" s="183">
        <f ca="1">VLOOKUP(F2259,
    OFFSET(INDIRECT(ADDRESS(MATCH(J2259,'Vehicle numbers'!$A$5:$A$162,0),1,1,1,$L$6)),4,1,COUNTIF('Vehicle numbers'!$A$5:$A$162,J2259),4),
    MATCH(L$8,'Vehicle numbers'!$B$4:$D$4,0))*1000</f>
        <v>1247357.0450974263</v>
      </c>
      <c r="M2259" s="184">
        <f>VLOOKUP(F2259,'Annual distance covered (GB)'!$A$8:$H$33,MATCH(J2259,'Annual distance covered (GB)'!$A$7:$H$7,0))</f>
        <v>4.7</v>
      </c>
      <c r="N2259" s="2">
        <f t="shared" ca="1" si="84"/>
        <v>1301.8921078864007</v>
      </c>
      <c r="O2259" s="180">
        <f t="shared" ca="1" si="85"/>
        <v>1.0437204912605556E-3</v>
      </c>
      <c r="P2259" s="180"/>
      <c r="Q2259" s="180"/>
      <c r="R2259" s="180"/>
      <c r="S2259" s="180"/>
      <c r="T2259" s="180"/>
    </row>
    <row r="2260" spans="1:20" x14ac:dyDescent="0.25">
      <c r="A2260" t="s">
        <v>244</v>
      </c>
      <c r="B2260" t="s">
        <v>237</v>
      </c>
      <c r="C2260" t="s">
        <v>238</v>
      </c>
      <c r="D2260" t="s">
        <v>262</v>
      </c>
      <c r="E2260" t="s">
        <v>229</v>
      </c>
      <c r="F2260">
        <v>2012</v>
      </c>
      <c r="G2260" s="189">
        <v>6.7999999999999999E-5</v>
      </c>
      <c r="H2260" t="s">
        <v>240</v>
      </c>
      <c r="I2260" t="s">
        <v>241</v>
      </c>
      <c r="J2260" t="s">
        <v>3</v>
      </c>
      <c r="K2260" s="183">
        <f ca="1">VLOOKUP(F2260,
    OFFSET(INDIRECT(ADDRESS(MATCH(J2260,'Vehicle numbers'!$A$5:$A$162,0),1,1,1,$L$6)),4,1,COUNTIF('Vehicle numbers'!$A$5:$A$162,J2260),4),
    MATCH(K$8,'Vehicle numbers'!$B$4:$D$4,0))*1000</f>
        <v>1224849</v>
      </c>
      <c r="L2260" s="183">
        <f ca="1">VLOOKUP(F2260,
    OFFSET(INDIRECT(ADDRESS(MATCH(J2260,'Vehicle numbers'!$A$5:$A$162,0),1,1,1,$L$6)),4,1,COUNTIF('Vehicle numbers'!$A$5:$A$162,J2260),4),
    MATCH(L$8,'Vehicle numbers'!$B$4:$D$4,0))*1000</f>
        <v>1247357.0450974263</v>
      </c>
      <c r="M2260" s="184">
        <f>VLOOKUP(F2260,'Annual distance covered (GB)'!$A$8:$H$33,MATCH(J2260,'Annual distance covered (GB)'!$A$7:$H$7,0))</f>
        <v>4.7</v>
      </c>
      <c r="N2260" s="2">
        <f t="shared" ca="1" si="84"/>
        <v>325.47302697160018</v>
      </c>
      <c r="O2260" s="180">
        <f t="shared" ca="1" si="85"/>
        <v>2.609301228151389E-4</v>
      </c>
      <c r="P2260" s="180"/>
      <c r="Q2260" s="180"/>
      <c r="R2260" s="180"/>
      <c r="S2260" s="180"/>
      <c r="T2260" s="180"/>
    </row>
    <row r="2261" spans="1:20" x14ac:dyDescent="0.25">
      <c r="A2261" t="s">
        <v>246</v>
      </c>
      <c r="B2261" t="s">
        <v>237</v>
      </c>
      <c r="C2261" t="s">
        <v>238</v>
      </c>
      <c r="D2261" t="s">
        <v>262</v>
      </c>
      <c r="E2261" t="s">
        <v>229</v>
      </c>
      <c r="F2261">
        <v>2012</v>
      </c>
      <c r="G2261" s="189">
        <v>5.4400000000000001E-5</v>
      </c>
      <c r="H2261" t="s">
        <v>240</v>
      </c>
      <c r="I2261" t="s">
        <v>241</v>
      </c>
      <c r="J2261" t="s">
        <v>3</v>
      </c>
      <c r="K2261" s="183">
        <f ca="1">VLOOKUP(F2261,
    OFFSET(INDIRECT(ADDRESS(MATCH(J2261,'Vehicle numbers'!$A$5:$A$162,0),1,1,1,$L$6)),4,1,COUNTIF('Vehicle numbers'!$A$5:$A$162,J2261),4),
    MATCH(K$8,'Vehicle numbers'!$B$4:$D$4,0))*1000</f>
        <v>1224849</v>
      </c>
      <c r="L2261" s="183">
        <f ca="1">VLOOKUP(F2261,
    OFFSET(INDIRECT(ADDRESS(MATCH(J2261,'Vehicle numbers'!$A$5:$A$162,0),1,1,1,$L$6)),4,1,COUNTIF('Vehicle numbers'!$A$5:$A$162,J2261),4),
    MATCH(L$8,'Vehicle numbers'!$B$4:$D$4,0))*1000</f>
        <v>1247357.0450974263</v>
      </c>
      <c r="M2261" s="184">
        <f>VLOOKUP(F2261,'Annual distance covered (GB)'!$A$8:$H$33,MATCH(J2261,'Annual distance covered (GB)'!$A$7:$H$7,0))</f>
        <v>4.7</v>
      </c>
      <c r="N2261" s="2">
        <f t="shared" ca="1" si="84"/>
        <v>260.37842157728011</v>
      </c>
      <c r="O2261" s="180">
        <f t="shared" ca="1" si="85"/>
        <v>2.0874409825211108E-4</v>
      </c>
      <c r="P2261" s="180"/>
      <c r="Q2261" s="180"/>
      <c r="R2261" s="180"/>
      <c r="S2261" s="180"/>
      <c r="T2261" s="180"/>
    </row>
    <row r="2262" spans="1:20" x14ac:dyDescent="0.25">
      <c r="A2262" t="s">
        <v>236</v>
      </c>
      <c r="B2262" t="s">
        <v>237</v>
      </c>
      <c r="C2262" t="s">
        <v>238</v>
      </c>
      <c r="D2262" t="s">
        <v>262</v>
      </c>
      <c r="E2262" t="s">
        <v>228</v>
      </c>
      <c r="F2262">
        <v>2012</v>
      </c>
      <c r="G2262">
        <v>2.49E-3</v>
      </c>
      <c r="H2262" t="s">
        <v>240</v>
      </c>
      <c r="I2262" t="s">
        <v>241</v>
      </c>
      <c r="J2262" t="s">
        <v>3</v>
      </c>
      <c r="K2262" s="183">
        <f ca="1">VLOOKUP(F2262,
    OFFSET(INDIRECT(ADDRESS(MATCH(J2262,'Vehicle numbers'!$A$5:$A$162,0),1,1,1,$L$6)),4,1,COUNTIF('Vehicle numbers'!$A$5:$A$162,J2262),4),
    MATCH(K$8,'Vehicle numbers'!$B$4:$D$4,0))*1000</f>
        <v>1224849</v>
      </c>
      <c r="L2262" s="183">
        <f ca="1">VLOOKUP(F2262,
    OFFSET(INDIRECT(ADDRESS(MATCH(J2262,'Vehicle numbers'!$A$5:$A$162,0),1,1,1,$L$6)),4,1,COUNTIF('Vehicle numbers'!$A$5:$A$162,J2262),4),
    MATCH(L$8,'Vehicle numbers'!$B$4:$D$4,0))*1000</f>
        <v>1247357.0450974263</v>
      </c>
      <c r="M2262" s="184">
        <f>VLOOKUP(F2262,'Annual distance covered (GB)'!$A$8:$H$33,MATCH(J2262,'Annual distance covered (GB)'!$A$7:$H$7,0))</f>
        <v>4.7</v>
      </c>
      <c r="N2262" s="2">
        <f t="shared" ca="1" si="84"/>
        <v>11918.056428813004</v>
      </c>
      <c r="O2262" s="180">
        <f t="shared" ca="1" si="85"/>
        <v>9.5546471442602317E-3</v>
      </c>
      <c r="P2262" s="180"/>
      <c r="Q2262" s="180"/>
      <c r="R2262" s="180"/>
      <c r="S2262" s="180"/>
      <c r="T2262" s="180"/>
    </row>
    <row r="2263" spans="1:20" x14ac:dyDescent="0.25">
      <c r="A2263" t="s">
        <v>243</v>
      </c>
      <c r="B2263" t="s">
        <v>237</v>
      </c>
      <c r="C2263" t="s">
        <v>238</v>
      </c>
      <c r="D2263" t="s">
        <v>262</v>
      </c>
      <c r="E2263" t="s">
        <v>228</v>
      </c>
      <c r="F2263">
        <v>2012</v>
      </c>
      <c r="G2263">
        <v>1.743E-3</v>
      </c>
      <c r="H2263" t="s">
        <v>240</v>
      </c>
      <c r="I2263" t="s">
        <v>241</v>
      </c>
      <c r="J2263" t="s">
        <v>3</v>
      </c>
      <c r="K2263" s="183">
        <f ca="1">VLOOKUP(F2263,
    OFFSET(INDIRECT(ADDRESS(MATCH(J2263,'Vehicle numbers'!$A$5:$A$162,0),1,1,1,$L$6)),4,1,COUNTIF('Vehicle numbers'!$A$5:$A$162,J2263),4),
    MATCH(K$8,'Vehicle numbers'!$B$4:$D$4,0))*1000</f>
        <v>1224849</v>
      </c>
      <c r="L2263" s="183">
        <f ca="1">VLOOKUP(F2263,
    OFFSET(INDIRECT(ADDRESS(MATCH(J2263,'Vehicle numbers'!$A$5:$A$162,0),1,1,1,$L$6)),4,1,COUNTIF('Vehicle numbers'!$A$5:$A$162,J2263),4),
    MATCH(L$8,'Vehicle numbers'!$B$4:$D$4,0))*1000</f>
        <v>1247357.0450974263</v>
      </c>
      <c r="M2263" s="184">
        <f>VLOOKUP(F2263,'Annual distance covered (GB)'!$A$8:$H$33,MATCH(J2263,'Annual distance covered (GB)'!$A$7:$H$7,0))</f>
        <v>4.7</v>
      </c>
      <c r="N2263" s="2">
        <f t="shared" ca="1" si="84"/>
        <v>8342.6395001691035</v>
      </c>
      <c r="O2263" s="180">
        <f t="shared" ca="1" si="85"/>
        <v>6.6882530009821622E-3</v>
      </c>
      <c r="P2263" s="180"/>
      <c r="Q2263" s="180"/>
      <c r="R2263" s="180"/>
      <c r="S2263" s="180"/>
      <c r="T2263" s="180"/>
    </row>
    <row r="2264" spans="1:20" x14ac:dyDescent="0.25">
      <c r="A2264" t="s">
        <v>244</v>
      </c>
      <c r="B2264" t="s">
        <v>237</v>
      </c>
      <c r="C2264" t="s">
        <v>238</v>
      </c>
      <c r="D2264" t="s">
        <v>262</v>
      </c>
      <c r="E2264" t="s">
        <v>228</v>
      </c>
      <c r="F2264">
        <v>2012</v>
      </c>
      <c r="G2264">
        <v>2.4549295774647798E-4</v>
      </c>
      <c r="H2264" t="s">
        <v>240</v>
      </c>
      <c r="I2264" t="s">
        <v>241</v>
      </c>
      <c r="J2264" t="s">
        <v>3</v>
      </c>
      <c r="K2264" s="183">
        <f ca="1">VLOOKUP(F2264,
    OFFSET(INDIRECT(ADDRESS(MATCH(J2264,'Vehicle numbers'!$A$5:$A$162,0),1,1,1,$L$6)),4,1,COUNTIF('Vehicle numbers'!$A$5:$A$162,J2264),4),
    MATCH(K$8,'Vehicle numbers'!$B$4:$D$4,0))*1000</f>
        <v>1224849</v>
      </c>
      <c r="L2264" s="183">
        <f ca="1">VLOOKUP(F2264,
    OFFSET(INDIRECT(ADDRESS(MATCH(J2264,'Vehicle numbers'!$A$5:$A$162,0),1,1,1,$L$6)),4,1,COUNTIF('Vehicle numbers'!$A$5:$A$162,J2264),4),
    MATCH(L$8,'Vehicle numbers'!$B$4:$D$4,0))*1000</f>
        <v>1247357.0450974263</v>
      </c>
      <c r="M2264" s="184">
        <f>VLOOKUP(F2264,'Annual distance covered (GB)'!$A$8:$H$33,MATCH(J2264,'Annual distance covered (GB)'!$A$7:$H$7,0))</f>
        <v>4.7</v>
      </c>
      <c r="N2264" s="2">
        <f t="shared" ca="1" si="84"/>
        <v>1175.0196479111371</v>
      </c>
      <c r="O2264" s="180">
        <f t="shared" ca="1" si="85"/>
        <v>9.4200746492706172E-4</v>
      </c>
      <c r="P2264" s="180"/>
      <c r="Q2264" s="180"/>
      <c r="R2264" s="180"/>
      <c r="S2264" s="180"/>
      <c r="T2264" s="180"/>
    </row>
    <row r="2265" spans="1:20" x14ac:dyDescent="0.25">
      <c r="A2265" t="s">
        <v>246</v>
      </c>
      <c r="B2265" t="s">
        <v>237</v>
      </c>
      <c r="C2265" t="s">
        <v>238</v>
      </c>
      <c r="D2265" t="s">
        <v>262</v>
      </c>
      <c r="E2265" t="s">
        <v>228</v>
      </c>
      <c r="F2265">
        <v>2012</v>
      </c>
      <c r="G2265">
        <v>1.96394366197183E-4</v>
      </c>
      <c r="H2265" t="s">
        <v>240</v>
      </c>
      <c r="I2265" t="s">
        <v>241</v>
      </c>
      <c r="J2265" t="s">
        <v>3</v>
      </c>
      <c r="K2265" s="183">
        <f ca="1">VLOOKUP(F2265,
    OFFSET(INDIRECT(ADDRESS(MATCH(J2265,'Vehicle numbers'!$A$5:$A$162,0),1,1,1,$L$6)),4,1,COUNTIF('Vehicle numbers'!$A$5:$A$162,J2265),4),
    MATCH(K$8,'Vehicle numbers'!$B$4:$D$4,0))*1000</f>
        <v>1224849</v>
      </c>
      <c r="L2265" s="183">
        <f ca="1">VLOOKUP(F2265,
    OFFSET(INDIRECT(ADDRESS(MATCH(J2265,'Vehicle numbers'!$A$5:$A$162,0),1,1,1,$L$6)),4,1,COUNTIF('Vehicle numbers'!$A$5:$A$162,J2265),4),
    MATCH(L$8,'Vehicle numbers'!$B$4:$D$4,0))*1000</f>
        <v>1247357.0450974263</v>
      </c>
      <c r="M2265" s="184">
        <f>VLOOKUP(F2265,'Annual distance covered (GB)'!$A$8:$H$33,MATCH(J2265,'Annual distance covered (GB)'!$A$7:$H$7,0))</f>
        <v>4.7</v>
      </c>
      <c r="N2265" s="2">
        <f t="shared" ca="1" si="84"/>
        <v>940.01571832891261</v>
      </c>
      <c r="O2265" s="180">
        <f t="shared" ca="1" si="85"/>
        <v>7.5360597194165169E-4</v>
      </c>
      <c r="P2265" s="180"/>
      <c r="Q2265" s="180"/>
      <c r="R2265" s="180"/>
      <c r="S2265" s="180"/>
      <c r="T2265" s="180"/>
    </row>
    <row r="2266" spans="1:20" x14ac:dyDescent="0.25">
      <c r="A2266" t="s">
        <v>236</v>
      </c>
      <c r="B2266" t="s">
        <v>237</v>
      </c>
      <c r="C2266" t="s">
        <v>238</v>
      </c>
      <c r="D2266" t="s">
        <v>263</v>
      </c>
      <c r="E2266" t="s">
        <v>229</v>
      </c>
      <c r="F2266">
        <v>2012</v>
      </c>
      <c r="G2266">
        <v>2.764E-3</v>
      </c>
      <c r="H2266" t="s">
        <v>240</v>
      </c>
      <c r="I2266" t="s">
        <v>241</v>
      </c>
      <c r="J2266" t="s">
        <v>3</v>
      </c>
      <c r="K2266" s="183">
        <f ca="1">VLOOKUP(F2266,
    OFFSET(INDIRECT(ADDRESS(MATCH(J2266,'Vehicle numbers'!$A$5:$A$162,0),1,1,1,$L$6)),4,1,COUNTIF('Vehicle numbers'!$A$5:$A$162,J2266),4),
    MATCH(K$8,'Vehicle numbers'!$B$4:$D$4,0))*1000</f>
        <v>1224849</v>
      </c>
      <c r="L2266" s="183">
        <f ca="1">VLOOKUP(F2266,
    OFFSET(INDIRECT(ADDRESS(MATCH(J2266,'Vehicle numbers'!$A$5:$A$162,0),1,1,1,$L$6)),4,1,COUNTIF('Vehicle numbers'!$A$5:$A$162,J2266),4),
    MATCH(L$8,'Vehicle numbers'!$B$4:$D$4,0))*1000</f>
        <v>1247357.0450974263</v>
      </c>
      <c r="M2266" s="184">
        <f>VLOOKUP(F2266,'Annual distance covered (GB)'!$A$8:$H$33,MATCH(J2266,'Annual distance covered (GB)'!$A$7:$H$7,0))</f>
        <v>4.7</v>
      </c>
      <c r="N2266" s="2">
        <f t="shared" ca="1" si="84"/>
        <v>13229.521272786807</v>
      </c>
      <c r="O2266" s="180">
        <f t="shared" ca="1" si="85"/>
        <v>1.0606042050897704E-2</v>
      </c>
      <c r="P2266" s="180"/>
      <c r="Q2266" s="180"/>
      <c r="R2266" s="180"/>
      <c r="S2266" s="180"/>
      <c r="T2266" s="180"/>
    </row>
    <row r="2267" spans="1:20" x14ac:dyDescent="0.25">
      <c r="A2267" t="s">
        <v>243</v>
      </c>
      <c r="B2267" t="s">
        <v>237</v>
      </c>
      <c r="C2267" t="s">
        <v>238</v>
      </c>
      <c r="D2267" t="s">
        <v>263</v>
      </c>
      <c r="E2267" t="s">
        <v>229</v>
      </c>
      <c r="F2267">
        <v>2012</v>
      </c>
      <c r="G2267">
        <v>1.1056E-3</v>
      </c>
      <c r="H2267" t="s">
        <v>240</v>
      </c>
      <c r="I2267" t="s">
        <v>241</v>
      </c>
      <c r="J2267" t="s">
        <v>3</v>
      </c>
      <c r="K2267" s="183">
        <f ca="1">VLOOKUP(F2267,
    OFFSET(INDIRECT(ADDRESS(MATCH(J2267,'Vehicle numbers'!$A$5:$A$162,0),1,1,1,$L$6)),4,1,COUNTIF('Vehicle numbers'!$A$5:$A$162,J2267),4),
    MATCH(K$8,'Vehicle numbers'!$B$4:$D$4,0))*1000</f>
        <v>1224849</v>
      </c>
      <c r="L2267" s="183">
        <f ca="1">VLOOKUP(F2267,
    OFFSET(INDIRECT(ADDRESS(MATCH(J2267,'Vehicle numbers'!$A$5:$A$162,0),1,1,1,$L$6)),4,1,COUNTIF('Vehicle numbers'!$A$5:$A$162,J2267),4),
    MATCH(L$8,'Vehicle numbers'!$B$4:$D$4,0))*1000</f>
        <v>1247357.0450974263</v>
      </c>
      <c r="M2267" s="184">
        <f>VLOOKUP(F2267,'Annual distance covered (GB)'!$A$8:$H$33,MATCH(J2267,'Annual distance covered (GB)'!$A$7:$H$7,0))</f>
        <v>4.7</v>
      </c>
      <c r="N2267" s="2">
        <f t="shared" ca="1" si="84"/>
        <v>5291.8085091147223</v>
      </c>
      <c r="O2267" s="180">
        <f t="shared" ca="1" si="85"/>
        <v>4.2424168203590816E-3</v>
      </c>
      <c r="P2267" s="180"/>
      <c r="Q2267" s="180"/>
      <c r="R2267" s="180"/>
      <c r="S2267" s="180"/>
      <c r="T2267" s="180"/>
    </row>
    <row r="2268" spans="1:20" x14ac:dyDescent="0.25">
      <c r="A2268" t="s">
        <v>244</v>
      </c>
      <c r="B2268" t="s">
        <v>237</v>
      </c>
      <c r="C2268" t="s">
        <v>238</v>
      </c>
      <c r="D2268" t="s">
        <v>263</v>
      </c>
      <c r="E2268" t="s">
        <v>229</v>
      </c>
      <c r="F2268">
        <v>2012</v>
      </c>
      <c r="G2268">
        <v>2.764E-4</v>
      </c>
      <c r="H2268" t="s">
        <v>240</v>
      </c>
      <c r="I2268" t="s">
        <v>241</v>
      </c>
      <c r="J2268" t="s">
        <v>3</v>
      </c>
      <c r="K2268" s="183">
        <f ca="1">VLOOKUP(F2268,
    OFFSET(INDIRECT(ADDRESS(MATCH(J2268,'Vehicle numbers'!$A$5:$A$162,0),1,1,1,$L$6)),4,1,COUNTIF('Vehicle numbers'!$A$5:$A$162,J2268),4),
    MATCH(K$8,'Vehicle numbers'!$B$4:$D$4,0))*1000</f>
        <v>1224849</v>
      </c>
      <c r="L2268" s="183">
        <f ca="1">VLOOKUP(F2268,
    OFFSET(INDIRECT(ADDRESS(MATCH(J2268,'Vehicle numbers'!$A$5:$A$162,0),1,1,1,$L$6)),4,1,COUNTIF('Vehicle numbers'!$A$5:$A$162,J2268),4),
    MATCH(L$8,'Vehicle numbers'!$B$4:$D$4,0))*1000</f>
        <v>1247357.0450974263</v>
      </c>
      <c r="M2268" s="184">
        <f>VLOOKUP(F2268,'Annual distance covered (GB)'!$A$8:$H$33,MATCH(J2268,'Annual distance covered (GB)'!$A$7:$H$7,0))</f>
        <v>4.7</v>
      </c>
      <c r="N2268" s="2">
        <f t="shared" ca="1" si="84"/>
        <v>1322.9521272786806</v>
      </c>
      <c r="O2268" s="180">
        <f t="shared" ca="1" si="85"/>
        <v>1.0606042050897704E-3</v>
      </c>
      <c r="P2268" s="180"/>
      <c r="Q2268" s="180"/>
      <c r="R2268" s="180"/>
      <c r="S2268" s="180"/>
      <c r="T2268" s="180"/>
    </row>
    <row r="2269" spans="1:20" x14ac:dyDescent="0.25">
      <c r="A2269" t="s">
        <v>246</v>
      </c>
      <c r="B2269" t="s">
        <v>237</v>
      </c>
      <c r="C2269" t="s">
        <v>238</v>
      </c>
      <c r="D2269" t="s">
        <v>263</v>
      </c>
      <c r="E2269" t="s">
        <v>229</v>
      </c>
      <c r="F2269">
        <v>2012</v>
      </c>
      <c r="G2269">
        <v>2.2112E-4</v>
      </c>
      <c r="H2269" t="s">
        <v>240</v>
      </c>
      <c r="I2269" t="s">
        <v>241</v>
      </c>
      <c r="J2269" t="s">
        <v>3</v>
      </c>
      <c r="K2269" s="183">
        <f ca="1">VLOOKUP(F2269,
    OFFSET(INDIRECT(ADDRESS(MATCH(J2269,'Vehicle numbers'!$A$5:$A$162,0),1,1,1,$L$6)),4,1,COUNTIF('Vehicle numbers'!$A$5:$A$162,J2269),4),
    MATCH(K$8,'Vehicle numbers'!$B$4:$D$4,0))*1000</f>
        <v>1224849</v>
      </c>
      <c r="L2269" s="183">
        <f ca="1">VLOOKUP(F2269,
    OFFSET(INDIRECT(ADDRESS(MATCH(J2269,'Vehicle numbers'!$A$5:$A$162,0),1,1,1,$L$6)),4,1,COUNTIF('Vehicle numbers'!$A$5:$A$162,J2269),4),
    MATCH(L$8,'Vehicle numbers'!$B$4:$D$4,0))*1000</f>
        <v>1247357.0450974263</v>
      </c>
      <c r="M2269" s="184">
        <f>VLOOKUP(F2269,'Annual distance covered (GB)'!$A$8:$H$33,MATCH(J2269,'Annual distance covered (GB)'!$A$7:$H$7,0))</f>
        <v>4.7</v>
      </c>
      <c r="N2269" s="2">
        <f t="shared" ca="1" si="84"/>
        <v>1058.3617018229445</v>
      </c>
      <c r="O2269" s="180">
        <f t="shared" ca="1" si="85"/>
        <v>8.4848336407181623E-4</v>
      </c>
      <c r="P2269" s="180"/>
      <c r="Q2269" s="180"/>
      <c r="R2269" s="180"/>
      <c r="S2269" s="180"/>
      <c r="T2269" s="180"/>
    </row>
    <row r="2270" spans="1:20" x14ac:dyDescent="0.25">
      <c r="A2270" t="s">
        <v>236</v>
      </c>
      <c r="B2270" t="s">
        <v>237</v>
      </c>
      <c r="C2270" t="s">
        <v>238</v>
      </c>
      <c r="D2270" t="s">
        <v>263</v>
      </c>
      <c r="E2270" t="s">
        <v>228</v>
      </c>
      <c r="F2270">
        <v>2012</v>
      </c>
      <c r="G2270">
        <v>2.9239999999999999E-3</v>
      </c>
      <c r="H2270" t="s">
        <v>240</v>
      </c>
      <c r="I2270" t="s">
        <v>241</v>
      </c>
      <c r="J2270" t="s">
        <v>3</v>
      </c>
      <c r="K2270" s="183">
        <f ca="1">VLOOKUP(F2270,
    OFFSET(INDIRECT(ADDRESS(MATCH(J2270,'Vehicle numbers'!$A$5:$A$162,0),1,1,1,$L$6)),4,1,COUNTIF('Vehicle numbers'!$A$5:$A$162,J2270),4),
    MATCH(K$8,'Vehicle numbers'!$B$4:$D$4,0))*1000</f>
        <v>1224849</v>
      </c>
      <c r="L2270" s="183">
        <f ca="1">VLOOKUP(F2270,
    OFFSET(INDIRECT(ADDRESS(MATCH(J2270,'Vehicle numbers'!$A$5:$A$162,0),1,1,1,$L$6)),4,1,COUNTIF('Vehicle numbers'!$A$5:$A$162,J2270),4),
    MATCH(L$8,'Vehicle numbers'!$B$4:$D$4,0))*1000</f>
        <v>1247357.0450974263</v>
      </c>
      <c r="M2270" s="184">
        <f>VLOOKUP(F2270,'Annual distance covered (GB)'!$A$8:$H$33,MATCH(J2270,'Annual distance covered (GB)'!$A$7:$H$7,0))</f>
        <v>4.7</v>
      </c>
      <c r="N2270" s="2">
        <f t="shared" ca="1" si="84"/>
        <v>13995.340159778805</v>
      </c>
      <c r="O2270" s="180">
        <f t="shared" ca="1" si="85"/>
        <v>1.1219995281050971E-2</v>
      </c>
      <c r="P2270" s="180"/>
      <c r="Q2270" s="180"/>
      <c r="R2270" s="180"/>
      <c r="S2270" s="180"/>
      <c r="T2270" s="180"/>
    </row>
    <row r="2271" spans="1:20" x14ac:dyDescent="0.25">
      <c r="A2271" t="s">
        <v>243</v>
      </c>
      <c r="B2271" t="s">
        <v>237</v>
      </c>
      <c r="C2271" t="s">
        <v>238</v>
      </c>
      <c r="D2271" t="s">
        <v>263</v>
      </c>
      <c r="E2271" t="s">
        <v>228</v>
      </c>
      <c r="F2271">
        <v>2012</v>
      </c>
      <c r="G2271">
        <v>2.0468000000000001E-3</v>
      </c>
      <c r="H2271" t="s">
        <v>240</v>
      </c>
      <c r="I2271" t="s">
        <v>241</v>
      </c>
      <c r="J2271" t="s">
        <v>3</v>
      </c>
      <c r="K2271" s="183">
        <f ca="1">VLOOKUP(F2271,
    OFFSET(INDIRECT(ADDRESS(MATCH(J2271,'Vehicle numbers'!$A$5:$A$162,0),1,1,1,$L$6)),4,1,COUNTIF('Vehicle numbers'!$A$5:$A$162,J2271),4),
    MATCH(K$8,'Vehicle numbers'!$B$4:$D$4,0))*1000</f>
        <v>1224849</v>
      </c>
      <c r="L2271" s="183">
        <f ca="1">VLOOKUP(F2271,
    OFFSET(INDIRECT(ADDRESS(MATCH(J2271,'Vehicle numbers'!$A$5:$A$162,0),1,1,1,$L$6)),4,1,COUNTIF('Vehicle numbers'!$A$5:$A$162,J2271),4),
    MATCH(L$8,'Vehicle numbers'!$B$4:$D$4,0))*1000</f>
        <v>1247357.0450974263</v>
      </c>
      <c r="M2271" s="184">
        <f>VLOOKUP(F2271,'Annual distance covered (GB)'!$A$8:$H$33,MATCH(J2271,'Annual distance covered (GB)'!$A$7:$H$7,0))</f>
        <v>4.7</v>
      </c>
      <c r="N2271" s="2">
        <f t="shared" ca="1" si="84"/>
        <v>9796.7381118451649</v>
      </c>
      <c r="O2271" s="180">
        <f t="shared" ca="1" si="85"/>
        <v>7.8539966967356798E-3</v>
      </c>
      <c r="P2271" s="180"/>
      <c r="Q2271" s="180"/>
      <c r="R2271" s="180"/>
      <c r="S2271" s="180"/>
      <c r="T2271" s="180"/>
    </row>
    <row r="2272" spans="1:20" x14ac:dyDescent="0.25">
      <c r="A2272" t="s">
        <v>244</v>
      </c>
      <c r="B2272" t="s">
        <v>237</v>
      </c>
      <c r="C2272" t="s">
        <v>238</v>
      </c>
      <c r="D2272" t="s">
        <v>263</v>
      </c>
      <c r="E2272" t="s">
        <v>228</v>
      </c>
      <c r="F2272">
        <v>2012</v>
      </c>
      <c r="G2272">
        <v>2.8828169014084501E-4</v>
      </c>
      <c r="H2272" t="s">
        <v>240</v>
      </c>
      <c r="I2272" t="s">
        <v>241</v>
      </c>
      <c r="J2272" t="s">
        <v>3</v>
      </c>
      <c r="K2272" s="183">
        <f ca="1">VLOOKUP(F2272,
    OFFSET(INDIRECT(ADDRESS(MATCH(J2272,'Vehicle numbers'!$A$5:$A$162,0),1,1,1,$L$6)),4,1,COUNTIF('Vehicle numbers'!$A$5:$A$162,J2272),4),
    MATCH(K$8,'Vehicle numbers'!$B$4:$D$4,0))*1000</f>
        <v>1224849</v>
      </c>
      <c r="L2272" s="183">
        <f ca="1">VLOOKUP(F2272,
    OFFSET(INDIRECT(ADDRESS(MATCH(J2272,'Vehicle numbers'!$A$5:$A$162,0),1,1,1,$L$6)),4,1,COUNTIF('Vehicle numbers'!$A$5:$A$162,J2272),4),
    MATCH(L$8,'Vehicle numbers'!$B$4:$D$4,0))*1000</f>
        <v>1247357.0450974263</v>
      </c>
      <c r="M2272" s="184">
        <f>VLOOKUP(F2272,'Annual distance covered (GB)'!$A$8:$H$33,MATCH(J2272,'Annual distance covered (GB)'!$A$7:$H$7,0))</f>
        <v>4.7</v>
      </c>
      <c r="N2272" s="2">
        <f t="shared" ca="1" si="84"/>
        <v>1379.8222692739666</v>
      </c>
      <c r="O2272" s="180">
        <f t="shared" ca="1" si="85"/>
        <v>1.1061967178500956E-3</v>
      </c>
      <c r="P2272" s="180"/>
      <c r="Q2272" s="180"/>
      <c r="R2272" s="180"/>
      <c r="S2272" s="180"/>
      <c r="T2272" s="180"/>
    </row>
    <row r="2273" spans="1:20" x14ac:dyDescent="0.25">
      <c r="A2273" t="s">
        <v>246</v>
      </c>
      <c r="B2273" t="s">
        <v>237</v>
      </c>
      <c r="C2273" t="s">
        <v>238</v>
      </c>
      <c r="D2273" t="s">
        <v>263</v>
      </c>
      <c r="E2273" t="s">
        <v>228</v>
      </c>
      <c r="F2273">
        <v>2012</v>
      </c>
      <c r="G2273">
        <v>2.3062535211267599E-4</v>
      </c>
      <c r="H2273" t="s">
        <v>240</v>
      </c>
      <c r="I2273" t="s">
        <v>241</v>
      </c>
      <c r="J2273" t="s">
        <v>3</v>
      </c>
      <c r="K2273" s="183">
        <f ca="1">VLOOKUP(F2273,
    OFFSET(INDIRECT(ADDRESS(MATCH(J2273,'Vehicle numbers'!$A$5:$A$162,0),1,1,1,$L$6)),4,1,COUNTIF('Vehicle numbers'!$A$5:$A$162,J2273),4),
    MATCH(K$8,'Vehicle numbers'!$B$4:$D$4,0))*1000</f>
        <v>1224849</v>
      </c>
      <c r="L2273" s="183">
        <f ca="1">VLOOKUP(F2273,
    OFFSET(INDIRECT(ADDRESS(MATCH(J2273,'Vehicle numbers'!$A$5:$A$162,0),1,1,1,$L$6)),4,1,COUNTIF('Vehicle numbers'!$A$5:$A$162,J2273),4),
    MATCH(L$8,'Vehicle numbers'!$B$4:$D$4,0))*1000</f>
        <v>1247357.0450974263</v>
      </c>
      <c r="M2273" s="184">
        <f>VLOOKUP(F2273,'Annual distance covered (GB)'!$A$8:$H$33,MATCH(J2273,'Annual distance covered (GB)'!$A$7:$H$7,0))</f>
        <v>4.7</v>
      </c>
      <c r="N2273" s="2">
        <f t="shared" ca="1" si="84"/>
        <v>1103.8578154191732</v>
      </c>
      <c r="O2273" s="180">
        <f t="shared" ca="1" si="85"/>
        <v>8.8495737428007646E-4</v>
      </c>
      <c r="P2273" s="180"/>
      <c r="Q2273" s="180"/>
      <c r="R2273" s="180"/>
      <c r="S2273" s="180"/>
      <c r="T2273" s="180"/>
    </row>
    <row r="2274" spans="1:20" x14ac:dyDescent="0.25">
      <c r="A2274" t="s">
        <v>236</v>
      </c>
      <c r="B2274" t="s">
        <v>237</v>
      </c>
      <c r="C2274" t="s">
        <v>238</v>
      </c>
      <c r="D2274" t="s">
        <v>264</v>
      </c>
      <c r="E2274" t="s">
        <v>229</v>
      </c>
      <c r="F2274">
        <v>2012</v>
      </c>
      <c r="G2274">
        <v>5.8400000000000101E-3</v>
      </c>
      <c r="H2274" t="s">
        <v>240</v>
      </c>
      <c r="I2274" t="s">
        <v>241</v>
      </c>
      <c r="J2274" t="s">
        <v>3</v>
      </c>
      <c r="K2274" s="183">
        <f ca="1">VLOOKUP(F2274,
    OFFSET(INDIRECT(ADDRESS(MATCH(J2274,'Vehicle numbers'!$A$5:$A$162,0),1,1,1,$L$6)),4,1,COUNTIF('Vehicle numbers'!$A$5:$A$162,J2274),4),
    MATCH(K$8,'Vehicle numbers'!$B$4:$D$4,0))*1000</f>
        <v>1224849</v>
      </c>
      <c r="L2274" s="183">
        <f ca="1">VLOOKUP(F2274,
    OFFSET(INDIRECT(ADDRESS(MATCH(J2274,'Vehicle numbers'!$A$5:$A$162,0),1,1,1,$L$6)),4,1,COUNTIF('Vehicle numbers'!$A$5:$A$162,J2274),4),
    MATCH(L$8,'Vehicle numbers'!$B$4:$D$4,0))*1000</f>
        <v>1247357.0450974263</v>
      </c>
      <c r="M2274" s="184">
        <f>VLOOKUP(F2274,'Annual distance covered (GB)'!$A$8:$H$33,MATCH(J2274,'Annual distance covered (GB)'!$A$7:$H$7,0))</f>
        <v>4.7</v>
      </c>
      <c r="N2274" s="2">
        <f t="shared" ca="1" si="84"/>
        <v>27952.389375208062</v>
      </c>
      <c r="O2274" s="180">
        <f t="shared" ca="1" si="85"/>
        <v>2.2409292900594319E-2</v>
      </c>
      <c r="P2274" s="180"/>
      <c r="Q2274" s="180"/>
      <c r="R2274" s="180"/>
      <c r="S2274" s="180"/>
      <c r="T2274" s="180"/>
    </row>
    <row r="2275" spans="1:20" x14ac:dyDescent="0.25">
      <c r="A2275" t="s">
        <v>243</v>
      </c>
      <c r="B2275" t="s">
        <v>237</v>
      </c>
      <c r="C2275" t="s">
        <v>238</v>
      </c>
      <c r="D2275" t="s">
        <v>264</v>
      </c>
      <c r="E2275" t="s">
        <v>229</v>
      </c>
      <c r="F2275">
        <v>2012</v>
      </c>
      <c r="G2275">
        <v>2.336E-3</v>
      </c>
      <c r="H2275" t="s">
        <v>240</v>
      </c>
      <c r="I2275" t="s">
        <v>241</v>
      </c>
      <c r="J2275" t="s">
        <v>3</v>
      </c>
      <c r="K2275" s="183">
        <f ca="1">VLOOKUP(F2275,
    OFFSET(INDIRECT(ADDRESS(MATCH(J2275,'Vehicle numbers'!$A$5:$A$162,0),1,1,1,$L$6)),4,1,COUNTIF('Vehicle numbers'!$A$5:$A$162,J2275),4),
    MATCH(K$8,'Vehicle numbers'!$B$4:$D$4,0))*1000</f>
        <v>1224849</v>
      </c>
      <c r="L2275" s="183">
        <f ca="1">VLOOKUP(F2275,
    OFFSET(INDIRECT(ADDRESS(MATCH(J2275,'Vehicle numbers'!$A$5:$A$162,0),1,1,1,$L$6)),4,1,COUNTIF('Vehicle numbers'!$A$5:$A$162,J2275),4),
    MATCH(L$8,'Vehicle numbers'!$B$4:$D$4,0))*1000</f>
        <v>1247357.0450974263</v>
      </c>
      <c r="M2275" s="184">
        <f>VLOOKUP(F2275,'Annual distance covered (GB)'!$A$8:$H$33,MATCH(J2275,'Annual distance covered (GB)'!$A$7:$H$7,0))</f>
        <v>4.7</v>
      </c>
      <c r="N2275" s="2">
        <f t="shared" ca="1" si="84"/>
        <v>11180.955750083203</v>
      </c>
      <c r="O2275" s="180">
        <f t="shared" ca="1" si="85"/>
        <v>8.9637171602377098E-3</v>
      </c>
      <c r="P2275" s="180"/>
      <c r="Q2275" s="180"/>
      <c r="R2275" s="180"/>
      <c r="S2275" s="180"/>
      <c r="T2275" s="180"/>
    </row>
    <row r="2276" spans="1:20" x14ac:dyDescent="0.25">
      <c r="A2276" t="s">
        <v>244</v>
      </c>
      <c r="B2276" t="s">
        <v>237</v>
      </c>
      <c r="C2276" t="s">
        <v>238</v>
      </c>
      <c r="D2276" t="s">
        <v>264</v>
      </c>
      <c r="E2276" t="s">
        <v>229</v>
      </c>
      <c r="F2276">
        <v>2012</v>
      </c>
      <c r="G2276">
        <v>5.8399999999999999E-4</v>
      </c>
      <c r="H2276" t="s">
        <v>240</v>
      </c>
      <c r="I2276" t="s">
        <v>241</v>
      </c>
      <c r="J2276" t="s">
        <v>3</v>
      </c>
      <c r="K2276" s="183">
        <f ca="1">VLOOKUP(F2276,
    OFFSET(INDIRECT(ADDRESS(MATCH(J2276,'Vehicle numbers'!$A$5:$A$162,0),1,1,1,$L$6)),4,1,COUNTIF('Vehicle numbers'!$A$5:$A$162,J2276),4),
    MATCH(K$8,'Vehicle numbers'!$B$4:$D$4,0))*1000</f>
        <v>1224849</v>
      </c>
      <c r="L2276" s="183">
        <f ca="1">VLOOKUP(F2276,
    OFFSET(INDIRECT(ADDRESS(MATCH(J2276,'Vehicle numbers'!$A$5:$A$162,0),1,1,1,$L$6)),4,1,COUNTIF('Vehicle numbers'!$A$5:$A$162,J2276),4),
    MATCH(L$8,'Vehicle numbers'!$B$4:$D$4,0))*1000</f>
        <v>1247357.0450974263</v>
      </c>
      <c r="M2276" s="184">
        <f>VLOOKUP(F2276,'Annual distance covered (GB)'!$A$8:$H$33,MATCH(J2276,'Annual distance covered (GB)'!$A$7:$H$7,0))</f>
        <v>4.7</v>
      </c>
      <c r="N2276" s="2">
        <f t="shared" ca="1" si="84"/>
        <v>2795.2389375208008</v>
      </c>
      <c r="O2276" s="180">
        <f t="shared" ca="1" si="85"/>
        <v>2.2409292900594274E-3</v>
      </c>
      <c r="P2276" s="180"/>
      <c r="Q2276" s="180"/>
      <c r="R2276" s="180"/>
      <c r="S2276" s="180"/>
      <c r="T2276" s="180"/>
    </row>
    <row r="2277" spans="1:20" x14ac:dyDescent="0.25">
      <c r="A2277" t="s">
        <v>246</v>
      </c>
      <c r="B2277" t="s">
        <v>237</v>
      </c>
      <c r="C2277" t="s">
        <v>238</v>
      </c>
      <c r="D2277" t="s">
        <v>264</v>
      </c>
      <c r="E2277" t="s">
        <v>229</v>
      </c>
      <c r="F2277">
        <v>2012</v>
      </c>
      <c r="G2277">
        <v>4.6720000000000003E-4</v>
      </c>
      <c r="H2277" t="s">
        <v>240</v>
      </c>
      <c r="I2277" t="s">
        <v>241</v>
      </c>
      <c r="J2277" t="s">
        <v>3</v>
      </c>
      <c r="K2277" s="183">
        <f ca="1">VLOOKUP(F2277,
    OFFSET(INDIRECT(ADDRESS(MATCH(J2277,'Vehicle numbers'!$A$5:$A$162,0),1,1,1,$L$6)),4,1,COUNTIF('Vehicle numbers'!$A$5:$A$162,J2277),4),
    MATCH(K$8,'Vehicle numbers'!$B$4:$D$4,0))*1000</f>
        <v>1224849</v>
      </c>
      <c r="L2277" s="183">
        <f ca="1">VLOOKUP(F2277,
    OFFSET(INDIRECT(ADDRESS(MATCH(J2277,'Vehicle numbers'!$A$5:$A$162,0),1,1,1,$L$6)),4,1,COUNTIF('Vehicle numbers'!$A$5:$A$162,J2277),4),
    MATCH(L$8,'Vehicle numbers'!$B$4:$D$4,0))*1000</f>
        <v>1247357.0450974263</v>
      </c>
      <c r="M2277" s="184">
        <f>VLOOKUP(F2277,'Annual distance covered (GB)'!$A$8:$H$33,MATCH(J2277,'Annual distance covered (GB)'!$A$7:$H$7,0))</f>
        <v>4.7</v>
      </c>
      <c r="N2277" s="2">
        <f t="shared" ca="1" si="84"/>
        <v>2236.1911500166411</v>
      </c>
      <c r="O2277" s="180">
        <f t="shared" ca="1" si="85"/>
        <v>1.7927434320475423E-3</v>
      </c>
      <c r="P2277" s="180"/>
      <c r="Q2277" s="180"/>
      <c r="R2277" s="180"/>
      <c r="S2277" s="180"/>
      <c r="T2277" s="180"/>
    </row>
    <row r="2278" spans="1:20" x14ac:dyDescent="0.25">
      <c r="A2278" t="s">
        <v>236</v>
      </c>
      <c r="B2278" t="s">
        <v>237</v>
      </c>
      <c r="C2278" t="s">
        <v>238</v>
      </c>
      <c r="D2278" t="s">
        <v>264</v>
      </c>
      <c r="E2278" t="s">
        <v>228</v>
      </c>
      <c r="F2278">
        <v>2012</v>
      </c>
      <c r="G2278">
        <v>3.7570000000000099E-3</v>
      </c>
      <c r="H2278" t="s">
        <v>240</v>
      </c>
      <c r="I2278" t="s">
        <v>241</v>
      </c>
      <c r="J2278" t="s">
        <v>3</v>
      </c>
      <c r="K2278" s="183">
        <f ca="1">VLOOKUP(F2278,
    OFFSET(INDIRECT(ADDRESS(MATCH(J2278,'Vehicle numbers'!$A$5:$A$162,0),1,1,1,$L$6)),4,1,COUNTIF('Vehicle numbers'!$A$5:$A$162,J2278),4),
    MATCH(K$8,'Vehicle numbers'!$B$4:$D$4,0))*1000</f>
        <v>1224849</v>
      </c>
      <c r="L2278" s="183">
        <f ca="1">VLOOKUP(F2278,
    OFFSET(INDIRECT(ADDRESS(MATCH(J2278,'Vehicle numbers'!$A$5:$A$162,0),1,1,1,$L$6)),4,1,COUNTIF('Vehicle numbers'!$A$5:$A$162,J2278),4),
    MATCH(L$8,'Vehicle numbers'!$B$4:$D$4,0))*1000</f>
        <v>1247357.0450974263</v>
      </c>
      <c r="M2278" s="184">
        <f>VLOOKUP(F2278,'Annual distance covered (GB)'!$A$8:$H$33,MATCH(J2278,'Annual distance covered (GB)'!$A$7:$H$7,0))</f>
        <v>4.7</v>
      </c>
      <c r="N2278" s="2">
        <f t="shared" ca="1" si="84"/>
        <v>17982.384740180954</v>
      </c>
      <c r="O2278" s="180">
        <f t="shared" ca="1" si="85"/>
        <v>1.4416389285536459E-2</v>
      </c>
      <c r="P2278" s="180"/>
      <c r="Q2278" s="180"/>
      <c r="R2278" s="180"/>
      <c r="S2278" s="180"/>
      <c r="T2278" s="180"/>
    </row>
    <row r="2279" spans="1:20" x14ac:dyDescent="0.25">
      <c r="A2279" t="s">
        <v>243</v>
      </c>
      <c r="B2279" t="s">
        <v>237</v>
      </c>
      <c r="C2279" t="s">
        <v>238</v>
      </c>
      <c r="D2279" t="s">
        <v>264</v>
      </c>
      <c r="E2279" t="s">
        <v>228</v>
      </c>
      <c r="F2279">
        <v>2012</v>
      </c>
      <c r="G2279">
        <v>2.6299000000000101E-3</v>
      </c>
      <c r="H2279" t="s">
        <v>240</v>
      </c>
      <c r="I2279" t="s">
        <v>241</v>
      </c>
      <c r="J2279" t="s">
        <v>3</v>
      </c>
      <c r="K2279" s="183">
        <f ca="1">VLOOKUP(F2279,
    OFFSET(INDIRECT(ADDRESS(MATCH(J2279,'Vehicle numbers'!$A$5:$A$162,0),1,1,1,$L$6)),4,1,COUNTIF('Vehicle numbers'!$A$5:$A$162,J2279),4),
    MATCH(K$8,'Vehicle numbers'!$B$4:$D$4,0))*1000</f>
        <v>1224849</v>
      </c>
      <c r="L2279" s="183">
        <f ca="1">VLOOKUP(F2279,
    OFFSET(INDIRECT(ADDRESS(MATCH(J2279,'Vehicle numbers'!$A$5:$A$162,0),1,1,1,$L$6)),4,1,COUNTIF('Vehicle numbers'!$A$5:$A$162,J2279),4),
    MATCH(L$8,'Vehicle numbers'!$B$4:$D$4,0))*1000</f>
        <v>1247357.0450974263</v>
      </c>
      <c r="M2279" s="184">
        <f>VLOOKUP(F2279,'Annual distance covered (GB)'!$A$8:$H$33,MATCH(J2279,'Annual distance covered (GB)'!$A$7:$H$7,0))</f>
        <v>4.7</v>
      </c>
      <c r="N2279" s="2">
        <f t="shared" ca="1" si="84"/>
        <v>12587.669318126684</v>
      </c>
      <c r="O2279" s="180">
        <f t="shared" ca="1" si="85"/>
        <v>1.0091472499875534E-2</v>
      </c>
      <c r="P2279" s="180"/>
      <c r="Q2279" s="180"/>
      <c r="R2279" s="180"/>
      <c r="S2279" s="180"/>
      <c r="T2279" s="180"/>
    </row>
    <row r="2280" spans="1:20" x14ac:dyDescent="0.25">
      <c r="A2280" t="s">
        <v>244</v>
      </c>
      <c r="B2280" t="s">
        <v>237</v>
      </c>
      <c r="C2280" t="s">
        <v>238</v>
      </c>
      <c r="D2280" t="s">
        <v>264</v>
      </c>
      <c r="E2280" t="s">
        <v>228</v>
      </c>
      <c r="F2280">
        <v>2012</v>
      </c>
      <c r="G2280">
        <v>3.7040845070422602E-4</v>
      </c>
      <c r="H2280" t="s">
        <v>240</v>
      </c>
      <c r="I2280" t="s">
        <v>241</v>
      </c>
      <c r="J2280" t="s">
        <v>3</v>
      </c>
      <c r="K2280" s="183">
        <f ca="1">VLOOKUP(F2280,
    OFFSET(INDIRECT(ADDRESS(MATCH(J2280,'Vehicle numbers'!$A$5:$A$162,0),1,1,1,$L$6)),4,1,COUNTIF('Vehicle numbers'!$A$5:$A$162,J2280),4),
    MATCH(K$8,'Vehicle numbers'!$B$4:$D$4,0))*1000</f>
        <v>1224849</v>
      </c>
      <c r="L2280" s="183">
        <f ca="1">VLOOKUP(F2280,
    OFFSET(INDIRECT(ADDRESS(MATCH(J2280,'Vehicle numbers'!$A$5:$A$162,0),1,1,1,$L$6)),4,1,COUNTIF('Vehicle numbers'!$A$5:$A$162,J2280),4),
    MATCH(L$8,'Vehicle numbers'!$B$4:$D$4,0))*1000</f>
        <v>1247357.0450974263</v>
      </c>
      <c r="M2280" s="184">
        <f>VLOOKUP(F2280,'Annual distance covered (GB)'!$A$8:$H$33,MATCH(J2280,'Annual distance covered (GB)'!$A$7:$H$7,0))</f>
        <v>4.7</v>
      </c>
      <c r="N2280" s="2">
        <f t="shared" ca="1" si="84"/>
        <v>1772.9111715671352</v>
      </c>
      <c r="O2280" s="180">
        <f t="shared" ca="1" si="85"/>
        <v>1.4213341549120444E-3</v>
      </c>
      <c r="P2280" s="180"/>
      <c r="Q2280" s="180"/>
      <c r="R2280" s="180"/>
      <c r="S2280" s="180"/>
      <c r="T2280" s="180"/>
    </row>
    <row r="2281" spans="1:20" x14ac:dyDescent="0.25">
      <c r="A2281" t="s">
        <v>246</v>
      </c>
      <c r="B2281" t="s">
        <v>237</v>
      </c>
      <c r="C2281" t="s">
        <v>238</v>
      </c>
      <c r="D2281" t="s">
        <v>264</v>
      </c>
      <c r="E2281" t="s">
        <v>228</v>
      </c>
      <c r="F2281">
        <v>2012</v>
      </c>
      <c r="G2281">
        <v>2.9632676056338101E-4</v>
      </c>
      <c r="H2281" t="s">
        <v>240</v>
      </c>
      <c r="I2281" t="s">
        <v>241</v>
      </c>
      <c r="J2281" t="s">
        <v>3</v>
      </c>
      <c r="K2281" s="183">
        <f ca="1">VLOOKUP(F2281,
    OFFSET(INDIRECT(ADDRESS(MATCH(J2281,'Vehicle numbers'!$A$5:$A$162,0),1,1,1,$L$6)),4,1,COUNTIF('Vehicle numbers'!$A$5:$A$162,J2281),4),
    MATCH(K$8,'Vehicle numbers'!$B$4:$D$4,0))*1000</f>
        <v>1224849</v>
      </c>
      <c r="L2281" s="183">
        <f ca="1">VLOOKUP(F2281,
    OFFSET(INDIRECT(ADDRESS(MATCH(J2281,'Vehicle numbers'!$A$5:$A$162,0),1,1,1,$L$6)),4,1,COUNTIF('Vehicle numbers'!$A$5:$A$162,J2281),4),
    MATCH(L$8,'Vehicle numbers'!$B$4:$D$4,0))*1000</f>
        <v>1247357.0450974263</v>
      </c>
      <c r="M2281" s="184">
        <f>VLOOKUP(F2281,'Annual distance covered (GB)'!$A$8:$H$33,MATCH(J2281,'Annual distance covered (GB)'!$A$7:$H$7,0))</f>
        <v>4.7</v>
      </c>
      <c r="N2281" s="2">
        <f t="shared" ca="1" si="84"/>
        <v>1418.328937253709</v>
      </c>
      <c r="O2281" s="180">
        <f t="shared" ca="1" si="85"/>
        <v>1.1370673239296362E-3</v>
      </c>
      <c r="P2281" s="180"/>
      <c r="Q2281" s="180"/>
      <c r="R2281" s="180"/>
      <c r="S2281" s="180"/>
      <c r="T2281" s="180"/>
    </row>
    <row r="2282" spans="1:20" x14ac:dyDescent="0.25">
      <c r="A2282" t="s">
        <v>236</v>
      </c>
      <c r="B2282" t="s">
        <v>237</v>
      </c>
      <c r="C2282" t="s">
        <v>238</v>
      </c>
      <c r="D2282" t="s">
        <v>239</v>
      </c>
      <c r="E2282" t="s">
        <v>229</v>
      </c>
      <c r="F2282">
        <v>2013</v>
      </c>
      <c r="G2282">
        <v>8.4410000000000006E-3</v>
      </c>
      <c r="H2282" t="s">
        <v>240</v>
      </c>
      <c r="I2282" t="s">
        <v>241</v>
      </c>
      <c r="J2282" t="s">
        <v>242</v>
      </c>
      <c r="K2282" s="183">
        <f ca="1">VLOOKUP(F2282,
    OFFSET(INDIRECT(ADDRESS(MATCH(J2282,'Vehicle numbers'!$A$5:$A$162,0),1,1,1,$L$6)),4,1,COUNTIF('Vehicle numbers'!$A$5:$A$162,J2282),4),
    MATCH(K$8,'Vehicle numbers'!$B$4:$D$4,0))*1000</f>
        <v>164461</v>
      </c>
      <c r="L2282" s="183">
        <f ca="1">VLOOKUP(F2282,
    OFFSET(INDIRECT(ADDRESS(MATCH(J2282,'Vehicle numbers'!$A$5:$A$162,0),1,1,1,$L$6)),4,1,COUNTIF('Vehicle numbers'!$A$5:$A$162,J2282),4),
    MATCH(L$8,'Vehicle numbers'!$B$4:$D$4,0))*1000</f>
        <v>170207.20753524671</v>
      </c>
      <c r="M2282" s="184">
        <f>VLOOKUP(F2282,'Annual distance covered (GB)'!$A$8:$H$33,MATCH(J2282,'Annual distance covered (GB)'!$A$7:$H$7,0))</f>
        <v>4.7</v>
      </c>
      <c r="N2282" s="2">
        <f t="shared" ca="1" si="84"/>
        <v>41058.849711381925</v>
      </c>
      <c r="O2282" s="180">
        <f t="shared" ca="1" si="85"/>
        <v>0.24122861955113981</v>
      </c>
      <c r="P2282" s="180"/>
      <c r="Q2282" s="180"/>
      <c r="R2282" s="180"/>
      <c r="S2282" s="180"/>
      <c r="T2282" s="180"/>
    </row>
    <row r="2283" spans="1:20" x14ac:dyDescent="0.25">
      <c r="A2283" t="s">
        <v>243</v>
      </c>
      <c r="B2283" t="s">
        <v>237</v>
      </c>
      <c r="C2283" t="s">
        <v>238</v>
      </c>
      <c r="D2283" t="s">
        <v>239</v>
      </c>
      <c r="E2283" t="s">
        <v>229</v>
      </c>
      <c r="F2283">
        <v>2013</v>
      </c>
      <c r="G2283">
        <v>3.3763999999999999E-3</v>
      </c>
      <c r="H2283" t="s">
        <v>240</v>
      </c>
      <c r="I2283" t="s">
        <v>241</v>
      </c>
      <c r="J2283" t="s">
        <v>242</v>
      </c>
      <c r="K2283" s="183">
        <f ca="1">VLOOKUP(F2283,
    OFFSET(INDIRECT(ADDRESS(MATCH(J2283,'Vehicle numbers'!$A$5:$A$162,0),1,1,1,$L$6)),4,1,COUNTIF('Vehicle numbers'!$A$5:$A$162,J2283),4),
    MATCH(K$8,'Vehicle numbers'!$B$4:$D$4,0))*1000</f>
        <v>164461</v>
      </c>
      <c r="L2283" s="183">
        <f ca="1">VLOOKUP(F2283,
    OFFSET(INDIRECT(ADDRESS(MATCH(J2283,'Vehicle numbers'!$A$5:$A$162,0),1,1,1,$L$6)),4,1,COUNTIF('Vehicle numbers'!$A$5:$A$162,J2283),4),
    MATCH(L$8,'Vehicle numbers'!$B$4:$D$4,0))*1000</f>
        <v>170207.20753524671</v>
      </c>
      <c r="M2283" s="184">
        <f>VLOOKUP(F2283,'Annual distance covered (GB)'!$A$8:$H$33,MATCH(J2283,'Annual distance covered (GB)'!$A$7:$H$7,0))</f>
        <v>4.7</v>
      </c>
      <c r="N2283" s="2">
        <f t="shared" ca="1" si="84"/>
        <v>16423.539884552767</v>
      </c>
      <c r="O2283" s="180">
        <f t="shared" ca="1" si="85"/>
        <v>9.6491447820455906E-2</v>
      </c>
      <c r="P2283" s="180"/>
      <c r="Q2283" s="180"/>
      <c r="R2283" s="180"/>
      <c r="S2283" s="180"/>
      <c r="T2283" s="180"/>
    </row>
    <row r="2284" spans="1:20" x14ac:dyDescent="0.25">
      <c r="A2284" t="s">
        <v>244</v>
      </c>
      <c r="B2284" t="s">
        <v>237</v>
      </c>
      <c r="C2284" t="s">
        <v>238</v>
      </c>
      <c r="D2284" t="s">
        <v>239</v>
      </c>
      <c r="E2284" t="s">
        <v>229</v>
      </c>
      <c r="F2284">
        <v>2013</v>
      </c>
      <c r="G2284">
        <v>8.4409999999999997E-4</v>
      </c>
      <c r="H2284" t="s">
        <v>240</v>
      </c>
      <c r="I2284" t="s">
        <v>241</v>
      </c>
      <c r="J2284" t="s">
        <v>242</v>
      </c>
      <c r="K2284" s="183">
        <f ca="1">VLOOKUP(F2284,
    OFFSET(INDIRECT(ADDRESS(MATCH(J2284,'Vehicle numbers'!$A$5:$A$162,0),1,1,1,$L$6)),4,1,COUNTIF('Vehicle numbers'!$A$5:$A$162,J2284),4),
    MATCH(K$8,'Vehicle numbers'!$B$4:$D$4,0))*1000</f>
        <v>164461</v>
      </c>
      <c r="L2284" s="183">
        <f ca="1">VLOOKUP(F2284,
    OFFSET(INDIRECT(ADDRESS(MATCH(J2284,'Vehicle numbers'!$A$5:$A$162,0),1,1,1,$L$6)),4,1,COUNTIF('Vehicle numbers'!$A$5:$A$162,J2284),4),
    MATCH(L$8,'Vehicle numbers'!$B$4:$D$4,0))*1000</f>
        <v>170207.20753524671</v>
      </c>
      <c r="M2284" s="184">
        <f>VLOOKUP(F2284,'Annual distance covered (GB)'!$A$8:$H$33,MATCH(J2284,'Annual distance covered (GB)'!$A$7:$H$7,0))</f>
        <v>4.7</v>
      </c>
      <c r="N2284" s="2">
        <f t="shared" ca="1" si="84"/>
        <v>4105.8849711381918</v>
      </c>
      <c r="O2284" s="180">
        <f t="shared" ca="1" si="85"/>
        <v>2.4122861955113976E-2</v>
      </c>
      <c r="P2284" s="180"/>
      <c r="Q2284" s="180"/>
      <c r="R2284" s="180"/>
      <c r="S2284" s="180"/>
      <c r="T2284" s="180"/>
    </row>
    <row r="2285" spans="1:20" x14ac:dyDescent="0.25">
      <c r="A2285" t="s">
        <v>246</v>
      </c>
      <c r="B2285" t="s">
        <v>237</v>
      </c>
      <c r="C2285" t="s">
        <v>238</v>
      </c>
      <c r="D2285" t="s">
        <v>239</v>
      </c>
      <c r="E2285" t="s">
        <v>229</v>
      </c>
      <c r="F2285">
        <v>2013</v>
      </c>
      <c r="G2285">
        <v>6.7528E-4</v>
      </c>
      <c r="H2285" t="s">
        <v>240</v>
      </c>
      <c r="I2285" t="s">
        <v>241</v>
      </c>
      <c r="J2285" t="s">
        <v>242</v>
      </c>
      <c r="K2285" s="183">
        <f ca="1">VLOOKUP(F2285,
    OFFSET(INDIRECT(ADDRESS(MATCH(J2285,'Vehicle numbers'!$A$5:$A$162,0),1,1,1,$L$6)),4,1,COUNTIF('Vehicle numbers'!$A$5:$A$162,J2285),4),
    MATCH(K$8,'Vehicle numbers'!$B$4:$D$4,0))*1000</f>
        <v>164461</v>
      </c>
      <c r="L2285" s="183">
        <f ca="1">VLOOKUP(F2285,
    OFFSET(INDIRECT(ADDRESS(MATCH(J2285,'Vehicle numbers'!$A$5:$A$162,0),1,1,1,$L$6)),4,1,COUNTIF('Vehicle numbers'!$A$5:$A$162,J2285),4),
    MATCH(L$8,'Vehicle numbers'!$B$4:$D$4,0))*1000</f>
        <v>170207.20753524671</v>
      </c>
      <c r="M2285" s="184">
        <f>VLOOKUP(F2285,'Annual distance covered (GB)'!$A$8:$H$33,MATCH(J2285,'Annual distance covered (GB)'!$A$7:$H$7,0))</f>
        <v>4.7</v>
      </c>
      <c r="N2285" s="2">
        <f t="shared" ca="1" si="84"/>
        <v>3284.707976910554</v>
      </c>
      <c r="O2285" s="180">
        <f t="shared" ca="1" si="85"/>
        <v>1.9298289564091183E-2</v>
      </c>
      <c r="P2285" s="180"/>
      <c r="Q2285" s="180"/>
      <c r="R2285" s="180"/>
      <c r="S2285" s="180"/>
      <c r="T2285" s="180"/>
    </row>
    <row r="2286" spans="1:20" x14ac:dyDescent="0.25">
      <c r="A2286" t="s">
        <v>236</v>
      </c>
      <c r="B2286" t="s">
        <v>237</v>
      </c>
      <c r="C2286" t="s">
        <v>238</v>
      </c>
      <c r="D2286" t="s">
        <v>239</v>
      </c>
      <c r="E2286" t="s">
        <v>228</v>
      </c>
      <c r="F2286">
        <v>2013</v>
      </c>
      <c r="G2286">
        <v>1.3984E-2</v>
      </c>
      <c r="H2286" t="s">
        <v>240</v>
      </c>
      <c r="I2286" t="s">
        <v>241</v>
      </c>
      <c r="J2286" t="s">
        <v>242</v>
      </c>
      <c r="K2286" s="183">
        <f ca="1">VLOOKUP(F2286,
    OFFSET(INDIRECT(ADDRESS(MATCH(J2286,'Vehicle numbers'!$A$5:$A$162,0),1,1,1,$L$6)),4,1,COUNTIF('Vehicle numbers'!$A$5:$A$162,J2286),4),
    MATCH(K$8,'Vehicle numbers'!$B$4:$D$4,0))*1000</f>
        <v>164461</v>
      </c>
      <c r="L2286" s="183">
        <f ca="1">VLOOKUP(F2286,
    OFFSET(INDIRECT(ADDRESS(MATCH(J2286,'Vehicle numbers'!$A$5:$A$162,0),1,1,1,$L$6)),4,1,COUNTIF('Vehicle numbers'!$A$5:$A$162,J2286),4),
    MATCH(L$8,'Vehicle numbers'!$B$4:$D$4,0))*1000</f>
        <v>170207.20753524671</v>
      </c>
      <c r="M2286" s="184">
        <f>VLOOKUP(F2286,'Annual distance covered (GB)'!$A$8:$H$33,MATCH(J2286,'Annual distance covered (GB)'!$A$7:$H$7,0))</f>
        <v>4.7</v>
      </c>
      <c r="N2286" s="2">
        <f t="shared" ca="1" si="84"/>
        <v>68021.200611771681</v>
      </c>
      <c r="O2286" s="180">
        <f t="shared" ca="1" si="85"/>
        <v>0.39963760405202448</v>
      </c>
      <c r="P2286" s="180"/>
      <c r="Q2286" s="180"/>
      <c r="R2286" s="180"/>
      <c r="S2286" s="180"/>
      <c r="T2286" s="180"/>
    </row>
    <row r="2287" spans="1:20" x14ac:dyDescent="0.25">
      <c r="A2287" t="s">
        <v>243</v>
      </c>
      <c r="B2287" t="s">
        <v>237</v>
      </c>
      <c r="C2287" t="s">
        <v>238</v>
      </c>
      <c r="D2287" t="s">
        <v>239</v>
      </c>
      <c r="E2287" t="s">
        <v>228</v>
      </c>
      <c r="F2287">
        <v>2013</v>
      </c>
      <c r="G2287">
        <v>9.7888000000000003E-3</v>
      </c>
      <c r="H2287" t="s">
        <v>240</v>
      </c>
      <c r="I2287" t="s">
        <v>241</v>
      </c>
      <c r="J2287" t="s">
        <v>242</v>
      </c>
      <c r="K2287" s="183">
        <f ca="1">VLOOKUP(F2287,
    OFFSET(INDIRECT(ADDRESS(MATCH(J2287,'Vehicle numbers'!$A$5:$A$162,0),1,1,1,$L$6)),4,1,COUNTIF('Vehicle numbers'!$A$5:$A$162,J2287),4),
    MATCH(K$8,'Vehicle numbers'!$B$4:$D$4,0))*1000</f>
        <v>164461</v>
      </c>
      <c r="L2287" s="183">
        <f ca="1">VLOOKUP(F2287,
    OFFSET(INDIRECT(ADDRESS(MATCH(J2287,'Vehicle numbers'!$A$5:$A$162,0),1,1,1,$L$6)),4,1,COUNTIF('Vehicle numbers'!$A$5:$A$162,J2287),4),
    MATCH(L$8,'Vehicle numbers'!$B$4:$D$4,0))*1000</f>
        <v>170207.20753524671</v>
      </c>
      <c r="M2287" s="184">
        <f>VLOOKUP(F2287,'Annual distance covered (GB)'!$A$8:$H$33,MATCH(J2287,'Annual distance covered (GB)'!$A$7:$H$7,0))</f>
        <v>4.7</v>
      </c>
      <c r="N2287" s="2">
        <f t="shared" ca="1" si="84"/>
        <v>47614.840428240175</v>
      </c>
      <c r="O2287" s="180">
        <f t="shared" ca="1" si="85"/>
        <v>0.27974632283641715</v>
      </c>
      <c r="P2287" s="180"/>
      <c r="Q2287" s="180"/>
      <c r="R2287" s="180"/>
      <c r="S2287" s="180"/>
      <c r="T2287" s="180"/>
    </row>
    <row r="2288" spans="1:20" x14ac:dyDescent="0.25">
      <c r="A2288" t="s">
        <v>244</v>
      </c>
      <c r="B2288" t="s">
        <v>237</v>
      </c>
      <c r="C2288" t="s">
        <v>238</v>
      </c>
      <c r="D2288" t="s">
        <v>239</v>
      </c>
      <c r="E2288" t="s">
        <v>228</v>
      </c>
      <c r="F2288">
        <v>2013</v>
      </c>
      <c r="G2288">
        <v>1.3787042253521099E-3</v>
      </c>
      <c r="H2288" t="s">
        <v>240</v>
      </c>
      <c r="I2288" t="s">
        <v>241</v>
      </c>
      <c r="J2288" t="s">
        <v>242</v>
      </c>
      <c r="K2288" s="183">
        <f ca="1">VLOOKUP(F2288,
    OFFSET(INDIRECT(ADDRESS(MATCH(J2288,'Vehicle numbers'!$A$5:$A$162,0),1,1,1,$L$6)),4,1,COUNTIF('Vehicle numbers'!$A$5:$A$162,J2288),4),
    MATCH(K$8,'Vehicle numbers'!$B$4:$D$4,0))*1000</f>
        <v>164461</v>
      </c>
      <c r="L2288" s="183">
        <f ca="1">VLOOKUP(F2288,
    OFFSET(INDIRECT(ADDRESS(MATCH(J2288,'Vehicle numbers'!$A$5:$A$162,0),1,1,1,$L$6)),4,1,COUNTIF('Vehicle numbers'!$A$5:$A$162,J2288),4),
    MATCH(L$8,'Vehicle numbers'!$B$4:$D$4,0))*1000</f>
        <v>170207.20753524671</v>
      </c>
      <c r="M2288" s="184">
        <f>VLOOKUP(F2288,'Annual distance covered (GB)'!$A$8:$H$33,MATCH(J2288,'Annual distance covered (GB)'!$A$7:$H$7,0))</f>
        <v>4.7</v>
      </c>
      <c r="N2288" s="2">
        <f t="shared" ca="1" si="84"/>
        <v>6706.3155532732517</v>
      </c>
      <c r="O2288" s="180">
        <f t="shared" ca="1" si="85"/>
        <v>3.9400890540340371E-2</v>
      </c>
      <c r="P2288" s="180"/>
      <c r="Q2288" s="180"/>
      <c r="R2288" s="180"/>
      <c r="S2288" s="180"/>
      <c r="T2288" s="180"/>
    </row>
    <row r="2289" spans="1:20" x14ac:dyDescent="0.25">
      <c r="A2289" t="s">
        <v>246</v>
      </c>
      <c r="B2289" t="s">
        <v>237</v>
      </c>
      <c r="C2289" t="s">
        <v>238</v>
      </c>
      <c r="D2289" t="s">
        <v>239</v>
      </c>
      <c r="E2289" t="s">
        <v>228</v>
      </c>
      <c r="F2289">
        <v>2013</v>
      </c>
      <c r="G2289">
        <v>1.10296338028169E-3</v>
      </c>
      <c r="H2289" t="s">
        <v>240</v>
      </c>
      <c r="I2289" t="s">
        <v>241</v>
      </c>
      <c r="J2289" t="s">
        <v>242</v>
      </c>
      <c r="K2289" s="183">
        <f ca="1">VLOOKUP(F2289,
    OFFSET(INDIRECT(ADDRESS(MATCH(J2289,'Vehicle numbers'!$A$5:$A$162,0),1,1,1,$L$6)),4,1,COUNTIF('Vehicle numbers'!$A$5:$A$162,J2289),4),
    MATCH(K$8,'Vehicle numbers'!$B$4:$D$4,0))*1000</f>
        <v>164461</v>
      </c>
      <c r="L2289" s="183">
        <f ca="1">VLOOKUP(F2289,
    OFFSET(INDIRECT(ADDRESS(MATCH(J2289,'Vehicle numbers'!$A$5:$A$162,0),1,1,1,$L$6)),4,1,COUNTIF('Vehicle numbers'!$A$5:$A$162,J2289),4),
    MATCH(L$8,'Vehicle numbers'!$B$4:$D$4,0))*1000</f>
        <v>170207.20753524671</v>
      </c>
      <c r="M2289" s="184">
        <f>VLOOKUP(F2289,'Annual distance covered (GB)'!$A$8:$H$33,MATCH(J2289,'Annual distance covered (GB)'!$A$7:$H$7,0))</f>
        <v>4.7</v>
      </c>
      <c r="N2289" s="2">
        <f t="shared" ca="1" si="84"/>
        <v>5365.0524426186103</v>
      </c>
      <c r="O2289" s="180">
        <f t="shared" ca="1" si="85"/>
        <v>3.1520712432272349E-2</v>
      </c>
      <c r="P2289" s="180"/>
      <c r="Q2289" s="180"/>
      <c r="R2289" s="180"/>
      <c r="S2289" s="180"/>
      <c r="T2289" s="180"/>
    </row>
    <row r="2290" spans="1:20" x14ac:dyDescent="0.25">
      <c r="A2290" t="s">
        <v>236</v>
      </c>
      <c r="B2290" t="s">
        <v>237</v>
      </c>
      <c r="C2290" t="s">
        <v>238</v>
      </c>
      <c r="D2290" t="s">
        <v>248</v>
      </c>
      <c r="E2290" t="s">
        <v>229</v>
      </c>
      <c r="F2290">
        <v>2013</v>
      </c>
      <c r="G2290">
        <v>2.7143000000000101E-2</v>
      </c>
      <c r="H2290" t="s">
        <v>240</v>
      </c>
      <c r="I2290" t="s">
        <v>241</v>
      </c>
      <c r="J2290" t="s">
        <v>242</v>
      </c>
      <c r="K2290" s="183">
        <f ca="1">VLOOKUP(F2290,
    OFFSET(INDIRECT(ADDRESS(MATCH(J2290,'Vehicle numbers'!$A$5:$A$162,0),1,1,1,$L$6)),4,1,COUNTIF('Vehicle numbers'!$A$5:$A$162,J2290),4),
    MATCH(K$8,'Vehicle numbers'!$B$4:$D$4,0))*1000</f>
        <v>164461</v>
      </c>
      <c r="L2290" s="183">
        <f ca="1">VLOOKUP(F2290,
    OFFSET(INDIRECT(ADDRESS(MATCH(J2290,'Vehicle numbers'!$A$5:$A$162,0),1,1,1,$L$6)),4,1,COUNTIF('Vehicle numbers'!$A$5:$A$162,J2290),4),
    MATCH(L$8,'Vehicle numbers'!$B$4:$D$4,0))*1000</f>
        <v>170207.20753524671</v>
      </c>
      <c r="M2290" s="184">
        <f>VLOOKUP(F2290,'Annual distance covered (GB)'!$A$8:$H$33,MATCH(J2290,'Annual distance covered (GB)'!$A$7:$H$7,0))</f>
        <v>4.7</v>
      </c>
      <c r="N2290" s="2">
        <f t="shared" ca="1" si="84"/>
        <v>132029.42278356163</v>
      </c>
      <c r="O2290" s="180">
        <f t="shared" ca="1" si="85"/>
        <v>0.77569818984440375</v>
      </c>
      <c r="P2290" s="180"/>
      <c r="Q2290" s="180"/>
      <c r="R2290" s="180"/>
      <c r="S2290" s="180"/>
      <c r="T2290" s="180"/>
    </row>
    <row r="2291" spans="1:20" x14ac:dyDescent="0.25">
      <c r="A2291" t="s">
        <v>243</v>
      </c>
      <c r="B2291" t="s">
        <v>237</v>
      </c>
      <c r="C2291" t="s">
        <v>238</v>
      </c>
      <c r="D2291" t="s">
        <v>248</v>
      </c>
      <c r="E2291" t="s">
        <v>229</v>
      </c>
      <c r="F2291">
        <v>2013</v>
      </c>
      <c r="G2291">
        <v>1.0857199999999999E-2</v>
      </c>
      <c r="H2291" t="s">
        <v>240</v>
      </c>
      <c r="I2291" t="s">
        <v>241</v>
      </c>
      <c r="J2291" t="s">
        <v>242</v>
      </c>
      <c r="K2291" s="183">
        <f ca="1">VLOOKUP(F2291,
    OFFSET(INDIRECT(ADDRESS(MATCH(J2291,'Vehicle numbers'!$A$5:$A$162,0),1,1,1,$L$6)),4,1,COUNTIF('Vehicle numbers'!$A$5:$A$162,J2291),4),
    MATCH(K$8,'Vehicle numbers'!$B$4:$D$4,0))*1000</f>
        <v>164461</v>
      </c>
      <c r="L2291" s="183">
        <f ca="1">VLOOKUP(F2291,
    OFFSET(INDIRECT(ADDRESS(MATCH(J2291,'Vehicle numbers'!$A$5:$A$162,0),1,1,1,$L$6)),4,1,COUNTIF('Vehicle numbers'!$A$5:$A$162,J2291),4),
    MATCH(L$8,'Vehicle numbers'!$B$4:$D$4,0))*1000</f>
        <v>170207.20753524671</v>
      </c>
      <c r="M2291" s="184">
        <f>VLOOKUP(F2291,'Annual distance covered (GB)'!$A$8:$H$33,MATCH(J2291,'Annual distance covered (GB)'!$A$7:$H$7,0))</f>
        <v>4.7</v>
      </c>
      <c r="N2291" s="2">
        <f t="shared" ca="1" si="84"/>
        <v>52811.769113424445</v>
      </c>
      <c r="O2291" s="180">
        <f t="shared" ca="1" si="85"/>
        <v>0.31027927593776028</v>
      </c>
      <c r="P2291" s="180"/>
      <c r="Q2291" s="180"/>
      <c r="R2291" s="180"/>
      <c r="S2291" s="180"/>
      <c r="T2291" s="180"/>
    </row>
    <row r="2292" spans="1:20" x14ac:dyDescent="0.25">
      <c r="A2292" t="s">
        <v>244</v>
      </c>
      <c r="B2292" t="s">
        <v>237</v>
      </c>
      <c r="C2292" t="s">
        <v>238</v>
      </c>
      <c r="D2292" t="s">
        <v>248</v>
      </c>
      <c r="E2292" t="s">
        <v>229</v>
      </c>
      <c r="F2292">
        <v>2013</v>
      </c>
      <c r="G2292">
        <v>2.7142999999999998E-3</v>
      </c>
      <c r="H2292" t="s">
        <v>240</v>
      </c>
      <c r="I2292" t="s">
        <v>241</v>
      </c>
      <c r="J2292" t="s">
        <v>242</v>
      </c>
      <c r="K2292" s="183">
        <f ca="1">VLOOKUP(F2292,
    OFFSET(INDIRECT(ADDRESS(MATCH(J2292,'Vehicle numbers'!$A$5:$A$162,0),1,1,1,$L$6)),4,1,COUNTIF('Vehicle numbers'!$A$5:$A$162,J2292),4),
    MATCH(K$8,'Vehicle numbers'!$B$4:$D$4,0))*1000</f>
        <v>164461</v>
      </c>
      <c r="L2292" s="183">
        <f ca="1">VLOOKUP(F2292,
    OFFSET(INDIRECT(ADDRESS(MATCH(J2292,'Vehicle numbers'!$A$5:$A$162,0),1,1,1,$L$6)),4,1,COUNTIF('Vehicle numbers'!$A$5:$A$162,J2292),4),
    MATCH(L$8,'Vehicle numbers'!$B$4:$D$4,0))*1000</f>
        <v>170207.20753524671</v>
      </c>
      <c r="M2292" s="184">
        <f>VLOOKUP(F2292,'Annual distance covered (GB)'!$A$8:$H$33,MATCH(J2292,'Annual distance covered (GB)'!$A$7:$H$7,0))</f>
        <v>4.7</v>
      </c>
      <c r="N2292" s="2">
        <f t="shared" ca="1" si="84"/>
        <v>13202.942278356111</v>
      </c>
      <c r="O2292" s="180">
        <f t="shared" ca="1" si="85"/>
        <v>7.756981898444007E-2</v>
      </c>
      <c r="P2292" s="180"/>
      <c r="Q2292" s="180"/>
      <c r="R2292" s="180"/>
      <c r="S2292" s="180"/>
      <c r="T2292" s="180"/>
    </row>
    <row r="2293" spans="1:20" x14ac:dyDescent="0.25">
      <c r="A2293" t="s">
        <v>246</v>
      </c>
      <c r="B2293" t="s">
        <v>237</v>
      </c>
      <c r="C2293" t="s">
        <v>238</v>
      </c>
      <c r="D2293" t="s">
        <v>248</v>
      </c>
      <c r="E2293" t="s">
        <v>229</v>
      </c>
      <c r="F2293">
        <v>2013</v>
      </c>
      <c r="G2293">
        <v>2.1714400000000002E-3</v>
      </c>
      <c r="H2293" t="s">
        <v>240</v>
      </c>
      <c r="I2293" t="s">
        <v>241</v>
      </c>
      <c r="J2293" t="s">
        <v>242</v>
      </c>
      <c r="K2293" s="183">
        <f ca="1">VLOOKUP(F2293,
    OFFSET(INDIRECT(ADDRESS(MATCH(J2293,'Vehicle numbers'!$A$5:$A$162,0),1,1,1,$L$6)),4,1,COUNTIF('Vehicle numbers'!$A$5:$A$162,J2293),4),
    MATCH(K$8,'Vehicle numbers'!$B$4:$D$4,0))*1000</f>
        <v>164461</v>
      </c>
      <c r="L2293" s="183">
        <f ca="1">VLOOKUP(F2293,
    OFFSET(INDIRECT(ADDRESS(MATCH(J2293,'Vehicle numbers'!$A$5:$A$162,0),1,1,1,$L$6)),4,1,COUNTIF('Vehicle numbers'!$A$5:$A$162,J2293),4),
    MATCH(L$8,'Vehicle numbers'!$B$4:$D$4,0))*1000</f>
        <v>170207.20753524671</v>
      </c>
      <c r="M2293" s="184">
        <f>VLOOKUP(F2293,'Annual distance covered (GB)'!$A$8:$H$33,MATCH(J2293,'Annual distance covered (GB)'!$A$7:$H$7,0))</f>
        <v>4.7</v>
      </c>
      <c r="N2293" s="2">
        <f t="shared" ca="1" si="84"/>
        <v>10562.35382268489</v>
      </c>
      <c r="O2293" s="180">
        <f t="shared" ca="1" si="85"/>
        <v>6.2055855187552064E-2</v>
      </c>
      <c r="P2293" s="180"/>
      <c r="Q2293" s="180"/>
      <c r="R2293" s="180"/>
      <c r="S2293" s="180"/>
      <c r="T2293" s="180"/>
    </row>
    <row r="2294" spans="1:20" x14ac:dyDescent="0.25">
      <c r="A2294" t="s">
        <v>236</v>
      </c>
      <c r="B2294" t="s">
        <v>237</v>
      </c>
      <c r="C2294" t="s">
        <v>238</v>
      </c>
      <c r="D2294" t="s">
        <v>248</v>
      </c>
      <c r="E2294" t="s">
        <v>228</v>
      </c>
      <c r="F2294">
        <v>2013</v>
      </c>
      <c r="G2294">
        <v>1.68578987779569E-2</v>
      </c>
      <c r="H2294" t="s">
        <v>240</v>
      </c>
      <c r="I2294" t="s">
        <v>241</v>
      </c>
      <c r="J2294" t="s">
        <v>242</v>
      </c>
      <c r="K2294" s="183">
        <f ca="1">VLOOKUP(F2294,
    OFFSET(INDIRECT(ADDRESS(MATCH(J2294,'Vehicle numbers'!$A$5:$A$162,0),1,1,1,$L$6)),4,1,COUNTIF('Vehicle numbers'!$A$5:$A$162,J2294),4),
    MATCH(K$8,'Vehicle numbers'!$B$4:$D$4,0))*1000</f>
        <v>164461</v>
      </c>
      <c r="L2294" s="183">
        <f ca="1">VLOOKUP(F2294,
    OFFSET(INDIRECT(ADDRESS(MATCH(J2294,'Vehicle numbers'!$A$5:$A$162,0),1,1,1,$L$6)),4,1,COUNTIF('Vehicle numbers'!$A$5:$A$162,J2294),4),
    MATCH(L$8,'Vehicle numbers'!$B$4:$D$4,0))*1000</f>
        <v>170207.20753524671</v>
      </c>
      <c r="M2294" s="184">
        <f>VLOOKUP(F2294,'Annual distance covered (GB)'!$A$8:$H$33,MATCH(J2294,'Annual distance covered (GB)'!$A$7:$H$7,0))</f>
        <v>4.7</v>
      </c>
      <c r="N2294" s="2">
        <f t="shared" ca="1" si="84"/>
        <v>82000.465865871505</v>
      </c>
      <c r="O2294" s="180">
        <f t="shared" ca="1" si="85"/>
        <v>0.48176846946326146</v>
      </c>
      <c r="P2294" s="180"/>
      <c r="Q2294" s="180"/>
      <c r="R2294" s="180"/>
      <c r="S2294" s="180"/>
      <c r="T2294" s="180"/>
    </row>
    <row r="2295" spans="1:20" x14ac:dyDescent="0.25">
      <c r="A2295" t="s">
        <v>243</v>
      </c>
      <c r="B2295" t="s">
        <v>237</v>
      </c>
      <c r="C2295" t="s">
        <v>238</v>
      </c>
      <c r="D2295" t="s">
        <v>248</v>
      </c>
      <c r="E2295" t="s">
        <v>228</v>
      </c>
      <c r="F2295">
        <v>2013</v>
      </c>
      <c r="G2295">
        <v>1.1800529144569799E-2</v>
      </c>
      <c r="H2295" t="s">
        <v>240</v>
      </c>
      <c r="I2295" t="s">
        <v>241</v>
      </c>
      <c r="J2295" t="s">
        <v>242</v>
      </c>
      <c r="K2295" s="183">
        <f ca="1">VLOOKUP(F2295,
    OFFSET(INDIRECT(ADDRESS(MATCH(J2295,'Vehicle numbers'!$A$5:$A$162,0),1,1,1,$L$6)),4,1,COUNTIF('Vehicle numbers'!$A$5:$A$162,J2295),4),
    MATCH(K$8,'Vehicle numbers'!$B$4:$D$4,0))*1000</f>
        <v>164461</v>
      </c>
      <c r="L2295" s="183">
        <f ca="1">VLOOKUP(F2295,
    OFFSET(INDIRECT(ADDRESS(MATCH(J2295,'Vehicle numbers'!$A$5:$A$162,0),1,1,1,$L$6)),4,1,COUNTIF('Vehicle numbers'!$A$5:$A$162,J2295),4),
    MATCH(L$8,'Vehicle numbers'!$B$4:$D$4,0))*1000</f>
        <v>170207.20753524671</v>
      </c>
      <c r="M2295" s="184">
        <f>VLOOKUP(F2295,'Annual distance covered (GB)'!$A$8:$H$33,MATCH(J2295,'Annual distance covered (GB)'!$A$7:$H$7,0))</f>
        <v>4.7</v>
      </c>
      <c r="N2295" s="2">
        <f t="shared" ca="1" si="84"/>
        <v>57400.326106109897</v>
      </c>
      <c r="O2295" s="180">
        <f t="shared" ca="1" si="85"/>
        <v>0.33723792862428209</v>
      </c>
      <c r="P2295" s="180"/>
      <c r="Q2295" s="180"/>
      <c r="R2295" s="180"/>
      <c r="S2295" s="180"/>
      <c r="T2295" s="180"/>
    </row>
    <row r="2296" spans="1:20" x14ac:dyDescent="0.25">
      <c r="A2296" t="s">
        <v>244</v>
      </c>
      <c r="B2296" t="s">
        <v>237</v>
      </c>
      <c r="C2296" t="s">
        <v>238</v>
      </c>
      <c r="D2296" t="s">
        <v>248</v>
      </c>
      <c r="E2296" t="s">
        <v>228</v>
      </c>
      <c r="F2296">
        <v>2013</v>
      </c>
      <c r="G2296">
        <v>1.66204635839011E-3</v>
      </c>
      <c r="H2296" t="s">
        <v>240</v>
      </c>
      <c r="I2296" t="s">
        <v>241</v>
      </c>
      <c r="J2296" t="s">
        <v>242</v>
      </c>
      <c r="K2296" s="183">
        <f ca="1">VLOOKUP(F2296,
    OFFSET(INDIRECT(ADDRESS(MATCH(J2296,'Vehicle numbers'!$A$5:$A$162,0),1,1,1,$L$6)),4,1,COUNTIF('Vehicle numbers'!$A$5:$A$162,J2296),4),
    MATCH(K$8,'Vehicle numbers'!$B$4:$D$4,0))*1000</f>
        <v>164461</v>
      </c>
      <c r="L2296" s="183">
        <f ca="1">VLOOKUP(F2296,
    OFFSET(INDIRECT(ADDRESS(MATCH(J2296,'Vehicle numbers'!$A$5:$A$162,0),1,1,1,$L$6)),4,1,COUNTIF('Vehicle numbers'!$A$5:$A$162,J2296),4),
    MATCH(L$8,'Vehicle numbers'!$B$4:$D$4,0))*1000</f>
        <v>170207.20753524671</v>
      </c>
      <c r="M2296" s="184">
        <f>VLOOKUP(F2296,'Annual distance covered (GB)'!$A$8:$H$33,MATCH(J2296,'Annual distance covered (GB)'!$A$7:$H$7,0))</f>
        <v>4.7</v>
      </c>
      <c r="N2296" s="2">
        <f t="shared" ca="1" si="84"/>
        <v>8084.552972691522</v>
      </c>
      <c r="O2296" s="180">
        <f t="shared" ca="1" si="85"/>
        <v>4.7498299806236835E-2</v>
      </c>
      <c r="P2296" s="180"/>
      <c r="Q2296" s="180"/>
      <c r="R2296" s="180"/>
      <c r="S2296" s="180"/>
      <c r="T2296" s="180"/>
    </row>
    <row r="2297" spans="1:20" x14ac:dyDescent="0.25">
      <c r="A2297" t="s">
        <v>246</v>
      </c>
      <c r="B2297" t="s">
        <v>237</v>
      </c>
      <c r="C2297" t="s">
        <v>238</v>
      </c>
      <c r="D2297" t="s">
        <v>248</v>
      </c>
      <c r="E2297" t="s">
        <v>228</v>
      </c>
      <c r="F2297">
        <v>2013</v>
      </c>
      <c r="G2297">
        <v>1.32963708671209E-3</v>
      </c>
      <c r="H2297" t="s">
        <v>240</v>
      </c>
      <c r="I2297" t="s">
        <v>241</v>
      </c>
      <c r="J2297" t="s">
        <v>242</v>
      </c>
      <c r="K2297" s="183">
        <f ca="1">VLOOKUP(F2297,
    OFFSET(INDIRECT(ADDRESS(MATCH(J2297,'Vehicle numbers'!$A$5:$A$162,0),1,1,1,$L$6)),4,1,COUNTIF('Vehicle numbers'!$A$5:$A$162,J2297),4),
    MATCH(K$8,'Vehicle numbers'!$B$4:$D$4,0))*1000</f>
        <v>164461</v>
      </c>
      <c r="L2297" s="183">
        <f ca="1">VLOOKUP(F2297,
    OFFSET(INDIRECT(ADDRESS(MATCH(J2297,'Vehicle numbers'!$A$5:$A$162,0),1,1,1,$L$6)),4,1,COUNTIF('Vehicle numbers'!$A$5:$A$162,J2297),4),
    MATCH(L$8,'Vehicle numbers'!$B$4:$D$4,0))*1000</f>
        <v>170207.20753524671</v>
      </c>
      <c r="M2297" s="184">
        <f>VLOOKUP(F2297,'Annual distance covered (GB)'!$A$8:$H$33,MATCH(J2297,'Annual distance covered (GB)'!$A$7:$H$7,0))</f>
        <v>4.7</v>
      </c>
      <c r="N2297" s="2">
        <f t="shared" ca="1" si="84"/>
        <v>6467.6423781532285</v>
      </c>
      <c r="O2297" s="180">
        <f t="shared" ca="1" si="85"/>
        <v>3.7998639844989537E-2</v>
      </c>
      <c r="P2297" s="180"/>
      <c r="Q2297" s="180"/>
      <c r="R2297" s="180"/>
      <c r="S2297" s="180"/>
      <c r="T2297" s="180"/>
    </row>
    <row r="2298" spans="1:20" x14ac:dyDescent="0.25">
      <c r="A2298" t="s">
        <v>236</v>
      </c>
      <c r="B2298" t="s">
        <v>237</v>
      </c>
      <c r="C2298" t="s">
        <v>238</v>
      </c>
      <c r="D2298" t="s">
        <v>249</v>
      </c>
      <c r="E2298" t="s">
        <v>229</v>
      </c>
      <c r="F2298">
        <v>2013</v>
      </c>
      <c r="G2298">
        <v>5.3594999999999997E-2</v>
      </c>
      <c r="H2298" t="s">
        <v>240</v>
      </c>
      <c r="I2298" t="s">
        <v>241</v>
      </c>
      <c r="J2298" t="s">
        <v>242</v>
      </c>
      <c r="K2298" s="183">
        <f ca="1">VLOOKUP(F2298,
    OFFSET(INDIRECT(ADDRESS(MATCH(J2298,'Vehicle numbers'!$A$5:$A$162,0),1,1,1,$L$6)),4,1,COUNTIF('Vehicle numbers'!$A$5:$A$162,J2298),4),
    MATCH(K$8,'Vehicle numbers'!$B$4:$D$4,0))*1000</f>
        <v>164461</v>
      </c>
      <c r="L2298" s="183">
        <f ca="1">VLOOKUP(F2298,
    OFFSET(INDIRECT(ADDRESS(MATCH(J2298,'Vehicle numbers'!$A$5:$A$162,0),1,1,1,$L$6)),4,1,COUNTIF('Vehicle numbers'!$A$5:$A$162,J2298),4),
    MATCH(L$8,'Vehicle numbers'!$B$4:$D$4,0))*1000</f>
        <v>170207.20753524671</v>
      </c>
      <c r="M2298" s="184">
        <f>VLOOKUP(F2298,'Annual distance covered (GB)'!$A$8:$H$33,MATCH(J2298,'Annual distance covered (GB)'!$A$7:$H$7,0))</f>
        <v>4.7</v>
      </c>
      <c r="N2298" s="2">
        <f t="shared" ca="1" si="84"/>
        <v>260697.6721101189</v>
      </c>
      <c r="O2298" s="180">
        <f t="shared" ca="1" si="85"/>
        <v>1.5316488407585991</v>
      </c>
      <c r="P2298" s="180"/>
      <c r="Q2298" s="180"/>
      <c r="R2298" s="180"/>
      <c r="S2298" s="180"/>
      <c r="T2298" s="180"/>
    </row>
    <row r="2299" spans="1:20" x14ac:dyDescent="0.25">
      <c r="A2299" t="s">
        <v>243</v>
      </c>
      <c r="B2299" t="s">
        <v>237</v>
      </c>
      <c r="C2299" t="s">
        <v>238</v>
      </c>
      <c r="D2299" t="s">
        <v>249</v>
      </c>
      <c r="E2299" t="s">
        <v>229</v>
      </c>
      <c r="F2299">
        <v>2013</v>
      </c>
      <c r="G2299">
        <v>2.1437999999999999E-2</v>
      </c>
      <c r="H2299" t="s">
        <v>240</v>
      </c>
      <c r="I2299" t="s">
        <v>241</v>
      </c>
      <c r="J2299" t="s">
        <v>242</v>
      </c>
      <c r="K2299" s="183">
        <f ca="1">VLOOKUP(F2299,
    OFFSET(INDIRECT(ADDRESS(MATCH(J2299,'Vehicle numbers'!$A$5:$A$162,0),1,1,1,$L$6)),4,1,COUNTIF('Vehicle numbers'!$A$5:$A$162,J2299),4),
    MATCH(K$8,'Vehicle numbers'!$B$4:$D$4,0))*1000</f>
        <v>164461</v>
      </c>
      <c r="L2299" s="183">
        <f ca="1">VLOOKUP(F2299,
    OFFSET(INDIRECT(ADDRESS(MATCH(J2299,'Vehicle numbers'!$A$5:$A$162,0),1,1,1,$L$6)),4,1,COUNTIF('Vehicle numbers'!$A$5:$A$162,J2299),4),
    MATCH(L$8,'Vehicle numbers'!$B$4:$D$4,0))*1000</f>
        <v>170207.20753524671</v>
      </c>
      <c r="M2299" s="184">
        <f>VLOOKUP(F2299,'Annual distance covered (GB)'!$A$8:$H$33,MATCH(J2299,'Annual distance covered (GB)'!$A$7:$H$7,0))</f>
        <v>4.7</v>
      </c>
      <c r="N2299" s="2">
        <f t="shared" ca="1" si="84"/>
        <v>104279.06884404758</v>
      </c>
      <c r="O2299" s="180">
        <f t="shared" ca="1" si="85"/>
        <v>0.61265953630343972</v>
      </c>
      <c r="P2299" s="180"/>
      <c r="Q2299" s="180"/>
      <c r="R2299" s="180"/>
      <c r="S2299" s="180"/>
      <c r="T2299" s="180"/>
    </row>
    <row r="2300" spans="1:20" x14ac:dyDescent="0.25">
      <c r="A2300" t="s">
        <v>244</v>
      </c>
      <c r="B2300" t="s">
        <v>237</v>
      </c>
      <c r="C2300" t="s">
        <v>238</v>
      </c>
      <c r="D2300" t="s">
        <v>249</v>
      </c>
      <c r="E2300" t="s">
        <v>229</v>
      </c>
      <c r="F2300">
        <v>2013</v>
      </c>
      <c r="G2300">
        <v>5.3594999999999997E-3</v>
      </c>
      <c r="H2300" t="s">
        <v>240</v>
      </c>
      <c r="I2300" t="s">
        <v>241</v>
      </c>
      <c r="J2300" t="s">
        <v>242</v>
      </c>
      <c r="K2300" s="183">
        <f ca="1">VLOOKUP(F2300,
    OFFSET(INDIRECT(ADDRESS(MATCH(J2300,'Vehicle numbers'!$A$5:$A$162,0),1,1,1,$L$6)),4,1,COUNTIF('Vehicle numbers'!$A$5:$A$162,J2300),4),
    MATCH(K$8,'Vehicle numbers'!$B$4:$D$4,0))*1000</f>
        <v>164461</v>
      </c>
      <c r="L2300" s="183">
        <f ca="1">VLOOKUP(F2300,
    OFFSET(INDIRECT(ADDRESS(MATCH(J2300,'Vehicle numbers'!$A$5:$A$162,0),1,1,1,$L$6)),4,1,COUNTIF('Vehicle numbers'!$A$5:$A$162,J2300),4),
    MATCH(L$8,'Vehicle numbers'!$B$4:$D$4,0))*1000</f>
        <v>170207.20753524671</v>
      </c>
      <c r="M2300" s="184">
        <f>VLOOKUP(F2300,'Annual distance covered (GB)'!$A$8:$H$33,MATCH(J2300,'Annual distance covered (GB)'!$A$7:$H$7,0))</f>
        <v>4.7</v>
      </c>
      <c r="N2300" s="2">
        <f t="shared" ca="1" si="84"/>
        <v>26069.767211011895</v>
      </c>
      <c r="O2300" s="180">
        <f t="shared" ca="1" si="85"/>
        <v>0.15316488407585993</v>
      </c>
      <c r="P2300" s="180"/>
      <c r="Q2300" s="180"/>
      <c r="R2300" s="180"/>
      <c r="S2300" s="180"/>
      <c r="T2300" s="180"/>
    </row>
    <row r="2301" spans="1:20" x14ac:dyDescent="0.25">
      <c r="A2301" t="s">
        <v>246</v>
      </c>
      <c r="B2301" t="s">
        <v>237</v>
      </c>
      <c r="C2301" t="s">
        <v>238</v>
      </c>
      <c r="D2301" t="s">
        <v>249</v>
      </c>
      <c r="E2301" t="s">
        <v>229</v>
      </c>
      <c r="F2301">
        <v>2013</v>
      </c>
      <c r="G2301">
        <v>4.2875999999999999E-3</v>
      </c>
      <c r="H2301" t="s">
        <v>240</v>
      </c>
      <c r="I2301" t="s">
        <v>241</v>
      </c>
      <c r="J2301" t="s">
        <v>242</v>
      </c>
      <c r="K2301" s="183">
        <f ca="1">VLOOKUP(F2301,
    OFFSET(INDIRECT(ADDRESS(MATCH(J2301,'Vehicle numbers'!$A$5:$A$162,0),1,1,1,$L$6)),4,1,COUNTIF('Vehicle numbers'!$A$5:$A$162,J2301),4),
    MATCH(K$8,'Vehicle numbers'!$B$4:$D$4,0))*1000</f>
        <v>164461</v>
      </c>
      <c r="L2301" s="183">
        <f ca="1">VLOOKUP(F2301,
    OFFSET(INDIRECT(ADDRESS(MATCH(J2301,'Vehicle numbers'!$A$5:$A$162,0),1,1,1,$L$6)),4,1,COUNTIF('Vehicle numbers'!$A$5:$A$162,J2301),4),
    MATCH(L$8,'Vehicle numbers'!$B$4:$D$4,0))*1000</f>
        <v>170207.20753524671</v>
      </c>
      <c r="M2301" s="184">
        <f>VLOOKUP(F2301,'Annual distance covered (GB)'!$A$8:$H$33,MATCH(J2301,'Annual distance covered (GB)'!$A$7:$H$7,0))</f>
        <v>4.7</v>
      </c>
      <c r="N2301" s="2">
        <f t="shared" ca="1" si="84"/>
        <v>20855.813768809516</v>
      </c>
      <c r="O2301" s="180">
        <f t="shared" ca="1" si="85"/>
        <v>0.12253190726068794</v>
      </c>
      <c r="P2301" s="180"/>
      <c r="Q2301" s="180"/>
      <c r="R2301" s="180"/>
      <c r="S2301" s="180"/>
      <c r="T2301" s="180"/>
    </row>
    <row r="2302" spans="1:20" x14ac:dyDescent="0.25">
      <c r="A2302" t="s">
        <v>236</v>
      </c>
      <c r="B2302" t="s">
        <v>237</v>
      </c>
      <c r="C2302" t="s">
        <v>238</v>
      </c>
      <c r="D2302" t="s">
        <v>249</v>
      </c>
      <c r="E2302" t="s">
        <v>228</v>
      </c>
      <c r="F2302">
        <v>2013</v>
      </c>
      <c r="G2302">
        <v>2.13878873594248E-2</v>
      </c>
      <c r="H2302" t="s">
        <v>240</v>
      </c>
      <c r="I2302" t="s">
        <v>241</v>
      </c>
      <c r="J2302" t="s">
        <v>242</v>
      </c>
      <c r="K2302" s="183">
        <f ca="1">VLOOKUP(F2302,
    OFFSET(INDIRECT(ADDRESS(MATCH(J2302,'Vehicle numbers'!$A$5:$A$162,0),1,1,1,$L$6)),4,1,COUNTIF('Vehicle numbers'!$A$5:$A$162,J2302),4),
    MATCH(K$8,'Vehicle numbers'!$B$4:$D$4,0))*1000</f>
        <v>164461</v>
      </c>
      <c r="L2302" s="183">
        <f ca="1">VLOOKUP(F2302,
    OFFSET(INDIRECT(ADDRESS(MATCH(J2302,'Vehicle numbers'!$A$5:$A$162,0),1,1,1,$L$6)),4,1,COUNTIF('Vehicle numbers'!$A$5:$A$162,J2302),4),
    MATCH(L$8,'Vehicle numbers'!$B$4:$D$4,0))*1000</f>
        <v>170207.20753524671</v>
      </c>
      <c r="M2302" s="184">
        <f>VLOOKUP(F2302,'Annual distance covered (GB)'!$A$8:$H$33,MATCH(J2302,'Annual distance covered (GB)'!$A$7:$H$7,0))</f>
        <v>4.7</v>
      </c>
      <c r="N2302" s="2">
        <f t="shared" ca="1" si="84"/>
        <v>104035.3101213823</v>
      </c>
      <c r="O2302" s="180">
        <f t="shared" ca="1" si="85"/>
        <v>0.611227407040554</v>
      </c>
      <c r="P2302" s="180"/>
      <c r="Q2302" s="180"/>
      <c r="R2302" s="180"/>
      <c r="S2302" s="180"/>
      <c r="T2302" s="180"/>
    </row>
    <row r="2303" spans="1:20" x14ac:dyDescent="0.25">
      <c r="A2303" t="s">
        <v>243</v>
      </c>
      <c r="B2303" t="s">
        <v>237</v>
      </c>
      <c r="C2303" t="s">
        <v>238</v>
      </c>
      <c r="D2303" t="s">
        <v>249</v>
      </c>
      <c r="E2303" t="s">
        <v>228</v>
      </c>
      <c r="F2303">
        <v>2013</v>
      </c>
      <c r="G2303">
        <v>1.4971521151597399E-2</v>
      </c>
      <c r="H2303" t="s">
        <v>240</v>
      </c>
      <c r="I2303" t="s">
        <v>241</v>
      </c>
      <c r="J2303" t="s">
        <v>242</v>
      </c>
      <c r="K2303" s="183">
        <f ca="1">VLOOKUP(F2303,
    OFFSET(INDIRECT(ADDRESS(MATCH(J2303,'Vehicle numbers'!$A$5:$A$162,0),1,1,1,$L$6)),4,1,COUNTIF('Vehicle numbers'!$A$5:$A$162,J2303),4),
    MATCH(K$8,'Vehicle numbers'!$B$4:$D$4,0))*1000</f>
        <v>164461</v>
      </c>
      <c r="L2303" s="183">
        <f ca="1">VLOOKUP(F2303,
    OFFSET(INDIRECT(ADDRESS(MATCH(J2303,'Vehicle numbers'!$A$5:$A$162,0),1,1,1,$L$6)),4,1,COUNTIF('Vehicle numbers'!$A$5:$A$162,J2303),4),
    MATCH(L$8,'Vehicle numbers'!$B$4:$D$4,0))*1000</f>
        <v>170207.20753524671</v>
      </c>
      <c r="M2303" s="184">
        <f>VLOOKUP(F2303,'Annual distance covered (GB)'!$A$8:$H$33,MATCH(J2303,'Annual distance covered (GB)'!$A$7:$H$7,0))</f>
        <v>4.7</v>
      </c>
      <c r="N2303" s="2">
        <f t="shared" ca="1" si="84"/>
        <v>72824.717084967808</v>
      </c>
      <c r="O2303" s="180">
        <f t="shared" ca="1" si="85"/>
        <v>0.42785918492838898</v>
      </c>
      <c r="P2303" s="180"/>
      <c r="Q2303" s="180"/>
      <c r="R2303" s="180"/>
      <c r="S2303" s="180"/>
      <c r="T2303" s="180"/>
    </row>
    <row r="2304" spans="1:20" x14ac:dyDescent="0.25">
      <c r="A2304" t="s">
        <v>244</v>
      </c>
      <c r="B2304" t="s">
        <v>237</v>
      </c>
      <c r="C2304" t="s">
        <v>238</v>
      </c>
      <c r="D2304" t="s">
        <v>249</v>
      </c>
      <c r="E2304" t="s">
        <v>228</v>
      </c>
      <c r="F2304">
        <v>2013</v>
      </c>
      <c r="G2304">
        <v>2.1086649509292101E-3</v>
      </c>
      <c r="H2304" t="s">
        <v>240</v>
      </c>
      <c r="I2304" t="s">
        <v>241</v>
      </c>
      <c r="J2304" t="s">
        <v>242</v>
      </c>
      <c r="K2304" s="183">
        <f ca="1">VLOOKUP(F2304,
    OFFSET(INDIRECT(ADDRESS(MATCH(J2304,'Vehicle numbers'!$A$5:$A$162,0),1,1,1,$L$6)),4,1,COUNTIF('Vehicle numbers'!$A$5:$A$162,J2304),4),
    MATCH(K$8,'Vehicle numbers'!$B$4:$D$4,0))*1000</f>
        <v>164461</v>
      </c>
      <c r="L2304" s="183">
        <f ca="1">VLOOKUP(F2304,
    OFFSET(INDIRECT(ADDRESS(MATCH(J2304,'Vehicle numbers'!$A$5:$A$162,0),1,1,1,$L$6)),4,1,COUNTIF('Vehicle numbers'!$A$5:$A$162,J2304),4),
    MATCH(L$8,'Vehicle numbers'!$B$4:$D$4,0))*1000</f>
        <v>170207.20753524671</v>
      </c>
      <c r="M2304" s="184">
        <f>VLOOKUP(F2304,'Annual distance covered (GB)'!$A$8:$H$33,MATCH(J2304,'Annual distance covered (GB)'!$A$7:$H$7,0))</f>
        <v>4.7</v>
      </c>
      <c r="N2304" s="2">
        <f t="shared" ca="1" si="84"/>
        <v>10257.002406333488</v>
      </c>
      <c r="O2304" s="180">
        <f t="shared" ca="1" si="85"/>
        <v>6.026185703216743E-2</v>
      </c>
      <c r="P2304" s="180"/>
      <c r="Q2304" s="180"/>
      <c r="R2304" s="180"/>
      <c r="S2304" s="180"/>
      <c r="T2304" s="180"/>
    </row>
    <row r="2305" spans="1:20" x14ac:dyDescent="0.25">
      <c r="A2305" t="s">
        <v>246</v>
      </c>
      <c r="B2305" t="s">
        <v>237</v>
      </c>
      <c r="C2305" t="s">
        <v>238</v>
      </c>
      <c r="D2305" t="s">
        <v>249</v>
      </c>
      <c r="E2305" t="s">
        <v>228</v>
      </c>
      <c r="F2305">
        <v>2013</v>
      </c>
      <c r="G2305">
        <v>1.6869319607433701E-3</v>
      </c>
      <c r="H2305" t="s">
        <v>240</v>
      </c>
      <c r="I2305" t="s">
        <v>241</v>
      </c>
      <c r="J2305" t="s">
        <v>242</v>
      </c>
      <c r="K2305" s="183">
        <f ca="1">VLOOKUP(F2305,
    OFFSET(INDIRECT(ADDRESS(MATCH(J2305,'Vehicle numbers'!$A$5:$A$162,0),1,1,1,$L$6)),4,1,COUNTIF('Vehicle numbers'!$A$5:$A$162,J2305),4),
    MATCH(K$8,'Vehicle numbers'!$B$4:$D$4,0))*1000</f>
        <v>164461</v>
      </c>
      <c r="L2305" s="183">
        <f ca="1">VLOOKUP(F2305,
    OFFSET(INDIRECT(ADDRESS(MATCH(J2305,'Vehicle numbers'!$A$5:$A$162,0),1,1,1,$L$6)),4,1,COUNTIF('Vehicle numbers'!$A$5:$A$162,J2305),4),
    MATCH(L$8,'Vehicle numbers'!$B$4:$D$4,0))*1000</f>
        <v>170207.20753524671</v>
      </c>
      <c r="M2305" s="184">
        <f>VLOOKUP(F2305,'Annual distance covered (GB)'!$A$8:$H$33,MATCH(J2305,'Annual distance covered (GB)'!$A$7:$H$7,0))</f>
        <v>4.7</v>
      </c>
      <c r="N2305" s="2">
        <f t="shared" ca="1" si="84"/>
        <v>8205.6019250667996</v>
      </c>
      <c r="O2305" s="180">
        <f t="shared" ca="1" si="85"/>
        <v>4.8209485625733996E-2</v>
      </c>
      <c r="P2305" s="180"/>
      <c r="Q2305" s="180"/>
      <c r="R2305" s="180"/>
      <c r="S2305" s="180"/>
      <c r="T2305" s="180"/>
    </row>
    <row r="2306" spans="1:20" x14ac:dyDescent="0.25">
      <c r="A2306" t="s">
        <v>236</v>
      </c>
      <c r="B2306" t="s">
        <v>237</v>
      </c>
      <c r="C2306" t="s">
        <v>238</v>
      </c>
      <c r="D2306" t="s">
        <v>250</v>
      </c>
      <c r="E2306" t="s">
        <v>229</v>
      </c>
      <c r="F2306">
        <v>2013</v>
      </c>
      <c r="G2306">
        <v>1.3600000000000001E-3</v>
      </c>
      <c r="H2306" t="s">
        <v>240</v>
      </c>
      <c r="I2306" t="s">
        <v>241</v>
      </c>
      <c r="J2306" t="s">
        <v>2</v>
      </c>
      <c r="K2306" s="183">
        <f ca="1">VLOOKUP(F2306,
    OFFSET(INDIRECT(ADDRESS(MATCH(J2306,'Vehicle numbers'!$A$5:$A$162,0),1,1,1,$L$6)),4,1,COUNTIF('Vehicle numbers'!$A$5:$A$162,J2306),4),
    MATCH(K$8,'Vehicle numbers'!$B$4:$D$4,0))*1000</f>
        <v>29140937</v>
      </c>
      <c r="L2306" s="183">
        <f ca="1">VLOOKUP(F2306,
    OFFSET(INDIRECT(ADDRESS(MATCH(J2306,'Vehicle numbers'!$A$5:$A$162,0),1,1,1,$L$6)),4,1,COUNTIF('Vehicle numbers'!$A$5:$A$162,J2306),4),
    MATCH(L$8,'Vehicle numbers'!$B$4:$D$4,0))*1000</f>
        <v>30036510.804740775</v>
      </c>
      <c r="M2306" s="184">
        <f>VLOOKUP(F2306,'Annual distance covered (GB)'!$A$8:$H$33,MATCH(J2306,'Annual distance covered (GB)'!$A$7:$H$7,0))</f>
        <v>396.9</v>
      </c>
      <c r="N2306" s="2">
        <f t="shared" ca="1" si="84"/>
        <v>556372.9110092168</v>
      </c>
      <c r="O2306" s="180">
        <f t="shared" ca="1" si="85"/>
        <v>1.8523220444147007E-2</v>
      </c>
      <c r="P2306" s="180"/>
      <c r="Q2306" s="180"/>
      <c r="R2306" s="180"/>
      <c r="S2306" s="180"/>
      <c r="T2306" s="180"/>
    </row>
    <row r="2307" spans="1:20" x14ac:dyDescent="0.25">
      <c r="A2307" t="s">
        <v>243</v>
      </c>
      <c r="B2307" t="s">
        <v>237</v>
      </c>
      <c r="C2307" t="s">
        <v>238</v>
      </c>
      <c r="D2307" t="s">
        <v>250</v>
      </c>
      <c r="E2307" t="s">
        <v>229</v>
      </c>
      <c r="F2307">
        <v>2013</v>
      </c>
      <c r="G2307">
        <v>5.44E-4</v>
      </c>
      <c r="H2307" t="s">
        <v>240</v>
      </c>
      <c r="I2307" t="s">
        <v>241</v>
      </c>
      <c r="J2307" t="s">
        <v>2</v>
      </c>
      <c r="K2307" s="183">
        <f ca="1">VLOOKUP(F2307,
    OFFSET(INDIRECT(ADDRESS(MATCH(J2307,'Vehicle numbers'!$A$5:$A$162,0),1,1,1,$L$6)),4,1,COUNTIF('Vehicle numbers'!$A$5:$A$162,J2307),4),
    MATCH(K$8,'Vehicle numbers'!$B$4:$D$4,0))*1000</f>
        <v>29140937</v>
      </c>
      <c r="L2307" s="183">
        <f ca="1">VLOOKUP(F2307,
    OFFSET(INDIRECT(ADDRESS(MATCH(J2307,'Vehicle numbers'!$A$5:$A$162,0),1,1,1,$L$6)),4,1,COUNTIF('Vehicle numbers'!$A$5:$A$162,J2307),4),
    MATCH(L$8,'Vehicle numbers'!$B$4:$D$4,0))*1000</f>
        <v>30036510.804740775</v>
      </c>
      <c r="M2307" s="184">
        <f>VLOOKUP(F2307,'Annual distance covered (GB)'!$A$8:$H$33,MATCH(J2307,'Annual distance covered (GB)'!$A$7:$H$7,0))</f>
        <v>396.9</v>
      </c>
      <c r="N2307" s="2">
        <f t="shared" ca="1" si="84"/>
        <v>222549.16440368671</v>
      </c>
      <c r="O2307" s="180">
        <f t="shared" ca="1" si="85"/>
        <v>7.4092881776588026E-3</v>
      </c>
      <c r="P2307" s="180"/>
      <c r="Q2307" s="180"/>
      <c r="R2307" s="180"/>
      <c r="S2307" s="180"/>
      <c r="T2307" s="180"/>
    </row>
    <row r="2308" spans="1:20" x14ac:dyDescent="0.25">
      <c r="A2308" t="s">
        <v>244</v>
      </c>
      <c r="B2308" t="s">
        <v>237</v>
      </c>
      <c r="C2308" t="s">
        <v>238</v>
      </c>
      <c r="D2308" t="s">
        <v>250</v>
      </c>
      <c r="E2308" t="s">
        <v>229</v>
      </c>
      <c r="F2308">
        <v>2013</v>
      </c>
      <c r="G2308">
        <v>1.36E-4</v>
      </c>
      <c r="H2308" t="s">
        <v>240</v>
      </c>
      <c r="I2308" t="s">
        <v>241</v>
      </c>
      <c r="J2308" t="s">
        <v>2</v>
      </c>
      <c r="K2308" s="183">
        <f ca="1">VLOOKUP(F2308,
    OFFSET(INDIRECT(ADDRESS(MATCH(J2308,'Vehicle numbers'!$A$5:$A$162,0),1,1,1,$L$6)),4,1,COUNTIF('Vehicle numbers'!$A$5:$A$162,J2308),4),
    MATCH(K$8,'Vehicle numbers'!$B$4:$D$4,0))*1000</f>
        <v>29140937</v>
      </c>
      <c r="L2308" s="183">
        <f ca="1">VLOOKUP(F2308,
    OFFSET(INDIRECT(ADDRESS(MATCH(J2308,'Vehicle numbers'!$A$5:$A$162,0),1,1,1,$L$6)),4,1,COUNTIF('Vehicle numbers'!$A$5:$A$162,J2308),4),
    MATCH(L$8,'Vehicle numbers'!$B$4:$D$4,0))*1000</f>
        <v>30036510.804740775</v>
      </c>
      <c r="M2308" s="184">
        <f>VLOOKUP(F2308,'Annual distance covered (GB)'!$A$8:$H$33,MATCH(J2308,'Annual distance covered (GB)'!$A$7:$H$7,0))</f>
        <v>396.9</v>
      </c>
      <c r="N2308" s="2">
        <f t="shared" ca="1" si="84"/>
        <v>55637.291100921677</v>
      </c>
      <c r="O2308" s="180">
        <f t="shared" ca="1" si="85"/>
        <v>1.8523220444147006E-3</v>
      </c>
      <c r="P2308" s="180"/>
      <c r="Q2308" s="180"/>
      <c r="R2308" s="180"/>
      <c r="S2308" s="180"/>
      <c r="T2308" s="180"/>
    </row>
    <row r="2309" spans="1:20" x14ac:dyDescent="0.25">
      <c r="A2309" t="s">
        <v>246</v>
      </c>
      <c r="B2309" t="s">
        <v>237</v>
      </c>
      <c r="C2309" t="s">
        <v>238</v>
      </c>
      <c r="D2309" t="s">
        <v>250</v>
      </c>
      <c r="E2309" t="s">
        <v>229</v>
      </c>
      <c r="F2309">
        <v>2013</v>
      </c>
      <c r="G2309">
        <v>1.088E-4</v>
      </c>
      <c r="H2309" t="s">
        <v>240</v>
      </c>
      <c r="I2309" t="s">
        <v>241</v>
      </c>
      <c r="J2309" t="s">
        <v>2</v>
      </c>
      <c r="K2309" s="183">
        <f ca="1">VLOOKUP(F2309,
    OFFSET(INDIRECT(ADDRESS(MATCH(J2309,'Vehicle numbers'!$A$5:$A$162,0),1,1,1,$L$6)),4,1,COUNTIF('Vehicle numbers'!$A$5:$A$162,J2309),4),
    MATCH(K$8,'Vehicle numbers'!$B$4:$D$4,0))*1000</f>
        <v>29140937</v>
      </c>
      <c r="L2309" s="183">
        <f ca="1">VLOOKUP(F2309,
    OFFSET(INDIRECT(ADDRESS(MATCH(J2309,'Vehicle numbers'!$A$5:$A$162,0),1,1,1,$L$6)),4,1,COUNTIF('Vehicle numbers'!$A$5:$A$162,J2309),4),
    MATCH(L$8,'Vehicle numbers'!$B$4:$D$4,0))*1000</f>
        <v>30036510.804740775</v>
      </c>
      <c r="M2309" s="184">
        <f>VLOOKUP(F2309,'Annual distance covered (GB)'!$A$8:$H$33,MATCH(J2309,'Annual distance covered (GB)'!$A$7:$H$7,0))</f>
        <v>396.9</v>
      </c>
      <c r="N2309" s="2">
        <f t="shared" ca="1" si="84"/>
        <v>44509.832880737347</v>
      </c>
      <c r="O2309" s="180">
        <f t="shared" ca="1" si="85"/>
        <v>1.4818576355317607E-3</v>
      </c>
      <c r="P2309" s="180"/>
      <c r="Q2309" s="180"/>
      <c r="R2309" s="180"/>
      <c r="S2309" s="180"/>
      <c r="T2309" s="180"/>
    </row>
    <row r="2310" spans="1:20" x14ac:dyDescent="0.25">
      <c r="A2310" t="s">
        <v>236</v>
      </c>
      <c r="B2310" t="s">
        <v>237</v>
      </c>
      <c r="C2310" t="s">
        <v>238</v>
      </c>
      <c r="D2310" t="s">
        <v>250</v>
      </c>
      <c r="E2310" t="s">
        <v>228</v>
      </c>
      <c r="F2310">
        <v>2013</v>
      </c>
      <c r="G2310">
        <v>5.7910000000000001E-3</v>
      </c>
      <c r="H2310" t="s">
        <v>240</v>
      </c>
      <c r="I2310" t="s">
        <v>241</v>
      </c>
      <c r="J2310" t="s">
        <v>2</v>
      </c>
      <c r="K2310" s="183">
        <f ca="1">VLOOKUP(F2310,
    OFFSET(INDIRECT(ADDRESS(MATCH(J2310,'Vehicle numbers'!$A$5:$A$162,0),1,1,1,$L$6)),4,1,COUNTIF('Vehicle numbers'!$A$5:$A$162,J2310),4),
    MATCH(K$8,'Vehicle numbers'!$B$4:$D$4,0))*1000</f>
        <v>29140937</v>
      </c>
      <c r="L2310" s="183">
        <f ca="1">VLOOKUP(F2310,
    OFFSET(INDIRECT(ADDRESS(MATCH(J2310,'Vehicle numbers'!$A$5:$A$162,0),1,1,1,$L$6)),4,1,COUNTIF('Vehicle numbers'!$A$5:$A$162,J2310),4),
    MATCH(L$8,'Vehicle numbers'!$B$4:$D$4,0))*1000</f>
        <v>30036510.804740775</v>
      </c>
      <c r="M2310" s="184">
        <f>VLOOKUP(F2310,'Annual distance covered (GB)'!$A$8:$H$33,MATCH(J2310,'Annual distance covered (GB)'!$A$7:$H$7,0))</f>
        <v>396.9</v>
      </c>
      <c r="N2310" s="2">
        <f t="shared" ca="1" si="84"/>
        <v>2369084.9468046869</v>
      </c>
      <c r="O2310" s="180">
        <f t="shared" ca="1" si="85"/>
        <v>7.887350705298185E-2</v>
      </c>
      <c r="P2310" s="180"/>
      <c r="Q2310" s="180"/>
      <c r="R2310" s="180"/>
      <c r="S2310" s="180"/>
      <c r="T2310" s="180"/>
    </row>
    <row r="2311" spans="1:20" x14ac:dyDescent="0.25">
      <c r="A2311" t="s">
        <v>243</v>
      </c>
      <c r="B2311" t="s">
        <v>237</v>
      </c>
      <c r="C2311" t="s">
        <v>238</v>
      </c>
      <c r="D2311" t="s">
        <v>250</v>
      </c>
      <c r="E2311" t="s">
        <v>228</v>
      </c>
      <c r="F2311">
        <v>2013</v>
      </c>
      <c r="G2311">
        <v>4.0537000000000004E-3</v>
      </c>
      <c r="H2311" t="s">
        <v>240</v>
      </c>
      <c r="I2311" t="s">
        <v>241</v>
      </c>
      <c r="J2311" t="s">
        <v>2</v>
      </c>
      <c r="K2311" s="183">
        <f ca="1">VLOOKUP(F2311,
    OFFSET(INDIRECT(ADDRESS(MATCH(J2311,'Vehicle numbers'!$A$5:$A$162,0),1,1,1,$L$6)),4,1,COUNTIF('Vehicle numbers'!$A$5:$A$162,J2311),4),
    MATCH(K$8,'Vehicle numbers'!$B$4:$D$4,0))*1000</f>
        <v>29140937</v>
      </c>
      <c r="L2311" s="183">
        <f ca="1">VLOOKUP(F2311,
    OFFSET(INDIRECT(ADDRESS(MATCH(J2311,'Vehicle numbers'!$A$5:$A$162,0),1,1,1,$L$6)),4,1,COUNTIF('Vehicle numbers'!$A$5:$A$162,J2311),4),
    MATCH(L$8,'Vehicle numbers'!$B$4:$D$4,0))*1000</f>
        <v>30036510.804740775</v>
      </c>
      <c r="M2311" s="184">
        <f>VLOOKUP(F2311,'Annual distance covered (GB)'!$A$8:$H$33,MATCH(J2311,'Annual distance covered (GB)'!$A$7:$H$7,0))</f>
        <v>396.9</v>
      </c>
      <c r="N2311" s="2">
        <f t="shared" ca="1" si="84"/>
        <v>1658359.4627632813</v>
      </c>
      <c r="O2311" s="180">
        <f t="shared" ca="1" si="85"/>
        <v>5.5211454937087304E-2</v>
      </c>
      <c r="P2311" s="180"/>
      <c r="Q2311" s="180"/>
      <c r="R2311" s="180"/>
      <c r="S2311" s="180"/>
      <c r="T2311" s="180"/>
    </row>
    <row r="2312" spans="1:20" x14ac:dyDescent="0.25">
      <c r="A2312" t="s">
        <v>244</v>
      </c>
      <c r="B2312" t="s">
        <v>237</v>
      </c>
      <c r="C2312" t="s">
        <v>238</v>
      </c>
      <c r="D2312" t="s">
        <v>250</v>
      </c>
      <c r="E2312" t="s">
        <v>228</v>
      </c>
      <c r="F2312">
        <v>2013</v>
      </c>
      <c r="G2312">
        <v>5.7094366197182997E-4</v>
      </c>
      <c r="H2312" t="s">
        <v>240</v>
      </c>
      <c r="I2312" t="s">
        <v>241</v>
      </c>
      <c r="J2312" t="s">
        <v>2</v>
      </c>
      <c r="K2312" s="183">
        <f ca="1">VLOOKUP(F2312,
    OFFSET(INDIRECT(ADDRESS(MATCH(J2312,'Vehicle numbers'!$A$5:$A$162,0),1,1,1,$L$6)),4,1,COUNTIF('Vehicle numbers'!$A$5:$A$162,J2312),4),
    MATCH(K$8,'Vehicle numbers'!$B$4:$D$4,0))*1000</f>
        <v>29140937</v>
      </c>
      <c r="L2312" s="183">
        <f ca="1">VLOOKUP(F2312,
    OFFSET(INDIRECT(ADDRESS(MATCH(J2312,'Vehicle numbers'!$A$5:$A$162,0),1,1,1,$L$6)),4,1,COUNTIF('Vehicle numbers'!$A$5:$A$162,J2312),4),
    MATCH(L$8,'Vehicle numbers'!$B$4:$D$4,0))*1000</f>
        <v>30036510.804740775</v>
      </c>
      <c r="M2312" s="184">
        <f>VLOOKUP(F2312,'Annual distance covered (GB)'!$A$8:$H$33,MATCH(J2312,'Annual distance covered (GB)'!$A$7:$H$7,0))</f>
        <v>396.9</v>
      </c>
      <c r="N2312" s="2">
        <f t="shared" ca="1" si="84"/>
        <v>233571.75531877152</v>
      </c>
      <c r="O2312" s="180">
        <f t="shared" ca="1" si="85"/>
        <v>7.7762612587446746E-3</v>
      </c>
      <c r="P2312" s="180"/>
      <c r="Q2312" s="180"/>
      <c r="R2312" s="180"/>
      <c r="S2312" s="180"/>
      <c r="T2312" s="180"/>
    </row>
    <row r="2313" spans="1:20" x14ac:dyDescent="0.25">
      <c r="A2313" t="s">
        <v>246</v>
      </c>
      <c r="B2313" t="s">
        <v>237</v>
      </c>
      <c r="C2313" t="s">
        <v>238</v>
      </c>
      <c r="D2313" t="s">
        <v>250</v>
      </c>
      <c r="E2313" t="s">
        <v>228</v>
      </c>
      <c r="F2313">
        <v>2013</v>
      </c>
      <c r="G2313">
        <v>4.5675492957746402E-4</v>
      </c>
      <c r="H2313" t="s">
        <v>240</v>
      </c>
      <c r="I2313" t="s">
        <v>241</v>
      </c>
      <c r="J2313" t="s">
        <v>2</v>
      </c>
      <c r="K2313" s="183">
        <f ca="1">VLOOKUP(F2313,
    OFFSET(INDIRECT(ADDRESS(MATCH(J2313,'Vehicle numbers'!$A$5:$A$162,0),1,1,1,$L$6)),4,1,COUNTIF('Vehicle numbers'!$A$5:$A$162,J2313),4),
    MATCH(K$8,'Vehicle numbers'!$B$4:$D$4,0))*1000</f>
        <v>29140937</v>
      </c>
      <c r="L2313" s="183">
        <f ca="1">VLOOKUP(F2313,
    OFFSET(INDIRECT(ADDRESS(MATCH(J2313,'Vehicle numbers'!$A$5:$A$162,0),1,1,1,$L$6)),4,1,COUNTIF('Vehicle numbers'!$A$5:$A$162,J2313),4),
    MATCH(L$8,'Vehicle numbers'!$B$4:$D$4,0))*1000</f>
        <v>30036510.804740775</v>
      </c>
      <c r="M2313" s="184">
        <f>VLOOKUP(F2313,'Annual distance covered (GB)'!$A$8:$H$33,MATCH(J2313,'Annual distance covered (GB)'!$A$7:$H$7,0))</f>
        <v>396.9</v>
      </c>
      <c r="N2313" s="2">
        <f t="shared" ca="1" si="84"/>
        <v>186857.40425501726</v>
      </c>
      <c r="O2313" s="180">
        <f t="shared" ca="1" si="85"/>
        <v>6.2210090069957412E-3</v>
      </c>
      <c r="P2313" s="180"/>
      <c r="Q2313" s="180"/>
      <c r="R2313" s="180"/>
      <c r="S2313" s="180"/>
      <c r="T2313" s="180"/>
    </row>
    <row r="2314" spans="1:20" x14ac:dyDescent="0.25">
      <c r="A2314" t="s">
        <v>236</v>
      </c>
      <c r="B2314" t="s">
        <v>237</v>
      </c>
      <c r="C2314" t="s">
        <v>238</v>
      </c>
      <c r="D2314" t="s">
        <v>255</v>
      </c>
      <c r="E2314" t="s">
        <v>229</v>
      </c>
      <c r="F2314">
        <v>2013</v>
      </c>
      <c r="G2314">
        <v>5.5270000000000102E-3</v>
      </c>
      <c r="H2314" t="s">
        <v>240</v>
      </c>
      <c r="I2314" t="s">
        <v>241</v>
      </c>
      <c r="J2314" t="s">
        <v>2</v>
      </c>
      <c r="K2314" s="183">
        <f ca="1">VLOOKUP(F2314,
    OFFSET(INDIRECT(ADDRESS(MATCH(J2314,'Vehicle numbers'!$A$5:$A$162,0),1,1,1,$L$6)),4,1,COUNTIF('Vehicle numbers'!$A$5:$A$162,J2314),4),
    MATCH(K$8,'Vehicle numbers'!$B$4:$D$4,0))*1000</f>
        <v>29140937</v>
      </c>
      <c r="L2314" s="183">
        <f ca="1">VLOOKUP(F2314,
    OFFSET(INDIRECT(ADDRESS(MATCH(J2314,'Vehicle numbers'!$A$5:$A$162,0),1,1,1,$L$6)),4,1,COUNTIF('Vehicle numbers'!$A$5:$A$162,J2314),4),
    MATCH(L$8,'Vehicle numbers'!$B$4:$D$4,0))*1000</f>
        <v>30036510.804740775</v>
      </c>
      <c r="M2314" s="184">
        <f>VLOOKUP(F2314,'Annual distance covered (GB)'!$A$8:$H$33,MATCH(J2314,'Annual distance covered (GB)'!$A$7:$H$7,0))</f>
        <v>396.9</v>
      </c>
      <c r="N2314" s="2">
        <f t="shared" ca="1" si="84"/>
        <v>2261083.1464323141</v>
      </c>
      <c r="O2314" s="180">
        <f t="shared" ca="1" si="85"/>
        <v>7.5277823084412276E-2</v>
      </c>
      <c r="P2314" s="180"/>
      <c r="Q2314" s="180"/>
      <c r="R2314" s="180"/>
      <c r="S2314" s="180"/>
      <c r="T2314" s="180"/>
    </row>
    <row r="2315" spans="1:20" x14ac:dyDescent="0.25">
      <c r="A2315" t="s">
        <v>243</v>
      </c>
      <c r="B2315" t="s">
        <v>237</v>
      </c>
      <c r="C2315" t="s">
        <v>238</v>
      </c>
      <c r="D2315" t="s">
        <v>255</v>
      </c>
      <c r="E2315" t="s">
        <v>229</v>
      </c>
      <c r="F2315">
        <v>2013</v>
      </c>
      <c r="G2315">
        <v>2.2108000000000002E-3</v>
      </c>
      <c r="H2315" t="s">
        <v>240</v>
      </c>
      <c r="I2315" t="s">
        <v>241</v>
      </c>
      <c r="J2315" t="s">
        <v>2</v>
      </c>
      <c r="K2315" s="183">
        <f ca="1">VLOOKUP(F2315,
    OFFSET(INDIRECT(ADDRESS(MATCH(J2315,'Vehicle numbers'!$A$5:$A$162,0),1,1,1,$L$6)),4,1,COUNTIF('Vehicle numbers'!$A$5:$A$162,J2315),4),
    MATCH(K$8,'Vehicle numbers'!$B$4:$D$4,0))*1000</f>
        <v>29140937</v>
      </c>
      <c r="L2315" s="183">
        <f ca="1">VLOOKUP(F2315,
    OFFSET(INDIRECT(ADDRESS(MATCH(J2315,'Vehicle numbers'!$A$5:$A$162,0),1,1,1,$L$6)),4,1,COUNTIF('Vehicle numbers'!$A$5:$A$162,J2315),4),
    MATCH(L$8,'Vehicle numbers'!$B$4:$D$4,0))*1000</f>
        <v>30036510.804740775</v>
      </c>
      <c r="M2315" s="184">
        <f>VLOOKUP(F2315,'Annual distance covered (GB)'!$A$8:$H$33,MATCH(J2315,'Annual distance covered (GB)'!$A$7:$H$7,0))</f>
        <v>396.9</v>
      </c>
      <c r="N2315" s="2">
        <f t="shared" ref="N2315:N2378" ca="1" si="86">M2315*G2315*1000000*(L2315/K2315)</f>
        <v>904433.25857292395</v>
      </c>
      <c r="O2315" s="180">
        <f t="shared" ref="O2315:O2378" ca="1" si="87">N2315/L2315</f>
        <v>3.0111129233764859E-2</v>
      </c>
      <c r="P2315" s="180"/>
      <c r="Q2315" s="180"/>
      <c r="R2315" s="180"/>
      <c r="S2315" s="180"/>
      <c r="T2315" s="180"/>
    </row>
    <row r="2316" spans="1:20" x14ac:dyDescent="0.25">
      <c r="A2316" t="s">
        <v>244</v>
      </c>
      <c r="B2316" t="s">
        <v>237</v>
      </c>
      <c r="C2316" t="s">
        <v>238</v>
      </c>
      <c r="D2316" t="s">
        <v>255</v>
      </c>
      <c r="E2316" t="s">
        <v>229</v>
      </c>
      <c r="F2316">
        <v>2013</v>
      </c>
      <c r="G2316">
        <v>5.5270000000000004E-4</v>
      </c>
      <c r="H2316" t="s">
        <v>240</v>
      </c>
      <c r="I2316" t="s">
        <v>241</v>
      </c>
      <c r="J2316" t="s">
        <v>2</v>
      </c>
      <c r="K2316" s="183">
        <f ca="1">VLOOKUP(F2316,
    OFFSET(INDIRECT(ADDRESS(MATCH(J2316,'Vehicle numbers'!$A$5:$A$162,0),1,1,1,$L$6)),4,1,COUNTIF('Vehicle numbers'!$A$5:$A$162,J2316),4),
    MATCH(K$8,'Vehicle numbers'!$B$4:$D$4,0))*1000</f>
        <v>29140937</v>
      </c>
      <c r="L2316" s="183">
        <f ca="1">VLOOKUP(F2316,
    OFFSET(INDIRECT(ADDRESS(MATCH(J2316,'Vehicle numbers'!$A$5:$A$162,0),1,1,1,$L$6)),4,1,COUNTIF('Vehicle numbers'!$A$5:$A$162,J2316),4),
    MATCH(L$8,'Vehicle numbers'!$B$4:$D$4,0))*1000</f>
        <v>30036510.804740775</v>
      </c>
      <c r="M2316" s="184">
        <f>VLOOKUP(F2316,'Annual distance covered (GB)'!$A$8:$H$33,MATCH(J2316,'Annual distance covered (GB)'!$A$7:$H$7,0))</f>
        <v>396.9</v>
      </c>
      <c r="N2316" s="2">
        <f t="shared" ca="1" si="86"/>
        <v>226108.31464323099</v>
      </c>
      <c r="O2316" s="180">
        <f t="shared" ca="1" si="87"/>
        <v>7.5277823084412146E-3</v>
      </c>
      <c r="P2316" s="180"/>
      <c r="Q2316" s="180"/>
      <c r="R2316" s="180"/>
      <c r="S2316" s="180"/>
      <c r="T2316" s="180"/>
    </row>
    <row r="2317" spans="1:20" x14ac:dyDescent="0.25">
      <c r="A2317" t="s">
        <v>246</v>
      </c>
      <c r="B2317" t="s">
        <v>237</v>
      </c>
      <c r="C2317" t="s">
        <v>238</v>
      </c>
      <c r="D2317" t="s">
        <v>255</v>
      </c>
      <c r="E2317" t="s">
        <v>229</v>
      </c>
      <c r="F2317">
        <v>2013</v>
      </c>
      <c r="G2317">
        <v>4.4215999999999998E-4</v>
      </c>
      <c r="H2317" t="s">
        <v>240</v>
      </c>
      <c r="I2317" t="s">
        <v>241</v>
      </c>
      <c r="J2317" t="s">
        <v>2</v>
      </c>
      <c r="K2317" s="183">
        <f ca="1">VLOOKUP(F2317,
    OFFSET(INDIRECT(ADDRESS(MATCH(J2317,'Vehicle numbers'!$A$5:$A$162,0),1,1,1,$L$6)),4,1,COUNTIF('Vehicle numbers'!$A$5:$A$162,J2317),4),
    MATCH(K$8,'Vehicle numbers'!$B$4:$D$4,0))*1000</f>
        <v>29140937</v>
      </c>
      <c r="L2317" s="183">
        <f ca="1">VLOOKUP(F2317,
    OFFSET(INDIRECT(ADDRESS(MATCH(J2317,'Vehicle numbers'!$A$5:$A$162,0),1,1,1,$L$6)),4,1,COUNTIF('Vehicle numbers'!$A$5:$A$162,J2317),4),
    MATCH(L$8,'Vehicle numbers'!$B$4:$D$4,0))*1000</f>
        <v>30036510.804740775</v>
      </c>
      <c r="M2317" s="184">
        <f>VLOOKUP(F2317,'Annual distance covered (GB)'!$A$8:$H$33,MATCH(J2317,'Annual distance covered (GB)'!$A$7:$H$7,0))</f>
        <v>396.9</v>
      </c>
      <c r="N2317" s="2">
        <f t="shared" ca="1" si="86"/>
        <v>180886.65171458476</v>
      </c>
      <c r="O2317" s="180">
        <f t="shared" ca="1" si="87"/>
        <v>6.0222258467529707E-3</v>
      </c>
      <c r="P2317" s="180"/>
      <c r="Q2317" s="180"/>
      <c r="R2317" s="180"/>
      <c r="S2317" s="180"/>
      <c r="T2317" s="180"/>
    </row>
    <row r="2318" spans="1:20" x14ac:dyDescent="0.25">
      <c r="A2318" t="s">
        <v>236</v>
      </c>
      <c r="B2318" t="s">
        <v>237</v>
      </c>
      <c r="C2318" t="s">
        <v>238</v>
      </c>
      <c r="D2318" t="s">
        <v>255</v>
      </c>
      <c r="E2318" t="s">
        <v>228</v>
      </c>
      <c r="F2318">
        <v>2013</v>
      </c>
      <c r="G2318">
        <v>6.80000000000001E-3</v>
      </c>
      <c r="H2318" t="s">
        <v>240</v>
      </c>
      <c r="I2318" t="s">
        <v>241</v>
      </c>
      <c r="J2318" t="s">
        <v>2</v>
      </c>
      <c r="K2318" s="183">
        <f ca="1">VLOOKUP(F2318,
    OFFSET(INDIRECT(ADDRESS(MATCH(J2318,'Vehicle numbers'!$A$5:$A$162,0),1,1,1,$L$6)),4,1,COUNTIF('Vehicle numbers'!$A$5:$A$162,J2318),4),
    MATCH(K$8,'Vehicle numbers'!$B$4:$D$4,0))*1000</f>
        <v>29140937</v>
      </c>
      <c r="L2318" s="183">
        <f ca="1">VLOOKUP(F2318,
    OFFSET(INDIRECT(ADDRESS(MATCH(J2318,'Vehicle numbers'!$A$5:$A$162,0),1,1,1,$L$6)),4,1,COUNTIF('Vehicle numbers'!$A$5:$A$162,J2318),4),
    MATCH(L$8,'Vehicle numbers'!$B$4:$D$4,0))*1000</f>
        <v>30036510.804740775</v>
      </c>
      <c r="M2318" s="184">
        <f>VLOOKUP(F2318,'Annual distance covered (GB)'!$A$8:$H$33,MATCH(J2318,'Annual distance covered (GB)'!$A$7:$H$7,0))</f>
        <v>396.9</v>
      </c>
      <c r="N2318" s="2">
        <f t="shared" ca="1" si="86"/>
        <v>2781864.5550460876</v>
      </c>
      <c r="O2318" s="180">
        <f t="shared" ca="1" si="87"/>
        <v>9.2616102220735158E-2</v>
      </c>
      <c r="P2318" s="180"/>
      <c r="Q2318" s="180"/>
      <c r="R2318" s="180"/>
      <c r="S2318" s="180"/>
      <c r="T2318" s="180"/>
    </row>
    <row r="2319" spans="1:20" x14ac:dyDescent="0.25">
      <c r="A2319" t="s">
        <v>243</v>
      </c>
      <c r="B2319" t="s">
        <v>237</v>
      </c>
      <c r="C2319" t="s">
        <v>238</v>
      </c>
      <c r="D2319" t="s">
        <v>255</v>
      </c>
      <c r="E2319" t="s">
        <v>228</v>
      </c>
      <c r="F2319">
        <v>2013</v>
      </c>
      <c r="G2319">
        <v>4.7600000000000099E-3</v>
      </c>
      <c r="H2319" t="s">
        <v>240</v>
      </c>
      <c r="I2319" t="s">
        <v>241</v>
      </c>
      <c r="J2319" t="s">
        <v>2</v>
      </c>
      <c r="K2319" s="183">
        <f ca="1">VLOOKUP(F2319,
    OFFSET(INDIRECT(ADDRESS(MATCH(J2319,'Vehicle numbers'!$A$5:$A$162,0),1,1,1,$L$6)),4,1,COUNTIF('Vehicle numbers'!$A$5:$A$162,J2319),4),
    MATCH(K$8,'Vehicle numbers'!$B$4:$D$4,0))*1000</f>
        <v>29140937</v>
      </c>
      <c r="L2319" s="183">
        <f ca="1">VLOOKUP(F2319,
    OFFSET(INDIRECT(ADDRESS(MATCH(J2319,'Vehicle numbers'!$A$5:$A$162,0),1,1,1,$L$6)),4,1,COUNTIF('Vehicle numbers'!$A$5:$A$162,J2319),4),
    MATCH(L$8,'Vehicle numbers'!$B$4:$D$4,0))*1000</f>
        <v>30036510.804740775</v>
      </c>
      <c r="M2319" s="184">
        <f>VLOOKUP(F2319,'Annual distance covered (GB)'!$A$8:$H$33,MATCH(J2319,'Annual distance covered (GB)'!$A$7:$H$7,0))</f>
        <v>396.9</v>
      </c>
      <c r="N2319" s="2">
        <f t="shared" ca="1" si="86"/>
        <v>1947305.1885322628</v>
      </c>
      <c r="O2319" s="180">
        <f t="shared" ca="1" si="87"/>
        <v>6.4831271554514652E-2</v>
      </c>
      <c r="P2319" s="180"/>
      <c r="Q2319" s="180"/>
      <c r="R2319" s="180"/>
      <c r="S2319" s="180"/>
      <c r="T2319" s="180"/>
    </row>
    <row r="2320" spans="1:20" x14ac:dyDescent="0.25">
      <c r="A2320" t="s">
        <v>244</v>
      </c>
      <c r="B2320" t="s">
        <v>237</v>
      </c>
      <c r="C2320" t="s">
        <v>238</v>
      </c>
      <c r="D2320" t="s">
        <v>255</v>
      </c>
      <c r="E2320" t="s">
        <v>228</v>
      </c>
      <c r="F2320">
        <v>2013</v>
      </c>
      <c r="G2320">
        <v>6.7042253521126804E-4</v>
      </c>
      <c r="H2320" t="s">
        <v>240</v>
      </c>
      <c r="I2320" t="s">
        <v>241</v>
      </c>
      <c r="J2320" t="s">
        <v>2</v>
      </c>
      <c r="K2320" s="183">
        <f ca="1">VLOOKUP(F2320,
    OFFSET(INDIRECT(ADDRESS(MATCH(J2320,'Vehicle numbers'!$A$5:$A$162,0),1,1,1,$L$6)),4,1,COUNTIF('Vehicle numbers'!$A$5:$A$162,J2320),4),
    MATCH(K$8,'Vehicle numbers'!$B$4:$D$4,0))*1000</f>
        <v>29140937</v>
      </c>
      <c r="L2320" s="183">
        <f ca="1">VLOOKUP(F2320,
    OFFSET(INDIRECT(ADDRESS(MATCH(J2320,'Vehicle numbers'!$A$5:$A$162,0),1,1,1,$L$6)),4,1,COUNTIF('Vehicle numbers'!$A$5:$A$162,J2320),4),
    MATCH(L$8,'Vehicle numbers'!$B$4:$D$4,0))*1000</f>
        <v>30036510.804740775</v>
      </c>
      <c r="M2320" s="184">
        <f>VLOOKUP(F2320,'Annual distance covered (GB)'!$A$8:$H$33,MATCH(J2320,'Annual distance covered (GB)'!$A$7:$H$7,0))</f>
        <v>396.9</v>
      </c>
      <c r="N2320" s="2">
        <f t="shared" ca="1" si="86"/>
        <v>274268.33641299437</v>
      </c>
      <c r="O2320" s="180">
        <f t="shared" ca="1" si="87"/>
        <v>9.1311650076781083E-3</v>
      </c>
      <c r="P2320" s="180"/>
      <c r="Q2320" s="180"/>
      <c r="R2320" s="180"/>
      <c r="S2320" s="180"/>
      <c r="T2320" s="180"/>
    </row>
    <row r="2321" spans="1:20" x14ac:dyDescent="0.25">
      <c r="A2321" t="s">
        <v>246</v>
      </c>
      <c r="B2321" t="s">
        <v>237</v>
      </c>
      <c r="C2321" t="s">
        <v>238</v>
      </c>
      <c r="D2321" t="s">
        <v>255</v>
      </c>
      <c r="E2321" t="s">
        <v>228</v>
      </c>
      <c r="F2321">
        <v>2013</v>
      </c>
      <c r="G2321">
        <v>5.3633802816901402E-4</v>
      </c>
      <c r="H2321" t="s">
        <v>240</v>
      </c>
      <c r="I2321" t="s">
        <v>241</v>
      </c>
      <c r="J2321" t="s">
        <v>2</v>
      </c>
      <c r="K2321" s="183">
        <f ca="1">VLOOKUP(F2321,
    OFFSET(INDIRECT(ADDRESS(MATCH(J2321,'Vehicle numbers'!$A$5:$A$162,0),1,1,1,$L$6)),4,1,COUNTIF('Vehicle numbers'!$A$5:$A$162,J2321),4),
    MATCH(K$8,'Vehicle numbers'!$B$4:$D$4,0))*1000</f>
        <v>29140937</v>
      </c>
      <c r="L2321" s="183">
        <f ca="1">VLOOKUP(F2321,
    OFFSET(INDIRECT(ADDRESS(MATCH(J2321,'Vehicle numbers'!$A$5:$A$162,0),1,1,1,$L$6)),4,1,COUNTIF('Vehicle numbers'!$A$5:$A$162,J2321),4),
    MATCH(L$8,'Vehicle numbers'!$B$4:$D$4,0))*1000</f>
        <v>30036510.804740775</v>
      </c>
      <c r="M2321" s="184">
        <f>VLOOKUP(F2321,'Annual distance covered (GB)'!$A$8:$H$33,MATCH(J2321,'Annual distance covered (GB)'!$A$7:$H$7,0))</f>
        <v>396.9</v>
      </c>
      <c r="N2321" s="2">
        <f t="shared" ca="1" si="86"/>
        <v>219414.66913039531</v>
      </c>
      <c r="O2321" s="180">
        <f t="shared" ca="1" si="87"/>
        <v>7.3049320061424798E-3</v>
      </c>
      <c r="P2321" s="180"/>
      <c r="Q2321" s="180"/>
      <c r="R2321" s="180"/>
      <c r="S2321" s="180"/>
      <c r="T2321" s="180"/>
    </row>
    <row r="2322" spans="1:20" x14ac:dyDescent="0.25">
      <c r="A2322" t="s">
        <v>236</v>
      </c>
      <c r="B2322" t="s">
        <v>237</v>
      </c>
      <c r="C2322" t="s">
        <v>238</v>
      </c>
      <c r="D2322" t="s">
        <v>256</v>
      </c>
      <c r="E2322" t="s">
        <v>229</v>
      </c>
      <c r="F2322">
        <v>2013</v>
      </c>
      <c r="G2322">
        <v>1.1722497677028799E-2</v>
      </c>
      <c r="H2322" t="s">
        <v>240</v>
      </c>
      <c r="I2322" t="s">
        <v>241</v>
      </c>
      <c r="J2322" t="s">
        <v>2</v>
      </c>
      <c r="K2322" s="183">
        <f ca="1">VLOOKUP(F2322,
    OFFSET(INDIRECT(ADDRESS(MATCH(J2322,'Vehicle numbers'!$A$5:$A$162,0),1,1,1,$L$6)),4,1,COUNTIF('Vehicle numbers'!$A$5:$A$162,J2322),4),
    MATCH(K$8,'Vehicle numbers'!$B$4:$D$4,0))*1000</f>
        <v>29140937</v>
      </c>
      <c r="L2322" s="183">
        <f ca="1">VLOOKUP(F2322,
    OFFSET(INDIRECT(ADDRESS(MATCH(J2322,'Vehicle numbers'!$A$5:$A$162,0),1,1,1,$L$6)),4,1,COUNTIF('Vehicle numbers'!$A$5:$A$162,J2322),4),
    MATCH(L$8,'Vehicle numbers'!$B$4:$D$4,0))*1000</f>
        <v>30036510.804740775</v>
      </c>
      <c r="M2322" s="184">
        <f>VLOOKUP(F2322,'Annual distance covered (GB)'!$A$8:$H$33,MATCH(J2322,'Annual distance covered (GB)'!$A$7:$H$7,0))</f>
        <v>396.9</v>
      </c>
      <c r="N2322" s="2">
        <f t="shared" ca="1" si="86"/>
        <v>4795647.1741671292</v>
      </c>
      <c r="O2322" s="180">
        <f t="shared" ca="1" si="87"/>
        <v>0.15966059457912182</v>
      </c>
      <c r="P2322" s="180"/>
      <c r="Q2322" s="180"/>
      <c r="R2322" s="180"/>
      <c r="S2322" s="180"/>
      <c r="T2322" s="180"/>
    </row>
    <row r="2323" spans="1:20" x14ac:dyDescent="0.25">
      <c r="A2323" t="s">
        <v>243</v>
      </c>
      <c r="B2323" t="s">
        <v>237</v>
      </c>
      <c r="C2323" t="s">
        <v>238</v>
      </c>
      <c r="D2323" t="s">
        <v>256</v>
      </c>
      <c r="E2323" t="s">
        <v>229</v>
      </c>
      <c r="F2323">
        <v>2013</v>
      </c>
      <c r="G2323">
        <v>4.68899907081152E-3</v>
      </c>
      <c r="H2323" t="s">
        <v>240</v>
      </c>
      <c r="I2323" t="s">
        <v>241</v>
      </c>
      <c r="J2323" t="s">
        <v>2</v>
      </c>
      <c r="K2323" s="183">
        <f ca="1">VLOOKUP(F2323,
    OFFSET(INDIRECT(ADDRESS(MATCH(J2323,'Vehicle numbers'!$A$5:$A$162,0),1,1,1,$L$6)),4,1,COUNTIF('Vehicle numbers'!$A$5:$A$162,J2323),4),
    MATCH(K$8,'Vehicle numbers'!$B$4:$D$4,0))*1000</f>
        <v>29140937</v>
      </c>
      <c r="L2323" s="183">
        <f ca="1">VLOOKUP(F2323,
    OFFSET(INDIRECT(ADDRESS(MATCH(J2323,'Vehicle numbers'!$A$5:$A$162,0),1,1,1,$L$6)),4,1,COUNTIF('Vehicle numbers'!$A$5:$A$162,J2323),4),
    MATCH(L$8,'Vehicle numbers'!$B$4:$D$4,0))*1000</f>
        <v>30036510.804740775</v>
      </c>
      <c r="M2323" s="184">
        <f>VLOOKUP(F2323,'Annual distance covered (GB)'!$A$8:$H$33,MATCH(J2323,'Annual distance covered (GB)'!$A$7:$H$7,0))</f>
        <v>396.9</v>
      </c>
      <c r="N2323" s="2">
        <f t="shared" ca="1" si="86"/>
        <v>1918258.8696668516</v>
      </c>
      <c r="O2323" s="180">
        <f t="shared" ca="1" si="87"/>
        <v>6.3864237831648726E-2</v>
      </c>
      <c r="P2323" s="180"/>
      <c r="Q2323" s="180"/>
      <c r="R2323" s="180"/>
      <c r="S2323" s="180"/>
      <c r="T2323" s="180"/>
    </row>
    <row r="2324" spans="1:20" x14ac:dyDescent="0.25">
      <c r="A2324" t="s">
        <v>244</v>
      </c>
      <c r="B2324" t="s">
        <v>237</v>
      </c>
      <c r="C2324" t="s">
        <v>238</v>
      </c>
      <c r="D2324" t="s">
        <v>256</v>
      </c>
      <c r="E2324" t="s">
        <v>229</v>
      </c>
      <c r="F2324">
        <v>2013</v>
      </c>
      <c r="G2324">
        <v>1.17224976770288E-3</v>
      </c>
      <c r="H2324" t="s">
        <v>240</v>
      </c>
      <c r="I2324" t="s">
        <v>241</v>
      </c>
      <c r="J2324" t="s">
        <v>2</v>
      </c>
      <c r="K2324" s="183">
        <f ca="1">VLOOKUP(F2324,
    OFFSET(INDIRECT(ADDRESS(MATCH(J2324,'Vehicle numbers'!$A$5:$A$162,0),1,1,1,$L$6)),4,1,COUNTIF('Vehicle numbers'!$A$5:$A$162,J2324),4),
    MATCH(K$8,'Vehicle numbers'!$B$4:$D$4,0))*1000</f>
        <v>29140937</v>
      </c>
      <c r="L2324" s="183">
        <f ca="1">VLOOKUP(F2324,
    OFFSET(INDIRECT(ADDRESS(MATCH(J2324,'Vehicle numbers'!$A$5:$A$162,0),1,1,1,$L$6)),4,1,COUNTIF('Vehicle numbers'!$A$5:$A$162,J2324),4),
    MATCH(L$8,'Vehicle numbers'!$B$4:$D$4,0))*1000</f>
        <v>30036510.804740775</v>
      </c>
      <c r="M2324" s="184">
        <f>VLOOKUP(F2324,'Annual distance covered (GB)'!$A$8:$H$33,MATCH(J2324,'Annual distance covered (GB)'!$A$7:$H$7,0))</f>
        <v>396.9</v>
      </c>
      <c r="N2324" s="2">
        <f t="shared" ca="1" si="86"/>
        <v>479564.7174167129</v>
      </c>
      <c r="O2324" s="180">
        <f t="shared" ca="1" si="87"/>
        <v>1.5966059457912182E-2</v>
      </c>
      <c r="P2324" s="180"/>
      <c r="Q2324" s="180"/>
      <c r="R2324" s="180"/>
      <c r="S2324" s="180"/>
      <c r="T2324" s="180"/>
    </row>
    <row r="2325" spans="1:20" x14ac:dyDescent="0.25">
      <c r="A2325" t="s">
        <v>246</v>
      </c>
      <c r="B2325" t="s">
        <v>237</v>
      </c>
      <c r="C2325" t="s">
        <v>238</v>
      </c>
      <c r="D2325" t="s">
        <v>256</v>
      </c>
      <c r="E2325" t="s">
        <v>229</v>
      </c>
      <c r="F2325">
        <v>2013</v>
      </c>
      <c r="G2325">
        <v>9.3779981416230399E-4</v>
      </c>
      <c r="H2325" t="s">
        <v>240</v>
      </c>
      <c r="I2325" t="s">
        <v>241</v>
      </c>
      <c r="J2325" t="s">
        <v>2</v>
      </c>
      <c r="K2325" s="183">
        <f ca="1">VLOOKUP(F2325,
    OFFSET(INDIRECT(ADDRESS(MATCH(J2325,'Vehicle numbers'!$A$5:$A$162,0),1,1,1,$L$6)),4,1,COUNTIF('Vehicle numbers'!$A$5:$A$162,J2325),4),
    MATCH(K$8,'Vehicle numbers'!$B$4:$D$4,0))*1000</f>
        <v>29140937</v>
      </c>
      <c r="L2325" s="183">
        <f ca="1">VLOOKUP(F2325,
    OFFSET(INDIRECT(ADDRESS(MATCH(J2325,'Vehicle numbers'!$A$5:$A$162,0),1,1,1,$L$6)),4,1,COUNTIF('Vehicle numbers'!$A$5:$A$162,J2325),4),
    MATCH(L$8,'Vehicle numbers'!$B$4:$D$4,0))*1000</f>
        <v>30036510.804740775</v>
      </c>
      <c r="M2325" s="184">
        <f>VLOOKUP(F2325,'Annual distance covered (GB)'!$A$8:$H$33,MATCH(J2325,'Annual distance covered (GB)'!$A$7:$H$7,0))</f>
        <v>396.9</v>
      </c>
      <c r="N2325" s="2">
        <f t="shared" ca="1" si="86"/>
        <v>383651.77393337025</v>
      </c>
      <c r="O2325" s="180">
        <f t="shared" ca="1" si="87"/>
        <v>1.2772847566329744E-2</v>
      </c>
      <c r="P2325" s="180"/>
      <c r="Q2325" s="180"/>
      <c r="R2325" s="180"/>
      <c r="S2325" s="180"/>
      <c r="T2325" s="180"/>
    </row>
    <row r="2326" spans="1:20" x14ac:dyDescent="0.25">
      <c r="A2326" t="s">
        <v>236</v>
      </c>
      <c r="B2326" t="s">
        <v>237</v>
      </c>
      <c r="C2326" t="s">
        <v>238</v>
      </c>
      <c r="D2326" t="s">
        <v>256</v>
      </c>
      <c r="E2326" t="s">
        <v>228</v>
      </c>
      <c r="F2326">
        <v>2013</v>
      </c>
      <c r="G2326">
        <v>8.7726741190820995E-3</v>
      </c>
      <c r="H2326" t="s">
        <v>240</v>
      </c>
      <c r="I2326" t="s">
        <v>241</v>
      </c>
      <c r="J2326" t="s">
        <v>2</v>
      </c>
      <c r="K2326" s="183">
        <f ca="1">VLOOKUP(F2326,
    OFFSET(INDIRECT(ADDRESS(MATCH(J2326,'Vehicle numbers'!$A$5:$A$162,0),1,1,1,$L$6)),4,1,COUNTIF('Vehicle numbers'!$A$5:$A$162,J2326),4),
    MATCH(K$8,'Vehicle numbers'!$B$4:$D$4,0))*1000</f>
        <v>29140937</v>
      </c>
      <c r="L2326" s="183">
        <f ca="1">VLOOKUP(F2326,
    OFFSET(INDIRECT(ADDRESS(MATCH(J2326,'Vehicle numbers'!$A$5:$A$162,0),1,1,1,$L$6)),4,1,COUNTIF('Vehicle numbers'!$A$5:$A$162,J2326),4),
    MATCH(L$8,'Vehicle numbers'!$B$4:$D$4,0))*1000</f>
        <v>30036510.804740775</v>
      </c>
      <c r="M2326" s="184">
        <f>VLOOKUP(F2326,'Annual distance covered (GB)'!$A$8:$H$33,MATCH(J2326,'Annual distance covered (GB)'!$A$7:$H$7,0))</f>
        <v>396.9</v>
      </c>
      <c r="N2326" s="2">
        <f t="shared" ca="1" si="86"/>
        <v>3588881.0565947969</v>
      </c>
      <c r="O2326" s="180">
        <f t="shared" ca="1" si="87"/>
        <v>0.11948395337678004</v>
      </c>
      <c r="P2326" s="180"/>
      <c r="Q2326" s="180"/>
      <c r="R2326" s="180"/>
      <c r="S2326" s="180"/>
      <c r="T2326" s="180"/>
    </row>
    <row r="2327" spans="1:20" x14ac:dyDescent="0.25">
      <c r="A2327" t="s">
        <v>243</v>
      </c>
      <c r="B2327" t="s">
        <v>237</v>
      </c>
      <c r="C2327" t="s">
        <v>238</v>
      </c>
      <c r="D2327" t="s">
        <v>256</v>
      </c>
      <c r="E2327" t="s">
        <v>228</v>
      </c>
      <c r="F2327">
        <v>2013</v>
      </c>
      <c r="G2327">
        <v>6.1408718833574696E-3</v>
      </c>
      <c r="H2327" t="s">
        <v>240</v>
      </c>
      <c r="I2327" t="s">
        <v>241</v>
      </c>
      <c r="J2327" t="s">
        <v>2</v>
      </c>
      <c r="K2327" s="183">
        <f ca="1">VLOOKUP(F2327,
    OFFSET(INDIRECT(ADDRESS(MATCH(J2327,'Vehicle numbers'!$A$5:$A$162,0),1,1,1,$L$6)),4,1,COUNTIF('Vehicle numbers'!$A$5:$A$162,J2327),4),
    MATCH(K$8,'Vehicle numbers'!$B$4:$D$4,0))*1000</f>
        <v>29140937</v>
      </c>
      <c r="L2327" s="183">
        <f ca="1">VLOOKUP(F2327,
    OFFSET(INDIRECT(ADDRESS(MATCH(J2327,'Vehicle numbers'!$A$5:$A$162,0),1,1,1,$L$6)),4,1,COUNTIF('Vehicle numbers'!$A$5:$A$162,J2327),4),
    MATCH(L$8,'Vehicle numbers'!$B$4:$D$4,0))*1000</f>
        <v>30036510.804740775</v>
      </c>
      <c r="M2327" s="184">
        <f>VLOOKUP(F2327,'Annual distance covered (GB)'!$A$8:$H$33,MATCH(J2327,'Annual distance covered (GB)'!$A$7:$H$7,0))</f>
        <v>396.9</v>
      </c>
      <c r="N2327" s="2">
        <f t="shared" ca="1" si="86"/>
        <v>2512216.7396163582</v>
      </c>
      <c r="O2327" s="180">
        <f t="shared" ca="1" si="87"/>
        <v>8.363876736374605E-2</v>
      </c>
      <c r="P2327" s="180"/>
      <c r="Q2327" s="180"/>
      <c r="R2327" s="180"/>
      <c r="S2327" s="180"/>
      <c r="T2327" s="180"/>
    </row>
    <row r="2328" spans="1:20" x14ac:dyDescent="0.25">
      <c r="A2328" t="s">
        <v>244</v>
      </c>
      <c r="B2328" t="s">
        <v>237</v>
      </c>
      <c r="C2328" t="s">
        <v>238</v>
      </c>
      <c r="D2328" t="s">
        <v>256</v>
      </c>
      <c r="E2328" t="s">
        <v>228</v>
      </c>
      <c r="F2328">
        <v>2013</v>
      </c>
      <c r="G2328">
        <v>8.6491153286724805E-4</v>
      </c>
      <c r="H2328" t="s">
        <v>240</v>
      </c>
      <c r="I2328" t="s">
        <v>241</v>
      </c>
      <c r="J2328" t="s">
        <v>2</v>
      </c>
      <c r="K2328" s="183">
        <f ca="1">VLOOKUP(F2328,
    OFFSET(INDIRECT(ADDRESS(MATCH(J2328,'Vehicle numbers'!$A$5:$A$162,0),1,1,1,$L$6)),4,1,COUNTIF('Vehicle numbers'!$A$5:$A$162,J2328),4),
    MATCH(K$8,'Vehicle numbers'!$B$4:$D$4,0))*1000</f>
        <v>29140937</v>
      </c>
      <c r="L2328" s="183">
        <f ca="1">VLOOKUP(F2328,
    OFFSET(INDIRECT(ADDRESS(MATCH(J2328,'Vehicle numbers'!$A$5:$A$162,0),1,1,1,$L$6)),4,1,COUNTIF('Vehicle numbers'!$A$5:$A$162,J2328),4),
    MATCH(L$8,'Vehicle numbers'!$B$4:$D$4,0))*1000</f>
        <v>30036510.804740775</v>
      </c>
      <c r="M2328" s="184">
        <f>VLOOKUP(F2328,'Annual distance covered (GB)'!$A$8:$H$33,MATCH(J2328,'Annual distance covered (GB)'!$A$7:$H$7,0))</f>
        <v>396.9</v>
      </c>
      <c r="N2328" s="2">
        <f t="shared" ca="1" si="86"/>
        <v>353833.34360793728</v>
      </c>
      <c r="O2328" s="180">
        <f t="shared" ca="1" si="87"/>
        <v>1.1780108079400834E-2</v>
      </c>
      <c r="P2328" s="180"/>
      <c r="Q2328" s="180"/>
      <c r="R2328" s="180"/>
      <c r="S2328" s="180"/>
      <c r="T2328" s="180"/>
    </row>
    <row r="2329" spans="1:20" x14ac:dyDescent="0.25">
      <c r="A2329" t="s">
        <v>246</v>
      </c>
      <c r="B2329" t="s">
        <v>237</v>
      </c>
      <c r="C2329" t="s">
        <v>238</v>
      </c>
      <c r="D2329" t="s">
        <v>256</v>
      </c>
      <c r="E2329" t="s">
        <v>228</v>
      </c>
      <c r="F2329">
        <v>2013</v>
      </c>
      <c r="G2329">
        <v>6.9192922629379803E-4</v>
      </c>
      <c r="H2329" t="s">
        <v>240</v>
      </c>
      <c r="I2329" t="s">
        <v>241</v>
      </c>
      <c r="J2329" t="s">
        <v>2</v>
      </c>
      <c r="K2329" s="183">
        <f ca="1">VLOOKUP(F2329,
    OFFSET(INDIRECT(ADDRESS(MATCH(J2329,'Vehicle numbers'!$A$5:$A$162,0),1,1,1,$L$6)),4,1,COUNTIF('Vehicle numbers'!$A$5:$A$162,J2329),4),
    MATCH(K$8,'Vehicle numbers'!$B$4:$D$4,0))*1000</f>
        <v>29140937</v>
      </c>
      <c r="L2329" s="183">
        <f ca="1">VLOOKUP(F2329,
    OFFSET(INDIRECT(ADDRESS(MATCH(J2329,'Vehicle numbers'!$A$5:$A$162,0),1,1,1,$L$6)),4,1,COUNTIF('Vehicle numbers'!$A$5:$A$162,J2329),4),
    MATCH(L$8,'Vehicle numbers'!$B$4:$D$4,0))*1000</f>
        <v>30036510.804740775</v>
      </c>
      <c r="M2329" s="184">
        <f>VLOOKUP(F2329,'Annual distance covered (GB)'!$A$8:$H$33,MATCH(J2329,'Annual distance covered (GB)'!$A$7:$H$7,0))</f>
        <v>396.9</v>
      </c>
      <c r="N2329" s="2">
        <f t="shared" ca="1" si="86"/>
        <v>283066.67488634959</v>
      </c>
      <c r="O2329" s="180">
        <f t="shared" ca="1" si="87"/>
        <v>9.4240864635206593E-3</v>
      </c>
      <c r="P2329" s="180"/>
      <c r="Q2329" s="180"/>
      <c r="R2329" s="180"/>
      <c r="S2329" s="180"/>
      <c r="T2329" s="180"/>
    </row>
    <row r="2330" spans="1:20" x14ac:dyDescent="0.25">
      <c r="A2330" t="s">
        <v>236</v>
      </c>
      <c r="B2330" t="s">
        <v>237</v>
      </c>
      <c r="C2330" t="s">
        <v>238</v>
      </c>
      <c r="D2330" t="s">
        <v>265</v>
      </c>
      <c r="E2330" t="s">
        <v>229</v>
      </c>
      <c r="F2330">
        <v>2013</v>
      </c>
      <c r="G2330">
        <v>8.4410000000000006E-3</v>
      </c>
      <c r="H2330" t="s">
        <v>240</v>
      </c>
      <c r="I2330" t="s">
        <v>241</v>
      </c>
      <c r="J2330" t="s">
        <v>247</v>
      </c>
      <c r="K2330" s="183">
        <f ca="1">VLOOKUP(F2330,
    OFFSET(INDIRECT(ADDRESS(MATCH(J2330,'Vehicle numbers'!$A$5:$A$162,0),1,1,1,$L$6)),4,1,COUNTIF('Vehicle numbers'!$A$5:$A$162,J2330),4),
    MATCH(K$8,'Vehicle numbers'!$B$4:$D$4,0))*1000</f>
        <v>111017</v>
      </c>
      <c r="L2330" s="183">
        <f ca="1">VLOOKUP(F2330,
    OFFSET(INDIRECT(ADDRESS(MATCH(J2330,'Vehicle numbers'!$A$5:$A$162,0),1,1,1,$L$6)),4,1,COUNTIF('Vehicle numbers'!$A$5:$A$162,J2330),4),
    MATCH(L$8,'Vehicle numbers'!$B$4:$D$4,0))*1000</f>
        <v>116839.91262189091</v>
      </c>
      <c r="M2330" s="184">
        <f ca="1">VLOOKUP(F2330,'Annual distance covered (GB)'!$A$8:$H$33,MATCH(J2330,'Annual distance covered (GB)'!$A$7:$H$7,0))</f>
        <v>15.6</v>
      </c>
      <c r="N2330" s="2">
        <f t="shared" ca="1" si="86"/>
        <v>138586.27920125338</v>
      </c>
      <c r="O2330" s="180">
        <f t="shared" ca="1" si="87"/>
        <v>1.1861210445247123</v>
      </c>
      <c r="P2330" s="180"/>
      <c r="Q2330" s="180"/>
      <c r="R2330" s="180"/>
      <c r="S2330" s="180"/>
      <c r="T2330" s="180"/>
    </row>
    <row r="2331" spans="1:20" x14ac:dyDescent="0.25">
      <c r="A2331" t="s">
        <v>243</v>
      </c>
      <c r="B2331" t="s">
        <v>237</v>
      </c>
      <c r="C2331" t="s">
        <v>238</v>
      </c>
      <c r="D2331" t="s">
        <v>265</v>
      </c>
      <c r="E2331" t="s">
        <v>229</v>
      </c>
      <c r="F2331">
        <v>2013</v>
      </c>
      <c r="G2331">
        <v>3.3763999999999999E-3</v>
      </c>
      <c r="H2331" t="s">
        <v>240</v>
      </c>
      <c r="I2331" t="s">
        <v>241</v>
      </c>
      <c r="J2331" t="s">
        <v>247</v>
      </c>
      <c r="K2331" s="183">
        <f ca="1">VLOOKUP(F2331,
    OFFSET(INDIRECT(ADDRESS(MATCH(J2331,'Vehicle numbers'!$A$5:$A$162,0),1,1,1,$L$6)),4,1,COUNTIF('Vehicle numbers'!$A$5:$A$162,J2331),4),
    MATCH(K$8,'Vehicle numbers'!$B$4:$D$4,0))*1000</f>
        <v>111017</v>
      </c>
      <c r="L2331" s="183">
        <f ca="1">VLOOKUP(F2331,
    OFFSET(INDIRECT(ADDRESS(MATCH(J2331,'Vehicle numbers'!$A$5:$A$162,0),1,1,1,$L$6)),4,1,COUNTIF('Vehicle numbers'!$A$5:$A$162,J2331),4),
    MATCH(L$8,'Vehicle numbers'!$B$4:$D$4,0))*1000</f>
        <v>116839.91262189091</v>
      </c>
      <c r="M2331" s="184">
        <f ca="1">VLOOKUP(F2331,'Annual distance covered (GB)'!$A$8:$H$33,MATCH(J2331,'Annual distance covered (GB)'!$A$7:$H$7,0))</f>
        <v>15.6</v>
      </c>
      <c r="N2331" s="2">
        <f t="shared" ca="1" si="86"/>
        <v>55434.511680501346</v>
      </c>
      <c r="O2331" s="180">
        <f t="shared" ca="1" si="87"/>
        <v>0.47444841780988495</v>
      </c>
      <c r="P2331" s="180"/>
      <c r="Q2331" s="180"/>
      <c r="R2331" s="180"/>
      <c r="S2331" s="180"/>
      <c r="T2331" s="180"/>
    </row>
    <row r="2332" spans="1:20" x14ac:dyDescent="0.25">
      <c r="A2332" t="s">
        <v>244</v>
      </c>
      <c r="B2332" t="s">
        <v>237</v>
      </c>
      <c r="C2332" t="s">
        <v>238</v>
      </c>
      <c r="D2332" t="s">
        <v>265</v>
      </c>
      <c r="E2332" t="s">
        <v>229</v>
      </c>
      <c r="F2332">
        <v>2013</v>
      </c>
      <c r="G2332">
        <v>8.4409999999999997E-4</v>
      </c>
      <c r="H2332" t="s">
        <v>240</v>
      </c>
      <c r="I2332" t="s">
        <v>241</v>
      </c>
      <c r="J2332" t="s">
        <v>247</v>
      </c>
      <c r="K2332" s="183">
        <f ca="1">VLOOKUP(F2332,
    OFFSET(INDIRECT(ADDRESS(MATCH(J2332,'Vehicle numbers'!$A$5:$A$162,0),1,1,1,$L$6)),4,1,COUNTIF('Vehicle numbers'!$A$5:$A$162,J2332),4),
    MATCH(K$8,'Vehicle numbers'!$B$4:$D$4,0))*1000</f>
        <v>111017</v>
      </c>
      <c r="L2332" s="183">
        <f ca="1">VLOOKUP(F2332,
    OFFSET(INDIRECT(ADDRESS(MATCH(J2332,'Vehicle numbers'!$A$5:$A$162,0),1,1,1,$L$6)),4,1,COUNTIF('Vehicle numbers'!$A$5:$A$162,J2332),4),
    MATCH(L$8,'Vehicle numbers'!$B$4:$D$4,0))*1000</f>
        <v>116839.91262189091</v>
      </c>
      <c r="M2332" s="184">
        <f ca="1">VLOOKUP(F2332,'Annual distance covered (GB)'!$A$8:$H$33,MATCH(J2332,'Annual distance covered (GB)'!$A$7:$H$7,0))</f>
        <v>15.6</v>
      </c>
      <c r="N2332" s="2">
        <f t="shared" ca="1" si="86"/>
        <v>13858.627920125336</v>
      </c>
      <c r="O2332" s="180">
        <f t="shared" ca="1" si="87"/>
        <v>0.11861210445247124</v>
      </c>
      <c r="P2332" s="180"/>
      <c r="Q2332" s="180"/>
      <c r="R2332" s="180"/>
      <c r="S2332" s="180"/>
      <c r="T2332" s="180"/>
    </row>
    <row r="2333" spans="1:20" x14ac:dyDescent="0.25">
      <c r="A2333" t="s">
        <v>246</v>
      </c>
      <c r="B2333" t="s">
        <v>237</v>
      </c>
      <c r="C2333" t="s">
        <v>238</v>
      </c>
      <c r="D2333" t="s">
        <v>265</v>
      </c>
      <c r="E2333" t="s">
        <v>229</v>
      </c>
      <c r="F2333">
        <v>2013</v>
      </c>
      <c r="G2333">
        <v>6.7528E-4</v>
      </c>
      <c r="H2333" t="s">
        <v>240</v>
      </c>
      <c r="I2333" t="s">
        <v>241</v>
      </c>
      <c r="J2333" t="s">
        <v>247</v>
      </c>
      <c r="K2333" s="183">
        <f ca="1">VLOOKUP(F2333,
    OFFSET(INDIRECT(ADDRESS(MATCH(J2333,'Vehicle numbers'!$A$5:$A$162,0),1,1,1,$L$6)),4,1,COUNTIF('Vehicle numbers'!$A$5:$A$162,J2333),4),
    MATCH(K$8,'Vehicle numbers'!$B$4:$D$4,0))*1000</f>
        <v>111017</v>
      </c>
      <c r="L2333" s="183">
        <f ca="1">VLOOKUP(F2333,
    OFFSET(INDIRECT(ADDRESS(MATCH(J2333,'Vehicle numbers'!$A$5:$A$162,0),1,1,1,$L$6)),4,1,COUNTIF('Vehicle numbers'!$A$5:$A$162,J2333),4),
    MATCH(L$8,'Vehicle numbers'!$B$4:$D$4,0))*1000</f>
        <v>116839.91262189091</v>
      </c>
      <c r="M2333" s="184">
        <f ca="1">VLOOKUP(F2333,'Annual distance covered (GB)'!$A$8:$H$33,MATCH(J2333,'Annual distance covered (GB)'!$A$7:$H$7,0))</f>
        <v>15.6</v>
      </c>
      <c r="N2333" s="2">
        <f t="shared" ca="1" si="86"/>
        <v>11086.902336100271</v>
      </c>
      <c r="O2333" s="180">
        <f t="shared" ca="1" si="87"/>
        <v>9.4889683561977009E-2</v>
      </c>
      <c r="P2333" s="180"/>
      <c r="Q2333" s="180"/>
      <c r="R2333" s="180"/>
      <c r="S2333" s="180"/>
      <c r="T2333" s="180"/>
    </row>
    <row r="2334" spans="1:20" x14ac:dyDescent="0.25">
      <c r="A2334" t="s">
        <v>236</v>
      </c>
      <c r="B2334" t="s">
        <v>237</v>
      </c>
      <c r="C2334" t="s">
        <v>238</v>
      </c>
      <c r="D2334" t="s">
        <v>265</v>
      </c>
      <c r="E2334" t="s">
        <v>228</v>
      </c>
      <c r="F2334">
        <v>2013</v>
      </c>
      <c r="G2334">
        <v>3.1494399999999999E-2</v>
      </c>
      <c r="H2334" t="s">
        <v>240</v>
      </c>
      <c r="I2334" t="s">
        <v>241</v>
      </c>
      <c r="J2334" t="s">
        <v>247</v>
      </c>
      <c r="K2334" s="183">
        <f ca="1">VLOOKUP(F2334,
    OFFSET(INDIRECT(ADDRESS(MATCH(J2334,'Vehicle numbers'!$A$5:$A$162,0),1,1,1,$L$6)),4,1,COUNTIF('Vehicle numbers'!$A$5:$A$162,J2334),4),
    MATCH(K$8,'Vehicle numbers'!$B$4:$D$4,0))*1000</f>
        <v>111017</v>
      </c>
      <c r="L2334" s="183">
        <f ca="1">VLOOKUP(F2334,
    OFFSET(INDIRECT(ADDRESS(MATCH(J2334,'Vehicle numbers'!$A$5:$A$162,0),1,1,1,$L$6)),4,1,COUNTIF('Vehicle numbers'!$A$5:$A$162,J2334),4),
    MATCH(L$8,'Vehicle numbers'!$B$4:$D$4,0))*1000</f>
        <v>116839.91262189091</v>
      </c>
      <c r="M2334" s="184">
        <f ca="1">VLOOKUP(F2334,'Annual distance covered (GB)'!$A$8:$H$33,MATCH(J2334,'Annual distance covered (GB)'!$A$7:$H$7,0))</f>
        <v>15.6</v>
      </c>
      <c r="N2334" s="2">
        <f t="shared" ca="1" si="86"/>
        <v>517082.30205851846</v>
      </c>
      <c r="O2334" s="180">
        <f t="shared" ca="1" si="87"/>
        <v>4.4255622111928803</v>
      </c>
      <c r="P2334" s="180"/>
      <c r="Q2334" s="180"/>
      <c r="R2334" s="180"/>
      <c r="S2334" s="180"/>
      <c r="T2334" s="180"/>
    </row>
    <row r="2335" spans="1:20" x14ac:dyDescent="0.25">
      <c r="A2335" t="s">
        <v>243</v>
      </c>
      <c r="B2335" t="s">
        <v>237</v>
      </c>
      <c r="C2335" t="s">
        <v>238</v>
      </c>
      <c r="D2335" t="s">
        <v>265</v>
      </c>
      <c r="E2335" t="s">
        <v>228</v>
      </c>
      <c r="F2335">
        <v>2013</v>
      </c>
      <c r="G2335">
        <v>2.2046079999999999E-2</v>
      </c>
      <c r="H2335" t="s">
        <v>240</v>
      </c>
      <c r="I2335" t="s">
        <v>241</v>
      </c>
      <c r="J2335" t="s">
        <v>247</v>
      </c>
      <c r="K2335" s="183">
        <f ca="1">VLOOKUP(F2335,
    OFFSET(INDIRECT(ADDRESS(MATCH(J2335,'Vehicle numbers'!$A$5:$A$162,0),1,1,1,$L$6)),4,1,COUNTIF('Vehicle numbers'!$A$5:$A$162,J2335),4),
    MATCH(K$8,'Vehicle numbers'!$B$4:$D$4,0))*1000</f>
        <v>111017</v>
      </c>
      <c r="L2335" s="183">
        <f ca="1">VLOOKUP(F2335,
    OFFSET(INDIRECT(ADDRESS(MATCH(J2335,'Vehicle numbers'!$A$5:$A$162,0),1,1,1,$L$6)),4,1,COUNTIF('Vehicle numbers'!$A$5:$A$162,J2335),4),
    MATCH(L$8,'Vehicle numbers'!$B$4:$D$4,0))*1000</f>
        <v>116839.91262189091</v>
      </c>
      <c r="M2335" s="184">
        <f ca="1">VLOOKUP(F2335,'Annual distance covered (GB)'!$A$8:$H$33,MATCH(J2335,'Annual distance covered (GB)'!$A$7:$H$7,0))</f>
        <v>15.6</v>
      </c>
      <c r="N2335" s="2">
        <f t="shared" ca="1" si="86"/>
        <v>361957.61144096294</v>
      </c>
      <c r="O2335" s="180">
        <f t="shared" ca="1" si="87"/>
        <v>3.0978935478350165</v>
      </c>
      <c r="P2335" s="180"/>
      <c r="Q2335" s="180"/>
      <c r="R2335" s="180"/>
      <c r="S2335" s="180"/>
      <c r="T2335" s="180"/>
    </row>
    <row r="2336" spans="1:20" x14ac:dyDescent="0.25">
      <c r="A2336" t="s">
        <v>244</v>
      </c>
      <c r="B2336" t="s">
        <v>237</v>
      </c>
      <c r="C2336" t="s">
        <v>238</v>
      </c>
      <c r="D2336" t="s">
        <v>265</v>
      </c>
      <c r="E2336" t="s">
        <v>228</v>
      </c>
      <c r="F2336">
        <v>2013</v>
      </c>
      <c r="G2336">
        <v>3.1050816901408399E-3</v>
      </c>
      <c r="H2336" t="s">
        <v>240</v>
      </c>
      <c r="I2336" t="s">
        <v>241</v>
      </c>
      <c r="J2336" t="s">
        <v>247</v>
      </c>
      <c r="K2336" s="183">
        <f ca="1">VLOOKUP(F2336,
    OFFSET(INDIRECT(ADDRESS(MATCH(J2336,'Vehicle numbers'!$A$5:$A$162,0),1,1,1,$L$6)),4,1,COUNTIF('Vehicle numbers'!$A$5:$A$162,J2336),4),
    MATCH(K$8,'Vehicle numbers'!$B$4:$D$4,0))*1000</f>
        <v>111017</v>
      </c>
      <c r="L2336" s="183">
        <f ca="1">VLOOKUP(F2336,
    OFFSET(INDIRECT(ADDRESS(MATCH(J2336,'Vehicle numbers'!$A$5:$A$162,0),1,1,1,$L$6)),4,1,COUNTIF('Vehicle numbers'!$A$5:$A$162,J2336),4),
    MATCH(L$8,'Vehicle numbers'!$B$4:$D$4,0))*1000</f>
        <v>116839.91262189091</v>
      </c>
      <c r="M2336" s="184">
        <f ca="1">VLOOKUP(F2336,'Annual distance covered (GB)'!$A$8:$H$33,MATCH(J2336,'Annual distance covered (GB)'!$A$7:$H$7,0))</f>
        <v>15.6</v>
      </c>
      <c r="N2336" s="2">
        <f t="shared" ca="1" si="86"/>
        <v>50979.945273374971</v>
      </c>
      <c r="O2336" s="180">
        <f t="shared" ca="1" si="87"/>
        <v>0.43632303490633956</v>
      </c>
      <c r="P2336" s="180"/>
      <c r="Q2336" s="180"/>
      <c r="R2336" s="180"/>
      <c r="S2336" s="180"/>
      <c r="T2336" s="180"/>
    </row>
    <row r="2337" spans="1:20" x14ac:dyDescent="0.25">
      <c r="A2337" t="s">
        <v>246</v>
      </c>
      <c r="B2337" t="s">
        <v>237</v>
      </c>
      <c r="C2337" t="s">
        <v>238</v>
      </c>
      <c r="D2337" t="s">
        <v>265</v>
      </c>
      <c r="E2337" t="s">
        <v>228</v>
      </c>
      <c r="F2337">
        <v>2013</v>
      </c>
      <c r="G2337">
        <v>2.4840653521126699E-3</v>
      </c>
      <c r="H2337" t="s">
        <v>240</v>
      </c>
      <c r="I2337" t="s">
        <v>241</v>
      </c>
      <c r="J2337" t="s">
        <v>247</v>
      </c>
      <c r="K2337" s="183">
        <f ca="1">VLOOKUP(F2337,
    OFFSET(INDIRECT(ADDRESS(MATCH(J2337,'Vehicle numbers'!$A$5:$A$162,0),1,1,1,$L$6)),4,1,COUNTIF('Vehicle numbers'!$A$5:$A$162,J2337),4),
    MATCH(K$8,'Vehicle numbers'!$B$4:$D$4,0))*1000</f>
        <v>111017</v>
      </c>
      <c r="L2337" s="183">
        <f ca="1">VLOOKUP(F2337,
    OFFSET(INDIRECT(ADDRESS(MATCH(J2337,'Vehicle numbers'!$A$5:$A$162,0),1,1,1,$L$6)),4,1,COUNTIF('Vehicle numbers'!$A$5:$A$162,J2337),4),
    MATCH(L$8,'Vehicle numbers'!$B$4:$D$4,0))*1000</f>
        <v>116839.91262189091</v>
      </c>
      <c r="M2337" s="184">
        <f ca="1">VLOOKUP(F2337,'Annual distance covered (GB)'!$A$8:$H$33,MATCH(J2337,'Annual distance covered (GB)'!$A$7:$H$7,0))</f>
        <v>15.6</v>
      </c>
      <c r="N2337" s="2">
        <f t="shared" ca="1" si="86"/>
        <v>40783.956218699946</v>
      </c>
      <c r="O2337" s="180">
        <f t="shared" ca="1" si="87"/>
        <v>0.34905842792507141</v>
      </c>
      <c r="P2337" s="180"/>
      <c r="Q2337" s="180"/>
      <c r="R2337" s="180"/>
      <c r="S2337" s="180"/>
      <c r="T2337" s="180"/>
    </row>
    <row r="2338" spans="1:20" x14ac:dyDescent="0.25">
      <c r="A2338" t="s">
        <v>236</v>
      </c>
      <c r="B2338" t="s">
        <v>237</v>
      </c>
      <c r="C2338" t="s">
        <v>238</v>
      </c>
      <c r="D2338" t="s">
        <v>266</v>
      </c>
      <c r="E2338" t="s">
        <v>229</v>
      </c>
      <c r="F2338">
        <v>2013</v>
      </c>
      <c r="G2338">
        <v>2.7143E-2</v>
      </c>
      <c r="H2338" t="s">
        <v>240</v>
      </c>
      <c r="I2338" t="s">
        <v>241</v>
      </c>
      <c r="J2338" t="s">
        <v>247</v>
      </c>
      <c r="K2338" s="183">
        <f ca="1">VLOOKUP(F2338,
    OFFSET(INDIRECT(ADDRESS(MATCH(J2338,'Vehicle numbers'!$A$5:$A$162,0),1,1,1,$L$6)),4,1,COUNTIF('Vehicle numbers'!$A$5:$A$162,J2338),4),
    MATCH(K$8,'Vehicle numbers'!$B$4:$D$4,0))*1000</f>
        <v>111017</v>
      </c>
      <c r="L2338" s="183">
        <f ca="1">VLOOKUP(F2338,
    OFFSET(INDIRECT(ADDRESS(MATCH(J2338,'Vehicle numbers'!$A$5:$A$162,0),1,1,1,$L$6)),4,1,COUNTIF('Vehicle numbers'!$A$5:$A$162,J2338),4),
    MATCH(L$8,'Vehicle numbers'!$B$4:$D$4,0))*1000</f>
        <v>116839.91262189091</v>
      </c>
      <c r="M2338" s="184">
        <f ca="1">VLOOKUP(F2338,'Annual distance covered (GB)'!$A$8:$H$33,MATCH(J2338,'Annual distance covered (GB)'!$A$7:$H$7,0))</f>
        <v>15.6</v>
      </c>
      <c r="N2338" s="2">
        <f t="shared" ca="1" si="86"/>
        <v>445640.01615443913</v>
      </c>
      <c r="O2338" s="180">
        <f t="shared" ca="1" si="87"/>
        <v>3.8141077492636266</v>
      </c>
      <c r="P2338" s="180"/>
      <c r="Q2338" s="180"/>
      <c r="R2338" s="180"/>
      <c r="S2338" s="180"/>
      <c r="T2338" s="180"/>
    </row>
    <row r="2339" spans="1:20" x14ac:dyDescent="0.25">
      <c r="A2339" t="s">
        <v>243</v>
      </c>
      <c r="B2339" t="s">
        <v>237</v>
      </c>
      <c r="C2339" t="s">
        <v>238</v>
      </c>
      <c r="D2339" t="s">
        <v>266</v>
      </c>
      <c r="E2339" t="s">
        <v>229</v>
      </c>
      <c r="F2339">
        <v>2013</v>
      </c>
      <c r="G2339">
        <v>1.0857199999999999E-2</v>
      </c>
      <c r="H2339" t="s">
        <v>240</v>
      </c>
      <c r="I2339" t="s">
        <v>241</v>
      </c>
      <c r="J2339" t="s">
        <v>247</v>
      </c>
      <c r="K2339" s="183">
        <f ca="1">VLOOKUP(F2339,
    OFFSET(INDIRECT(ADDRESS(MATCH(J2339,'Vehicle numbers'!$A$5:$A$162,0),1,1,1,$L$6)),4,1,COUNTIF('Vehicle numbers'!$A$5:$A$162,J2339),4),
    MATCH(K$8,'Vehicle numbers'!$B$4:$D$4,0))*1000</f>
        <v>111017</v>
      </c>
      <c r="L2339" s="183">
        <f ca="1">VLOOKUP(F2339,
    OFFSET(INDIRECT(ADDRESS(MATCH(J2339,'Vehicle numbers'!$A$5:$A$162,0),1,1,1,$L$6)),4,1,COUNTIF('Vehicle numbers'!$A$5:$A$162,J2339),4),
    MATCH(L$8,'Vehicle numbers'!$B$4:$D$4,0))*1000</f>
        <v>116839.91262189091</v>
      </c>
      <c r="M2339" s="184">
        <f ca="1">VLOOKUP(F2339,'Annual distance covered (GB)'!$A$8:$H$33,MATCH(J2339,'Annual distance covered (GB)'!$A$7:$H$7,0))</f>
        <v>15.6</v>
      </c>
      <c r="N2339" s="2">
        <f t="shared" ca="1" si="86"/>
        <v>178256.00646177566</v>
      </c>
      <c r="O2339" s="180">
        <f t="shared" ca="1" si="87"/>
        <v>1.5256430997054506</v>
      </c>
      <c r="P2339" s="180"/>
      <c r="Q2339" s="180"/>
      <c r="R2339" s="180"/>
      <c r="S2339" s="180"/>
      <c r="T2339" s="180"/>
    </row>
    <row r="2340" spans="1:20" x14ac:dyDescent="0.25">
      <c r="A2340" t="s">
        <v>244</v>
      </c>
      <c r="B2340" t="s">
        <v>237</v>
      </c>
      <c r="C2340" t="s">
        <v>238</v>
      </c>
      <c r="D2340" t="s">
        <v>266</v>
      </c>
      <c r="E2340" t="s">
        <v>229</v>
      </c>
      <c r="F2340">
        <v>2013</v>
      </c>
      <c r="G2340">
        <v>2.7142999999999998E-3</v>
      </c>
      <c r="H2340" t="s">
        <v>240</v>
      </c>
      <c r="I2340" t="s">
        <v>241</v>
      </c>
      <c r="J2340" t="s">
        <v>247</v>
      </c>
      <c r="K2340" s="183">
        <f ca="1">VLOOKUP(F2340,
    OFFSET(INDIRECT(ADDRESS(MATCH(J2340,'Vehicle numbers'!$A$5:$A$162,0),1,1,1,$L$6)),4,1,COUNTIF('Vehicle numbers'!$A$5:$A$162,J2340),4),
    MATCH(K$8,'Vehicle numbers'!$B$4:$D$4,0))*1000</f>
        <v>111017</v>
      </c>
      <c r="L2340" s="183">
        <f ca="1">VLOOKUP(F2340,
    OFFSET(INDIRECT(ADDRESS(MATCH(J2340,'Vehicle numbers'!$A$5:$A$162,0),1,1,1,$L$6)),4,1,COUNTIF('Vehicle numbers'!$A$5:$A$162,J2340),4),
    MATCH(L$8,'Vehicle numbers'!$B$4:$D$4,0))*1000</f>
        <v>116839.91262189091</v>
      </c>
      <c r="M2340" s="184">
        <f ca="1">VLOOKUP(F2340,'Annual distance covered (GB)'!$A$8:$H$33,MATCH(J2340,'Annual distance covered (GB)'!$A$7:$H$7,0))</f>
        <v>15.6</v>
      </c>
      <c r="N2340" s="2">
        <f t="shared" ca="1" si="86"/>
        <v>44564.001615443914</v>
      </c>
      <c r="O2340" s="180">
        <f t="shared" ca="1" si="87"/>
        <v>0.38141077492636266</v>
      </c>
      <c r="P2340" s="180"/>
      <c r="Q2340" s="180"/>
      <c r="R2340" s="180"/>
      <c r="S2340" s="180"/>
      <c r="T2340" s="180"/>
    </row>
    <row r="2341" spans="1:20" x14ac:dyDescent="0.25">
      <c r="A2341" t="s">
        <v>246</v>
      </c>
      <c r="B2341" t="s">
        <v>237</v>
      </c>
      <c r="C2341" t="s">
        <v>238</v>
      </c>
      <c r="D2341" t="s">
        <v>266</v>
      </c>
      <c r="E2341" t="s">
        <v>229</v>
      </c>
      <c r="F2341">
        <v>2013</v>
      </c>
      <c r="G2341">
        <v>2.1714400000000002E-3</v>
      </c>
      <c r="H2341" t="s">
        <v>240</v>
      </c>
      <c r="I2341" t="s">
        <v>241</v>
      </c>
      <c r="J2341" t="s">
        <v>247</v>
      </c>
      <c r="K2341" s="183">
        <f ca="1">VLOOKUP(F2341,
    OFFSET(INDIRECT(ADDRESS(MATCH(J2341,'Vehicle numbers'!$A$5:$A$162,0),1,1,1,$L$6)),4,1,COUNTIF('Vehicle numbers'!$A$5:$A$162,J2341),4),
    MATCH(K$8,'Vehicle numbers'!$B$4:$D$4,0))*1000</f>
        <v>111017</v>
      </c>
      <c r="L2341" s="183">
        <f ca="1">VLOOKUP(F2341,
    OFFSET(INDIRECT(ADDRESS(MATCH(J2341,'Vehicle numbers'!$A$5:$A$162,0),1,1,1,$L$6)),4,1,COUNTIF('Vehicle numbers'!$A$5:$A$162,J2341),4),
    MATCH(L$8,'Vehicle numbers'!$B$4:$D$4,0))*1000</f>
        <v>116839.91262189091</v>
      </c>
      <c r="M2341" s="184">
        <f ca="1">VLOOKUP(F2341,'Annual distance covered (GB)'!$A$8:$H$33,MATCH(J2341,'Annual distance covered (GB)'!$A$7:$H$7,0))</f>
        <v>15.6</v>
      </c>
      <c r="N2341" s="2">
        <f t="shared" ca="1" si="86"/>
        <v>35651.20129235513</v>
      </c>
      <c r="O2341" s="180">
        <f t="shared" ca="1" si="87"/>
        <v>0.30512861994109014</v>
      </c>
      <c r="P2341" s="180"/>
      <c r="Q2341" s="180"/>
      <c r="R2341" s="180"/>
      <c r="S2341" s="180"/>
      <c r="T2341" s="180"/>
    </row>
    <row r="2342" spans="1:20" x14ac:dyDescent="0.25">
      <c r="A2342" t="s">
        <v>236</v>
      </c>
      <c r="B2342" t="s">
        <v>237</v>
      </c>
      <c r="C2342" t="s">
        <v>238</v>
      </c>
      <c r="D2342" t="s">
        <v>266</v>
      </c>
      <c r="E2342" t="s">
        <v>228</v>
      </c>
      <c r="F2342">
        <v>2013</v>
      </c>
      <c r="G2342">
        <v>3.8239919999999997E-2</v>
      </c>
      <c r="H2342" t="s">
        <v>240</v>
      </c>
      <c r="I2342" t="s">
        <v>241</v>
      </c>
      <c r="J2342" t="s">
        <v>247</v>
      </c>
      <c r="K2342" s="183">
        <f ca="1">VLOOKUP(F2342,
    OFFSET(INDIRECT(ADDRESS(MATCH(J2342,'Vehicle numbers'!$A$5:$A$162,0),1,1,1,$L$6)),4,1,COUNTIF('Vehicle numbers'!$A$5:$A$162,J2342),4),
    MATCH(K$8,'Vehicle numbers'!$B$4:$D$4,0))*1000</f>
        <v>111017</v>
      </c>
      <c r="L2342" s="183">
        <f ca="1">VLOOKUP(F2342,
    OFFSET(INDIRECT(ADDRESS(MATCH(J2342,'Vehicle numbers'!$A$5:$A$162,0),1,1,1,$L$6)),4,1,COUNTIF('Vehicle numbers'!$A$5:$A$162,J2342),4),
    MATCH(L$8,'Vehicle numbers'!$B$4:$D$4,0))*1000</f>
        <v>116839.91262189091</v>
      </c>
      <c r="M2342" s="184">
        <f ca="1">VLOOKUP(F2342,'Annual distance covered (GB)'!$A$8:$H$33,MATCH(J2342,'Annual distance covered (GB)'!$A$7:$H$7,0))</f>
        <v>15.6</v>
      </c>
      <c r="N2342" s="2">
        <f t="shared" ca="1" si="86"/>
        <v>627831.80070531846</v>
      </c>
      <c r="O2342" s="180">
        <f t="shared" ca="1" si="87"/>
        <v>5.3734360683498927</v>
      </c>
      <c r="P2342" s="180"/>
      <c r="Q2342" s="180"/>
      <c r="R2342" s="180"/>
      <c r="S2342" s="180"/>
      <c r="T2342" s="180"/>
    </row>
    <row r="2343" spans="1:20" x14ac:dyDescent="0.25">
      <c r="A2343" t="s">
        <v>243</v>
      </c>
      <c r="B2343" t="s">
        <v>237</v>
      </c>
      <c r="C2343" t="s">
        <v>238</v>
      </c>
      <c r="D2343" t="s">
        <v>266</v>
      </c>
      <c r="E2343" t="s">
        <v>228</v>
      </c>
      <c r="F2343">
        <v>2013</v>
      </c>
      <c r="G2343">
        <v>2.6767943999999998E-2</v>
      </c>
      <c r="H2343" t="s">
        <v>240</v>
      </c>
      <c r="I2343" t="s">
        <v>241</v>
      </c>
      <c r="J2343" t="s">
        <v>247</v>
      </c>
      <c r="K2343" s="183">
        <f ca="1">VLOOKUP(F2343,
    OFFSET(INDIRECT(ADDRESS(MATCH(J2343,'Vehicle numbers'!$A$5:$A$162,0),1,1,1,$L$6)),4,1,COUNTIF('Vehicle numbers'!$A$5:$A$162,J2343),4),
    MATCH(K$8,'Vehicle numbers'!$B$4:$D$4,0))*1000</f>
        <v>111017</v>
      </c>
      <c r="L2343" s="183">
        <f ca="1">VLOOKUP(F2343,
    OFFSET(INDIRECT(ADDRESS(MATCH(J2343,'Vehicle numbers'!$A$5:$A$162,0),1,1,1,$L$6)),4,1,COUNTIF('Vehicle numbers'!$A$5:$A$162,J2343),4),
    MATCH(L$8,'Vehicle numbers'!$B$4:$D$4,0))*1000</f>
        <v>116839.91262189091</v>
      </c>
      <c r="M2343" s="184">
        <f ca="1">VLOOKUP(F2343,'Annual distance covered (GB)'!$A$8:$H$33,MATCH(J2343,'Annual distance covered (GB)'!$A$7:$H$7,0))</f>
        <v>15.6</v>
      </c>
      <c r="N2343" s="2">
        <f t="shared" ca="1" si="86"/>
        <v>439482.26049372292</v>
      </c>
      <c r="O2343" s="180">
        <f t="shared" ca="1" si="87"/>
        <v>3.7614052478449249</v>
      </c>
      <c r="P2343" s="180"/>
      <c r="Q2343" s="180"/>
      <c r="R2343" s="180"/>
      <c r="S2343" s="180"/>
      <c r="T2343" s="180"/>
    </row>
    <row r="2344" spans="1:20" x14ac:dyDescent="0.25">
      <c r="A2344" t="s">
        <v>244</v>
      </c>
      <c r="B2344" t="s">
        <v>237</v>
      </c>
      <c r="C2344" t="s">
        <v>238</v>
      </c>
      <c r="D2344" t="s">
        <v>266</v>
      </c>
      <c r="E2344" t="s">
        <v>228</v>
      </c>
      <c r="F2344">
        <v>2013</v>
      </c>
      <c r="G2344">
        <v>3.7701329577464701E-3</v>
      </c>
      <c r="H2344" t="s">
        <v>240</v>
      </c>
      <c r="I2344" t="s">
        <v>241</v>
      </c>
      <c r="J2344" t="s">
        <v>247</v>
      </c>
      <c r="K2344" s="183">
        <f ca="1">VLOOKUP(F2344,
    OFFSET(INDIRECT(ADDRESS(MATCH(J2344,'Vehicle numbers'!$A$5:$A$162,0),1,1,1,$L$6)),4,1,COUNTIF('Vehicle numbers'!$A$5:$A$162,J2344),4),
    MATCH(K$8,'Vehicle numbers'!$B$4:$D$4,0))*1000</f>
        <v>111017</v>
      </c>
      <c r="L2344" s="183">
        <f ca="1">VLOOKUP(F2344,
    OFFSET(INDIRECT(ADDRESS(MATCH(J2344,'Vehicle numbers'!$A$5:$A$162,0),1,1,1,$L$6)),4,1,COUNTIF('Vehicle numbers'!$A$5:$A$162,J2344),4),
    MATCH(L$8,'Vehicle numbers'!$B$4:$D$4,0))*1000</f>
        <v>116839.91262189091</v>
      </c>
      <c r="M2344" s="184">
        <f ca="1">VLOOKUP(F2344,'Annual distance covered (GB)'!$A$8:$H$33,MATCH(J2344,'Annual distance covered (GB)'!$A$7:$H$7,0))</f>
        <v>15.6</v>
      </c>
      <c r="N2344" s="2">
        <f t="shared" ca="1" si="86"/>
        <v>61898.909928693225</v>
      </c>
      <c r="O2344" s="180">
        <f t="shared" ca="1" si="87"/>
        <v>0.52977538702041072</v>
      </c>
      <c r="P2344" s="180"/>
      <c r="Q2344" s="180"/>
      <c r="R2344" s="180"/>
      <c r="S2344" s="180"/>
      <c r="T2344" s="180"/>
    </row>
    <row r="2345" spans="1:20" x14ac:dyDescent="0.25">
      <c r="A2345" t="s">
        <v>246</v>
      </c>
      <c r="B2345" t="s">
        <v>237</v>
      </c>
      <c r="C2345" t="s">
        <v>238</v>
      </c>
      <c r="D2345" t="s">
        <v>266</v>
      </c>
      <c r="E2345" t="s">
        <v>228</v>
      </c>
      <c r="F2345">
        <v>2013</v>
      </c>
      <c r="G2345">
        <v>3.01610636619718E-3</v>
      </c>
      <c r="H2345" t="s">
        <v>240</v>
      </c>
      <c r="I2345" t="s">
        <v>241</v>
      </c>
      <c r="J2345" t="s">
        <v>247</v>
      </c>
      <c r="K2345" s="183">
        <f ca="1">VLOOKUP(F2345,
    OFFSET(INDIRECT(ADDRESS(MATCH(J2345,'Vehicle numbers'!$A$5:$A$162,0),1,1,1,$L$6)),4,1,COUNTIF('Vehicle numbers'!$A$5:$A$162,J2345),4),
    MATCH(K$8,'Vehicle numbers'!$B$4:$D$4,0))*1000</f>
        <v>111017</v>
      </c>
      <c r="L2345" s="183">
        <f ca="1">VLOOKUP(F2345,
    OFFSET(INDIRECT(ADDRESS(MATCH(J2345,'Vehicle numbers'!$A$5:$A$162,0),1,1,1,$L$6)),4,1,COUNTIF('Vehicle numbers'!$A$5:$A$162,J2345),4),
    MATCH(L$8,'Vehicle numbers'!$B$4:$D$4,0))*1000</f>
        <v>116839.91262189091</v>
      </c>
      <c r="M2345" s="184">
        <f ca="1">VLOOKUP(F2345,'Annual distance covered (GB)'!$A$8:$H$33,MATCH(J2345,'Annual distance covered (GB)'!$A$7:$H$7,0))</f>
        <v>15.6</v>
      </c>
      <c r="N2345" s="2">
        <f t="shared" ca="1" si="86"/>
        <v>49519.127942954648</v>
      </c>
      <c r="O2345" s="180">
        <f t="shared" ca="1" si="87"/>
        <v>0.42382030961632916</v>
      </c>
      <c r="P2345" s="180"/>
      <c r="Q2345" s="180"/>
      <c r="R2345" s="180"/>
      <c r="S2345" s="180"/>
      <c r="T2345" s="180"/>
    </row>
    <row r="2346" spans="1:20" x14ac:dyDescent="0.25">
      <c r="A2346" t="s">
        <v>236</v>
      </c>
      <c r="B2346" t="s">
        <v>237</v>
      </c>
      <c r="C2346" t="s">
        <v>238</v>
      </c>
      <c r="D2346" t="s">
        <v>267</v>
      </c>
      <c r="E2346" t="s">
        <v>229</v>
      </c>
      <c r="F2346">
        <v>2013</v>
      </c>
      <c r="G2346">
        <v>5.0994999999999999E-2</v>
      </c>
      <c r="H2346" t="s">
        <v>240</v>
      </c>
      <c r="I2346" t="s">
        <v>241</v>
      </c>
      <c r="J2346" t="s">
        <v>247</v>
      </c>
      <c r="K2346" s="183">
        <f ca="1">VLOOKUP(F2346,
    OFFSET(INDIRECT(ADDRESS(MATCH(J2346,'Vehicle numbers'!$A$5:$A$162,0),1,1,1,$L$6)),4,1,COUNTIF('Vehicle numbers'!$A$5:$A$162,J2346),4),
    MATCH(K$8,'Vehicle numbers'!$B$4:$D$4,0))*1000</f>
        <v>111017</v>
      </c>
      <c r="L2346" s="183">
        <f ca="1">VLOOKUP(F2346,
    OFFSET(INDIRECT(ADDRESS(MATCH(J2346,'Vehicle numbers'!$A$5:$A$162,0),1,1,1,$L$6)),4,1,COUNTIF('Vehicle numbers'!$A$5:$A$162,J2346),4),
    MATCH(L$8,'Vehicle numbers'!$B$4:$D$4,0))*1000</f>
        <v>116839.91262189091</v>
      </c>
      <c r="M2346" s="184">
        <f ca="1">VLOOKUP(F2346,'Annual distance covered (GB)'!$A$8:$H$33,MATCH(J2346,'Annual distance covered (GB)'!$A$7:$H$7,0))</f>
        <v>15.6</v>
      </c>
      <c r="N2346" s="2">
        <f t="shared" ca="1" si="86"/>
        <v>837247.63746806257</v>
      </c>
      <c r="O2346" s="180">
        <f t="shared" ca="1" si="87"/>
        <v>7.1657674049920281</v>
      </c>
      <c r="P2346" s="180"/>
      <c r="Q2346" s="180"/>
      <c r="R2346" s="180"/>
      <c r="S2346" s="180"/>
      <c r="T2346" s="180"/>
    </row>
    <row r="2347" spans="1:20" x14ac:dyDescent="0.25">
      <c r="A2347" t="s">
        <v>243</v>
      </c>
      <c r="B2347" t="s">
        <v>237</v>
      </c>
      <c r="C2347" t="s">
        <v>238</v>
      </c>
      <c r="D2347" t="s">
        <v>267</v>
      </c>
      <c r="E2347" t="s">
        <v>229</v>
      </c>
      <c r="F2347">
        <v>2013</v>
      </c>
      <c r="G2347">
        <v>2.0397999999999999E-2</v>
      </c>
      <c r="H2347" t="s">
        <v>240</v>
      </c>
      <c r="I2347" t="s">
        <v>241</v>
      </c>
      <c r="J2347" t="s">
        <v>247</v>
      </c>
      <c r="K2347" s="183">
        <f ca="1">VLOOKUP(F2347,
    OFFSET(INDIRECT(ADDRESS(MATCH(J2347,'Vehicle numbers'!$A$5:$A$162,0),1,1,1,$L$6)),4,1,COUNTIF('Vehicle numbers'!$A$5:$A$162,J2347),4),
    MATCH(K$8,'Vehicle numbers'!$B$4:$D$4,0))*1000</f>
        <v>111017</v>
      </c>
      <c r="L2347" s="183">
        <f ca="1">VLOOKUP(F2347,
    OFFSET(INDIRECT(ADDRESS(MATCH(J2347,'Vehicle numbers'!$A$5:$A$162,0),1,1,1,$L$6)),4,1,COUNTIF('Vehicle numbers'!$A$5:$A$162,J2347),4),
    MATCH(L$8,'Vehicle numbers'!$B$4:$D$4,0))*1000</f>
        <v>116839.91262189091</v>
      </c>
      <c r="M2347" s="184">
        <f ca="1">VLOOKUP(F2347,'Annual distance covered (GB)'!$A$8:$H$33,MATCH(J2347,'Annual distance covered (GB)'!$A$7:$H$7,0))</f>
        <v>15.6</v>
      </c>
      <c r="N2347" s="2">
        <f t="shared" ca="1" si="86"/>
        <v>334899.05498722498</v>
      </c>
      <c r="O2347" s="180">
        <f t="shared" ca="1" si="87"/>
        <v>2.8663069619968109</v>
      </c>
      <c r="P2347" s="180"/>
      <c r="Q2347" s="180"/>
      <c r="R2347" s="180"/>
      <c r="S2347" s="180"/>
      <c r="T2347" s="180"/>
    </row>
    <row r="2348" spans="1:20" x14ac:dyDescent="0.25">
      <c r="A2348" t="s">
        <v>244</v>
      </c>
      <c r="B2348" t="s">
        <v>237</v>
      </c>
      <c r="C2348" t="s">
        <v>238</v>
      </c>
      <c r="D2348" t="s">
        <v>267</v>
      </c>
      <c r="E2348" t="s">
        <v>229</v>
      </c>
      <c r="F2348">
        <v>2013</v>
      </c>
      <c r="G2348">
        <v>5.0994999999999999E-3</v>
      </c>
      <c r="H2348" t="s">
        <v>240</v>
      </c>
      <c r="I2348" t="s">
        <v>241</v>
      </c>
      <c r="J2348" t="s">
        <v>247</v>
      </c>
      <c r="K2348" s="183">
        <f ca="1">VLOOKUP(F2348,
    OFFSET(INDIRECT(ADDRESS(MATCH(J2348,'Vehicle numbers'!$A$5:$A$162,0),1,1,1,$L$6)),4,1,COUNTIF('Vehicle numbers'!$A$5:$A$162,J2348),4),
    MATCH(K$8,'Vehicle numbers'!$B$4:$D$4,0))*1000</f>
        <v>111017</v>
      </c>
      <c r="L2348" s="183">
        <f ca="1">VLOOKUP(F2348,
    OFFSET(INDIRECT(ADDRESS(MATCH(J2348,'Vehicle numbers'!$A$5:$A$162,0),1,1,1,$L$6)),4,1,COUNTIF('Vehicle numbers'!$A$5:$A$162,J2348),4),
    MATCH(L$8,'Vehicle numbers'!$B$4:$D$4,0))*1000</f>
        <v>116839.91262189091</v>
      </c>
      <c r="M2348" s="184">
        <f ca="1">VLOOKUP(F2348,'Annual distance covered (GB)'!$A$8:$H$33,MATCH(J2348,'Annual distance covered (GB)'!$A$7:$H$7,0))</f>
        <v>15.6</v>
      </c>
      <c r="N2348" s="2">
        <f t="shared" ca="1" si="86"/>
        <v>83724.763746806246</v>
      </c>
      <c r="O2348" s="180">
        <f t="shared" ca="1" si="87"/>
        <v>0.71657674049920272</v>
      </c>
      <c r="P2348" s="180"/>
      <c r="Q2348" s="180"/>
      <c r="R2348" s="180"/>
      <c r="S2348" s="180"/>
      <c r="T2348" s="180"/>
    </row>
    <row r="2349" spans="1:20" x14ac:dyDescent="0.25">
      <c r="A2349" t="s">
        <v>246</v>
      </c>
      <c r="B2349" t="s">
        <v>237</v>
      </c>
      <c r="C2349" t="s">
        <v>238</v>
      </c>
      <c r="D2349" t="s">
        <v>267</v>
      </c>
      <c r="E2349" t="s">
        <v>229</v>
      </c>
      <c r="F2349">
        <v>2013</v>
      </c>
      <c r="G2349">
        <v>4.0796000000000001E-3</v>
      </c>
      <c r="H2349" t="s">
        <v>240</v>
      </c>
      <c r="I2349" t="s">
        <v>241</v>
      </c>
      <c r="J2349" t="s">
        <v>247</v>
      </c>
      <c r="K2349" s="183">
        <f ca="1">VLOOKUP(F2349,
    OFFSET(INDIRECT(ADDRESS(MATCH(J2349,'Vehicle numbers'!$A$5:$A$162,0),1,1,1,$L$6)),4,1,COUNTIF('Vehicle numbers'!$A$5:$A$162,J2349),4),
    MATCH(K$8,'Vehicle numbers'!$B$4:$D$4,0))*1000</f>
        <v>111017</v>
      </c>
      <c r="L2349" s="183">
        <f ca="1">VLOOKUP(F2349,
    OFFSET(INDIRECT(ADDRESS(MATCH(J2349,'Vehicle numbers'!$A$5:$A$162,0),1,1,1,$L$6)),4,1,COUNTIF('Vehicle numbers'!$A$5:$A$162,J2349),4),
    MATCH(L$8,'Vehicle numbers'!$B$4:$D$4,0))*1000</f>
        <v>116839.91262189091</v>
      </c>
      <c r="M2349" s="184">
        <f ca="1">VLOOKUP(F2349,'Annual distance covered (GB)'!$A$8:$H$33,MATCH(J2349,'Annual distance covered (GB)'!$A$7:$H$7,0))</f>
        <v>15.6</v>
      </c>
      <c r="N2349" s="2">
        <f t="shared" ca="1" si="86"/>
        <v>66979.810997445005</v>
      </c>
      <c r="O2349" s="180">
        <f t="shared" ca="1" si="87"/>
        <v>0.57326139239936225</v>
      </c>
      <c r="P2349" s="180"/>
      <c r="Q2349" s="180"/>
      <c r="R2349" s="180"/>
      <c r="S2349" s="180"/>
      <c r="T2349" s="180"/>
    </row>
    <row r="2350" spans="1:20" x14ac:dyDescent="0.25">
      <c r="A2350" t="s">
        <v>236</v>
      </c>
      <c r="B2350" t="s">
        <v>237</v>
      </c>
      <c r="C2350" t="s">
        <v>238</v>
      </c>
      <c r="D2350" t="s">
        <v>267</v>
      </c>
      <c r="E2350" t="s">
        <v>228</v>
      </c>
      <c r="F2350">
        <v>2013</v>
      </c>
      <c r="G2350">
        <v>4.7072879999999998E-2</v>
      </c>
      <c r="H2350" t="s">
        <v>240</v>
      </c>
      <c r="I2350" t="s">
        <v>241</v>
      </c>
      <c r="J2350" t="s">
        <v>247</v>
      </c>
      <c r="K2350" s="183">
        <f ca="1">VLOOKUP(F2350,
    OFFSET(INDIRECT(ADDRESS(MATCH(J2350,'Vehicle numbers'!$A$5:$A$162,0),1,1,1,$L$6)),4,1,COUNTIF('Vehicle numbers'!$A$5:$A$162,J2350),4),
    MATCH(K$8,'Vehicle numbers'!$B$4:$D$4,0))*1000</f>
        <v>111017</v>
      </c>
      <c r="L2350" s="183">
        <f ca="1">VLOOKUP(F2350,
    OFFSET(INDIRECT(ADDRESS(MATCH(J2350,'Vehicle numbers'!$A$5:$A$162,0),1,1,1,$L$6)),4,1,COUNTIF('Vehicle numbers'!$A$5:$A$162,J2350),4),
    MATCH(L$8,'Vehicle numbers'!$B$4:$D$4,0))*1000</f>
        <v>116839.91262189091</v>
      </c>
      <c r="M2350" s="184">
        <f ca="1">VLOOKUP(F2350,'Annual distance covered (GB)'!$A$8:$H$33,MATCH(J2350,'Annual distance covered (GB)'!$A$7:$H$7,0))</f>
        <v>15.6</v>
      </c>
      <c r="N2350" s="2">
        <f t="shared" ca="1" si="86"/>
        <v>772853.36932674993</v>
      </c>
      <c r="O2350" s="180">
        <f t="shared" ca="1" si="87"/>
        <v>6.6146349478007878</v>
      </c>
      <c r="P2350" s="180"/>
      <c r="Q2350" s="180"/>
      <c r="R2350" s="180"/>
      <c r="S2350" s="180"/>
      <c r="T2350" s="180"/>
    </row>
    <row r="2351" spans="1:20" x14ac:dyDescent="0.25">
      <c r="A2351" t="s">
        <v>243</v>
      </c>
      <c r="B2351" t="s">
        <v>237</v>
      </c>
      <c r="C2351" t="s">
        <v>238</v>
      </c>
      <c r="D2351" t="s">
        <v>267</v>
      </c>
      <c r="E2351" t="s">
        <v>228</v>
      </c>
      <c r="F2351">
        <v>2013</v>
      </c>
      <c r="G2351">
        <v>3.2951016E-2</v>
      </c>
      <c r="H2351" t="s">
        <v>240</v>
      </c>
      <c r="I2351" t="s">
        <v>241</v>
      </c>
      <c r="J2351" t="s">
        <v>247</v>
      </c>
      <c r="K2351" s="183">
        <f ca="1">VLOOKUP(F2351,
    OFFSET(INDIRECT(ADDRESS(MATCH(J2351,'Vehicle numbers'!$A$5:$A$162,0),1,1,1,$L$6)),4,1,COUNTIF('Vehicle numbers'!$A$5:$A$162,J2351),4),
    MATCH(K$8,'Vehicle numbers'!$B$4:$D$4,0))*1000</f>
        <v>111017</v>
      </c>
      <c r="L2351" s="183">
        <f ca="1">VLOOKUP(F2351,
    OFFSET(INDIRECT(ADDRESS(MATCH(J2351,'Vehicle numbers'!$A$5:$A$162,0),1,1,1,$L$6)),4,1,COUNTIF('Vehicle numbers'!$A$5:$A$162,J2351),4),
    MATCH(L$8,'Vehicle numbers'!$B$4:$D$4,0))*1000</f>
        <v>116839.91262189091</v>
      </c>
      <c r="M2351" s="184">
        <f ca="1">VLOOKUP(F2351,'Annual distance covered (GB)'!$A$8:$H$33,MATCH(J2351,'Annual distance covered (GB)'!$A$7:$H$7,0))</f>
        <v>15.6</v>
      </c>
      <c r="N2351" s="2">
        <f t="shared" ca="1" si="86"/>
        <v>540997.35852872487</v>
      </c>
      <c r="O2351" s="180">
        <f t="shared" ca="1" si="87"/>
        <v>4.6302444634605502</v>
      </c>
      <c r="P2351" s="180"/>
      <c r="Q2351" s="180"/>
      <c r="R2351" s="180"/>
      <c r="S2351" s="180"/>
      <c r="T2351" s="180"/>
    </row>
    <row r="2352" spans="1:20" x14ac:dyDescent="0.25">
      <c r="A2352" t="s">
        <v>244</v>
      </c>
      <c r="B2352" t="s">
        <v>237</v>
      </c>
      <c r="C2352" t="s">
        <v>238</v>
      </c>
      <c r="D2352" t="s">
        <v>267</v>
      </c>
      <c r="E2352" t="s">
        <v>228</v>
      </c>
      <c r="F2352">
        <v>2013</v>
      </c>
      <c r="G2352">
        <v>4.64098816901408E-3</v>
      </c>
      <c r="H2352" t="s">
        <v>240</v>
      </c>
      <c r="I2352" t="s">
        <v>241</v>
      </c>
      <c r="J2352" t="s">
        <v>247</v>
      </c>
      <c r="K2352" s="183">
        <f ca="1">VLOOKUP(F2352,
    OFFSET(INDIRECT(ADDRESS(MATCH(J2352,'Vehicle numbers'!$A$5:$A$162,0),1,1,1,$L$6)),4,1,COUNTIF('Vehicle numbers'!$A$5:$A$162,J2352),4),
    MATCH(K$8,'Vehicle numbers'!$B$4:$D$4,0))*1000</f>
        <v>111017</v>
      </c>
      <c r="L2352" s="183">
        <f ca="1">VLOOKUP(F2352,
    OFFSET(INDIRECT(ADDRESS(MATCH(J2352,'Vehicle numbers'!$A$5:$A$162,0),1,1,1,$L$6)),4,1,COUNTIF('Vehicle numbers'!$A$5:$A$162,J2352),4),
    MATCH(L$8,'Vehicle numbers'!$B$4:$D$4,0))*1000</f>
        <v>116839.91262189091</v>
      </c>
      <c r="M2352" s="184">
        <f ca="1">VLOOKUP(F2352,'Annual distance covered (GB)'!$A$8:$H$33,MATCH(J2352,'Annual distance covered (GB)'!$A$7:$H$7,0))</f>
        <v>15.6</v>
      </c>
      <c r="N2352" s="2">
        <f t="shared" ca="1" si="86"/>
        <v>76196.811060383727</v>
      </c>
      <c r="O2352" s="180">
        <f t="shared" ca="1" si="87"/>
        <v>0.65214710752965455</v>
      </c>
      <c r="P2352" s="180"/>
      <c r="Q2352" s="180"/>
      <c r="R2352" s="180"/>
      <c r="S2352" s="180"/>
      <c r="T2352" s="180"/>
    </row>
    <row r="2353" spans="1:20" x14ac:dyDescent="0.25">
      <c r="A2353" t="s">
        <v>246</v>
      </c>
      <c r="B2353" t="s">
        <v>237</v>
      </c>
      <c r="C2353" t="s">
        <v>238</v>
      </c>
      <c r="D2353" t="s">
        <v>267</v>
      </c>
      <c r="E2353" t="s">
        <v>228</v>
      </c>
      <c r="F2353">
        <v>2013</v>
      </c>
      <c r="G2353">
        <v>3.71279053521126E-3</v>
      </c>
      <c r="H2353" t="s">
        <v>240</v>
      </c>
      <c r="I2353" t="s">
        <v>241</v>
      </c>
      <c r="J2353" t="s">
        <v>247</v>
      </c>
      <c r="K2353" s="183">
        <f ca="1">VLOOKUP(F2353,
    OFFSET(INDIRECT(ADDRESS(MATCH(J2353,'Vehicle numbers'!$A$5:$A$162,0),1,1,1,$L$6)),4,1,COUNTIF('Vehicle numbers'!$A$5:$A$162,J2353),4),
    MATCH(K$8,'Vehicle numbers'!$B$4:$D$4,0))*1000</f>
        <v>111017</v>
      </c>
      <c r="L2353" s="183">
        <f ca="1">VLOOKUP(F2353,
    OFFSET(INDIRECT(ADDRESS(MATCH(J2353,'Vehicle numbers'!$A$5:$A$162,0),1,1,1,$L$6)),4,1,COUNTIF('Vehicle numbers'!$A$5:$A$162,J2353),4),
    MATCH(L$8,'Vehicle numbers'!$B$4:$D$4,0))*1000</f>
        <v>116839.91262189091</v>
      </c>
      <c r="M2353" s="184">
        <f ca="1">VLOOKUP(F2353,'Annual distance covered (GB)'!$A$8:$H$33,MATCH(J2353,'Annual distance covered (GB)'!$A$7:$H$7,0))</f>
        <v>15.6</v>
      </c>
      <c r="N2353" s="2">
        <f t="shared" ca="1" si="86"/>
        <v>60957.448848306907</v>
      </c>
      <c r="O2353" s="180">
        <f t="shared" ca="1" si="87"/>
        <v>0.52171768602372293</v>
      </c>
      <c r="P2353" s="180"/>
      <c r="Q2353" s="180"/>
      <c r="R2353" s="180"/>
      <c r="S2353" s="180"/>
      <c r="T2353" s="180"/>
    </row>
    <row r="2354" spans="1:20" x14ac:dyDescent="0.25">
      <c r="A2354" t="s">
        <v>236</v>
      </c>
      <c r="B2354" t="s">
        <v>237</v>
      </c>
      <c r="C2354" t="s">
        <v>238</v>
      </c>
      <c r="D2354" t="s">
        <v>268</v>
      </c>
      <c r="E2354" t="s">
        <v>229</v>
      </c>
      <c r="F2354">
        <v>2013</v>
      </c>
      <c r="G2354">
        <v>8.4410000000000093E-3</v>
      </c>
      <c r="H2354" t="s">
        <v>240</v>
      </c>
      <c r="I2354" t="s">
        <v>241</v>
      </c>
      <c r="J2354" t="s">
        <v>245</v>
      </c>
      <c r="K2354" s="183">
        <f ca="1">VLOOKUP(F2354,
    OFFSET(INDIRECT(ADDRESS(MATCH(J2354,'Vehicle numbers'!$A$5:$A$162,0),1,1,1,$L$6)),4,1,COUNTIF('Vehicle numbers'!$A$5:$A$162,J2354),4),
    MATCH(K$8,'Vehicle numbers'!$B$4:$D$4,0))*1000</f>
        <v>274778</v>
      </c>
      <c r="L2354" s="183">
        <f ca="1">VLOOKUP(F2354,
    OFFSET(INDIRECT(ADDRESS(MATCH(J2354,'Vehicle numbers'!$A$5:$A$162,0),1,1,1,$L$6)),4,1,COUNTIF('Vehicle numbers'!$A$5:$A$162,J2354),4),
    MATCH(L$8,'Vehicle numbers'!$B$4:$D$4,0))*1000</f>
        <v>288695.29078826297</v>
      </c>
      <c r="M2354" s="184">
        <f ca="1">VLOOKUP(F2354,'Annual distance covered (GB)'!$A$8:$H$33,MATCH(J2354,'Annual distance covered (GB)'!$A$7:$H$7,0))</f>
        <v>12.4</v>
      </c>
      <c r="N2354" s="2">
        <f t="shared" ca="1" si="86"/>
        <v>109969.77259584922</v>
      </c>
      <c r="O2354" s="180">
        <f t="shared" ca="1" si="87"/>
        <v>0.38091986985857718</v>
      </c>
      <c r="P2354" s="180"/>
      <c r="Q2354" s="180"/>
      <c r="R2354" s="180"/>
      <c r="S2354" s="180"/>
      <c r="T2354" s="180"/>
    </row>
    <row r="2355" spans="1:20" x14ac:dyDescent="0.25">
      <c r="A2355" t="s">
        <v>243</v>
      </c>
      <c r="B2355" t="s">
        <v>237</v>
      </c>
      <c r="C2355" t="s">
        <v>238</v>
      </c>
      <c r="D2355" t="s">
        <v>268</v>
      </c>
      <c r="E2355" t="s">
        <v>229</v>
      </c>
      <c r="F2355">
        <v>2013</v>
      </c>
      <c r="G2355">
        <v>3.3763999999999999E-3</v>
      </c>
      <c r="H2355" t="s">
        <v>240</v>
      </c>
      <c r="I2355" t="s">
        <v>241</v>
      </c>
      <c r="J2355" t="s">
        <v>245</v>
      </c>
      <c r="K2355" s="183">
        <f ca="1">VLOOKUP(F2355,
    OFFSET(INDIRECT(ADDRESS(MATCH(J2355,'Vehicle numbers'!$A$5:$A$162,0),1,1,1,$L$6)),4,1,COUNTIF('Vehicle numbers'!$A$5:$A$162,J2355),4),
    MATCH(K$8,'Vehicle numbers'!$B$4:$D$4,0))*1000</f>
        <v>274778</v>
      </c>
      <c r="L2355" s="183">
        <f ca="1">VLOOKUP(F2355,
    OFFSET(INDIRECT(ADDRESS(MATCH(J2355,'Vehicle numbers'!$A$5:$A$162,0),1,1,1,$L$6)),4,1,COUNTIF('Vehicle numbers'!$A$5:$A$162,J2355),4),
    MATCH(L$8,'Vehicle numbers'!$B$4:$D$4,0))*1000</f>
        <v>288695.29078826297</v>
      </c>
      <c r="M2355" s="184">
        <f ca="1">VLOOKUP(F2355,'Annual distance covered (GB)'!$A$8:$H$33,MATCH(J2355,'Annual distance covered (GB)'!$A$7:$H$7,0))</f>
        <v>12.4</v>
      </c>
      <c r="N2355" s="2">
        <f t="shared" ca="1" si="86"/>
        <v>43987.90903833964</v>
      </c>
      <c r="O2355" s="180">
        <f t="shared" ca="1" si="87"/>
        <v>0.1523679479434307</v>
      </c>
      <c r="P2355" s="180"/>
      <c r="Q2355" s="180"/>
      <c r="R2355" s="180"/>
      <c r="S2355" s="180"/>
      <c r="T2355" s="180"/>
    </row>
    <row r="2356" spans="1:20" x14ac:dyDescent="0.25">
      <c r="A2356" t="s">
        <v>244</v>
      </c>
      <c r="B2356" t="s">
        <v>237</v>
      </c>
      <c r="C2356" t="s">
        <v>238</v>
      </c>
      <c r="D2356" t="s">
        <v>268</v>
      </c>
      <c r="E2356" t="s">
        <v>229</v>
      </c>
      <c r="F2356">
        <v>2013</v>
      </c>
      <c r="G2356">
        <v>8.4409999999999997E-4</v>
      </c>
      <c r="H2356" t="s">
        <v>240</v>
      </c>
      <c r="I2356" t="s">
        <v>241</v>
      </c>
      <c r="J2356" t="s">
        <v>245</v>
      </c>
      <c r="K2356" s="183">
        <f ca="1">VLOOKUP(F2356,
    OFFSET(INDIRECT(ADDRESS(MATCH(J2356,'Vehicle numbers'!$A$5:$A$162,0),1,1,1,$L$6)),4,1,COUNTIF('Vehicle numbers'!$A$5:$A$162,J2356),4),
    MATCH(K$8,'Vehicle numbers'!$B$4:$D$4,0))*1000</f>
        <v>274778</v>
      </c>
      <c r="L2356" s="183">
        <f ca="1">VLOOKUP(F2356,
    OFFSET(INDIRECT(ADDRESS(MATCH(J2356,'Vehicle numbers'!$A$5:$A$162,0),1,1,1,$L$6)),4,1,COUNTIF('Vehicle numbers'!$A$5:$A$162,J2356),4),
    MATCH(L$8,'Vehicle numbers'!$B$4:$D$4,0))*1000</f>
        <v>288695.29078826297</v>
      </c>
      <c r="M2356" s="184">
        <f ca="1">VLOOKUP(F2356,'Annual distance covered (GB)'!$A$8:$H$33,MATCH(J2356,'Annual distance covered (GB)'!$A$7:$H$7,0))</f>
        <v>12.4</v>
      </c>
      <c r="N2356" s="2">
        <f t="shared" ca="1" si="86"/>
        <v>10996.97725958491</v>
      </c>
      <c r="O2356" s="180">
        <f t="shared" ca="1" si="87"/>
        <v>3.8091986985857675E-2</v>
      </c>
      <c r="P2356" s="180"/>
      <c r="Q2356" s="180"/>
      <c r="R2356" s="180"/>
      <c r="S2356" s="180"/>
      <c r="T2356" s="180"/>
    </row>
    <row r="2357" spans="1:20" x14ac:dyDescent="0.25">
      <c r="A2357" t="s">
        <v>246</v>
      </c>
      <c r="B2357" t="s">
        <v>237</v>
      </c>
      <c r="C2357" t="s">
        <v>238</v>
      </c>
      <c r="D2357" t="s">
        <v>268</v>
      </c>
      <c r="E2357" t="s">
        <v>229</v>
      </c>
      <c r="F2357">
        <v>2013</v>
      </c>
      <c r="G2357">
        <v>6.7528E-4</v>
      </c>
      <c r="H2357" t="s">
        <v>240</v>
      </c>
      <c r="I2357" t="s">
        <v>241</v>
      </c>
      <c r="J2357" t="s">
        <v>245</v>
      </c>
      <c r="K2357" s="183">
        <f ca="1">VLOOKUP(F2357,
    OFFSET(INDIRECT(ADDRESS(MATCH(J2357,'Vehicle numbers'!$A$5:$A$162,0),1,1,1,$L$6)),4,1,COUNTIF('Vehicle numbers'!$A$5:$A$162,J2357),4),
    MATCH(K$8,'Vehicle numbers'!$B$4:$D$4,0))*1000</f>
        <v>274778</v>
      </c>
      <c r="L2357" s="183">
        <f ca="1">VLOOKUP(F2357,
    OFFSET(INDIRECT(ADDRESS(MATCH(J2357,'Vehicle numbers'!$A$5:$A$162,0),1,1,1,$L$6)),4,1,COUNTIF('Vehicle numbers'!$A$5:$A$162,J2357),4),
    MATCH(L$8,'Vehicle numbers'!$B$4:$D$4,0))*1000</f>
        <v>288695.29078826297</v>
      </c>
      <c r="M2357" s="184">
        <f ca="1">VLOOKUP(F2357,'Annual distance covered (GB)'!$A$8:$H$33,MATCH(J2357,'Annual distance covered (GB)'!$A$7:$H$7,0))</f>
        <v>12.4</v>
      </c>
      <c r="N2357" s="2">
        <f t="shared" ca="1" si="86"/>
        <v>8797.5818076679279</v>
      </c>
      <c r="O2357" s="180">
        <f t="shared" ca="1" si="87"/>
        <v>3.047358958868614E-2</v>
      </c>
      <c r="P2357" s="180"/>
      <c r="Q2357" s="180"/>
      <c r="R2357" s="180"/>
      <c r="S2357" s="180"/>
      <c r="T2357" s="180"/>
    </row>
    <row r="2358" spans="1:20" x14ac:dyDescent="0.25">
      <c r="A2358" t="s">
        <v>236</v>
      </c>
      <c r="B2358" t="s">
        <v>237</v>
      </c>
      <c r="C2358" t="s">
        <v>238</v>
      </c>
      <c r="D2358" t="s">
        <v>268</v>
      </c>
      <c r="E2358" t="s">
        <v>228</v>
      </c>
      <c r="F2358">
        <v>2013</v>
      </c>
      <c r="G2358">
        <v>1.3984E-2</v>
      </c>
      <c r="H2358" t="s">
        <v>240</v>
      </c>
      <c r="I2358" t="s">
        <v>241</v>
      </c>
      <c r="J2358" t="s">
        <v>245</v>
      </c>
      <c r="K2358" s="183">
        <f ca="1">VLOOKUP(F2358,
    OFFSET(INDIRECT(ADDRESS(MATCH(J2358,'Vehicle numbers'!$A$5:$A$162,0),1,1,1,$L$6)),4,1,COUNTIF('Vehicle numbers'!$A$5:$A$162,J2358),4),
    MATCH(K$8,'Vehicle numbers'!$B$4:$D$4,0))*1000</f>
        <v>274778</v>
      </c>
      <c r="L2358" s="183">
        <f ca="1">VLOOKUP(F2358,
    OFFSET(INDIRECT(ADDRESS(MATCH(J2358,'Vehicle numbers'!$A$5:$A$162,0),1,1,1,$L$6)),4,1,COUNTIF('Vehicle numbers'!$A$5:$A$162,J2358),4),
    MATCH(L$8,'Vehicle numbers'!$B$4:$D$4,0))*1000</f>
        <v>288695.29078826297</v>
      </c>
      <c r="M2358" s="184">
        <f ca="1">VLOOKUP(F2358,'Annual distance covered (GB)'!$A$8:$H$33,MATCH(J2358,'Annual distance covered (GB)'!$A$7:$H$7,0))</f>
        <v>12.4</v>
      </c>
      <c r="N2358" s="2">
        <f t="shared" ca="1" si="86"/>
        <v>182184.25541764646</v>
      </c>
      <c r="O2358" s="180">
        <f t="shared" ca="1" si="87"/>
        <v>0.63106071082837778</v>
      </c>
      <c r="P2358" s="180"/>
      <c r="Q2358" s="180"/>
      <c r="R2358" s="180"/>
      <c r="S2358" s="180"/>
      <c r="T2358" s="180"/>
    </row>
    <row r="2359" spans="1:20" x14ac:dyDescent="0.25">
      <c r="A2359" t="s">
        <v>243</v>
      </c>
      <c r="B2359" t="s">
        <v>237</v>
      </c>
      <c r="C2359" t="s">
        <v>238</v>
      </c>
      <c r="D2359" t="s">
        <v>268</v>
      </c>
      <c r="E2359" t="s">
        <v>228</v>
      </c>
      <c r="F2359">
        <v>2013</v>
      </c>
      <c r="G2359">
        <v>9.7888000000000003E-3</v>
      </c>
      <c r="H2359" t="s">
        <v>240</v>
      </c>
      <c r="I2359" t="s">
        <v>241</v>
      </c>
      <c r="J2359" t="s">
        <v>245</v>
      </c>
      <c r="K2359" s="183">
        <f ca="1">VLOOKUP(F2359,
    OFFSET(INDIRECT(ADDRESS(MATCH(J2359,'Vehicle numbers'!$A$5:$A$162,0),1,1,1,$L$6)),4,1,COUNTIF('Vehicle numbers'!$A$5:$A$162,J2359),4),
    MATCH(K$8,'Vehicle numbers'!$B$4:$D$4,0))*1000</f>
        <v>274778</v>
      </c>
      <c r="L2359" s="183">
        <f ca="1">VLOOKUP(F2359,
    OFFSET(INDIRECT(ADDRESS(MATCH(J2359,'Vehicle numbers'!$A$5:$A$162,0),1,1,1,$L$6)),4,1,COUNTIF('Vehicle numbers'!$A$5:$A$162,J2359),4),
    MATCH(L$8,'Vehicle numbers'!$B$4:$D$4,0))*1000</f>
        <v>288695.29078826297</v>
      </c>
      <c r="M2359" s="184">
        <f ca="1">VLOOKUP(F2359,'Annual distance covered (GB)'!$A$8:$H$33,MATCH(J2359,'Annual distance covered (GB)'!$A$7:$H$7,0))</f>
        <v>12.4</v>
      </c>
      <c r="N2359" s="2">
        <f t="shared" ca="1" si="86"/>
        <v>127528.97879235253</v>
      </c>
      <c r="O2359" s="180">
        <f t="shared" ca="1" si="87"/>
        <v>0.4417424975798645</v>
      </c>
      <c r="P2359" s="180"/>
      <c r="Q2359" s="180"/>
      <c r="R2359" s="180"/>
      <c r="S2359" s="180"/>
      <c r="T2359" s="180"/>
    </row>
    <row r="2360" spans="1:20" x14ac:dyDescent="0.25">
      <c r="A2360" t="s">
        <v>244</v>
      </c>
      <c r="B2360" t="s">
        <v>237</v>
      </c>
      <c r="C2360" t="s">
        <v>238</v>
      </c>
      <c r="D2360" t="s">
        <v>268</v>
      </c>
      <c r="E2360" t="s">
        <v>228</v>
      </c>
      <c r="F2360">
        <v>2013</v>
      </c>
      <c r="G2360">
        <v>1.3787042253521099E-3</v>
      </c>
      <c r="H2360" t="s">
        <v>240</v>
      </c>
      <c r="I2360" t="s">
        <v>241</v>
      </c>
      <c r="J2360" t="s">
        <v>245</v>
      </c>
      <c r="K2360" s="183">
        <f ca="1">VLOOKUP(F2360,
    OFFSET(INDIRECT(ADDRESS(MATCH(J2360,'Vehicle numbers'!$A$5:$A$162,0),1,1,1,$L$6)),4,1,COUNTIF('Vehicle numbers'!$A$5:$A$162,J2360),4),
    MATCH(K$8,'Vehicle numbers'!$B$4:$D$4,0))*1000</f>
        <v>274778</v>
      </c>
      <c r="L2360" s="183">
        <f ca="1">VLOOKUP(F2360,
    OFFSET(INDIRECT(ADDRESS(MATCH(J2360,'Vehicle numbers'!$A$5:$A$162,0),1,1,1,$L$6)),4,1,COUNTIF('Vehicle numbers'!$A$5:$A$162,J2360),4),
    MATCH(L$8,'Vehicle numbers'!$B$4:$D$4,0))*1000</f>
        <v>288695.29078826297</v>
      </c>
      <c r="M2360" s="184">
        <f ca="1">VLOOKUP(F2360,'Annual distance covered (GB)'!$A$8:$H$33,MATCH(J2360,'Annual distance covered (GB)'!$A$7:$H$7,0))</f>
        <v>12.4</v>
      </c>
      <c r="N2360" s="2">
        <f t="shared" ca="1" si="86"/>
        <v>17961.827998922854</v>
      </c>
      <c r="O2360" s="180">
        <f t="shared" ca="1" si="87"/>
        <v>6.2217253180262472E-2</v>
      </c>
      <c r="P2360" s="180"/>
      <c r="Q2360" s="180"/>
      <c r="R2360" s="180"/>
      <c r="S2360" s="180"/>
      <c r="T2360" s="180"/>
    </row>
    <row r="2361" spans="1:20" x14ac:dyDescent="0.25">
      <c r="A2361" t="s">
        <v>246</v>
      </c>
      <c r="B2361" t="s">
        <v>237</v>
      </c>
      <c r="C2361" t="s">
        <v>238</v>
      </c>
      <c r="D2361" t="s">
        <v>268</v>
      </c>
      <c r="E2361" t="s">
        <v>228</v>
      </c>
      <c r="F2361">
        <v>2013</v>
      </c>
      <c r="G2361">
        <v>1.10296338028169E-3</v>
      </c>
      <c r="H2361" t="s">
        <v>240</v>
      </c>
      <c r="I2361" t="s">
        <v>241</v>
      </c>
      <c r="J2361" t="s">
        <v>245</v>
      </c>
      <c r="K2361" s="183">
        <f ca="1">VLOOKUP(F2361,
    OFFSET(INDIRECT(ADDRESS(MATCH(J2361,'Vehicle numbers'!$A$5:$A$162,0),1,1,1,$L$6)),4,1,COUNTIF('Vehicle numbers'!$A$5:$A$162,J2361),4),
    MATCH(K$8,'Vehicle numbers'!$B$4:$D$4,0))*1000</f>
        <v>274778</v>
      </c>
      <c r="L2361" s="183">
        <f ca="1">VLOOKUP(F2361,
    OFFSET(INDIRECT(ADDRESS(MATCH(J2361,'Vehicle numbers'!$A$5:$A$162,0),1,1,1,$L$6)),4,1,COUNTIF('Vehicle numbers'!$A$5:$A$162,J2361),4),
    MATCH(L$8,'Vehicle numbers'!$B$4:$D$4,0))*1000</f>
        <v>288695.29078826297</v>
      </c>
      <c r="M2361" s="184">
        <f ca="1">VLOOKUP(F2361,'Annual distance covered (GB)'!$A$8:$H$33,MATCH(J2361,'Annual distance covered (GB)'!$A$7:$H$7,0))</f>
        <v>12.4</v>
      </c>
      <c r="N2361" s="2">
        <f t="shared" ca="1" si="86"/>
        <v>14369.462399138311</v>
      </c>
      <c r="O2361" s="180">
        <f t="shared" ca="1" si="87"/>
        <v>4.9773802544210072E-2</v>
      </c>
      <c r="P2361" s="180"/>
      <c r="Q2361" s="180"/>
      <c r="R2361" s="180"/>
      <c r="S2361" s="180"/>
      <c r="T2361" s="180"/>
    </row>
    <row r="2362" spans="1:20" x14ac:dyDescent="0.25">
      <c r="A2362" t="s">
        <v>236</v>
      </c>
      <c r="B2362" t="s">
        <v>237</v>
      </c>
      <c r="C2362" t="s">
        <v>238</v>
      </c>
      <c r="D2362" t="s">
        <v>269</v>
      </c>
      <c r="E2362" t="s">
        <v>229</v>
      </c>
      <c r="F2362">
        <v>2013</v>
      </c>
      <c r="G2362">
        <v>2.7143E-2</v>
      </c>
      <c r="H2362" t="s">
        <v>240</v>
      </c>
      <c r="I2362" t="s">
        <v>241</v>
      </c>
      <c r="J2362" t="s">
        <v>245</v>
      </c>
      <c r="K2362" s="183">
        <f ca="1">VLOOKUP(F2362,
    OFFSET(INDIRECT(ADDRESS(MATCH(J2362,'Vehicle numbers'!$A$5:$A$162,0),1,1,1,$L$6)),4,1,COUNTIF('Vehicle numbers'!$A$5:$A$162,J2362),4),
    MATCH(K$8,'Vehicle numbers'!$B$4:$D$4,0))*1000</f>
        <v>274778</v>
      </c>
      <c r="L2362" s="183">
        <f ca="1">VLOOKUP(F2362,
    OFFSET(INDIRECT(ADDRESS(MATCH(J2362,'Vehicle numbers'!$A$5:$A$162,0),1,1,1,$L$6)),4,1,COUNTIF('Vehicle numbers'!$A$5:$A$162,J2362),4),
    MATCH(L$8,'Vehicle numbers'!$B$4:$D$4,0))*1000</f>
        <v>288695.29078826297</v>
      </c>
      <c r="M2362" s="184">
        <f ca="1">VLOOKUP(F2362,'Annual distance covered (GB)'!$A$8:$H$33,MATCH(J2362,'Annual distance covered (GB)'!$A$7:$H$7,0))</f>
        <v>12.4</v>
      </c>
      <c r="N2362" s="2">
        <f t="shared" ca="1" si="86"/>
        <v>353620.36933646869</v>
      </c>
      <c r="O2362" s="180">
        <f t="shared" ca="1" si="87"/>
        <v>1.2248913668488743</v>
      </c>
      <c r="P2362" s="180"/>
      <c r="Q2362" s="180"/>
      <c r="R2362" s="180"/>
      <c r="S2362" s="180"/>
      <c r="T2362" s="180"/>
    </row>
    <row r="2363" spans="1:20" x14ac:dyDescent="0.25">
      <c r="A2363" t="s">
        <v>243</v>
      </c>
      <c r="B2363" t="s">
        <v>237</v>
      </c>
      <c r="C2363" t="s">
        <v>238</v>
      </c>
      <c r="D2363" t="s">
        <v>269</v>
      </c>
      <c r="E2363" t="s">
        <v>229</v>
      </c>
      <c r="F2363">
        <v>2013</v>
      </c>
      <c r="G2363">
        <v>1.0857199999999999E-2</v>
      </c>
      <c r="H2363" t="s">
        <v>240</v>
      </c>
      <c r="I2363" t="s">
        <v>241</v>
      </c>
      <c r="J2363" t="s">
        <v>245</v>
      </c>
      <c r="K2363" s="183">
        <f ca="1">VLOOKUP(F2363,
    OFFSET(INDIRECT(ADDRESS(MATCH(J2363,'Vehicle numbers'!$A$5:$A$162,0),1,1,1,$L$6)),4,1,COUNTIF('Vehicle numbers'!$A$5:$A$162,J2363),4),
    MATCH(K$8,'Vehicle numbers'!$B$4:$D$4,0))*1000</f>
        <v>274778</v>
      </c>
      <c r="L2363" s="183">
        <f ca="1">VLOOKUP(F2363,
    OFFSET(INDIRECT(ADDRESS(MATCH(J2363,'Vehicle numbers'!$A$5:$A$162,0),1,1,1,$L$6)),4,1,COUNTIF('Vehicle numbers'!$A$5:$A$162,J2363),4),
    MATCH(L$8,'Vehicle numbers'!$B$4:$D$4,0))*1000</f>
        <v>288695.29078826297</v>
      </c>
      <c r="M2363" s="184">
        <f ca="1">VLOOKUP(F2363,'Annual distance covered (GB)'!$A$8:$H$33,MATCH(J2363,'Annual distance covered (GB)'!$A$7:$H$7,0))</f>
        <v>12.4</v>
      </c>
      <c r="N2363" s="2">
        <f t="shared" ca="1" si="86"/>
        <v>141448.14773458746</v>
      </c>
      <c r="O2363" s="180">
        <f t="shared" ca="1" si="87"/>
        <v>0.48995654673954969</v>
      </c>
      <c r="P2363" s="180"/>
      <c r="Q2363" s="180"/>
      <c r="R2363" s="180"/>
      <c r="S2363" s="180"/>
      <c r="T2363" s="180"/>
    </row>
    <row r="2364" spans="1:20" x14ac:dyDescent="0.25">
      <c r="A2364" t="s">
        <v>244</v>
      </c>
      <c r="B2364" t="s">
        <v>237</v>
      </c>
      <c r="C2364" t="s">
        <v>238</v>
      </c>
      <c r="D2364" t="s">
        <v>269</v>
      </c>
      <c r="E2364" t="s">
        <v>229</v>
      </c>
      <c r="F2364">
        <v>2013</v>
      </c>
      <c r="G2364">
        <v>2.7142999999999998E-3</v>
      </c>
      <c r="H2364" t="s">
        <v>240</v>
      </c>
      <c r="I2364" t="s">
        <v>241</v>
      </c>
      <c r="J2364" t="s">
        <v>245</v>
      </c>
      <c r="K2364" s="183">
        <f ca="1">VLOOKUP(F2364,
    OFFSET(INDIRECT(ADDRESS(MATCH(J2364,'Vehicle numbers'!$A$5:$A$162,0),1,1,1,$L$6)),4,1,COUNTIF('Vehicle numbers'!$A$5:$A$162,J2364),4),
    MATCH(K$8,'Vehicle numbers'!$B$4:$D$4,0))*1000</f>
        <v>274778</v>
      </c>
      <c r="L2364" s="183">
        <f ca="1">VLOOKUP(F2364,
    OFFSET(INDIRECT(ADDRESS(MATCH(J2364,'Vehicle numbers'!$A$5:$A$162,0),1,1,1,$L$6)),4,1,COUNTIF('Vehicle numbers'!$A$5:$A$162,J2364),4),
    MATCH(L$8,'Vehicle numbers'!$B$4:$D$4,0))*1000</f>
        <v>288695.29078826297</v>
      </c>
      <c r="M2364" s="184">
        <f ca="1">VLOOKUP(F2364,'Annual distance covered (GB)'!$A$8:$H$33,MATCH(J2364,'Annual distance covered (GB)'!$A$7:$H$7,0))</f>
        <v>12.4</v>
      </c>
      <c r="N2364" s="2">
        <f t="shared" ca="1" si="86"/>
        <v>35362.036933646865</v>
      </c>
      <c r="O2364" s="180">
        <f t="shared" ca="1" si="87"/>
        <v>0.12248913668488742</v>
      </c>
      <c r="P2364" s="180"/>
      <c r="Q2364" s="180"/>
      <c r="R2364" s="180"/>
      <c r="S2364" s="180"/>
      <c r="T2364" s="180"/>
    </row>
    <row r="2365" spans="1:20" x14ac:dyDescent="0.25">
      <c r="A2365" t="s">
        <v>246</v>
      </c>
      <c r="B2365" t="s">
        <v>237</v>
      </c>
      <c r="C2365" t="s">
        <v>238</v>
      </c>
      <c r="D2365" t="s">
        <v>269</v>
      </c>
      <c r="E2365" t="s">
        <v>229</v>
      </c>
      <c r="F2365">
        <v>2013</v>
      </c>
      <c r="G2365">
        <v>2.1714400000000002E-3</v>
      </c>
      <c r="H2365" t="s">
        <v>240</v>
      </c>
      <c r="I2365" t="s">
        <v>241</v>
      </c>
      <c r="J2365" t="s">
        <v>245</v>
      </c>
      <c r="K2365" s="183">
        <f ca="1">VLOOKUP(F2365,
    OFFSET(INDIRECT(ADDRESS(MATCH(J2365,'Vehicle numbers'!$A$5:$A$162,0),1,1,1,$L$6)),4,1,COUNTIF('Vehicle numbers'!$A$5:$A$162,J2365),4),
    MATCH(K$8,'Vehicle numbers'!$B$4:$D$4,0))*1000</f>
        <v>274778</v>
      </c>
      <c r="L2365" s="183">
        <f ca="1">VLOOKUP(F2365,
    OFFSET(INDIRECT(ADDRESS(MATCH(J2365,'Vehicle numbers'!$A$5:$A$162,0),1,1,1,$L$6)),4,1,COUNTIF('Vehicle numbers'!$A$5:$A$162,J2365),4),
    MATCH(L$8,'Vehicle numbers'!$B$4:$D$4,0))*1000</f>
        <v>288695.29078826297</v>
      </c>
      <c r="M2365" s="184">
        <f ca="1">VLOOKUP(F2365,'Annual distance covered (GB)'!$A$8:$H$33,MATCH(J2365,'Annual distance covered (GB)'!$A$7:$H$7,0))</f>
        <v>12.4</v>
      </c>
      <c r="N2365" s="2">
        <f t="shared" ca="1" si="86"/>
        <v>28289.629546917495</v>
      </c>
      <c r="O2365" s="180">
        <f t="shared" ca="1" si="87"/>
        <v>9.799130934790995E-2</v>
      </c>
      <c r="P2365" s="180"/>
      <c r="Q2365" s="180"/>
      <c r="R2365" s="180"/>
      <c r="S2365" s="180"/>
      <c r="T2365" s="180"/>
    </row>
    <row r="2366" spans="1:20" x14ac:dyDescent="0.25">
      <c r="A2366" t="s">
        <v>236</v>
      </c>
      <c r="B2366" t="s">
        <v>237</v>
      </c>
      <c r="C2366" t="s">
        <v>238</v>
      </c>
      <c r="D2366" t="s">
        <v>269</v>
      </c>
      <c r="E2366" t="s">
        <v>228</v>
      </c>
      <c r="F2366">
        <v>2013</v>
      </c>
      <c r="G2366">
        <v>1.7388480000000001E-2</v>
      </c>
      <c r="H2366" t="s">
        <v>240</v>
      </c>
      <c r="I2366" t="s">
        <v>241</v>
      </c>
      <c r="J2366" t="s">
        <v>245</v>
      </c>
      <c r="K2366" s="183">
        <f ca="1">VLOOKUP(F2366,
    OFFSET(INDIRECT(ADDRESS(MATCH(J2366,'Vehicle numbers'!$A$5:$A$162,0),1,1,1,$L$6)),4,1,COUNTIF('Vehicle numbers'!$A$5:$A$162,J2366),4),
    MATCH(K$8,'Vehicle numbers'!$B$4:$D$4,0))*1000</f>
        <v>274778</v>
      </c>
      <c r="L2366" s="183">
        <f ca="1">VLOOKUP(F2366,
    OFFSET(INDIRECT(ADDRESS(MATCH(J2366,'Vehicle numbers'!$A$5:$A$162,0),1,1,1,$L$6)),4,1,COUNTIF('Vehicle numbers'!$A$5:$A$162,J2366),4),
    MATCH(L$8,'Vehicle numbers'!$B$4:$D$4,0))*1000</f>
        <v>288695.29078826297</v>
      </c>
      <c r="M2366" s="184">
        <f ca="1">VLOOKUP(F2366,'Annual distance covered (GB)'!$A$8:$H$33,MATCH(J2366,'Annual distance covered (GB)'!$A$7:$H$7,0))</f>
        <v>12.4</v>
      </c>
      <c r="N2366" s="2">
        <f t="shared" ca="1" si="86"/>
        <v>226537.99210845522</v>
      </c>
      <c r="O2366" s="180">
        <f t="shared" ca="1" si="87"/>
        <v>0.78469583445545144</v>
      </c>
      <c r="P2366" s="180"/>
      <c r="Q2366" s="180"/>
      <c r="R2366" s="180"/>
      <c r="S2366" s="180"/>
      <c r="T2366" s="180"/>
    </row>
    <row r="2367" spans="1:20" x14ac:dyDescent="0.25">
      <c r="A2367" t="s">
        <v>243</v>
      </c>
      <c r="B2367" t="s">
        <v>237</v>
      </c>
      <c r="C2367" t="s">
        <v>238</v>
      </c>
      <c r="D2367" t="s">
        <v>269</v>
      </c>
      <c r="E2367" t="s">
        <v>228</v>
      </c>
      <c r="F2367">
        <v>2013</v>
      </c>
      <c r="G2367">
        <v>1.2171936E-2</v>
      </c>
      <c r="H2367" t="s">
        <v>240</v>
      </c>
      <c r="I2367" t="s">
        <v>241</v>
      </c>
      <c r="J2367" t="s">
        <v>245</v>
      </c>
      <c r="K2367" s="183">
        <f ca="1">VLOOKUP(F2367,
    OFFSET(INDIRECT(ADDRESS(MATCH(J2367,'Vehicle numbers'!$A$5:$A$162,0),1,1,1,$L$6)),4,1,COUNTIF('Vehicle numbers'!$A$5:$A$162,J2367),4),
    MATCH(K$8,'Vehicle numbers'!$B$4:$D$4,0))*1000</f>
        <v>274778</v>
      </c>
      <c r="L2367" s="183">
        <f ca="1">VLOOKUP(F2367,
    OFFSET(INDIRECT(ADDRESS(MATCH(J2367,'Vehicle numbers'!$A$5:$A$162,0),1,1,1,$L$6)),4,1,COUNTIF('Vehicle numbers'!$A$5:$A$162,J2367),4),
    MATCH(L$8,'Vehicle numbers'!$B$4:$D$4,0))*1000</f>
        <v>288695.29078826297</v>
      </c>
      <c r="M2367" s="184">
        <f ca="1">VLOOKUP(F2367,'Annual distance covered (GB)'!$A$8:$H$33,MATCH(J2367,'Annual distance covered (GB)'!$A$7:$H$7,0))</f>
        <v>12.4</v>
      </c>
      <c r="N2367" s="2">
        <f t="shared" ca="1" si="86"/>
        <v>158576.59447591859</v>
      </c>
      <c r="O2367" s="180">
        <f t="shared" ca="1" si="87"/>
        <v>0.54928708411881577</v>
      </c>
      <c r="P2367" s="180"/>
      <c r="Q2367" s="180"/>
      <c r="R2367" s="180"/>
      <c r="S2367" s="180"/>
      <c r="T2367" s="180"/>
    </row>
    <row r="2368" spans="1:20" x14ac:dyDescent="0.25">
      <c r="A2368" t="s">
        <v>244</v>
      </c>
      <c r="B2368" t="s">
        <v>237</v>
      </c>
      <c r="C2368" t="s">
        <v>238</v>
      </c>
      <c r="D2368" t="s">
        <v>269</v>
      </c>
      <c r="E2368" t="s">
        <v>228</v>
      </c>
      <c r="F2368">
        <v>2013</v>
      </c>
      <c r="G2368">
        <v>1.71435718309859E-3</v>
      </c>
      <c r="H2368" t="s">
        <v>240</v>
      </c>
      <c r="I2368" t="s">
        <v>241</v>
      </c>
      <c r="J2368" t="s">
        <v>245</v>
      </c>
      <c r="K2368" s="183">
        <f ca="1">VLOOKUP(F2368,
    OFFSET(INDIRECT(ADDRESS(MATCH(J2368,'Vehicle numbers'!$A$5:$A$162,0),1,1,1,$L$6)),4,1,COUNTIF('Vehicle numbers'!$A$5:$A$162,J2368),4),
    MATCH(K$8,'Vehicle numbers'!$B$4:$D$4,0))*1000</f>
        <v>274778</v>
      </c>
      <c r="L2368" s="183">
        <f ca="1">VLOOKUP(F2368,
    OFFSET(INDIRECT(ADDRESS(MATCH(J2368,'Vehicle numbers'!$A$5:$A$162,0),1,1,1,$L$6)),4,1,COUNTIF('Vehicle numbers'!$A$5:$A$162,J2368),4),
    MATCH(L$8,'Vehicle numbers'!$B$4:$D$4,0))*1000</f>
        <v>288695.29078826297</v>
      </c>
      <c r="M2368" s="184">
        <f ca="1">VLOOKUP(F2368,'Annual distance covered (GB)'!$A$8:$H$33,MATCH(J2368,'Annual distance covered (GB)'!$A$7:$H$7,0))</f>
        <v>12.4</v>
      </c>
      <c r="N2368" s="2">
        <f t="shared" ca="1" si="86"/>
        <v>22334.731616326546</v>
      </c>
      <c r="O2368" s="180">
        <f t="shared" ca="1" si="87"/>
        <v>7.7364378044903578E-2</v>
      </c>
      <c r="P2368" s="180"/>
      <c r="Q2368" s="180"/>
      <c r="R2368" s="180"/>
      <c r="S2368" s="180"/>
      <c r="T2368" s="180"/>
    </row>
    <row r="2369" spans="1:20" x14ac:dyDescent="0.25">
      <c r="A2369" t="s">
        <v>246</v>
      </c>
      <c r="B2369" t="s">
        <v>237</v>
      </c>
      <c r="C2369" t="s">
        <v>238</v>
      </c>
      <c r="D2369" t="s">
        <v>269</v>
      </c>
      <c r="E2369" t="s">
        <v>228</v>
      </c>
      <c r="F2369">
        <v>2013</v>
      </c>
      <c r="G2369">
        <v>1.37148574647887E-3</v>
      </c>
      <c r="H2369" t="s">
        <v>240</v>
      </c>
      <c r="I2369" t="s">
        <v>241</v>
      </c>
      <c r="J2369" t="s">
        <v>245</v>
      </c>
      <c r="K2369" s="183">
        <f ca="1">VLOOKUP(F2369,
    OFFSET(INDIRECT(ADDRESS(MATCH(J2369,'Vehicle numbers'!$A$5:$A$162,0),1,1,1,$L$6)),4,1,COUNTIF('Vehicle numbers'!$A$5:$A$162,J2369),4),
    MATCH(K$8,'Vehicle numbers'!$B$4:$D$4,0))*1000</f>
        <v>274778</v>
      </c>
      <c r="L2369" s="183">
        <f ca="1">VLOOKUP(F2369,
    OFFSET(INDIRECT(ADDRESS(MATCH(J2369,'Vehicle numbers'!$A$5:$A$162,0),1,1,1,$L$6)),4,1,COUNTIF('Vehicle numbers'!$A$5:$A$162,J2369),4),
    MATCH(L$8,'Vehicle numbers'!$B$4:$D$4,0))*1000</f>
        <v>288695.29078826297</v>
      </c>
      <c r="M2369" s="184">
        <f ca="1">VLOOKUP(F2369,'Annual distance covered (GB)'!$A$8:$H$33,MATCH(J2369,'Annual distance covered (GB)'!$A$7:$H$7,0))</f>
        <v>12.4</v>
      </c>
      <c r="N2369" s="2">
        <f t="shared" ca="1" si="86"/>
        <v>17867.78529306121</v>
      </c>
      <c r="O2369" s="180">
        <f t="shared" ca="1" si="87"/>
        <v>6.1891502435922771E-2</v>
      </c>
      <c r="P2369" s="180"/>
      <c r="Q2369" s="180"/>
      <c r="R2369" s="180"/>
      <c r="S2369" s="180"/>
      <c r="T2369" s="180"/>
    </row>
    <row r="2370" spans="1:20" x14ac:dyDescent="0.25">
      <c r="A2370" t="s">
        <v>236</v>
      </c>
      <c r="B2370" t="s">
        <v>237</v>
      </c>
      <c r="C2370" t="s">
        <v>238</v>
      </c>
      <c r="D2370" t="s">
        <v>270</v>
      </c>
      <c r="E2370" t="s">
        <v>229</v>
      </c>
      <c r="F2370">
        <v>2013</v>
      </c>
      <c r="G2370">
        <v>5.0994999999999999E-2</v>
      </c>
      <c r="H2370" t="s">
        <v>240</v>
      </c>
      <c r="I2370" t="s">
        <v>241</v>
      </c>
      <c r="J2370" t="s">
        <v>245</v>
      </c>
      <c r="K2370" s="183">
        <f ca="1">VLOOKUP(F2370,
    OFFSET(INDIRECT(ADDRESS(MATCH(J2370,'Vehicle numbers'!$A$5:$A$162,0),1,1,1,$L$6)),4,1,COUNTIF('Vehicle numbers'!$A$5:$A$162,J2370),4),
    MATCH(K$8,'Vehicle numbers'!$B$4:$D$4,0))*1000</f>
        <v>274778</v>
      </c>
      <c r="L2370" s="183">
        <f ca="1">VLOOKUP(F2370,
    OFFSET(INDIRECT(ADDRESS(MATCH(J2370,'Vehicle numbers'!$A$5:$A$162,0),1,1,1,$L$6)),4,1,COUNTIF('Vehicle numbers'!$A$5:$A$162,J2370),4),
    MATCH(L$8,'Vehicle numbers'!$B$4:$D$4,0))*1000</f>
        <v>288695.29078826297</v>
      </c>
      <c r="M2370" s="184">
        <f ca="1">VLOOKUP(F2370,'Annual distance covered (GB)'!$A$8:$H$33,MATCH(J2370,'Annual distance covered (GB)'!$A$7:$H$7,0))</f>
        <v>12.4</v>
      </c>
      <c r="N2370" s="2">
        <f t="shared" ca="1" si="86"/>
        <v>664365.42513035482</v>
      </c>
      <c r="O2370" s="180">
        <f t="shared" ca="1" si="87"/>
        <v>2.3012686605186734</v>
      </c>
      <c r="P2370" s="180"/>
      <c r="Q2370" s="180"/>
      <c r="R2370" s="180"/>
      <c r="S2370" s="180"/>
      <c r="T2370" s="180"/>
    </row>
    <row r="2371" spans="1:20" x14ac:dyDescent="0.25">
      <c r="A2371" t="s">
        <v>243</v>
      </c>
      <c r="B2371" t="s">
        <v>237</v>
      </c>
      <c r="C2371" t="s">
        <v>238</v>
      </c>
      <c r="D2371" t="s">
        <v>270</v>
      </c>
      <c r="E2371" t="s">
        <v>229</v>
      </c>
      <c r="F2371">
        <v>2013</v>
      </c>
      <c r="G2371">
        <v>2.0397999999999999E-2</v>
      </c>
      <c r="H2371" t="s">
        <v>240</v>
      </c>
      <c r="I2371" t="s">
        <v>241</v>
      </c>
      <c r="J2371" t="s">
        <v>245</v>
      </c>
      <c r="K2371" s="183">
        <f ca="1">VLOOKUP(F2371,
    OFFSET(INDIRECT(ADDRESS(MATCH(J2371,'Vehicle numbers'!$A$5:$A$162,0),1,1,1,$L$6)),4,1,COUNTIF('Vehicle numbers'!$A$5:$A$162,J2371),4),
    MATCH(K$8,'Vehicle numbers'!$B$4:$D$4,0))*1000</f>
        <v>274778</v>
      </c>
      <c r="L2371" s="183">
        <f ca="1">VLOOKUP(F2371,
    OFFSET(INDIRECT(ADDRESS(MATCH(J2371,'Vehicle numbers'!$A$5:$A$162,0),1,1,1,$L$6)),4,1,COUNTIF('Vehicle numbers'!$A$5:$A$162,J2371),4),
    MATCH(L$8,'Vehicle numbers'!$B$4:$D$4,0))*1000</f>
        <v>288695.29078826297</v>
      </c>
      <c r="M2371" s="184">
        <f ca="1">VLOOKUP(F2371,'Annual distance covered (GB)'!$A$8:$H$33,MATCH(J2371,'Annual distance covered (GB)'!$A$7:$H$7,0))</f>
        <v>12.4</v>
      </c>
      <c r="N2371" s="2">
        <f t="shared" ca="1" si="86"/>
        <v>265746.17005214194</v>
      </c>
      <c r="O2371" s="180">
        <f t="shared" ca="1" si="87"/>
        <v>0.92050746420746943</v>
      </c>
      <c r="P2371" s="180"/>
      <c r="Q2371" s="180"/>
      <c r="R2371" s="180"/>
      <c r="S2371" s="180"/>
      <c r="T2371" s="180"/>
    </row>
    <row r="2372" spans="1:20" x14ac:dyDescent="0.25">
      <c r="A2372" t="s">
        <v>244</v>
      </c>
      <c r="B2372" t="s">
        <v>237</v>
      </c>
      <c r="C2372" t="s">
        <v>238</v>
      </c>
      <c r="D2372" t="s">
        <v>270</v>
      </c>
      <c r="E2372" t="s">
        <v>229</v>
      </c>
      <c r="F2372">
        <v>2013</v>
      </c>
      <c r="G2372">
        <v>5.0994999999999999E-3</v>
      </c>
      <c r="H2372" t="s">
        <v>240</v>
      </c>
      <c r="I2372" t="s">
        <v>241</v>
      </c>
      <c r="J2372" t="s">
        <v>245</v>
      </c>
      <c r="K2372" s="183">
        <f ca="1">VLOOKUP(F2372,
    OFFSET(INDIRECT(ADDRESS(MATCH(J2372,'Vehicle numbers'!$A$5:$A$162,0),1,1,1,$L$6)),4,1,COUNTIF('Vehicle numbers'!$A$5:$A$162,J2372),4),
    MATCH(K$8,'Vehicle numbers'!$B$4:$D$4,0))*1000</f>
        <v>274778</v>
      </c>
      <c r="L2372" s="183">
        <f ca="1">VLOOKUP(F2372,
    OFFSET(INDIRECT(ADDRESS(MATCH(J2372,'Vehicle numbers'!$A$5:$A$162,0),1,1,1,$L$6)),4,1,COUNTIF('Vehicle numbers'!$A$5:$A$162,J2372),4),
    MATCH(L$8,'Vehicle numbers'!$B$4:$D$4,0))*1000</f>
        <v>288695.29078826297</v>
      </c>
      <c r="M2372" s="184">
        <f ca="1">VLOOKUP(F2372,'Annual distance covered (GB)'!$A$8:$H$33,MATCH(J2372,'Annual distance covered (GB)'!$A$7:$H$7,0))</f>
        <v>12.4</v>
      </c>
      <c r="N2372" s="2">
        <f t="shared" ca="1" si="86"/>
        <v>66436.542513035485</v>
      </c>
      <c r="O2372" s="180">
        <f t="shared" ca="1" si="87"/>
        <v>0.23012686605186736</v>
      </c>
      <c r="P2372" s="180"/>
      <c r="Q2372" s="180"/>
      <c r="R2372" s="180"/>
      <c r="S2372" s="180"/>
      <c r="T2372" s="180"/>
    </row>
    <row r="2373" spans="1:20" x14ac:dyDescent="0.25">
      <c r="A2373" t="s">
        <v>246</v>
      </c>
      <c r="B2373" t="s">
        <v>237</v>
      </c>
      <c r="C2373" t="s">
        <v>238</v>
      </c>
      <c r="D2373" t="s">
        <v>270</v>
      </c>
      <c r="E2373" t="s">
        <v>229</v>
      </c>
      <c r="F2373">
        <v>2013</v>
      </c>
      <c r="G2373">
        <v>4.0796000000000001E-3</v>
      </c>
      <c r="H2373" t="s">
        <v>240</v>
      </c>
      <c r="I2373" t="s">
        <v>241</v>
      </c>
      <c r="J2373" t="s">
        <v>245</v>
      </c>
      <c r="K2373" s="183">
        <f ca="1">VLOOKUP(F2373,
    OFFSET(INDIRECT(ADDRESS(MATCH(J2373,'Vehicle numbers'!$A$5:$A$162,0),1,1,1,$L$6)),4,1,COUNTIF('Vehicle numbers'!$A$5:$A$162,J2373),4),
    MATCH(K$8,'Vehicle numbers'!$B$4:$D$4,0))*1000</f>
        <v>274778</v>
      </c>
      <c r="L2373" s="183">
        <f ca="1">VLOOKUP(F2373,
    OFFSET(INDIRECT(ADDRESS(MATCH(J2373,'Vehicle numbers'!$A$5:$A$162,0),1,1,1,$L$6)),4,1,COUNTIF('Vehicle numbers'!$A$5:$A$162,J2373),4),
    MATCH(L$8,'Vehicle numbers'!$B$4:$D$4,0))*1000</f>
        <v>288695.29078826297</v>
      </c>
      <c r="M2373" s="184">
        <f ca="1">VLOOKUP(F2373,'Annual distance covered (GB)'!$A$8:$H$33,MATCH(J2373,'Annual distance covered (GB)'!$A$7:$H$7,0))</f>
        <v>12.4</v>
      </c>
      <c r="N2373" s="2">
        <f t="shared" ca="1" si="86"/>
        <v>53149.234010428387</v>
      </c>
      <c r="O2373" s="180">
        <f t="shared" ca="1" si="87"/>
        <v>0.18410149284149388</v>
      </c>
      <c r="P2373" s="180"/>
      <c r="Q2373" s="180"/>
      <c r="R2373" s="180"/>
      <c r="S2373" s="180"/>
      <c r="T2373" s="180"/>
    </row>
    <row r="2374" spans="1:20" x14ac:dyDescent="0.25">
      <c r="A2374" t="s">
        <v>236</v>
      </c>
      <c r="B2374" t="s">
        <v>237</v>
      </c>
      <c r="C2374" t="s">
        <v>238</v>
      </c>
      <c r="D2374" t="s">
        <v>270</v>
      </c>
      <c r="E2374" t="s">
        <v>228</v>
      </c>
      <c r="F2374">
        <v>2013</v>
      </c>
      <c r="G2374">
        <v>2.0737760000000001E-2</v>
      </c>
      <c r="H2374" t="s">
        <v>240</v>
      </c>
      <c r="I2374" t="s">
        <v>241</v>
      </c>
      <c r="J2374" t="s">
        <v>245</v>
      </c>
      <c r="K2374" s="183">
        <f ca="1">VLOOKUP(F2374,
    OFFSET(INDIRECT(ADDRESS(MATCH(J2374,'Vehicle numbers'!$A$5:$A$162,0),1,1,1,$L$6)),4,1,COUNTIF('Vehicle numbers'!$A$5:$A$162,J2374),4),
    MATCH(K$8,'Vehicle numbers'!$B$4:$D$4,0))*1000</f>
        <v>274778</v>
      </c>
      <c r="L2374" s="183">
        <f ca="1">VLOOKUP(F2374,
    OFFSET(INDIRECT(ADDRESS(MATCH(J2374,'Vehicle numbers'!$A$5:$A$162,0),1,1,1,$L$6)),4,1,COUNTIF('Vehicle numbers'!$A$5:$A$162,J2374),4),
    MATCH(L$8,'Vehicle numbers'!$B$4:$D$4,0))*1000</f>
        <v>288695.29078826297</v>
      </c>
      <c r="M2374" s="184">
        <f ca="1">VLOOKUP(F2374,'Annual distance covered (GB)'!$A$8:$H$33,MATCH(J2374,'Annual distance covered (GB)'!$A$7:$H$7,0))</f>
        <v>12.4</v>
      </c>
      <c r="N2374" s="2">
        <f t="shared" ca="1" si="86"/>
        <v>270172.58042261534</v>
      </c>
      <c r="O2374" s="180">
        <f t="shared" ca="1" si="87"/>
        <v>0.93583992896083401</v>
      </c>
      <c r="P2374" s="180"/>
      <c r="Q2374" s="180"/>
      <c r="R2374" s="180"/>
      <c r="S2374" s="180"/>
      <c r="T2374" s="180"/>
    </row>
    <row r="2375" spans="1:20" x14ac:dyDescent="0.25">
      <c r="A2375" t="s">
        <v>243</v>
      </c>
      <c r="B2375" t="s">
        <v>237</v>
      </c>
      <c r="C2375" t="s">
        <v>238</v>
      </c>
      <c r="D2375" t="s">
        <v>270</v>
      </c>
      <c r="E2375" t="s">
        <v>228</v>
      </c>
      <c r="F2375">
        <v>2013</v>
      </c>
      <c r="G2375">
        <v>1.4516431999999999E-2</v>
      </c>
      <c r="H2375" t="s">
        <v>240</v>
      </c>
      <c r="I2375" t="s">
        <v>241</v>
      </c>
      <c r="J2375" t="s">
        <v>245</v>
      </c>
      <c r="K2375" s="183">
        <f ca="1">VLOOKUP(F2375,
    OFFSET(INDIRECT(ADDRESS(MATCH(J2375,'Vehicle numbers'!$A$5:$A$162,0),1,1,1,$L$6)),4,1,COUNTIF('Vehicle numbers'!$A$5:$A$162,J2375),4),
    MATCH(K$8,'Vehicle numbers'!$B$4:$D$4,0))*1000</f>
        <v>274778</v>
      </c>
      <c r="L2375" s="183">
        <f ca="1">VLOOKUP(F2375,
    OFFSET(INDIRECT(ADDRESS(MATCH(J2375,'Vehicle numbers'!$A$5:$A$162,0),1,1,1,$L$6)),4,1,COUNTIF('Vehicle numbers'!$A$5:$A$162,J2375),4),
    MATCH(L$8,'Vehicle numbers'!$B$4:$D$4,0))*1000</f>
        <v>288695.29078826297</v>
      </c>
      <c r="M2375" s="184">
        <f ca="1">VLOOKUP(F2375,'Annual distance covered (GB)'!$A$8:$H$33,MATCH(J2375,'Annual distance covered (GB)'!$A$7:$H$7,0))</f>
        <v>12.4</v>
      </c>
      <c r="N2375" s="2">
        <f t="shared" ca="1" si="86"/>
        <v>189120.8062958307</v>
      </c>
      <c r="O2375" s="180">
        <f t="shared" ca="1" si="87"/>
        <v>0.65508795027258371</v>
      </c>
      <c r="P2375" s="180"/>
      <c r="Q2375" s="180"/>
      <c r="R2375" s="180"/>
      <c r="S2375" s="180"/>
      <c r="T2375" s="180"/>
    </row>
    <row r="2376" spans="1:20" x14ac:dyDescent="0.25">
      <c r="A2376" t="s">
        <v>244</v>
      </c>
      <c r="B2376" t="s">
        <v>237</v>
      </c>
      <c r="C2376" t="s">
        <v>238</v>
      </c>
      <c r="D2376" t="s">
        <v>270</v>
      </c>
      <c r="E2376" t="s">
        <v>228</v>
      </c>
      <c r="F2376">
        <v>2013</v>
      </c>
      <c r="G2376">
        <v>2.0445678873239402E-3</v>
      </c>
      <c r="H2376" t="s">
        <v>240</v>
      </c>
      <c r="I2376" t="s">
        <v>241</v>
      </c>
      <c r="J2376" t="s">
        <v>245</v>
      </c>
      <c r="K2376" s="183">
        <f ca="1">VLOOKUP(F2376,
    OFFSET(INDIRECT(ADDRESS(MATCH(J2376,'Vehicle numbers'!$A$5:$A$162,0),1,1,1,$L$6)),4,1,COUNTIF('Vehicle numbers'!$A$5:$A$162,J2376),4),
    MATCH(K$8,'Vehicle numbers'!$B$4:$D$4,0))*1000</f>
        <v>274778</v>
      </c>
      <c r="L2376" s="183">
        <f ca="1">VLOOKUP(F2376,
    OFFSET(INDIRECT(ADDRESS(MATCH(J2376,'Vehicle numbers'!$A$5:$A$162,0),1,1,1,$L$6)),4,1,COUNTIF('Vehicle numbers'!$A$5:$A$162,J2376),4),
    MATCH(L$8,'Vehicle numbers'!$B$4:$D$4,0))*1000</f>
        <v>288695.29078826297</v>
      </c>
      <c r="M2376" s="184">
        <f ca="1">VLOOKUP(F2376,'Annual distance covered (GB)'!$A$8:$H$33,MATCH(J2376,'Annual distance covered (GB)'!$A$7:$H$7,0))</f>
        <v>12.4</v>
      </c>
      <c r="N2376" s="2">
        <f t="shared" ca="1" si="86"/>
        <v>26636.733281102872</v>
      </c>
      <c r="O2376" s="180">
        <f t="shared" ca="1" si="87"/>
        <v>9.2265908489096146E-2</v>
      </c>
      <c r="P2376" s="180"/>
      <c r="Q2376" s="180"/>
      <c r="R2376" s="180"/>
      <c r="S2376" s="180"/>
      <c r="T2376" s="180"/>
    </row>
    <row r="2377" spans="1:20" x14ac:dyDescent="0.25">
      <c r="A2377" t="s">
        <v>246</v>
      </c>
      <c r="B2377" t="s">
        <v>237</v>
      </c>
      <c r="C2377" t="s">
        <v>238</v>
      </c>
      <c r="D2377" t="s">
        <v>270</v>
      </c>
      <c r="E2377" t="s">
        <v>228</v>
      </c>
      <c r="F2377">
        <v>2013</v>
      </c>
      <c r="G2377">
        <v>1.6356543098591499E-3</v>
      </c>
      <c r="H2377" t="s">
        <v>240</v>
      </c>
      <c r="I2377" t="s">
        <v>241</v>
      </c>
      <c r="J2377" t="s">
        <v>245</v>
      </c>
      <c r="K2377" s="183">
        <f ca="1">VLOOKUP(F2377,
    OFFSET(INDIRECT(ADDRESS(MATCH(J2377,'Vehicle numbers'!$A$5:$A$162,0),1,1,1,$L$6)),4,1,COUNTIF('Vehicle numbers'!$A$5:$A$162,J2377),4),
    MATCH(K$8,'Vehicle numbers'!$B$4:$D$4,0))*1000</f>
        <v>274778</v>
      </c>
      <c r="L2377" s="183">
        <f ca="1">VLOOKUP(F2377,
    OFFSET(INDIRECT(ADDRESS(MATCH(J2377,'Vehicle numbers'!$A$5:$A$162,0),1,1,1,$L$6)),4,1,COUNTIF('Vehicle numbers'!$A$5:$A$162,J2377),4),
    MATCH(L$8,'Vehicle numbers'!$B$4:$D$4,0))*1000</f>
        <v>288695.29078826297</v>
      </c>
      <c r="M2377" s="184">
        <f ca="1">VLOOKUP(F2377,'Annual distance covered (GB)'!$A$8:$H$33,MATCH(J2377,'Annual distance covered (GB)'!$A$7:$H$7,0))</f>
        <v>12.4</v>
      </c>
      <c r="N2377" s="2">
        <f t="shared" ca="1" si="86"/>
        <v>21309.386624882267</v>
      </c>
      <c r="O2377" s="180">
        <f t="shared" ca="1" si="87"/>
        <v>7.3812726791276803E-2</v>
      </c>
      <c r="P2377" s="180"/>
      <c r="Q2377" s="180"/>
      <c r="R2377" s="180"/>
      <c r="S2377" s="180"/>
      <c r="T2377" s="180"/>
    </row>
    <row r="2378" spans="1:20" x14ac:dyDescent="0.25">
      <c r="A2378" t="s">
        <v>236</v>
      </c>
      <c r="B2378" t="s">
        <v>237</v>
      </c>
      <c r="C2378" t="s">
        <v>238</v>
      </c>
      <c r="D2378" t="s">
        <v>257</v>
      </c>
      <c r="E2378" t="s">
        <v>229</v>
      </c>
      <c r="F2378">
        <v>2013</v>
      </c>
      <c r="G2378">
        <v>2.1210000000000001E-3</v>
      </c>
      <c r="H2378" t="s">
        <v>240</v>
      </c>
      <c r="I2378" t="s">
        <v>241</v>
      </c>
      <c r="J2378" t="s">
        <v>188</v>
      </c>
      <c r="K2378" s="183">
        <f ca="1">VLOOKUP(F2378,
    OFFSET(INDIRECT(ADDRESS(MATCH(J2378,'Vehicle numbers'!$A$5:$A$162,0),1,1,1,$L$6)),4,1,COUNTIF('Vehicle numbers'!$A$5:$A$162,J2378),4),
    MATCH(K$8,'Vehicle numbers'!$B$4:$D$4,0))*1000</f>
        <v>3353894</v>
      </c>
      <c r="L2378" s="183">
        <f ca="1">VLOOKUP(F2378,
    OFFSET(INDIRECT(ADDRESS(MATCH(J2378,'Vehicle numbers'!$A$5:$A$162,0),1,1,1,$L$6)),4,1,COUNTIF('Vehicle numbers'!$A$5:$A$162,J2378),4),
    MATCH(L$8,'Vehicle numbers'!$B$4:$D$4,0))*1000</f>
        <v>3450135.9469293696</v>
      </c>
      <c r="M2378" s="184">
        <f>VLOOKUP(F2378,'Annual distance covered (GB)'!$A$8:$H$33,MATCH(J2378,'Annual distance covered (GB)'!$A$7:$H$7,0))</f>
        <v>70.5</v>
      </c>
      <c r="N2378" s="2">
        <f t="shared" ca="1" si="86"/>
        <v>153821.36501998038</v>
      </c>
      <c r="O2378" s="180">
        <f t="shared" ca="1" si="87"/>
        <v>4.4584146070209732E-2</v>
      </c>
      <c r="P2378" s="180"/>
      <c r="Q2378" s="180"/>
      <c r="R2378" s="180"/>
      <c r="S2378" s="180"/>
      <c r="T2378" s="180"/>
    </row>
    <row r="2379" spans="1:20" x14ac:dyDescent="0.25">
      <c r="A2379" t="s">
        <v>243</v>
      </c>
      <c r="B2379" t="s">
        <v>237</v>
      </c>
      <c r="C2379" t="s">
        <v>238</v>
      </c>
      <c r="D2379" t="s">
        <v>257</v>
      </c>
      <c r="E2379" t="s">
        <v>229</v>
      </c>
      <c r="F2379">
        <v>2013</v>
      </c>
      <c r="G2379">
        <v>8.4840000000000002E-4</v>
      </c>
      <c r="H2379" t="s">
        <v>240</v>
      </c>
      <c r="I2379" t="s">
        <v>241</v>
      </c>
      <c r="J2379" t="s">
        <v>188</v>
      </c>
      <c r="K2379" s="183">
        <f ca="1">VLOOKUP(F2379,
    OFFSET(INDIRECT(ADDRESS(MATCH(J2379,'Vehicle numbers'!$A$5:$A$162,0),1,1,1,$L$6)),4,1,COUNTIF('Vehicle numbers'!$A$5:$A$162,J2379),4),
    MATCH(K$8,'Vehicle numbers'!$B$4:$D$4,0))*1000</f>
        <v>3353894</v>
      </c>
      <c r="L2379" s="183">
        <f ca="1">VLOOKUP(F2379,
    OFFSET(INDIRECT(ADDRESS(MATCH(J2379,'Vehicle numbers'!$A$5:$A$162,0),1,1,1,$L$6)),4,1,COUNTIF('Vehicle numbers'!$A$5:$A$162,J2379),4),
    MATCH(L$8,'Vehicle numbers'!$B$4:$D$4,0))*1000</f>
        <v>3450135.9469293696</v>
      </c>
      <c r="M2379" s="184">
        <f>VLOOKUP(F2379,'Annual distance covered (GB)'!$A$8:$H$33,MATCH(J2379,'Annual distance covered (GB)'!$A$7:$H$7,0))</f>
        <v>70.5</v>
      </c>
      <c r="N2379" s="2">
        <f t="shared" ref="N2379:N2442" ca="1" si="88">M2379*G2379*1000000*(L2379/K2379)</f>
        <v>61528.546007992154</v>
      </c>
      <c r="O2379" s="180">
        <f t="shared" ref="O2379:O2442" ca="1" si="89">N2379/L2379</f>
        <v>1.7833658428083893E-2</v>
      </c>
      <c r="P2379" s="180"/>
      <c r="Q2379" s="180"/>
      <c r="R2379" s="180"/>
      <c r="S2379" s="180"/>
      <c r="T2379" s="180"/>
    </row>
    <row r="2380" spans="1:20" x14ac:dyDescent="0.25">
      <c r="A2380" t="s">
        <v>244</v>
      </c>
      <c r="B2380" t="s">
        <v>237</v>
      </c>
      <c r="C2380" t="s">
        <v>238</v>
      </c>
      <c r="D2380" t="s">
        <v>257</v>
      </c>
      <c r="E2380" t="s">
        <v>229</v>
      </c>
      <c r="F2380">
        <v>2013</v>
      </c>
      <c r="G2380">
        <v>2.1210000000000001E-4</v>
      </c>
      <c r="H2380" t="s">
        <v>240</v>
      </c>
      <c r="I2380" t="s">
        <v>241</v>
      </c>
      <c r="J2380" t="s">
        <v>188</v>
      </c>
      <c r="K2380" s="183">
        <f ca="1">VLOOKUP(F2380,
    OFFSET(INDIRECT(ADDRESS(MATCH(J2380,'Vehicle numbers'!$A$5:$A$162,0),1,1,1,$L$6)),4,1,COUNTIF('Vehicle numbers'!$A$5:$A$162,J2380),4),
    MATCH(K$8,'Vehicle numbers'!$B$4:$D$4,0))*1000</f>
        <v>3353894</v>
      </c>
      <c r="L2380" s="183">
        <f ca="1">VLOOKUP(F2380,
    OFFSET(INDIRECT(ADDRESS(MATCH(J2380,'Vehicle numbers'!$A$5:$A$162,0),1,1,1,$L$6)),4,1,COUNTIF('Vehicle numbers'!$A$5:$A$162,J2380),4),
    MATCH(L$8,'Vehicle numbers'!$B$4:$D$4,0))*1000</f>
        <v>3450135.9469293696</v>
      </c>
      <c r="M2380" s="184">
        <f>VLOOKUP(F2380,'Annual distance covered (GB)'!$A$8:$H$33,MATCH(J2380,'Annual distance covered (GB)'!$A$7:$H$7,0))</f>
        <v>70.5</v>
      </c>
      <c r="N2380" s="2">
        <f t="shared" ca="1" si="88"/>
        <v>15382.136501998039</v>
      </c>
      <c r="O2380" s="180">
        <f t="shared" ca="1" si="89"/>
        <v>4.4584146070209734E-3</v>
      </c>
      <c r="P2380" s="180"/>
      <c r="Q2380" s="180"/>
      <c r="R2380" s="180"/>
      <c r="S2380" s="180"/>
      <c r="T2380" s="180"/>
    </row>
    <row r="2381" spans="1:20" x14ac:dyDescent="0.25">
      <c r="A2381" t="s">
        <v>246</v>
      </c>
      <c r="B2381" t="s">
        <v>237</v>
      </c>
      <c r="C2381" t="s">
        <v>238</v>
      </c>
      <c r="D2381" t="s">
        <v>257</v>
      </c>
      <c r="E2381" t="s">
        <v>229</v>
      </c>
      <c r="F2381">
        <v>2013</v>
      </c>
      <c r="G2381">
        <v>1.6967999999999999E-4</v>
      </c>
      <c r="H2381" t="s">
        <v>240</v>
      </c>
      <c r="I2381" t="s">
        <v>241</v>
      </c>
      <c r="J2381" t="s">
        <v>188</v>
      </c>
      <c r="K2381" s="183">
        <f ca="1">VLOOKUP(F2381,
    OFFSET(INDIRECT(ADDRESS(MATCH(J2381,'Vehicle numbers'!$A$5:$A$162,0),1,1,1,$L$6)),4,1,COUNTIF('Vehicle numbers'!$A$5:$A$162,J2381),4),
    MATCH(K$8,'Vehicle numbers'!$B$4:$D$4,0))*1000</f>
        <v>3353894</v>
      </c>
      <c r="L2381" s="183">
        <f ca="1">VLOOKUP(F2381,
    OFFSET(INDIRECT(ADDRESS(MATCH(J2381,'Vehicle numbers'!$A$5:$A$162,0),1,1,1,$L$6)),4,1,COUNTIF('Vehicle numbers'!$A$5:$A$162,J2381),4),
    MATCH(L$8,'Vehicle numbers'!$B$4:$D$4,0))*1000</f>
        <v>3450135.9469293696</v>
      </c>
      <c r="M2381" s="184">
        <f>VLOOKUP(F2381,'Annual distance covered (GB)'!$A$8:$H$33,MATCH(J2381,'Annual distance covered (GB)'!$A$7:$H$7,0))</f>
        <v>70.5</v>
      </c>
      <c r="N2381" s="2">
        <f t="shared" ca="1" si="88"/>
        <v>12305.709201598429</v>
      </c>
      <c r="O2381" s="180">
        <f t="shared" ca="1" si="89"/>
        <v>3.5667316856167778E-3</v>
      </c>
      <c r="P2381" s="180"/>
      <c r="Q2381" s="180"/>
      <c r="R2381" s="180"/>
      <c r="S2381" s="180"/>
      <c r="T2381" s="180"/>
    </row>
    <row r="2382" spans="1:20" x14ac:dyDescent="0.25">
      <c r="A2382" t="s">
        <v>236</v>
      </c>
      <c r="B2382" t="s">
        <v>237</v>
      </c>
      <c r="C2382" t="s">
        <v>238</v>
      </c>
      <c r="D2382" t="s">
        <v>257</v>
      </c>
      <c r="E2382" t="s">
        <v>228</v>
      </c>
      <c r="F2382">
        <v>2013</v>
      </c>
      <c r="G2382">
        <v>9.14600000000001E-3</v>
      </c>
      <c r="H2382" t="s">
        <v>240</v>
      </c>
      <c r="I2382" t="s">
        <v>241</v>
      </c>
      <c r="J2382" t="s">
        <v>188</v>
      </c>
      <c r="K2382" s="183">
        <f ca="1">VLOOKUP(F2382,
    OFFSET(INDIRECT(ADDRESS(MATCH(J2382,'Vehicle numbers'!$A$5:$A$162,0),1,1,1,$L$6)),4,1,COUNTIF('Vehicle numbers'!$A$5:$A$162,J2382),4),
    MATCH(K$8,'Vehicle numbers'!$B$4:$D$4,0))*1000</f>
        <v>3353894</v>
      </c>
      <c r="L2382" s="183">
        <f ca="1">VLOOKUP(F2382,
    OFFSET(INDIRECT(ADDRESS(MATCH(J2382,'Vehicle numbers'!$A$5:$A$162,0),1,1,1,$L$6)),4,1,COUNTIF('Vehicle numbers'!$A$5:$A$162,J2382),4),
    MATCH(L$8,'Vehicle numbers'!$B$4:$D$4,0))*1000</f>
        <v>3450135.9469293696</v>
      </c>
      <c r="M2382" s="184">
        <f>VLOOKUP(F2382,'Annual distance covered (GB)'!$A$8:$H$33,MATCH(J2382,'Annual distance covered (GB)'!$A$7:$H$7,0))</f>
        <v>70.5</v>
      </c>
      <c r="N2382" s="2">
        <f t="shared" ca="1" si="88"/>
        <v>663295.7116797464</v>
      </c>
      <c r="O2382" s="180">
        <f t="shared" ca="1" si="89"/>
        <v>0.19225205089964104</v>
      </c>
      <c r="P2382" s="180"/>
      <c r="Q2382" s="180"/>
      <c r="R2382" s="180"/>
      <c r="S2382" s="180"/>
      <c r="T2382" s="180"/>
    </row>
    <row r="2383" spans="1:20" x14ac:dyDescent="0.25">
      <c r="A2383" t="s">
        <v>243</v>
      </c>
      <c r="B2383" t="s">
        <v>237</v>
      </c>
      <c r="C2383" t="s">
        <v>238</v>
      </c>
      <c r="D2383" t="s">
        <v>257</v>
      </c>
      <c r="E2383" t="s">
        <v>228</v>
      </c>
      <c r="F2383">
        <v>2013</v>
      </c>
      <c r="G2383">
        <v>6.4022000000000098E-3</v>
      </c>
      <c r="H2383" t="s">
        <v>240</v>
      </c>
      <c r="I2383" t="s">
        <v>241</v>
      </c>
      <c r="J2383" t="s">
        <v>188</v>
      </c>
      <c r="K2383" s="183">
        <f ca="1">VLOOKUP(F2383,
    OFFSET(INDIRECT(ADDRESS(MATCH(J2383,'Vehicle numbers'!$A$5:$A$162,0),1,1,1,$L$6)),4,1,COUNTIF('Vehicle numbers'!$A$5:$A$162,J2383),4),
    MATCH(K$8,'Vehicle numbers'!$B$4:$D$4,0))*1000</f>
        <v>3353894</v>
      </c>
      <c r="L2383" s="183">
        <f ca="1">VLOOKUP(F2383,
    OFFSET(INDIRECT(ADDRESS(MATCH(J2383,'Vehicle numbers'!$A$5:$A$162,0),1,1,1,$L$6)),4,1,COUNTIF('Vehicle numbers'!$A$5:$A$162,J2383),4),
    MATCH(L$8,'Vehicle numbers'!$B$4:$D$4,0))*1000</f>
        <v>3450135.9469293696</v>
      </c>
      <c r="M2383" s="184">
        <f>VLOOKUP(F2383,'Annual distance covered (GB)'!$A$8:$H$33,MATCH(J2383,'Annual distance covered (GB)'!$A$7:$H$7,0))</f>
        <v>70.5</v>
      </c>
      <c r="N2383" s="2">
        <f t="shared" ca="1" si="88"/>
        <v>464306.99817582266</v>
      </c>
      <c r="O2383" s="180">
        <f t="shared" ca="1" si="89"/>
        <v>0.13457643562974878</v>
      </c>
      <c r="P2383" s="180"/>
      <c r="Q2383" s="180"/>
      <c r="R2383" s="180"/>
      <c r="S2383" s="180"/>
      <c r="T2383" s="180"/>
    </row>
    <row r="2384" spans="1:20" x14ac:dyDescent="0.25">
      <c r="A2384" t="s">
        <v>244</v>
      </c>
      <c r="B2384" t="s">
        <v>237</v>
      </c>
      <c r="C2384" t="s">
        <v>238</v>
      </c>
      <c r="D2384" t="s">
        <v>257</v>
      </c>
      <c r="E2384" t="s">
        <v>228</v>
      </c>
      <c r="F2384">
        <v>2013</v>
      </c>
      <c r="G2384">
        <v>9.0171830985915497E-4</v>
      </c>
      <c r="H2384" t="s">
        <v>240</v>
      </c>
      <c r="I2384" t="s">
        <v>241</v>
      </c>
      <c r="J2384" t="s">
        <v>188</v>
      </c>
      <c r="K2384" s="183">
        <f ca="1">VLOOKUP(F2384,
    OFFSET(INDIRECT(ADDRESS(MATCH(J2384,'Vehicle numbers'!$A$5:$A$162,0),1,1,1,$L$6)),4,1,COUNTIF('Vehicle numbers'!$A$5:$A$162,J2384),4),
    MATCH(K$8,'Vehicle numbers'!$B$4:$D$4,0))*1000</f>
        <v>3353894</v>
      </c>
      <c r="L2384" s="183">
        <f ca="1">VLOOKUP(F2384,
    OFFSET(INDIRECT(ADDRESS(MATCH(J2384,'Vehicle numbers'!$A$5:$A$162,0),1,1,1,$L$6)),4,1,COUNTIF('Vehicle numbers'!$A$5:$A$162,J2384),4),
    MATCH(L$8,'Vehicle numbers'!$B$4:$D$4,0))*1000</f>
        <v>3450135.9469293696</v>
      </c>
      <c r="M2384" s="184">
        <f>VLOOKUP(F2384,'Annual distance covered (GB)'!$A$8:$H$33,MATCH(J2384,'Annual distance covered (GB)'!$A$7:$H$7,0))</f>
        <v>70.5</v>
      </c>
      <c r="N2384" s="2">
        <f t="shared" ca="1" si="88"/>
        <v>65395.351855749577</v>
      </c>
      <c r="O2384" s="180">
        <f t="shared" ca="1" si="89"/>
        <v>1.8954427553485715E-2</v>
      </c>
      <c r="P2384" s="180"/>
      <c r="Q2384" s="180"/>
      <c r="R2384" s="180"/>
      <c r="S2384" s="180"/>
      <c r="T2384" s="180"/>
    </row>
    <row r="2385" spans="1:20" x14ac:dyDescent="0.25">
      <c r="A2385" t="s">
        <v>246</v>
      </c>
      <c r="B2385" t="s">
        <v>237</v>
      </c>
      <c r="C2385" t="s">
        <v>238</v>
      </c>
      <c r="D2385" t="s">
        <v>257</v>
      </c>
      <c r="E2385" t="s">
        <v>228</v>
      </c>
      <c r="F2385">
        <v>2013</v>
      </c>
      <c r="G2385">
        <v>7.2137464788732397E-4</v>
      </c>
      <c r="H2385" t="s">
        <v>240</v>
      </c>
      <c r="I2385" t="s">
        <v>241</v>
      </c>
      <c r="J2385" t="s">
        <v>188</v>
      </c>
      <c r="K2385" s="183">
        <f ca="1">VLOOKUP(F2385,
    OFFSET(INDIRECT(ADDRESS(MATCH(J2385,'Vehicle numbers'!$A$5:$A$162,0),1,1,1,$L$6)),4,1,COUNTIF('Vehicle numbers'!$A$5:$A$162,J2385),4),
    MATCH(K$8,'Vehicle numbers'!$B$4:$D$4,0))*1000</f>
        <v>3353894</v>
      </c>
      <c r="L2385" s="183">
        <f ca="1">VLOOKUP(F2385,
    OFFSET(INDIRECT(ADDRESS(MATCH(J2385,'Vehicle numbers'!$A$5:$A$162,0),1,1,1,$L$6)),4,1,COUNTIF('Vehicle numbers'!$A$5:$A$162,J2385),4),
    MATCH(L$8,'Vehicle numbers'!$B$4:$D$4,0))*1000</f>
        <v>3450135.9469293696</v>
      </c>
      <c r="M2385" s="184">
        <f>VLOOKUP(F2385,'Annual distance covered (GB)'!$A$8:$H$33,MATCH(J2385,'Annual distance covered (GB)'!$A$7:$H$7,0))</f>
        <v>70.5</v>
      </c>
      <c r="N2385" s="2">
        <f t="shared" ca="1" si="88"/>
        <v>52316.281484599655</v>
      </c>
      <c r="O2385" s="180">
        <f t="shared" ca="1" si="89"/>
        <v>1.5163542042788572E-2</v>
      </c>
      <c r="P2385" s="180"/>
      <c r="Q2385" s="180"/>
      <c r="R2385" s="180"/>
      <c r="S2385" s="180"/>
      <c r="T2385" s="180"/>
    </row>
    <row r="2386" spans="1:20" x14ac:dyDescent="0.25">
      <c r="A2386" t="s">
        <v>236</v>
      </c>
      <c r="B2386" t="s">
        <v>237</v>
      </c>
      <c r="C2386" t="s">
        <v>238</v>
      </c>
      <c r="D2386" t="s">
        <v>258</v>
      </c>
      <c r="E2386" t="s">
        <v>229</v>
      </c>
      <c r="F2386">
        <v>2013</v>
      </c>
      <c r="G2386">
        <v>8.6219999999999804E-3</v>
      </c>
      <c r="H2386" t="s">
        <v>240</v>
      </c>
      <c r="I2386" t="s">
        <v>241</v>
      </c>
      <c r="J2386" t="s">
        <v>188</v>
      </c>
      <c r="K2386" s="183">
        <f ca="1">VLOOKUP(F2386,
    OFFSET(INDIRECT(ADDRESS(MATCH(J2386,'Vehicle numbers'!$A$5:$A$162,0),1,1,1,$L$6)),4,1,COUNTIF('Vehicle numbers'!$A$5:$A$162,J2386),4),
    MATCH(K$8,'Vehicle numbers'!$B$4:$D$4,0))*1000</f>
        <v>3353894</v>
      </c>
      <c r="L2386" s="183">
        <f ca="1">VLOOKUP(F2386,
    OFFSET(INDIRECT(ADDRESS(MATCH(J2386,'Vehicle numbers'!$A$5:$A$162,0),1,1,1,$L$6)),4,1,COUNTIF('Vehicle numbers'!$A$5:$A$162,J2386),4),
    MATCH(L$8,'Vehicle numbers'!$B$4:$D$4,0))*1000</f>
        <v>3450135.9469293696</v>
      </c>
      <c r="M2386" s="184">
        <f>VLOOKUP(F2386,'Annual distance covered (GB)'!$A$8:$H$33,MATCH(J2386,'Annual distance covered (GB)'!$A$7:$H$7,0))</f>
        <v>70.5</v>
      </c>
      <c r="N2386" s="2">
        <f t="shared" ca="1" si="88"/>
        <v>625293.63941643934</v>
      </c>
      <c r="O2386" s="180">
        <f t="shared" ca="1" si="89"/>
        <v>0.18123739152161594</v>
      </c>
      <c r="P2386" s="180"/>
      <c r="Q2386" s="180"/>
      <c r="R2386" s="180"/>
      <c r="S2386" s="180"/>
      <c r="T2386" s="180"/>
    </row>
    <row r="2387" spans="1:20" x14ac:dyDescent="0.25">
      <c r="A2387" t="s">
        <v>243</v>
      </c>
      <c r="B2387" t="s">
        <v>237</v>
      </c>
      <c r="C2387" t="s">
        <v>238</v>
      </c>
      <c r="D2387" t="s">
        <v>258</v>
      </c>
      <c r="E2387" t="s">
        <v>229</v>
      </c>
      <c r="F2387">
        <v>2013</v>
      </c>
      <c r="G2387">
        <v>3.4487999999999902E-3</v>
      </c>
      <c r="H2387" t="s">
        <v>240</v>
      </c>
      <c r="I2387" t="s">
        <v>241</v>
      </c>
      <c r="J2387" t="s">
        <v>188</v>
      </c>
      <c r="K2387" s="183">
        <f ca="1">VLOOKUP(F2387,
    OFFSET(INDIRECT(ADDRESS(MATCH(J2387,'Vehicle numbers'!$A$5:$A$162,0),1,1,1,$L$6)),4,1,COUNTIF('Vehicle numbers'!$A$5:$A$162,J2387),4),
    MATCH(K$8,'Vehicle numbers'!$B$4:$D$4,0))*1000</f>
        <v>3353894</v>
      </c>
      <c r="L2387" s="183">
        <f ca="1">VLOOKUP(F2387,
    OFFSET(INDIRECT(ADDRESS(MATCH(J2387,'Vehicle numbers'!$A$5:$A$162,0),1,1,1,$L$6)),4,1,COUNTIF('Vehicle numbers'!$A$5:$A$162,J2387),4),
    MATCH(L$8,'Vehicle numbers'!$B$4:$D$4,0))*1000</f>
        <v>3450135.9469293696</v>
      </c>
      <c r="M2387" s="184">
        <f>VLOOKUP(F2387,'Annual distance covered (GB)'!$A$8:$H$33,MATCH(J2387,'Annual distance covered (GB)'!$A$7:$H$7,0))</f>
        <v>70.5</v>
      </c>
      <c r="N2387" s="2">
        <f t="shared" ca="1" si="88"/>
        <v>250117.45576657559</v>
      </c>
      <c r="O2387" s="180">
        <f t="shared" ca="1" si="89"/>
        <v>7.2494956608646341E-2</v>
      </c>
      <c r="P2387" s="180"/>
      <c r="Q2387" s="180"/>
      <c r="R2387" s="180"/>
      <c r="S2387" s="180"/>
      <c r="T2387" s="180"/>
    </row>
    <row r="2388" spans="1:20" x14ac:dyDescent="0.25">
      <c r="A2388" t="s">
        <v>244</v>
      </c>
      <c r="B2388" t="s">
        <v>237</v>
      </c>
      <c r="C2388" t="s">
        <v>238</v>
      </c>
      <c r="D2388" t="s">
        <v>258</v>
      </c>
      <c r="E2388" t="s">
        <v>229</v>
      </c>
      <c r="F2388">
        <v>2013</v>
      </c>
      <c r="G2388">
        <v>8.62199999999997E-4</v>
      </c>
      <c r="H2388" t="s">
        <v>240</v>
      </c>
      <c r="I2388" t="s">
        <v>241</v>
      </c>
      <c r="J2388" t="s">
        <v>188</v>
      </c>
      <c r="K2388" s="183">
        <f ca="1">VLOOKUP(F2388,
    OFFSET(INDIRECT(ADDRESS(MATCH(J2388,'Vehicle numbers'!$A$5:$A$162,0),1,1,1,$L$6)),4,1,COUNTIF('Vehicle numbers'!$A$5:$A$162,J2388),4),
    MATCH(K$8,'Vehicle numbers'!$B$4:$D$4,0))*1000</f>
        <v>3353894</v>
      </c>
      <c r="L2388" s="183">
        <f ca="1">VLOOKUP(F2388,
    OFFSET(INDIRECT(ADDRESS(MATCH(J2388,'Vehicle numbers'!$A$5:$A$162,0),1,1,1,$L$6)),4,1,COUNTIF('Vehicle numbers'!$A$5:$A$162,J2388),4),
    MATCH(L$8,'Vehicle numbers'!$B$4:$D$4,0))*1000</f>
        <v>3450135.9469293696</v>
      </c>
      <c r="M2388" s="184">
        <f>VLOOKUP(F2388,'Annual distance covered (GB)'!$A$8:$H$33,MATCH(J2388,'Annual distance covered (GB)'!$A$7:$H$7,0))</f>
        <v>70.5</v>
      </c>
      <c r="N2388" s="2">
        <f t="shared" ca="1" si="88"/>
        <v>62529.363941643853</v>
      </c>
      <c r="O2388" s="180">
        <f t="shared" ca="1" si="89"/>
        <v>1.8123739152161571E-2</v>
      </c>
      <c r="P2388" s="180"/>
      <c r="Q2388" s="180"/>
      <c r="R2388" s="180"/>
      <c r="S2388" s="180"/>
      <c r="T2388" s="180"/>
    </row>
    <row r="2389" spans="1:20" x14ac:dyDescent="0.25">
      <c r="A2389" t="s">
        <v>246</v>
      </c>
      <c r="B2389" t="s">
        <v>237</v>
      </c>
      <c r="C2389" t="s">
        <v>238</v>
      </c>
      <c r="D2389" t="s">
        <v>258</v>
      </c>
      <c r="E2389" t="s">
        <v>229</v>
      </c>
      <c r="F2389">
        <v>2013</v>
      </c>
      <c r="G2389">
        <v>6.8975999999999803E-4</v>
      </c>
      <c r="H2389" t="s">
        <v>240</v>
      </c>
      <c r="I2389" t="s">
        <v>241</v>
      </c>
      <c r="J2389" t="s">
        <v>188</v>
      </c>
      <c r="K2389" s="183">
        <f ca="1">VLOOKUP(F2389,
    OFFSET(INDIRECT(ADDRESS(MATCH(J2389,'Vehicle numbers'!$A$5:$A$162,0),1,1,1,$L$6)),4,1,COUNTIF('Vehicle numbers'!$A$5:$A$162,J2389),4),
    MATCH(K$8,'Vehicle numbers'!$B$4:$D$4,0))*1000</f>
        <v>3353894</v>
      </c>
      <c r="L2389" s="183">
        <f ca="1">VLOOKUP(F2389,
    OFFSET(INDIRECT(ADDRESS(MATCH(J2389,'Vehicle numbers'!$A$5:$A$162,0),1,1,1,$L$6)),4,1,COUNTIF('Vehicle numbers'!$A$5:$A$162,J2389),4),
    MATCH(L$8,'Vehicle numbers'!$B$4:$D$4,0))*1000</f>
        <v>3450135.9469293696</v>
      </c>
      <c r="M2389" s="184">
        <f>VLOOKUP(F2389,'Annual distance covered (GB)'!$A$8:$H$33,MATCH(J2389,'Annual distance covered (GB)'!$A$7:$H$7,0))</f>
        <v>70.5</v>
      </c>
      <c r="N2389" s="2">
        <f t="shared" ca="1" si="88"/>
        <v>50023.49115331511</v>
      </c>
      <c r="O2389" s="180">
        <f t="shared" ca="1" si="89"/>
        <v>1.4498991321729266E-2</v>
      </c>
      <c r="P2389" s="180"/>
      <c r="Q2389" s="180"/>
      <c r="R2389" s="180"/>
      <c r="S2389" s="180"/>
      <c r="T2389" s="180"/>
    </row>
    <row r="2390" spans="1:20" x14ac:dyDescent="0.25">
      <c r="A2390" t="s">
        <v>236</v>
      </c>
      <c r="B2390" t="s">
        <v>237</v>
      </c>
      <c r="C2390" t="s">
        <v>238</v>
      </c>
      <c r="D2390" t="s">
        <v>258</v>
      </c>
      <c r="E2390" t="s">
        <v>228</v>
      </c>
      <c r="F2390">
        <v>2013</v>
      </c>
      <c r="G2390">
        <v>1.0741000000000001E-2</v>
      </c>
      <c r="H2390" t="s">
        <v>240</v>
      </c>
      <c r="I2390" t="s">
        <v>241</v>
      </c>
      <c r="J2390" t="s">
        <v>188</v>
      </c>
      <c r="K2390" s="183">
        <f ca="1">VLOOKUP(F2390,
    OFFSET(INDIRECT(ADDRESS(MATCH(J2390,'Vehicle numbers'!$A$5:$A$162,0),1,1,1,$L$6)),4,1,COUNTIF('Vehicle numbers'!$A$5:$A$162,J2390),4),
    MATCH(K$8,'Vehicle numbers'!$B$4:$D$4,0))*1000</f>
        <v>3353894</v>
      </c>
      <c r="L2390" s="183">
        <f ca="1">VLOOKUP(F2390,
    OFFSET(INDIRECT(ADDRESS(MATCH(J2390,'Vehicle numbers'!$A$5:$A$162,0),1,1,1,$L$6)),4,1,COUNTIF('Vehicle numbers'!$A$5:$A$162,J2390),4),
    MATCH(L$8,'Vehicle numbers'!$B$4:$D$4,0))*1000</f>
        <v>3450135.9469293696</v>
      </c>
      <c r="M2390" s="184">
        <f>VLOOKUP(F2390,'Annual distance covered (GB)'!$A$8:$H$33,MATCH(J2390,'Annual distance covered (GB)'!$A$7:$H$7,0))</f>
        <v>70.5</v>
      </c>
      <c r="N2390" s="2">
        <f t="shared" ca="1" si="88"/>
        <v>778969.95835908025</v>
      </c>
      <c r="O2390" s="180">
        <f t="shared" ca="1" si="89"/>
        <v>0.22577949690717714</v>
      </c>
      <c r="P2390" s="180"/>
      <c r="Q2390" s="180"/>
      <c r="R2390" s="180"/>
      <c r="S2390" s="180"/>
      <c r="T2390" s="180"/>
    </row>
    <row r="2391" spans="1:20" x14ac:dyDescent="0.25">
      <c r="A2391" t="s">
        <v>243</v>
      </c>
      <c r="B2391" t="s">
        <v>237</v>
      </c>
      <c r="C2391" t="s">
        <v>238</v>
      </c>
      <c r="D2391" t="s">
        <v>258</v>
      </c>
      <c r="E2391" t="s">
        <v>228</v>
      </c>
      <c r="F2391">
        <v>2013</v>
      </c>
      <c r="G2391">
        <v>7.5186999999999997E-3</v>
      </c>
      <c r="H2391" t="s">
        <v>240</v>
      </c>
      <c r="I2391" t="s">
        <v>241</v>
      </c>
      <c r="J2391" t="s">
        <v>188</v>
      </c>
      <c r="K2391" s="183">
        <f ca="1">VLOOKUP(F2391,
    OFFSET(INDIRECT(ADDRESS(MATCH(J2391,'Vehicle numbers'!$A$5:$A$162,0),1,1,1,$L$6)),4,1,COUNTIF('Vehicle numbers'!$A$5:$A$162,J2391),4),
    MATCH(K$8,'Vehicle numbers'!$B$4:$D$4,0))*1000</f>
        <v>3353894</v>
      </c>
      <c r="L2391" s="183">
        <f ca="1">VLOOKUP(F2391,
    OFFSET(INDIRECT(ADDRESS(MATCH(J2391,'Vehicle numbers'!$A$5:$A$162,0),1,1,1,$L$6)),4,1,COUNTIF('Vehicle numbers'!$A$5:$A$162,J2391),4),
    MATCH(L$8,'Vehicle numbers'!$B$4:$D$4,0))*1000</f>
        <v>3450135.9469293696</v>
      </c>
      <c r="M2391" s="184">
        <f>VLOOKUP(F2391,'Annual distance covered (GB)'!$A$8:$H$33,MATCH(J2391,'Annual distance covered (GB)'!$A$7:$H$7,0))</f>
        <v>70.5</v>
      </c>
      <c r="N2391" s="2">
        <f t="shared" ca="1" si="88"/>
        <v>545278.97085135616</v>
      </c>
      <c r="O2391" s="180">
        <f t="shared" ca="1" si="89"/>
        <v>0.15804564783502398</v>
      </c>
      <c r="P2391" s="180"/>
      <c r="Q2391" s="180"/>
      <c r="R2391" s="180"/>
      <c r="S2391" s="180"/>
      <c r="T2391" s="180"/>
    </row>
    <row r="2392" spans="1:20" x14ac:dyDescent="0.25">
      <c r="A2392" t="s">
        <v>244</v>
      </c>
      <c r="B2392" t="s">
        <v>237</v>
      </c>
      <c r="C2392" t="s">
        <v>238</v>
      </c>
      <c r="D2392" t="s">
        <v>258</v>
      </c>
      <c r="E2392" t="s">
        <v>228</v>
      </c>
      <c r="F2392">
        <v>2013</v>
      </c>
      <c r="G2392">
        <v>1.05897183098591E-3</v>
      </c>
      <c r="H2392" t="s">
        <v>240</v>
      </c>
      <c r="I2392" t="s">
        <v>241</v>
      </c>
      <c r="J2392" t="s">
        <v>188</v>
      </c>
      <c r="K2392" s="183">
        <f ca="1">VLOOKUP(F2392,
    OFFSET(INDIRECT(ADDRESS(MATCH(J2392,'Vehicle numbers'!$A$5:$A$162,0),1,1,1,$L$6)),4,1,COUNTIF('Vehicle numbers'!$A$5:$A$162,J2392),4),
    MATCH(K$8,'Vehicle numbers'!$B$4:$D$4,0))*1000</f>
        <v>3353894</v>
      </c>
      <c r="L2392" s="183">
        <f ca="1">VLOOKUP(F2392,
    OFFSET(INDIRECT(ADDRESS(MATCH(J2392,'Vehicle numbers'!$A$5:$A$162,0),1,1,1,$L$6)),4,1,COUNTIF('Vehicle numbers'!$A$5:$A$162,J2392),4),
    MATCH(L$8,'Vehicle numbers'!$B$4:$D$4,0))*1000</f>
        <v>3450135.9469293696</v>
      </c>
      <c r="M2392" s="184">
        <f>VLOOKUP(F2392,'Annual distance covered (GB)'!$A$8:$H$33,MATCH(J2392,'Annual distance covered (GB)'!$A$7:$H$7,0))</f>
        <v>70.5</v>
      </c>
      <c r="N2392" s="2">
        <f t="shared" ca="1" si="88"/>
        <v>76799.855049486388</v>
      </c>
      <c r="O2392" s="180">
        <f t="shared" ca="1" si="89"/>
        <v>2.2259950399299039E-2</v>
      </c>
      <c r="P2392" s="180"/>
      <c r="Q2392" s="180"/>
      <c r="R2392" s="180"/>
      <c r="S2392" s="180"/>
      <c r="T2392" s="180"/>
    </row>
    <row r="2393" spans="1:20" x14ac:dyDescent="0.25">
      <c r="A2393" t="s">
        <v>246</v>
      </c>
      <c r="B2393" t="s">
        <v>237</v>
      </c>
      <c r="C2393" t="s">
        <v>238</v>
      </c>
      <c r="D2393" t="s">
        <v>258</v>
      </c>
      <c r="E2393" t="s">
        <v>228</v>
      </c>
      <c r="F2393">
        <v>2013</v>
      </c>
      <c r="G2393">
        <v>8.47177464788731E-4</v>
      </c>
      <c r="H2393" t="s">
        <v>240</v>
      </c>
      <c r="I2393" t="s">
        <v>241</v>
      </c>
      <c r="J2393" t="s">
        <v>188</v>
      </c>
      <c r="K2393" s="183">
        <f ca="1">VLOOKUP(F2393,
    OFFSET(INDIRECT(ADDRESS(MATCH(J2393,'Vehicle numbers'!$A$5:$A$162,0),1,1,1,$L$6)),4,1,COUNTIF('Vehicle numbers'!$A$5:$A$162,J2393),4),
    MATCH(K$8,'Vehicle numbers'!$B$4:$D$4,0))*1000</f>
        <v>3353894</v>
      </c>
      <c r="L2393" s="183">
        <f ca="1">VLOOKUP(F2393,
    OFFSET(INDIRECT(ADDRESS(MATCH(J2393,'Vehicle numbers'!$A$5:$A$162,0),1,1,1,$L$6)),4,1,COUNTIF('Vehicle numbers'!$A$5:$A$162,J2393),4),
    MATCH(L$8,'Vehicle numbers'!$B$4:$D$4,0))*1000</f>
        <v>3450135.9469293696</v>
      </c>
      <c r="M2393" s="184">
        <f>VLOOKUP(F2393,'Annual distance covered (GB)'!$A$8:$H$33,MATCH(J2393,'Annual distance covered (GB)'!$A$7:$H$7,0))</f>
        <v>70.5</v>
      </c>
      <c r="N2393" s="2">
        <f t="shared" ca="1" si="88"/>
        <v>61439.884039589328</v>
      </c>
      <c r="O2393" s="180">
        <f t="shared" ca="1" si="89"/>
        <v>1.7807960319439296E-2</v>
      </c>
      <c r="P2393" s="180"/>
      <c r="Q2393" s="180"/>
      <c r="R2393" s="180"/>
      <c r="S2393" s="180"/>
      <c r="T2393" s="180"/>
    </row>
    <row r="2394" spans="1:20" x14ac:dyDescent="0.25">
      <c r="A2394" t="s">
        <v>236</v>
      </c>
      <c r="B2394" t="s">
        <v>237</v>
      </c>
      <c r="C2394" t="s">
        <v>238</v>
      </c>
      <c r="D2394" t="s">
        <v>259</v>
      </c>
      <c r="E2394" t="s">
        <v>229</v>
      </c>
      <c r="F2394">
        <v>2013</v>
      </c>
      <c r="G2394">
        <v>1.8218999999999999E-2</v>
      </c>
      <c r="H2394" t="s">
        <v>240</v>
      </c>
      <c r="I2394" t="s">
        <v>241</v>
      </c>
      <c r="J2394" t="s">
        <v>188</v>
      </c>
      <c r="K2394" s="183">
        <f ca="1">VLOOKUP(F2394,
    OFFSET(INDIRECT(ADDRESS(MATCH(J2394,'Vehicle numbers'!$A$5:$A$162,0),1,1,1,$L$6)),4,1,COUNTIF('Vehicle numbers'!$A$5:$A$162,J2394),4),
    MATCH(K$8,'Vehicle numbers'!$B$4:$D$4,0))*1000</f>
        <v>3353894</v>
      </c>
      <c r="L2394" s="183">
        <f ca="1">VLOOKUP(F2394,
    OFFSET(INDIRECT(ADDRESS(MATCH(J2394,'Vehicle numbers'!$A$5:$A$162,0),1,1,1,$L$6)),4,1,COUNTIF('Vehicle numbers'!$A$5:$A$162,J2394),4),
    MATCH(L$8,'Vehicle numbers'!$B$4:$D$4,0))*1000</f>
        <v>3450135.9469293696</v>
      </c>
      <c r="M2394" s="184">
        <f>VLOOKUP(F2394,'Annual distance covered (GB)'!$A$8:$H$33,MATCH(J2394,'Annual distance covered (GB)'!$A$7:$H$7,0))</f>
        <v>70.5</v>
      </c>
      <c r="N2394" s="2">
        <f t="shared" ca="1" si="88"/>
        <v>1321297.24153655</v>
      </c>
      <c r="O2394" s="180">
        <f t="shared" ca="1" si="89"/>
        <v>0.38296961680959501</v>
      </c>
      <c r="P2394" s="180"/>
      <c r="Q2394" s="180"/>
      <c r="R2394" s="180"/>
      <c r="S2394" s="180"/>
      <c r="T2394" s="180"/>
    </row>
    <row r="2395" spans="1:20" x14ac:dyDescent="0.25">
      <c r="A2395" t="s">
        <v>243</v>
      </c>
      <c r="B2395" t="s">
        <v>237</v>
      </c>
      <c r="C2395" t="s">
        <v>238</v>
      </c>
      <c r="D2395" t="s">
        <v>259</v>
      </c>
      <c r="E2395" t="s">
        <v>229</v>
      </c>
      <c r="F2395">
        <v>2013</v>
      </c>
      <c r="G2395">
        <v>7.2876E-3</v>
      </c>
      <c r="H2395" t="s">
        <v>240</v>
      </c>
      <c r="I2395" t="s">
        <v>241</v>
      </c>
      <c r="J2395" t="s">
        <v>188</v>
      </c>
      <c r="K2395" s="183">
        <f ca="1">VLOOKUP(F2395,
    OFFSET(INDIRECT(ADDRESS(MATCH(J2395,'Vehicle numbers'!$A$5:$A$162,0),1,1,1,$L$6)),4,1,COUNTIF('Vehicle numbers'!$A$5:$A$162,J2395),4),
    MATCH(K$8,'Vehicle numbers'!$B$4:$D$4,0))*1000</f>
        <v>3353894</v>
      </c>
      <c r="L2395" s="183">
        <f ca="1">VLOOKUP(F2395,
    OFFSET(INDIRECT(ADDRESS(MATCH(J2395,'Vehicle numbers'!$A$5:$A$162,0),1,1,1,$L$6)),4,1,COUNTIF('Vehicle numbers'!$A$5:$A$162,J2395),4),
    MATCH(L$8,'Vehicle numbers'!$B$4:$D$4,0))*1000</f>
        <v>3450135.9469293696</v>
      </c>
      <c r="M2395" s="184">
        <f>VLOOKUP(F2395,'Annual distance covered (GB)'!$A$8:$H$33,MATCH(J2395,'Annual distance covered (GB)'!$A$7:$H$7,0))</f>
        <v>70.5</v>
      </c>
      <c r="N2395" s="2">
        <f t="shared" ca="1" si="88"/>
        <v>528518.89661462</v>
      </c>
      <c r="O2395" s="180">
        <f t="shared" ca="1" si="89"/>
        <v>0.15318784672383801</v>
      </c>
      <c r="P2395" s="180"/>
      <c r="Q2395" s="180"/>
      <c r="R2395" s="180"/>
      <c r="S2395" s="180"/>
      <c r="T2395" s="180"/>
    </row>
    <row r="2396" spans="1:20" x14ac:dyDescent="0.25">
      <c r="A2396" t="s">
        <v>244</v>
      </c>
      <c r="B2396" t="s">
        <v>237</v>
      </c>
      <c r="C2396" t="s">
        <v>238</v>
      </c>
      <c r="D2396" t="s">
        <v>259</v>
      </c>
      <c r="E2396" t="s">
        <v>229</v>
      </c>
      <c r="F2396">
        <v>2013</v>
      </c>
      <c r="G2396">
        <v>1.8219E-3</v>
      </c>
      <c r="H2396" t="s">
        <v>240</v>
      </c>
      <c r="I2396" t="s">
        <v>241</v>
      </c>
      <c r="J2396" t="s">
        <v>188</v>
      </c>
      <c r="K2396" s="183">
        <f ca="1">VLOOKUP(F2396,
    OFFSET(INDIRECT(ADDRESS(MATCH(J2396,'Vehicle numbers'!$A$5:$A$162,0),1,1,1,$L$6)),4,1,COUNTIF('Vehicle numbers'!$A$5:$A$162,J2396),4),
    MATCH(K$8,'Vehicle numbers'!$B$4:$D$4,0))*1000</f>
        <v>3353894</v>
      </c>
      <c r="L2396" s="183">
        <f ca="1">VLOOKUP(F2396,
    OFFSET(INDIRECT(ADDRESS(MATCH(J2396,'Vehicle numbers'!$A$5:$A$162,0),1,1,1,$L$6)),4,1,COUNTIF('Vehicle numbers'!$A$5:$A$162,J2396),4),
    MATCH(L$8,'Vehicle numbers'!$B$4:$D$4,0))*1000</f>
        <v>3450135.9469293696</v>
      </c>
      <c r="M2396" s="184">
        <f>VLOOKUP(F2396,'Annual distance covered (GB)'!$A$8:$H$33,MATCH(J2396,'Annual distance covered (GB)'!$A$7:$H$7,0))</f>
        <v>70.5</v>
      </c>
      <c r="N2396" s="2">
        <f t="shared" ca="1" si="88"/>
        <v>132129.724153655</v>
      </c>
      <c r="O2396" s="180">
        <f t="shared" ca="1" si="89"/>
        <v>3.8296961680959501E-2</v>
      </c>
      <c r="P2396" s="180"/>
      <c r="Q2396" s="180"/>
      <c r="R2396" s="180"/>
      <c r="S2396" s="180"/>
      <c r="T2396" s="180"/>
    </row>
    <row r="2397" spans="1:20" x14ac:dyDescent="0.25">
      <c r="A2397" t="s">
        <v>246</v>
      </c>
      <c r="B2397" t="s">
        <v>237</v>
      </c>
      <c r="C2397" t="s">
        <v>238</v>
      </c>
      <c r="D2397" t="s">
        <v>259</v>
      </c>
      <c r="E2397" t="s">
        <v>229</v>
      </c>
      <c r="F2397">
        <v>2013</v>
      </c>
      <c r="G2397">
        <v>1.4575199999999999E-3</v>
      </c>
      <c r="H2397" t="s">
        <v>240</v>
      </c>
      <c r="I2397" t="s">
        <v>241</v>
      </c>
      <c r="J2397" t="s">
        <v>188</v>
      </c>
      <c r="K2397" s="183">
        <f ca="1">VLOOKUP(F2397,
    OFFSET(INDIRECT(ADDRESS(MATCH(J2397,'Vehicle numbers'!$A$5:$A$162,0),1,1,1,$L$6)),4,1,COUNTIF('Vehicle numbers'!$A$5:$A$162,J2397),4),
    MATCH(K$8,'Vehicle numbers'!$B$4:$D$4,0))*1000</f>
        <v>3353894</v>
      </c>
      <c r="L2397" s="183">
        <f ca="1">VLOOKUP(F2397,
    OFFSET(INDIRECT(ADDRESS(MATCH(J2397,'Vehicle numbers'!$A$5:$A$162,0),1,1,1,$L$6)),4,1,COUNTIF('Vehicle numbers'!$A$5:$A$162,J2397),4),
    MATCH(L$8,'Vehicle numbers'!$B$4:$D$4,0))*1000</f>
        <v>3450135.9469293696</v>
      </c>
      <c r="M2397" s="184">
        <f>VLOOKUP(F2397,'Annual distance covered (GB)'!$A$8:$H$33,MATCH(J2397,'Annual distance covered (GB)'!$A$7:$H$7,0))</f>
        <v>70.5</v>
      </c>
      <c r="N2397" s="2">
        <f t="shared" ca="1" si="88"/>
        <v>105703.77932292401</v>
      </c>
      <c r="O2397" s="180">
        <f t="shared" ca="1" si="89"/>
        <v>3.0637569344767603E-2</v>
      </c>
      <c r="P2397" s="180"/>
      <c r="Q2397" s="180"/>
      <c r="R2397" s="180"/>
      <c r="S2397" s="180"/>
      <c r="T2397" s="180"/>
    </row>
    <row r="2398" spans="1:20" x14ac:dyDescent="0.25">
      <c r="A2398" t="s">
        <v>236</v>
      </c>
      <c r="B2398" t="s">
        <v>237</v>
      </c>
      <c r="C2398" t="s">
        <v>238</v>
      </c>
      <c r="D2398" t="s">
        <v>259</v>
      </c>
      <c r="E2398" t="s">
        <v>228</v>
      </c>
      <c r="F2398">
        <v>2013</v>
      </c>
      <c r="G2398">
        <v>1.3802E-2</v>
      </c>
      <c r="H2398" t="s">
        <v>240</v>
      </c>
      <c r="I2398" t="s">
        <v>241</v>
      </c>
      <c r="J2398" t="s">
        <v>188</v>
      </c>
      <c r="K2398" s="183">
        <f ca="1">VLOOKUP(F2398,
    OFFSET(INDIRECT(ADDRESS(MATCH(J2398,'Vehicle numbers'!$A$5:$A$162,0),1,1,1,$L$6)),4,1,COUNTIF('Vehicle numbers'!$A$5:$A$162,J2398),4),
    MATCH(K$8,'Vehicle numbers'!$B$4:$D$4,0))*1000</f>
        <v>3353894</v>
      </c>
      <c r="L2398" s="183">
        <f ca="1">VLOOKUP(F2398,
    OFFSET(INDIRECT(ADDRESS(MATCH(J2398,'Vehicle numbers'!$A$5:$A$162,0),1,1,1,$L$6)),4,1,COUNTIF('Vehicle numbers'!$A$5:$A$162,J2398),4),
    MATCH(L$8,'Vehicle numbers'!$B$4:$D$4,0))*1000</f>
        <v>3450135.9469293696</v>
      </c>
      <c r="M2398" s="184">
        <f>VLOOKUP(F2398,'Annual distance covered (GB)'!$A$8:$H$33,MATCH(J2398,'Annual distance covered (GB)'!$A$7:$H$7,0))</f>
        <v>70.5</v>
      </c>
      <c r="N2398" s="2">
        <f t="shared" ca="1" si="88"/>
        <v>1000962.979729264</v>
      </c>
      <c r="O2398" s="180">
        <f t="shared" ca="1" si="89"/>
        <v>0.29012276476239257</v>
      </c>
      <c r="P2398" s="180"/>
      <c r="Q2398" s="180"/>
      <c r="R2398" s="180"/>
      <c r="S2398" s="180"/>
      <c r="T2398" s="180"/>
    </row>
    <row r="2399" spans="1:20" x14ac:dyDescent="0.25">
      <c r="A2399" t="s">
        <v>243</v>
      </c>
      <c r="B2399" t="s">
        <v>237</v>
      </c>
      <c r="C2399" t="s">
        <v>238</v>
      </c>
      <c r="D2399" t="s">
        <v>259</v>
      </c>
      <c r="E2399" t="s">
        <v>228</v>
      </c>
      <c r="F2399">
        <v>2013</v>
      </c>
      <c r="G2399">
        <v>9.6614000000000005E-3</v>
      </c>
      <c r="H2399" t="s">
        <v>240</v>
      </c>
      <c r="I2399" t="s">
        <v>241</v>
      </c>
      <c r="J2399" t="s">
        <v>188</v>
      </c>
      <c r="K2399" s="183">
        <f ca="1">VLOOKUP(F2399,
    OFFSET(INDIRECT(ADDRESS(MATCH(J2399,'Vehicle numbers'!$A$5:$A$162,0),1,1,1,$L$6)),4,1,COUNTIF('Vehicle numbers'!$A$5:$A$162,J2399),4),
    MATCH(K$8,'Vehicle numbers'!$B$4:$D$4,0))*1000</f>
        <v>3353894</v>
      </c>
      <c r="L2399" s="183">
        <f ca="1">VLOOKUP(F2399,
    OFFSET(INDIRECT(ADDRESS(MATCH(J2399,'Vehicle numbers'!$A$5:$A$162,0),1,1,1,$L$6)),4,1,COUNTIF('Vehicle numbers'!$A$5:$A$162,J2399),4),
    MATCH(L$8,'Vehicle numbers'!$B$4:$D$4,0))*1000</f>
        <v>3450135.9469293696</v>
      </c>
      <c r="M2399" s="184">
        <f>VLOOKUP(F2399,'Annual distance covered (GB)'!$A$8:$H$33,MATCH(J2399,'Annual distance covered (GB)'!$A$7:$H$7,0))</f>
        <v>70.5</v>
      </c>
      <c r="N2399" s="2">
        <f t="shared" ca="1" si="88"/>
        <v>700674.08581048495</v>
      </c>
      <c r="O2399" s="180">
        <f t="shared" ca="1" si="89"/>
        <v>0.20308593533367483</v>
      </c>
      <c r="P2399" s="180"/>
      <c r="Q2399" s="180"/>
      <c r="R2399" s="180"/>
      <c r="S2399" s="180"/>
      <c r="T2399" s="180"/>
    </row>
    <row r="2400" spans="1:20" x14ac:dyDescent="0.25">
      <c r="A2400" t="s">
        <v>244</v>
      </c>
      <c r="B2400" t="s">
        <v>237</v>
      </c>
      <c r="C2400" t="s">
        <v>238</v>
      </c>
      <c r="D2400" t="s">
        <v>259</v>
      </c>
      <c r="E2400" t="s">
        <v>228</v>
      </c>
      <c r="F2400">
        <v>2013</v>
      </c>
      <c r="G2400">
        <v>1.3607605633802801E-3</v>
      </c>
      <c r="H2400" t="s">
        <v>240</v>
      </c>
      <c r="I2400" t="s">
        <v>241</v>
      </c>
      <c r="J2400" t="s">
        <v>188</v>
      </c>
      <c r="K2400" s="183">
        <f ca="1">VLOOKUP(F2400,
    OFFSET(INDIRECT(ADDRESS(MATCH(J2400,'Vehicle numbers'!$A$5:$A$162,0),1,1,1,$L$6)),4,1,COUNTIF('Vehicle numbers'!$A$5:$A$162,J2400),4),
    MATCH(K$8,'Vehicle numbers'!$B$4:$D$4,0))*1000</f>
        <v>3353894</v>
      </c>
      <c r="L2400" s="183">
        <f ca="1">VLOOKUP(F2400,
    OFFSET(INDIRECT(ADDRESS(MATCH(J2400,'Vehicle numbers'!$A$5:$A$162,0),1,1,1,$L$6)),4,1,COUNTIF('Vehicle numbers'!$A$5:$A$162,J2400),4),
    MATCH(L$8,'Vehicle numbers'!$B$4:$D$4,0))*1000</f>
        <v>3450135.9469293696</v>
      </c>
      <c r="M2400" s="184">
        <f>VLOOKUP(F2400,'Annual distance covered (GB)'!$A$8:$H$33,MATCH(J2400,'Annual distance covered (GB)'!$A$7:$H$7,0))</f>
        <v>70.5</v>
      </c>
      <c r="N2400" s="2">
        <f t="shared" ca="1" si="88"/>
        <v>98686.490959223098</v>
      </c>
      <c r="O2400" s="180">
        <f t="shared" ca="1" si="89"/>
        <v>2.8603652863897825E-2</v>
      </c>
      <c r="P2400" s="180"/>
      <c r="Q2400" s="180"/>
      <c r="R2400" s="180"/>
      <c r="S2400" s="180"/>
      <c r="T2400" s="180"/>
    </row>
    <row r="2401" spans="1:20" x14ac:dyDescent="0.25">
      <c r="A2401" t="s">
        <v>246</v>
      </c>
      <c r="B2401" t="s">
        <v>237</v>
      </c>
      <c r="C2401" t="s">
        <v>238</v>
      </c>
      <c r="D2401" t="s">
        <v>259</v>
      </c>
      <c r="E2401" t="s">
        <v>228</v>
      </c>
      <c r="F2401">
        <v>2013</v>
      </c>
      <c r="G2401">
        <v>1.0886084507042201E-3</v>
      </c>
      <c r="H2401" t="s">
        <v>240</v>
      </c>
      <c r="I2401" t="s">
        <v>241</v>
      </c>
      <c r="J2401" t="s">
        <v>188</v>
      </c>
      <c r="K2401" s="183">
        <f ca="1">VLOOKUP(F2401,
    OFFSET(INDIRECT(ADDRESS(MATCH(J2401,'Vehicle numbers'!$A$5:$A$162,0),1,1,1,$L$6)),4,1,COUNTIF('Vehicle numbers'!$A$5:$A$162,J2401),4),
    MATCH(K$8,'Vehicle numbers'!$B$4:$D$4,0))*1000</f>
        <v>3353894</v>
      </c>
      <c r="L2401" s="183">
        <f ca="1">VLOOKUP(F2401,
    OFFSET(INDIRECT(ADDRESS(MATCH(J2401,'Vehicle numbers'!$A$5:$A$162,0),1,1,1,$L$6)),4,1,COUNTIF('Vehicle numbers'!$A$5:$A$162,J2401),4),
    MATCH(L$8,'Vehicle numbers'!$B$4:$D$4,0))*1000</f>
        <v>3450135.9469293696</v>
      </c>
      <c r="M2401" s="184">
        <f>VLOOKUP(F2401,'Annual distance covered (GB)'!$A$8:$H$33,MATCH(J2401,'Annual distance covered (GB)'!$A$7:$H$7,0))</f>
        <v>70.5</v>
      </c>
      <c r="N2401" s="2">
        <f t="shared" ca="1" si="88"/>
        <v>78949.19276737819</v>
      </c>
      <c r="O2401" s="180">
        <f t="shared" ca="1" si="89"/>
        <v>2.2882922291118178E-2</v>
      </c>
      <c r="P2401" s="180"/>
      <c r="Q2401" s="180"/>
      <c r="R2401" s="180"/>
      <c r="S2401" s="180"/>
      <c r="T2401" s="180"/>
    </row>
    <row r="2402" spans="1:20" x14ac:dyDescent="0.25">
      <c r="A2402" t="s">
        <v>236</v>
      </c>
      <c r="B2402" t="s">
        <v>237</v>
      </c>
      <c r="C2402" t="s">
        <v>238</v>
      </c>
      <c r="D2402" t="s">
        <v>260</v>
      </c>
      <c r="E2402" t="s">
        <v>229</v>
      </c>
      <c r="F2402">
        <v>2013</v>
      </c>
      <c r="G2402">
        <v>5.8399999999999997E-3</v>
      </c>
      <c r="H2402" t="s">
        <v>240</v>
      </c>
      <c r="I2402" t="s">
        <v>241</v>
      </c>
      <c r="J2402" t="s">
        <v>3</v>
      </c>
      <c r="K2402" s="183">
        <f ca="1">VLOOKUP(F2402,
    OFFSET(INDIRECT(ADDRESS(MATCH(J2402,'Vehicle numbers'!$A$5:$A$162,0),1,1,1,$L$6)),4,1,COUNTIF('Vehicle numbers'!$A$5:$A$162,J2402),4),
    MATCH(K$8,'Vehicle numbers'!$B$4:$D$4,0))*1000</f>
        <v>1219399</v>
      </c>
      <c r="L2402" s="183">
        <f ca="1">VLOOKUP(F2402,
    OFFSET(INDIRECT(ADDRESS(MATCH(J2402,'Vehicle numbers'!$A$5:$A$162,0),1,1,1,$L$6)),4,1,COUNTIF('Vehicle numbers'!$A$5:$A$162,J2402),4),
    MATCH(L$8,'Vehicle numbers'!$B$4:$D$4,0))*1000</f>
        <v>1241806.8949190932</v>
      </c>
      <c r="M2402" s="184">
        <f>VLOOKUP(F2402,'Annual distance covered (GB)'!$A$8:$H$33,MATCH(J2402,'Annual distance covered (GB)'!$A$7:$H$7,0))</f>
        <v>4.5</v>
      </c>
      <c r="N2402" s="2">
        <f t="shared" ca="1" si="88"/>
        <v>26762.925997539576</v>
      </c>
      <c r="O2402" s="180">
        <f t="shared" ca="1" si="89"/>
        <v>2.1551600419550936E-2</v>
      </c>
      <c r="P2402" s="180"/>
      <c r="Q2402" s="180"/>
      <c r="R2402" s="180"/>
      <c r="S2402" s="180"/>
      <c r="T2402" s="180"/>
    </row>
    <row r="2403" spans="1:20" x14ac:dyDescent="0.25">
      <c r="A2403" t="s">
        <v>243</v>
      </c>
      <c r="B2403" t="s">
        <v>237</v>
      </c>
      <c r="C2403" t="s">
        <v>238</v>
      </c>
      <c r="D2403" t="s">
        <v>260</v>
      </c>
      <c r="E2403" t="s">
        <v>229</v>
      </c>
      <c r="F2403">
        <v>2013</v>
      </c>
      <c r="G2403">
        <v>2.336E-3</v>
      </c>
      <c r="H2403" t="s">
        <v>240</v>
      </c>
      <c r="I2403" t="s">
        <v>241</v>
      </c>
      <c r="J2403" t="s">
        <v>3</v>
      </c>
      <c r="K2403" s="183">
        <f ca="1">VLOOKUP(F2403,
    OFFSET(INDIRECT(ADDRESS(MATCH(J2403,'Vehicle numbers'!$A$5:$A$162,0),1,1,1,$L$6)),4,1,COUNTIF('Vehicle numbers'!$A$5:$A$162,J2403),4),
    MATCH(K$8,'Vehicle numbers'!$B$4:$D$4,0))*1000</f>
        <v>1219399</v>
      </c>
      <c r="L2403" s="183">
        <f ca="1">VLOOKUP(F2403,
    OFFSET(INDIRECT(ADDRESS(MATCH(J2403,'Vehicle numbers'!$A$5:$A$162,0),1,1,1,$L$6)),4,1,COUNTIF('Vehicle numbers'!$A$5:$A$162,J2403),4),
    MATCH(L$8,'Vehicle numbers'!$B$4:$D$4,0))*1000</f>
        <v>1241806.8949190932</v>
      </c>
      <c r="M2403" s="184">
        <f>VLOOKUP(F2403,'Annual distance covered (GB)'!$A$8:$H$33,MATCH(J2403,'Annual distance covered (GB)'!$A$7:$H$7,0))</f>
        <v>4.5</v>
      </c>
      <c r="N2403" s="2">
        <f t="shared" ca="1" si="88"/>
        <v>10705.170399015833</v>
      </c>
      <c r="O2403" s="180">
        <f t="shared" ca="1" si="89"/>
        <v>8.6206401678203762E-3</v>
      </c>
      <c r="P2403" s="180"/>
      <c r="Q2403" s="180"/>
      <c r="R2403" s="180"/>
      <c r="S2403" s="180"/>
      <c r="T2403" s="180"/>
    </row>
    <row r="2404" spans="1:20" x14ac:dyDescent="0.25">
      <c r="A2404" t="s">
        <v>244</v>
      </c>
      <c r="B2404" t="s">
        <v>237</v>
      </c>
      <c r="C2404" t="s">
        <v>238</v>
      </c>
      <c r="D2404" t="s">
        <v>260</v>
      </c>
      <c r="E2404" t="s">
        <v>229</v>
      </c>
      <c r="F2404">
        <v>2013</v>
      </c>
      <c r="G2404">
        <v>5.8399999999999999E-4</v>
      </c>
      <c r="H2404" t="s">
        <v>240</v>
      </c>
      <c r="I2404" t="s">
        <v>241</v>
      </c>
      <c r="J2404" t="s">
        <v>3</v>
      </c>
      <c r="K2404" s="183">
        <f ca="1">VLOOKUP(F2404,
    OFFSET(INDIRECT(ADDRESS(MATCH(J2404,'Vehicle numbers'!$A$5:$A$162,0),1,1,1,$L$6)),4,1,COUNTIF('Vehicle numbers'!$A$5:$A$162,J2404),4),
    MATCH(K$8,'Vehicle numbers'!$B$4:$D$4,0))*1000</f>
        <v>1219399</v>
      </c>
      <c r="L2404" s="183">
        <f ca="1">VLOOKUP(F2404,
    OFFSET(INDIRECT(ADDRESS(MATCH(J2404,'Vehicle numbers'!$A$5:$A$162,0),1,1,1,$L$6)),4,1,COUNTIF('Vehicle numbers'!$A$5:$A$162,J2404),4),
    MATCH(L$8,'Vehicle numbers'!$B$4:$D$4,0))*1000</f>
        <v>1241806.8949190932</v>
      </c>
      <c r="M2404" s="184">
        <f>VLOOKUP(F2404,'Annual distance covered (GB)'!$A$8:$H$33,MATCH(J2404,'Annual distance covered (GB)'!$A$7:$H$7,0))</f>
        <v>4.5</v>
      </c>
      <c r="N2404" s="2">
        <f t="shared" ca="1" si="88"/>
        <v>2676.2925997539583</v>
      </c>
      <c r="O2404" s="180">
        <f t="shared" ca="1" si="89"/>
        <v>2.1551600419550941E-3</v>
      </c>
      <c r="P2404" s="180"/>
      <c r="Q2404" s="180"/>
      <c r="R2404" s="180"/>
      <c r="S2404" s="180"/>
      <c r="T2404" s="180"/>
    </row>
    <row r="2405" spans="1:20" x14ac:dyDescent="0.25">
      <c r="A2405" t="s">
        <v>246</v>
      </c>
      <c r="B2405" t="s">
        <v>237</v>
      </c>
      <c r="C2405" t="s">
        <v>238</v>
      </c>
      <c r="D2405" t="s">
        <v>260</v>
      </c>
      <c r="E2405" t="s">
        <v>229</v>
      </c>
      <c r="F2405">
        <v>2013</v>
      </c>
      <c r="G2405">
        <v>4.6720000000000003E-4</v>
      </c>
      <c r="H2405" t="s">
        <v>240</v>
      </c>
      <c r="I2405" t="s">
        <v>241</v>
      </c>
      <c r="J2405" t="s">
        <v>3</v>
      </c>
      <c r="K2405" s="183">
        <f ca="1">VLOOKUP(F2405,
    OFFSET(INDIRECT(ADDRESS(MATCH(J2405,'Vehicle numbers'!$A$5:$A$162,0),1,1,1,$L$6)),4,1,COUNTIF('Vehicle numbers'!$A$5:$A$162,J2405),4),
    MATCH(K$8,'Vehicle numbers'!$B$4:$D$4,0))*1000</f>
        <v>1219399</v>
      </c>
      <c r="L2405" s="183">
        <f ca="1">VLOOKUP(F2405,
    OFFSET(INDIRECT(ADDRESS(MATCH(J2405,'Vehicle numbers'!$A$5:$A$162,0),1,1,1,$L$6)),4,1,COUNTIF('Vehicle numbers'!$A$5:$A$162,J2405),4),
    MATCH(L$8,'Vehicle numbers'!$B$4:$D$4,0))*1000</f>
        <v>1241806.8949190932</v>
      </c>
      <c r="M2405" s="184">
        <f>VLOOKUP(F2405,'Annual distance covered (GB)'!$A$8:$H$33,MATCH(J2405,'Annual distance covered (GB)'!$A$7:$H$7,0))</f>
        <v>4.5</v>
      </c>
      <c r="N2405" s="2">
        <f t="shared" ca="1" si="88"/>
        <v>2141.0340798031666</v>
      </c>
      <c r="O2405" s="180">
        <f t="shared" ca="1" si="89"/>
        <v>1.7241280335640755E-3</v>
      </c>
      <c r="P2405" s="180"/>
      <c r="Q2405" s="180"/>
      <c r="R2405" s="180"/>
      <c r="S2405" s="180"/>
      <c r="T2405" s="180"/>
    </row>
    <row r="2406" spans="1:20" x14ac:dyDescent="0.25">
      <c r="A2406" t="s">
        <v>236</v>
      </c>
      <c r="B2406" t="s">
        <v>237</v>
      </c>
      <c r="C2406" t="s">
        <v>238</v>
      </c>
      <c r="D2406" t="s">
        <v>260</v>
      </c>
      <c r="E2406" t="s">
        <v>228</v>
      </c>
      <c r="F2406">
        <v>2013</v>
      </c>
      <c r="G2406">
        <v>3.7569999999999999E-3</v>
      </c>
      <c r="H2406" t="s">
        <v>240</v>
      </c>
      <c r="I2406" t="s">
        <v>241</v>
      </c>
      <c r="J2406" t="s">
        <v>3</v>
      </c>
      <c r="K2406" s="183">
        <f ca="1">VLOOKUP(F2406,
    OFFSET(INDIRECT(ADDRESS(MATCH(J2406,'Vehicle numbers'!$A$5:$A$162,0),1,1,1,$L$6)),4,1,COUNTIF('Vehicle numbers'!$A$5:$A$162,J2406),4),
    MATCH(K$8,'Vehicle numbers'!$B$4:$D$4,0))*1000</f>
        <v>1219399</v>
      </c>
      <c r="L2406" s="183">
        <f ca="1">VLOOKUP(F2406,
    OFFSET(INDIRECT(ADDRESS(MATCH(J2406,'Vehicle numbers'!$A$5:$A$162,0),1,1,1,$L$6)),4,1,COUNTIF('Vehicle numbers'!$A$5:$A$162,J2406),4),
    MATCH(L$8,'Vehicle numbers'!$B$4:$D$4,0))*1000</f>
        <v>1241806.8949190932</v>
      </c>
      <c r="M2406" s="184">
        <f>VLOOKUP(F2406,'Annual distance covered (GB)'!$A$8:$H$33,MATCH(J2406,'Annual distance covered (GB)'!$A$7:$H$7,0))</f>
        <v>4.5</v>
      </c>
      <c r="N2406" s="2">
        <f t="shared" ca="1" si="88"/>
        <v>17217.176878896607</v>
      </c>
      <c r="O2406" s="180">
        <f t="shared" ca="1" si="89"/>
        <v>1.3864616913741929E-2</v>
      </c>
      <c r="P2406" s="180"/>
      <c r="Q2406" s="180"/>
      <c r="R2406" s="180"/>
      <c r="S2406" s="180"/>
      <c r="T2406" s="180"/>
    </row>
    <row r="2407" spans="1:20" x14ac:dyDescent="0.25">
      <c r="A2407" t="s">
        <v>243</v>
      </c>
      <c r="B2407" t="s">
        <v>237</v>
      </c>
      <c r="C2407" t="s">
        <v>238</v>
      </c>
      <c r="D2407" t="s">
        <v>260</v>
      </c>
      <c r="E2407" t="s">
        <v>228</v>
      </c>
      <c r="F2407">
        <v>2013</v>
      </c>
      <c r="G2407">
        <v>2.6299000000000001E-3</v>
      </c>
      <c r="H2407" t="s">
        <v>240</v>
      </c>
      <c r="I2407" t="s">
        <v>241</v>
      </c>
      <c r="J2407" t="s">
        <v>3</v>
      </c>
      <c r="K2407" s="183">
        <f ca="1">VLOOKUP(F2407,
    OFFSET(INDIRECT(ADDRESS(MATCH(J2407,'Vehicle numbers'!$A$5:$A$162,0),1,1,1,$L$6)),4,1,COUNTIF('Vehicle numbers'!$A$5:$A$162,J2407),4),
    MATCH(K$8,'Vehicle numbers'!$B$4:$D$4,0))*1000</f>
        <v>1219399</v>
      </c>
      <c r="L2407" s="183">
        <f ca="1">VLOOKUP(F2407,
    OFFSET(INDIRECT(ADDRESS(MATCH(J2407,'Vehicle numbers'!$A$5:$A$162,0),1,1,1,$L$6)),4,1,COUNTIF('Vehicle numbers'!$A$5:$A$162,J2407),4),
    MATCH(L$8,'Vehicle numbers'!$B$4:$D$4,0))*1000</f>
        <v>1241806.8949190932</v>
      </c>
      <c r="M2407" s="184">
        <f>VLOOKUP(F2407,'Annual distance covered (GB)'!$A$8:$H$33,MATCH(J2407,'Annual distance covered (GB)'!$A$7:$H$7,0))</f>
        <v>4.5</v>
      </c>
      <c r="N2407" s="2">
        <f t="shared" ca="1" si="88"/>
        <v>12052.023815227629</v>
      </c>
      <c r="O2407" s="180">
        <f t="shared" ca="1" si="89"/>
        <v>9.7052318396193531E-3</v>
      </c>
      <c r="P2407" s="180"/>
      <c r="Q2407" s="180"/>
      <c r="R2407" s="180"/>
      <c r="S2407" s="180"/>
      <c r="T2407" s="180"/>
    </row>
    <row r="2408" spans="1:20" x14ac:dyDescent="0.25">
      <c r="A2408" t="s">
        <v>244</v>
      </c>
      <c r="B2408" t="s">
        <v>237</v>
      </c>
      <c r="C2408" t="s">
        <v>238</v>
      </c>
      <c r="D2408" t="s">
        <v>260</v>
      </c>
      <c r="E2408" t="s">
        <v>228</v>
      </c>
      <c r="F2408">
        <v>2013</v>
      </c>
      <c r="G2408">
        <v>3.7040845070422499E-4</v>
      </c>
      <c r="H2408" t="s">
        <v>240</v>
      </c>
      <c r="I2408" t="s">
        <v>241</v>
      </c>
      <c r="J2408" t="s">
        <v>3</v>
      </c>
      <c r="K2408" s="183">
        <f ca="1">VLOOKUP(F2408,
    OFFSET(INDIRECT(ADDRESS(MATCH(J2408,'Vehicle numbers'!$A$5:$A$162,0),1,1,1,$L$6)),4,1,COUNTIF('Vehicle numbers'!$A$5:$A$162,J2408),4),
    MATCH(K$8,'Vehicle numbers'!$B$4:$D$4,0))*1000</f>
        <v>1219399</v>
      </c>
      <c r="L2408" s="183">
        <f ca="1">VLOOKUP(F2408,
    OFFSET(INDIRECT(ADDRESS(MATCH(J2408,'Vehicle numbers'!$A$5:$A$162,0),1,1,1,$L$6)),4,1,COUNTIF('Vehicle numbers'!$A$5:$A$162,J2408),4),
    MATCH(L$8,'Vehicle numbers'!$B$4:$D$4,0))*1000</f>
        <v>1241806.8949190932</v>
      </c>
      <c r="M2408" s="184">
        <f>VLOOKUP(F2408,'Annual distance covered (GB)'!$A$8:$H$33,MATCH(J2408,'Annual distance covered (GB)'!$A$7:$H$7,0))</f>
        <v>4.5</v>
      </c>
      <c r="N2408" s="2">
        <f t="shared" ca="1" si="88"/>
        <v>1697.4681429898048</v>
      </c>
      <c r="O2408" s="180">
        <f t="shared" ca="1" si="89"/>
        <v>1.3669340619182173E-3</v>
      </c>
      <c r="P2408" s="180"/>
      <c r="Q2408" s="180"/>
      <c r="R2408" s="180"/>
      <c r="S2408" s="180"/>
      <c r="T2408" s="180"/>
    </row>
    <row r="2409" spans="1:20" x14ac:dyDescent="0.25">
      <c r="A2409" t="s">
        <v>246</v>
      </c>
      <c r="B2409" t="s">
        <v>237</v>
      </c>
      <c r="C2409" t="s">
        <v>238</v>
      </c>
      <c r="D2409" t="s">
        <v>260</v>
      </c>
      <c r="E2409" t="s">
        <v>228</v>
      </c>
      <c r="F2409">
        <v>2013</v>
      </c>
      <c r="G2409">
        <v>2.9632676056337998E-4</v>
      </c>
      <c r="H2409" t="s">
        <v>240</v>
      </c>
      <c r="I2409" t="s">
        <v>241</v>
      </c>
      <c r="J2409" t="s">
        <v>3</v>
      </c>
      <c r="K2409" s="183">
        <f ca="1">VLOOKUP(F2409,
    OFFSET(INDIRECT(ADDRESS(MATCH(J2409,'Vehicle numbers'!$A$5:$A$162,0),1,1,1,$L$6)),4,1,COUNTIF('Vehicle numbers'!$A$5:$A$162,J2409),4),
    MATCH(K$8,'Vehicle numbers'!$B$4:$D$4,0))*1000</f>
        <v>1219399</v>
      </c>
      <c r="L2409" s="183">
        <f ca="1">VLOOKUP(F2409,
    OFFSET(INDIRECT(ADDRESS(MATCH(J2409,'Vehicle numbers'!$A$5:$A$162,0),1,1,1,$L$6)),4,1,COUNTIF('Vehicle numbers'!$A$5:$A$162,J2409),4),
    MATCH(L$8,'Vehicle numbers'!$B$4:$D$4,0))*1000</f>
        <v>1241806.8949190932</v>
      </c>
      <c r="M2409" s="184">
        <f>VLOOKUP(F2409,'Annual distance covered (GB)'!$A$8:$H$33,MATCH(J2409,'Annual distance covered (GB)'!$A$7:$H$7,0))</f>
        <v>4.5</v>
      </c>
      <c r="N2409" s="2">
        <f t="shared" ca="1" si="88"/>
        <v>1357.974514391844</v>
      </c>
      <c r="O2409" s="180">
        <f t="shared" ca="1" si="89"/>
        <v>1.0935472495345738E-3</v>
      </c>
      <c r="P2409" s="180"/>
      <c r="Q2409" s="180"/>
      <c r="R2409" s="180"/>
      <c r="S2409" s="180"/>
      <c r="T2409" s="180"/>
    </row>
    <row r="2410" spans="1:20" x14ac:dyDescent="0.25">
      <c r="A2410" t="s">
        <v>236</v>
      </c>
      <c r="B2410" t="s">
        <v>237</v>
      </c>
      <c r="C2410" t="s">
        <v>238</v>
      </c>
      <c r="D2410" t="s">
        <v>261</v>
      </c>
      <c r="E2410" t="s">
        <v>229</v>
      </c>
      <c r="F2410">
        <v>2013</v>
      </c>
      <c r="G2410">
        <v>5.8399999999999997E-3</v>
      </c>
      <c r="H2410" t="s">
        <v>240</v>
      </c>
      <c r="I2410" t="s">
        <v>241</v>
      </c>
      <c r="J2410" t="s">
        <v>3</v>
      </c>
      <c r="K2410" s="183">
        <f ca="1">VLOOKUP(F2410,
    OFFSET(INDIRECT(ADDRESS(MATCH(J2410,'Vehicle numbers'!$A$5:$A$162,0),1,1,1,$L$6)),4,1,COUNTIF('Vehicle numbers'!$A$5:$A$162,J2410),4),
    MATCH(K$8,'Vehicle numbers'!$B$4:$D$4,0))*1000</f>
        <v>1219399</v>
      </c>
      <c r="L2410" s="183">
        <f ca="1">VLOOKUP(F2410,
    OFFSET(INDIRECT(ADDRESS(MATCH(J2410,'Vehicle numbers'!$A$5:$A$162,0),1,1,1,$L$6)),4,1,COUNTIF('Vehicle numbers'!$A$5:$A$162,J2410),4),
    MATCH(L$8,'Vehicle numbers'!$B$4:$D$4,0))*1000</f>
        <v>1241806.8949190932</v>
      </c>
      <c r="M2410" s="184">
        <f>VLOOKUP(F2410,'Annual distance covered (GB)'!$A$8:$H$33,MATCH(J2410,'Annual distance covered (GB)'!$A$7:$H$7,0))</f>
        <v>4.5</v>
      </c>
      <c r="N2410" s="2">
        <f t="shared" ca="1" si="88"/>
        <v>26762.925997539576</v>
      </c>
      <c r="O2410" s="180">
        <f t="shared" ca="1" si="89"/>
        <v>2.1551600419550936E-2</v>
      </c>
      <c r="P2410" s="180"/>
      <c r="Q2410" s="180"/>
      <c r="R2410" s="180"/>
      <c r="S2410" s="180"/>
      <c r="T2410" s="180"/>
    </row>
    <row r="2411" spans="1:20" x14ac:dyDescent="0.25">
      <c r="A2411" t="s">
        <v>243</v>
      </c>
      <c r="B2411" t="s">
        <v>237</v>
      </c>
      <c r="C2411" t="s">
        <v>238</v>
      </c>
      <c r="D2411" t="s">
        <v>261</v>
      </c>
      <c r="E2411" t="s">
        <v>229</v>
      </c>
      <c r="F2411">
        <v>2013</v>
      </c>
      <c r="G2411">
        <v>2.336E-3</v>
      </c>
      <c r="H2411" t="s">
        <v>240</v>
      </c>
      <c r="I2411" t="s">
        <v>241</v>
      </c>
      <c r="J2411" t="s">
        <v>3</v>
      </c>
      <c r="K2411" s="183">
        <f ca="1">VLOOKUP(F2411,
    OFFSET(INDIRECT(ADDRESS(MATCH(J2411,'Vehicle numbers'!$A$5:$A$162,0),1,1,1,$L$6)),4,1,COUNTIF('Vehicle numbers'!$A$5:$A$162,J2411),4),
    MATCH(K$8,'Vehicle numbers'!$B$4:$D$4,0))*1000</f>
        <v>1219399</v>
      </c>
      <c r="L2411" s="183">
        <f ca="1">VLOOKUP(F2411,
    OFFSET(INDIRECT(ADDRESS(MATCH(J2411,'Vehicle numbers'!$A$5:$A$162,0),1,1,1,$L$6)),4,1,COUNTIF('Vehicle numbers'!$A$5:$A$162,J2411),4),
    MATCH(L$8,'Vehicle numbers'!$B$4:$D$4,0))*1000</f>
        <v>1241806.8949190932</v>
      </c>
      <c r="M2411" s="184">
        <f>VLOOKUP(F2411,'Annual distance covered (GB)'!$A$8:$H$33,MATCH(J2411,'Annual distance covered (GB)'!$A$7:$H$7,0))</f>
        <v>4.5</v>
      </c>
      <c r="N2411" s="2">
        <f t="shared" ca="1" si="88"/>
        <v>10705.170399015833</v>
      </c>
      <c r="O2411" s="180">
        <f t="shared" ca="1" si="89"/>
        <v>8.6206401678203762E-3</v>
      </c>
      <c r="P2411" s="180"/>
      <c r="Q2411" s="180"/>
      <c r="R2411" s="180"/>
      <c r="S2411" s="180"/>
      <c r="T2411" s="180"/>
    </row>
    <row r="2412" spans="1:20" x14ac:dyDescent="0.25">
      <c r="A2412" t="s">
        <v>244</v>
      </c>
      <c r="B2412" t="s">
        <v>237</v>
      </c>
      <c r="C2412" t="s">
        <v>238</v>
      </c>
      <c r="D2412" t="s">
        <v>261</v>
      </c>
      <c r="E2412" t="s">
        <v>229</v>
      </c>
      <c r="F2412">
        <v>2013</v>
      </c>
      <c r="G2412">
        <v>5.8399999999999999E-4</v>
      </c>
      <c r="H2412" t="s">
        <v>240</v>
      </c>
      <c r="I2412" t="s">
        <v>241</v>
      </c>
      <c r="J2412" t="s">
        <v>3</v>
      </c>
      <c r="K2412" s="183">
        <f ca="1">VLOOKUP(F2412,
    OFFSET(INDIRECT(ADDRESS(MATCH(J2412,'Vehicle numbers'!$A$5:$A$162,0),1,1,1,$L$6)),4,1,COUNTIF('Vehicle numbers'!$A$5:$A$162,J2412),4),
    MATCH(K$8,'Vehicle numbers'!$B$4:$D$4,0))*1000</f>
        <v>1219399</v>
      </c>
      <c r="L2412" s="183">
        <f ca="1">VLOOKUP(F2412,
    OFFSET(INDIRECT(ADDRESS(MATCH(J2412,'Vehicle numbers'!$A$5:$A$162,0),1,1,1,$L$6)),4,1,COUNTIF('Vehicle numbers'!$A$5:$A$162,J2412),4),
    MATCH(L$8,'Vehicle numbers'!$B$4:$D$4,0))*1000</f>
        <v>1241806.8949190932</v>
      </c>
      <c r="M2412" s="184">
        <f>VLOOKUP(F2412,'Annual distance covered (GB)'!$A$8:$H$33,MATCH(J2412,'Annual distance covered (GB)'!$A$7:$H$7,0))</f>
        <v>4.5</v>
      </c>
      <c r="N2412" s="2">
        <f t="shared" ca="1" si="88"/>
        <v>2676.2925997539583</v>
      </c>
      <c r="O2412" s="180">
        <f t="shared" ca="1" si="89"/>
        <v>2.1551600419550941E-3</v>
      </c>
      <c r="P2412" s="180"/>
      <c r="Q2412" s="180"/>
      <c r="R2412" s="180"/>
      <c r="S2412" s="180"/>
      <c r="T2412" s="180"/>
    </row>
    <row r="2413" spans="1:20" x14ac:dyDescent="0.25">
      <c r="A2413" t="s">
        <v>246</v>
      </c>
      <c r="B2413" t="s">
        <v>237</v>
      </c>
      <c r="C2413" t="s">
        <v>238</v>
      </c>
      <c r="D2413" t="s">
        <v>261</v>
      </c>
      <c r="E2413" t="s">
        <v>229</v>
      </c>
      <c r="F2413">
        <v>2013</v>
      </c>
      <c r="G2413">
        <v>4.6720000000000003E-4</v>
      </c>
      <c r="H2413" t="s">
        <v>240</v>
      </c>
      <c r="I2413" t="s">
        <v>241</v>
      </c>
      <c r="J2413" t="s">
        <v>3</v>
      </c>
      <c r="K2413" s="183">
        <f ca="1">VLOOKUP(F2413,
    OFFSET(INDIRECT(ADDRESS(MATCH(J2413,'Vehicle numbers'!$A$5:$A$162,0),1,1,1,$L$6)),4,1,COUNTIF('Vehicle numbers'!$A$5:$A$162,J2413),4),
    MATCH(K$8,'Vehicle numbers'!$B$4:$D$4,0))*1000</f>
        <v>1219399</v>
      </c>
      <c r="L2413" s="183">
        <f ca="1">VLOOKUP(F2413,
    OFFSET(INDIRECT(ADDRESS(MATCH(J2413,'Vehicle numbers'!$A$5:$A$162,0),1,1,1,$L$6)),4,1,COUNTIF('Vehicle numbers'!$A$5:$A$162,J2413),4),
    MATCH(L$8,'Vehicle numbers'!$B$4:$D$4,0))*1000</f>
        <v>1241806.8949190932</v>
      </c>
      <c r="M2413" s="184">
        <f>VLOOKUP(F2413,'Annual distance covered (GB)'!$A$8:$H$33,MATCH(J2413,'Annual distance covered (GB)'!$A$7:$H$7,0))</f>
        <v>4.5</v>
      </c>
      <c r="N2413" s="2">
        <f t="shared" ca="1" si="88"/>
        <v>2141.0340798031666</v>
      </c>
      <c r="O2413" s="180">
        <f t="shared" ca="1" si="89"/>
        <v>1.7241280335640755E-3</v>
      </c>
      <c r="P2413" s="180"/>
      <c r="Q2413" s="180"/>
      <c r="R2413" s="180"/>
      <c r="S2413" s="180"/>
      <c r="T2413" s="180"/>
    </row>
    <row r="2414" spans="1:20" x14ac:dyDescent="0.25">
      <c r="A2414" t="s">
        <v>236</v>
      </c>
      <c r="B2414" t="s">
        <v>237</v>
      </c>
      <c r="C2414" t="s">
        <v>238</v>
      </c>
      <c r="D2414" t="s">
        <v>261</v>
      </c>
      <c r="E2414" t="s">
        <v>228</v>
      </c>
      <c r="F2414">
        <v>2013</v>
      </c>
      <c r="G2414">
        <v>3.7569999999999999E-3</v>
      </c>
      <c r="H2414" t="s">
        <v>240</v>
      </c>
      <c r="I2414" t="s">
        <v>241</v>
      </c>
      <c r="J2414" t="s">
        <v>3</v>
      </c>
      <c r="K2414" s="183">
        <f ca="1">VLOOKUP(F2414,
    OFFSET(INDIRECT(ADDRESS(MATCH(J2414,'Vehicle numbers'!$A$5:$A$162,0),1,1,1,$L$6)),4,1,COUNTIF('Vehicle numbers'!$A$5:$A$162,J2414),4),
    MATCH(K$8,'Vehicle numbers'!$B$4:$D$4,0))*1000</f>
        <v>1219399</v>
      </c>
      <c r="L2414" s="183">
        <f ca="1">VLOOKUP(F2414,
    OFFSET(INDIRECT(ADDRESS(MATCH(J2414,'Vehicle numbers'!$A$5:$A$162,0),1,1,1,$L$6)),4,1,COUNTIF('Vehicle numbers'!$A$5:$A$162,J2414),4),
    MATCH(L$8,'Vehicle numbers'!$B$4:$D$4,0))*1000</f>
        <v>1241806.8949190932</v>
      </c>
      <c r="M2414" s="184">
        <f>VLOOKUP(F2414,'Annual distance covered (GB)'!$A$8:$H$33,MATCH(J2414,'Annual distance covered (GB)'!$A$7:$H$7,0))</f>
        <v>4.5</v>
      </c>
      <c r="N2414" s="2">
        <f t="shared" ca="1" si="88"/>
        <v>17217.176878896607</v>
      </c>
      <c r="O2414" s="180">
        <f t="shared" ca="1" si="89"/>
        <v>1.3864616913741929E-2</v>
      </c>
      <c r="P2414" s="180"/>
      <c r="Q2414" s="180"/>
      <c r="R2414" s="180"/>
      <c r="S2414" s="180"/>
      <c r="T2414" s="180"/>
    </row>
    <row r="2415" spans="1:20" x14ac:dyDescent="0.25">
      <c r="A2415" t="s">
        <v>243</v>
      </c>
      <c r="B2415" t="s">
        <v>237</v>
      </c>
      <c r="C2415" t="s">
        <v>238</v>
      </c>
      <c r="D2415" t="s">
        <v>261</v>
      </c>
      <c r="E2415" t="s">
        <v>228</v>
      </c>
      <c r="F2415">
        <v>2013</v>
      </c>
      <c r="G2415">
        <v>2.6299000000000001E-3</v>
      </c>
      <c r="H2415" t="s">
        <v>240</v>
      </c>
      <c r="I2415" t="s">
        <v>241</v>
      </c>
      <c r="J2415" t="s">
        <v>3</v>
      </c>
      <c r="K2415" s="183">
        <f ca="1">VLOOKUP(F2415,
    OFFSET(INDIRECT(ADDRESS(MATCH(J2415,'Vehicle numbers'!$A$5:$A$162,0),1,1,1,$L$6)),4,1,COUNTIF('Vehicle numbers'!$A$5:$A$162,J2415),4),
    MATCH(K$8,'Vehicle numbers'!$B$4:$D$4,0))*1000</f>
        <v>1219399</v>
      </c>
      <c r="L2415" s="183">
        <f ca="1">VLOOKUP(F2415,
    OFFSET(INDIRECT(ADDRESS(MATCH(J2415,'Vehicle numbers'!$A$5:$A$162,0),1,1,1,$L$6)),4,1,COUNTIF('Vehicle numbers'!$A$5:$A$162,J2415),4),
    MATCH(L$8,'Vehicle numbers'!$B$4:$D$4,0))*1000</f>
        <v>1241806.8949190932</v>
      </c>
      <c r="M2415" s="184">
        <f>VLOOKUP(F2415,'Annual distance covered (GB)'!$A$8:$H$33,MATCH(J2415,'Annual distance covered (GB)'!$A$7:$H$7,0))</f>
        <v>4.5</v>
      </c>
      <c r="N2415" s="2">
        <f t="shared" ca="1" si="88"/>
        <v>12052.023815227629</v>
      </c>
      <c r="O2415" s="180">
        <f t="shared" ca="1" si="89"/>
        <v>9.7052318396193531E-3</v>
      </c>
      <c r="P2415" s="180"/>
      <c r="Q2415" s="180"/>
      <c r="R2415" s="180"/>
      <c r="S2415" s="180"/>
      <c r="T2415" s="180"/>
    </row>
    <row r="2416" spans="1:20" x14ac:dyDescent="0.25">
      <c r="A2416" t="s">
        <v>244</v>
      </c>
      <c r="B2416" t="s">
        <v>237</v>
      </c>
      <c r="C2416" t="s">
        <v>238</v>
      </c>
      <c r="D2416" t="s">
        <v>261</v>
      </c>
      <c r="E2416" t="s">
        <v>228</v>
      </c>
      <c r="F2416">
        <v>2013</v>
      </c>
      <c r="G2416">
        <v>3.7040845070422499E-4</v>
      </c>
      <c r="H2416" t="s">
        <v>240</v>
      </c>
      <c r="I2416" t="s">
        <v>241</v>
      </c>
      <c r="J2416" t="s">
        <v>3</v>
      </c>
      <c r="K2416" s="183">
        <f ca="1">VLOOKUP(F2416,
    OFFSET(INDIRECT(ADDRESS(MATCH(J2416,'Vehicle numbers'!$A$5:$A$162,0),1,1,1,$L$6)),4,1,COUNTIF('Vehicle numbers'!$A$5:$A$162,J2416),4),
    MATCH(K$8,'Vehicle numbers'!$B$4:$D$4,0))*1000</f>
        <v>1219399</v>
      </c>
      <c r="L2416" s="183">
        <f ca="1">VLOOKUP(F2416,
    OFFSET(INDIRECT(ADDRESS(MATCH(J2416,'Vehicle numbers'!$A$5:$A$162,0),1,1,1,$L$6)),4,1,COUNTIF('Vehicle numbers'!$A$5:$A$162,J2416),4),
    MATCH(L$8,'Vehicle numbers'!$B$4:$D$4,0))*1000</f>
        <v>1241806.8949190932</v>
      </c>
      <c r="M2416" s="184">
        <f>VLOOKUP(F2416,'Annual distance covered (GB)'!$A$8:$H$33,MATCH(J2416,'Annual distance covered (GB)'!$A$7:$H$7,0))</f>
        <v>4.5</v>
      </c>
      <c r="N2416" s="2">
        <f t="shared" ca="1" si="88"/>
        <v>1697.4681429898048</v>
      </c>
      <c r="O2416" s="180">
        <f t="shared" ca="1" si="89"/>
        <v>1.3669340619182173E-3</v>
      </c>
      <c r="P2416" s="180"/>
      <c r="Q2416" s="180"/>
      <c r="R2416" s="180"/>
      <c r="S2416" s="180"/>
      <c r="T2416" s="180"/>
    </row>
    <row r="2417" spans="1:20" x14ac:dyDescent="0.25">
      <c r="A2417" t="s">
        <v>246</v>
      </c>
      <c r="B2417" t="s">
        <v>237</v>
      </c>
      <c r="C2417" t="s">
        <v>238</v>
      </c>
      <c r="D2417" t="s">
        <v>261</v>
      </c>
      <c r="E2417" t="s">
        <v>228</v>
      </c>
      <c r="F2417">
        <v>2013</v>
      </c>
      <c r="G2417">
        <v>2.9632676056337998E-4</v>
      </c>
      <c r="H2417" t="s">
        <v>240</v>
      </c>
      <c r="I2417" t="s">
        <v>241</v>
      </c>
      <c r="J2417" t="s">
        <v>3</v>
      </c>
      <c r="K2417" s="183">
        <f ca="1">VLOOKUP(F2417,
    OFFSET(INDIRECT(ADDRESS(MATCH(J2417,'Vehicle numbers'!$A$5:$A$162,0),1,1,1,$L$6)),4,1,COUNTIF('Vehicle numbers'!$A$5:$A$162,J2417),4),
    MATCH(K$8,'Vehicle numbers'!$B$4:$D$4,0))*1000</f>
        <v>1219399</v>
      </c>
      <c r="L2417" s="183">
        <f ca="1">VLOOKUP(F2417,
    OFFSET(INDIRECT(ADDRESS(MATCH(J2417,'Vehicle numbers'!$A$5:$A$162,0),1,1,1,$L$6)),4,1,COUNTIF('Vehicle numbers'!$A$5:$A$162,J2417),4),
    MATCH(L$8,'Vehicle numbers'!$B$4:$D$4,0))*1000</f>
        <v>1241806.8949190932</v>
      </c>
      <c r="M2417" s="184">
        <f>VLOOKUP(F2417,'Annual distance covered (GB)'!$A$8:$H$33,MATCH(J2417,'Annual distance covered (GB)'!$A$7:$H$7,0))</f>
        <v>4.5</v>
      </c>
      <c r="N2417" s="2">
        <f t="shared" ca="1" si="88"/>
        <v>1357.974514391844</v>
      </c>
      <c r="O2417" s="180">
        <f t="shared" ca="1" si="89"/>
        <v>1.0935472495345738E-3</v>
      </c>
      <c r="P2417" s="180"/>
      <c r="Q2417" s="180"/>
      <c r="R2417" s="180"/>
      <c r="S2417" s="180"/>
      <c r="T2417" s="180"/>
    </row>
    <row r="2418" spans="1:20" x14ac:dyDescent="0.25">
      <c r="A2418" t="s">
        <v>236</v>
      </c>
      <c r="B2418" t="s">
        <v>237</v>
      </c>
      <c r="C2418" t="s">
        <v>238</v>
      </c>
      <c r="D2418" t="s">
        <v>262</v>
      </c>
      <c r="E2418" t="s">
        <v>229</v>
      </c>
      <c r="F2418">
        <v>2013</v>
      </c>
      <c r="G2418">
        <v>6.8000000000000102E-4</v>
      </c>
      <c r="H2418" t="s">
        <v>240</v>
      </c>
      <c r="I2418" t="s">
        <v>241</v>
      </c>
      <c r="J2418" t="s">
        <v>3</v>
      </c>
      <c r="K2418" s="183">
        <f ca="1">VLOOKUP(F2418,
    OFFSET(INDIRECT(ADDRESS(MATCH(J2418,'Vehicle numbers'!$A$5:$A$162,0),1,1,1,$L$6)),4,1,COUNTIF('Vehicle numbers'!$A$5:$A$162,J2418),4),
    MATCH(K$8,'Vehicle numbers'!$B$4:$D$4,0))*1000</f>
        <v>1219399</v>
      </c>
      <c r="L2418" s="183">
        <f ca="1">VLOOKUP(F2418,
    OFFSET(INDIRECT(ADDRESS(MATCH(J2418,'Vehicle numbers'!$A$5:$A$162,0),1,1,1,$L$6)),4,1,COUNTIF('Vehicle numbers'!$A$5:$A$162,J2418),4),
    MATCH(L$8,'Vehicle numbers'!$B$4:$D$4,0))*1000</f>
        <v>1241806.8949190932</v>
      </c>
      <c r="M2418" s="184">
        <f>VLOOKUP(F2418,'Annual distance covered (GB)'!$A$8:$H$33,MATCH(J2418,'Annual distance covered (GB)'!$A$7:$H$7,0))</f>
        <v>4.5</v>
      </c>
      <c r="N2418" s="2">
        <f t="shared" ca="1" si="88"/>
        <v>3116.2311093025587</v>
      </c>
      <c r="O2418" s="180">
        <f t="shared" ca="1" si="89"/>
        <v>2.5094329255641546E-3</v>
      </c>
      <c r="P2418" s="180"/>
      <c r="Q2418" s="180"/>
      <c r="R2418" s="180"/>
      <c r="S2418" s="180"/>
      <c r="T2418" s="180"/>
    </row>
    <row r="2419" spans="1:20" x14ac:dyDescent="0.25">
      <c r="A2419" t="s">
        <v>243</v>
      </c>
      <c r="B2419" t="s">
        <v>237</v>
      </c>
      <c r="C2419" t="s">
        <v>238</v>
      </c>
      <c r="D2419" t="s">
        <v>262</v>
      </c>
      <c r="E2419" t="s">
        <v>229</v>
      </c>
      <c r="F2419">
        <v>2013</v>
      </c>
      <c r="G2419">
        <v>2.72E-4</v>
      </c>
      <c r="H2419" t="s">
        <v>240</v>
      </c>
      <c r="I2419" t="s">
        <v>241</v>
      </c>
      <c r="J2419" t="s">
        <v>3</v>
      </c>
      <c r="K2419" s="183">
        <f ca="1">VLOOKUP(F2419,
    OFFSET(INDIRECT(ADDRESS(MATCH(J2419,'Vehicle numbers'!$A$5:$A$162,0),1,1,1,$L$6)),4,1,COUNTIF('Vehicle numbers'!$A$5:$A$162,J2419),4),
    MATCH(K$8,'Vehicle numbers'!$B$4:$D$4,0))*1000</f>
        <v>1219399</v>
      </c>
      <c r="L2419" s="183">
        <f ca="1">VLOOKUP(F2419,
    OFFSET(INDIRECT(ADDRESS(MATCH(J2419,'Vehicle numbers'!$A$5:$A$162,0),1,1,1,$L$6)),4,1,COUNTIF('Vehicle numbers'!$A$5:$A$162,J2419),4),
    MATCH(L$8,'Vehicle numbers'!$B$4:$D$4,0))*1000</f>
        <v>1241806.8949190932</v>
      </c>
      <c r="M2419" s="184">
        <f>VLOOKUP(F2419,'Annual distance covered (GB)'!$A$8:$H$33,MATCH(J2419,'Annual distance covered (GB)'!$A$7:$H$7,0))</f>
        <v>4.5</v>
      </c>
      <c r="N2419" s="2">
        <f t="shared" ca="1" si="88"/>
        <v>1246.4924437210216</v>
      </c>
      <c r="O2419" s="180">
        <f t="shared" ca="1" si="89"/>
        <v>1.0037731702256603E-3</v>
      </c>
      <c r="P2419" s="180"/>
      <c r="Q2419" s="180"/>
      <c r="R2419" s="180"/>
      <c r="S2419" s="180"/>
      <c r="T2419" s="180"/>
    </row>
    <row r="2420" spans="1:20" x14ac:dyDescent="0.25">
      <c r="A2420" t="s">
        <v>244</v>
      </c>
      <c r="B2420" t="s">
        <v>237</v>
      </c>
      <c r="C2420" t="s">
        <v>238</v>
      </c>
      <c r="D2420" t="s">
        <v>262</v>
      </c>
      <c r="E2420" t="s">
        <v>229</v>
      </c>
      <c r="F2420">
        <v>2013</v>
      </c>
      <c r="G2420" s="189">
        <v>6.7999999999999999E-5</v>
      </c>
      <c r="H2420" t="s">
        <v>240</v>
      </c>
      <c r="I2420" t="s">
        <v>241</v>
      </c>
      <c r="J2420" t="s">
        <v>3</v>
      </c>
      <c r="K2420" s="183">
        <f ca="1">VLOOKUP(F2420,
    OFFSET(INDIRECT(ADDRESS(MATCH(J2420,'Vehicle numbers'!$A$5:$A$162,0),1,1,1,$L$6)),4,1,COUNTIF('Vehicle numbers'!$A$5:$A$162,J2420),4),
    MATCH(K$8,'Vehicle numbers'!$B$4:$D$4,0))*1000</f>
        <v>1219399</v>
      </c>
      <c r="L2420" s="183">
        <f ca="1">VLOOKUP(F2420,
    OFFSET(INDIRECT(ADDRESS(MATCH(J2420,'Vehicle numbers'!$A$5:$A$162,0),1,1,1,$L$6)),4,1,COUNTIF('Vehicle numbers'!$A$5:$A$162,J2420),4),
    MATCH(L$8,'Vehicle numbers'!$B$4:$D$4,0))*1000</f>
        <v>1241806.8949190932</v>
      </c>
      <c r="M2420" s="184">
        <f>VLOOKUP(F2420,'Annual distance covered (GB)'!$A$8:$H$33,MATCH(J2420,'Annual distance covered (GB)'!$A$7:$H$7,0))</f>
        <v>4.5</v>
      </c>
      <c r="N2420" s="2">
        <f t="shared" ca="1" si="88"/>
        <v>311.62311093025539</v>
      </c>
      <c r="O2420" s="180">
        <f t="shared" ca="1" si="89"/>
        <v>2.5094329255641507E-4</v>
      </c>
      <c r="P2420" s="180"/>
      <c r="Q2420" s="180"/>
      <c r="R2420" s="180"/>
      <c r="S2420" s="180"/>
      <c r="T2420" s="180"/>
    </row>
    <row r="2421" spans="1:20" x14ac:dyDescent="0.25">
      <c r="A2421" t="s">
        <v>246</v>
      </c>
      <c r="B2421" t="s">
        <v>237</v>
      </c>
      <c r="C2421" t="s">
        <v>238</v>
      </c>
      <c r="D2421" t="s">
        <v>262</v>
      </c>
      <c r="E2421" t="s">
        <v>229</v>
      </c>
      <c r="F2421">
        <v>2013</v>
      </c>
      <c r="G2421" s="189">
        <v>5.4400000000000001E-5</v>
      </c>
      <c r="H2421" t="s">
        <v>240</v>
      </c>
      <c r="I2421" t="s">
        <v>241</v>
      </c>
      <c r="J2421" t="s">
        <v>3</v>
      </c>
      <c r="K2421" s="183">
        <f ca="1">VLOOKUP(F2421,
    OFFSET(INDIRECT(ADDRESS(MATCH(J2421,'Vehicle numbers'!$A$5:$A$162,0),1,1,1,$L$6)),4,1,COUNTIF('Vehicle numbers'!$A$5:$A$162,J2421),4),
    MATCH(K$8,'Vehicle numbers'!$B$4:$D$4,0))*1000</f>
        <v>1219399</v>
      </c>
      <c r="L2421" s="183">
        <f ca="1">VLOOKUP(F2421,
    OFFSET(INDIRECT(ADDRESS(MATCH(J2421,'Vehicle numbers'!$A$5:$A$162,0),1,1,1,$L$6)),4,1,COUNTIF('Vehicle numbers'!$A$5:$A$162,J2421),4),
    MATCH(L$8,'Vehicle numbers'!$B$4:$D$4,0))*1000</f>
        <v>1241806.8949190932</v>
      </c>
      <c r="M2421" s="184">
        <f>VLOOKUP(F2421,'Annual distance covered (GB)'!$A$8:$H$33,MATCH(J2421,'Annual distance covered (GB)'!$A$7:$H$7,0))</f>
        <v>4.5</v>
      </c>
      <c r="N2421" s="2">
        <f t="shared" ca="1" si="88"/>
        <v>249.29848874420429</v>
      </c>
      <c r="O2421" s="180">
        <f t="shared" ca="1" si="89"/>
        <v>2.0075463404513203E-4</v>
      </c>
      <c r="P2421" s="180"/>
      <c r="Q2421" s="180"/>
      <c r="R2421" s="180"/>
      <c r="S2421" s="180"/>
      <c r="T2421" s="180"/>
    </row>
    <row r="2422" spans="1:20" x14ac:dyDescent="0.25">
      <c r="A2422" t="s">
        <v>236</v>
      </c>
      <c r="B2422" t="s">
        <v>237</v>
      </c>
      <c r="C2422" t="s">
        <v>238</v>
      </c>
      <c r="D2422" t="s">
        <v>262</v>
      </c>
      <c r="E2422" t="s">
        <v>228</v>
      </c>
      <c r="F2422">
        <v>2013</v>
      </c>
      <c r="G2422">
        <v>2.49E-3</v>
      </c>
      <c r="H2422" t="s">
        <v>240</v>
      </c>
      <c r="I2422" t="s">
        <v>241</v>
      </c>
      <c r="J2422" t="s">
        <v>3</v>
      </c>
      <c r="K2422" s="183">
        <f ca="1">VLOOKUP(F2422,
    OFFSET(INDIRECT(ADDRESS(MATCH(J2422,'Vehicle numbers'!$A$5:$A$162,0),1,1,1,$L$6)),4,1,COUNTIF('Vehicle numbers'!$A$5:$A$162,J2422),4),
    MATCH(K$8,'Vehicle numbers'!$B$4:$D$4,0))*1000</f>
        <v>1219399</v>
      </c>
      <c r="L2422" s="183">
        <f ca="1">VLOOKUP(F2422,
    OFFSET(INDIRECT(ADDRESS(MATCH(J2422,'Vehicle numbers'!$A$5:$A$162,0),1,1,1,$L$6)),4,1,COUNTIF('Vehicle numbers'!$A$5:$A$162,J2422),4),
    MATCH(L$8,'Vehicle numbers'!$B$4:$D$4,0))*1000</f>
        <v>1241806.8949190932</v>
      </c>
      <c r="M2422" s="184">
        <f>VLOOKUP(F2422,'Annual distance covered (GB)'!$A$8:$H$33,MATCH(J2422,'Annual distance covered (GB)'!$A$7:$H$7,0))</f>
        <v>4.5</v>
      </c>
      <c r="N2422" s="2">
        <f t="shared" ca="1" si="88"/>
        <v>11410.905091416706</v>
      </c>
      <c r="O2422" s="180">
        <f t="shared" ca="1" si="89"/>
        <v>9.1889529186099054E-3</v>
      </c>
      <c r="P2422" s="180"/>
      <c r="Q2422" s="180"/>
      <c r="R2422" s="180"/>
      <c r="S2422" s="180"/>
      <c r="T2422" s="180"/>
    </row>
    <row r="2423" spans="1:20" x14ac:dyDescent="0.25">
      <c r="A2423" t="s">
        <v>243</v>
      </c>
      <c r="B2423" t="s">
        <v>237</v>
      </c>
      <c r="C2423" t="s">
        <v>238</v>
      </c>
      <c r="D2423" t="s">
        <v>262</v>
      </c>
      <c r="E2423" t="s">
        <v>228</v>
      </c>
      <c r="F2423">
        <v>2013</v>
      </c>
      <c r="G2423">
        <v>1.743E-3</v>
      </c>
      <c r="H2423" t="s">
        <v>240</v>
      </c>
      <c r="I2423" t="s">
        <v>241</v>
      </c>
      <c r="J2423" t="s">
        <v>3</v>
      </c>
      <c r="K2423" s="183">
        <f ca="1">VLOOKUP(F2423,
    OFFSET(INDIRECT(ADDRESS(MATCH(J2423,'Vehicle numbers'!$A$5:$A$162,0),1,1,1,$L$6)),4,1,COUNTIF('Vehicle numbers'!$A$5:$A$162,J2423),4),
    MATCH(K$8,'Vehicle numbers'!$B$4:$D$4,0))*1000</f>
        <v>1219399</v>
      </c>
      <c r="L2423" s="183">
        <f ca="1">VLOOKUP(F2423,
    OFFSET(INDIRECT(ADDRESS(MATCH(J2423,'Vehicle numbers'!$A$5:$A$162,0),1,1,1,$L$6)),4,1,COUNTIF('Vehicle numbers'!$A$5:$A$162,J2423),4),
    MATCH(L$8,'Vehicle numbers'!$B$4:$D$4,0))*1000</f>
        <v>1241806.8949190932</v>
      </c>
      <c r="M2423" s="184">
        <f>VLOOKUP(F2423,'Annual distance covered (GB)'!$A$8:$H$33,MATCH(J2423,'Annual distance covered (GB)'!$A$7:$H$7,0))</f>
        <v>4.5</v>
      </c>
      <c r="N2423" s="2">
        <f t="shared" ca="1" si="88"/>
        <v>7987.6335639916933</v>
      </c>
      <c r="O2423" s="180">
        <f t="shared" ca="1" si="89"/>
        <v>6.4322670430269329E-3</v>
      </c>
      <c r="P2423" s="180"/>
      <c r="Q2423" s="180"/>
      <c r="R2423" s="180"/>
      <c r="S2423" s="180"/>
      <c r="T2423" s="180"/>
    </row>
    <row r="2424" spans="1:20" x14ac:dyDescent="0.25">
      <c r="A2424" t="s">
        <v>244</v>
      </c>
      <c r="B2424" t="s">
        <v>237</v>
      </c>
      <c r="C2424" t="s">
        <v>238</v>
      </c>
      <c r="D2424" t="s">
        <v>262</v>
      </c>
      <c r="E2424" t="s">
        <v>228</v>
      </c>
      <c r="F2424">
        <v>2013</v>
      </c>
      <c r="G2424">
        <v>2.4549295774647798E-4</v>
      </c>
      <c r="H2424" t="s">
        <v>240</v>
      </c>
      <c r="I2424" t="s">
        <v>241</v>
      </c>
      <c r="J2424" t="s">
        <v>3</v>
      </c>
      <c r="K2424" s="183">
        <f ca="1">VLOOKUP(F2424,
    OFFSET(INDIRECT(ADDRESS(MATCH(J2424,'Vehicle numbers'!$A$5:$A$162,0),1,1,1,$L$6)),4,1,COUNTIF('Vehicle numbers'!$A$5:$A$162,J2424),4),
    MATCH(K$8,'Vehicle numbers'!$B$4:$D$4,0))*1000</f>
        <v>1219399</v>
      </c>
      <c r="L2424" s="183">
        <f ca="1">VLOOKUP(F2424,
    OFFSET(INDIRECT(ADDRESS(MATCH(J2424,'Vehicle numbers'!$A$5:$A$162,0),1,1,1,$L$6)),4,1,COUNTIF('Vehicle numbers'!$A$5:$A$162,J2424),4),
    MATCH(L$8,'Vehicle numbers'!$B$4:$D$4,0))*1000</f>
        <v>1241806.8949190932</v>
      </c>
      <c r="M2424" s="184">
        <f>VLOOKUP(F2424,'Annual distance covered (GB)'!$A$8:$H$33,MATCH(J2424,'Annual distance covered (GB)'!$A$7:$H$7,0))</f>
        <v>4.5</v>
      </c>
      <c r="N2424" s="2">
        <f t="shared" ca="1" si="88"/>
        <v>1125.0188118298117</v>
      </c>
      <c r="O2424" s="180">
        <f t="shared" ca="1" si="89"/>
        <v>9.0595310465167733E-4</v>
      </c>
      <c r="P2424" s="180"/>
      <c r="Q2424" s="180"/>
      <c r="R2424" s="180"/>
      <c r="S2424" s="180"/>
      <c r="T2424" s="180"/>
    </row>
    <row r="2425" spans="1:20" x14ac:dyDescent="0.25">
      <c r="A2425" t="s">
        <v>246</v>
      </c>
      <c r="B2425" t="s">
        <v>237</v>
      </c>
      <c r="C2425" t="s">
        <v>238</v>
      </c>
      <c r="D2425" t="s">
        <v>262</v>
      </c>
      <c r="E2425" t="s">
        <v>228</v>
      </c>
      <c r="F2425">
        <v>2013</v>
      </c>
      <c r="G2425">
        <v>1.96394366197183E-4</v>
      </c>
      <c r="H2425" t="s">
        <v>240</v>
      </c>
      <c r="I2425" t="s">
        <v>241</v>
      </c>
      <c r="J2425" t="s">
        <v>3</v>
      </c>
      <c r="K2425" s="183">
        <f ca="1">VLOOKUP(F2425,
    OFFSET(INDIRECT(ADDRESS(MATCH(J2425,'Vehicle numbers'!$A$5:$A$162,0),1,1,1,$L$6)),4,1,COUNTIF('Vehicle numbers'!$A$5:$A$162,J2425),4),
    MATCH(K$8,'Vehicle numbers'!$B$4:$D$4,0))*1000</f>
        <v>1219399</v>
      </c>
      <c r="L2425" s="183">
        <f ca="1">VLOOKUP(F2425,
    OFFSET(INDIRECT(ADDRESS(MATCH(J2425,'Vehicle numbers'!$A$5:$A$162,0),1,1,1,$L$6)),4,1,COUNTIF('Vehicle numbers'!$A$5:$A$162,J2425),4),
    MATCH(L$8,'Vehicle numbers'!$B$4:$D$4,0))*1000</f>
        <v>1241806.8949190932</v>
      </c>
      <c r="M2425" s="184">
        <f>VLOOKUP(F2425,'Annual distance covered (GB)'!$A$8:$H$33,MATCH(J2425,'Annual distance covered (GB)'!$A$7:$H$7,0))</f>
        <v>4.5</v>
      </c>
      <c r="N2425" s="2">
        <f t="shared" ca="1" si="88"/>
        <v>900.01504946385228</v>
      </c>
      <c r="O2425" s="180">
        <f t="shared" ca="1" si="89"/>
        <v>7.2476248372134423E-4</v>
      </c>
      <c r="P2425" s="180"/>
      <c r="Q2425" s="180"/>
      <c r="R2425" s="180"/>
      <c r="S2425" s="180"/>
      <c r="T2425" s="180"/>
    </row>
    <row r="2426" spans="1:20" x14ac:dyDescent="0.25">
      <c r="A2426" t="s">
        <v>236</v>
      </c>
      <c r="B2426" t="s">
        <v>237</v>
      </c>
      <c r="C2426" t="s">
        <v>238</v>
      </c>
      <c r="D2426" t="s">
        <v>263</v>
      </c>
      <c r="E2426" t="s">
        <v>229</v>
      </c>
      <c r="F2426">
        <v>2013</v>
      </c>
      <c r="G2426">
        <v>2.764E-3</v>
      </c>
      <c r="H2426" t="s">
        <v>240</v>
      </c>
      <c r="I2426" t="s">
        <v>241</v>
      </c>
      <c r="J2426" t="s">
        <v>3</v>
      </c>
      <c r="K2426" s="183">
        <f ca="1">VLOOKUP(F2426,
    OFFSET(INDIRECT(ADDRESS(MATCH(J2426,'Vehicle numbers'!$A$5:$A$162,0),1,1,1,$L$6)),4,1,COUNTIF('Vehicle numbers'!$A$5:$A$162,J2426),4),
    MATCH(K$8,'Vehicle numbers'!$B$4:$D$4,0))*1000</f>
        <v>1219399</v>
      </c>
      <c r="L2426" s="183">
        <f ca="1">VLOOKUP(F2426,
    OFFSET(INDIRECT(ADDRESS(MATCH(J2426,'Vehicle numbers'!$A$5:$A$162,0),1,1,1,$L$6)),4,1,COUNTIF('Vehicle numbers'!$A$5:$A$162,J2426),4),
    MATCH(L$8,'Vehicle numbers'!$B$4:$D$4,0))*1000</f>
        <v>1241806.8949190932</v>
      </c>
      <c r="M2426" s="184">
        <f>VLOOKUP(F2426,'Annual distance covered (GB)'!$A$8:$H$33,MATCH(J2426,'Annual distance covered (GB)'!$A$7:$H$7,0))</f>
        <v>4.5</v>
      </c>
      <c r="N2426" s="2">
        <f t="shared" ca="1" si="88"/>
        <v>12666.562920753322</v>
      </c>
      <c r="O2426" s="180">
        <f t="shared" ca="1" si="89"/>
        <v>1.0200106773910754E-2</v>
      </c>
      <c r="P2426" s="180"/>
      <c r="Q2426" s="180"/>
      <c r="R2426" s="180"/>
      <c r="S2426" s="180"/>
      <c r="T2426" s="180"/>
    </row>
    <row r="2427" spans="1:20" x14ac:dyDescent="0.25">
      <c r="A2427" t="s">
        <v>243</v>
      </c>
      <c r="B2427" t="s">
        <v>237</v>
      </c>
      <c r="C2427" t="s">
        <v>238</v>
      </c>
      <c r="D2427" t="s">
        <v>263</v>
      </c>
      <c r="E2427" t="s">
        <v>229</v>
      </c>
      <c r="F2427">
        <v>2013</v>
      </c>
      <c r="G2427">
        <v>1.1056E-3</v>
      </c>
      <c r="H2427" t="s">
        <v>240</v>
      </c>
      <c r="I2427" t="s">
        <v>241</v>
      </c>
      <c r="J2427" t="s">
        <v>3</v>
      </c>
      <c r="K2427" s="183">
        <f ca="1">VLOOKUP(F2427,
    OFFSET(INDIRECT(ADDRESS(MATCH(J2427,'Vehicle numbers'!$A$5:$A$162,0),1,1,1,$L$6)),4,1,COUNTIF('Vehicle numbers'!$A$5:$A$162,J2427),4),
    MATCH(K$8,'Vehicle numbers'!$B$4:$D$4,0))*1000</f>
        <v>1219399</v>
      </c>
      <c r="L2427" s="183">
        <f ca="1">VLOOKUP(F2427,
    OFFSET(INDIRECT(ADDRESS(MATCH(J2427,'Vehicle numbers'!$A$5:$A$162,0),1,1,1,$L$6)),4,1,COUNTIF('Vehicle numbers'!$A$5:$A$162,J2427),4),
    MATCH(L$8,'Vehicle numbers'!$B$4:$D$4,0))*1000</f>
        <v>1241806.8949190932</v>
      </c>
      <c r="M2427" s="184">
        <f>VLOOKUP(F2427,'Annual distance covered (GB)'!$A$8:$H$33,MATCH(J2427,'Annual distance covered (GB)'!$A$7:$H$7,0))</f>
        <v>4.5</v>
      </c>
      <c r="N2427" s="2">
        <f t="shared" ca="1" si="88"/>
        <v>5066.6251683013288</v>
      </c>
      <c r="O2427" s="180">
        <f t="shared" ca="1" si="89"/>
        <v>4.0800427095643013E-3</v>
      </c>
      <c r="P2427" s="180"/>
      <c r="Q2427" s="180"/>
      <c r="R2427" s="180"/>
      <c r="S2427" s="180"/>
      <c r="T2427" s="180"/>
    </row>
    <row r="2428" spans="1:20" x14ac:dyDescent="0.25">
      <c r="A2428" t="s">
        <v>244</v>
      </c>
      <c r="B2428" t="s">
        <v>237</v>
      </c>
      <c r="C2428" t="s">
        <v>238</v>
      </c>
      <c r="D2428" t="s">
        <v>263</v>
      </c>
      <c r="E2428" t="s">
        <v>229</v>
      </c>
      <c r="F2428">
        <v>2013</v>
      </c>
      <c r="G2428">
        <v>2.764E-4</v>
      </c>
      <c r="H2428" t="s">
        <v>240</v>
      </c>
      <c r="I2428" t="s">
        <v>241</v>
      </c>
      <c r="J2428" t="s">
        <v>3</v>
      </c>
      <c r="K2428" s="183">
        <f ca="1">VLOOKUP(F2428,
    OFFSET(INDIRECT(ADDRESS(MATCH(J2428,'Vehicle numbers'!$A$5:$A$162,0),1,1,1,$L$6)),4,1,COUNTIF('Vehicle numbers'!$A$5:$A$162,J2428),4),
    MATCH(K$8,'Vehicle numbers'!$B$4:$D$4,0))*1000</f>
        <v>1219399</v>
      </c>
      <c r="L2428" s="183">
        <f ca="1">VLOOKUP(F2428,
    OFFSET(INDIRECT(ADDRESS(MATCH(J2428,'Vehicle numbers'!$A$5:$A$162,0),1,1,1,$L$6)),4,1,COUNTIF('Vehicle numbers'!$A$5:$A$162,J2428),4),
    MATCH(L$8,'Vehicle numbers'!$B$4:$D$4,0))*1000</f>
        <v>1241806.8949190932</v>
      </c>
      <c r="M2428" s="184">
        <f>VLOOKUP(F2428,'Annual distance covered (GB)'!$A$8:$H$33,MATCH(J2428,'Annual distance covered (GB)'!$A$7:$H$7,0))</f>
        <v>4.5</v>
      </c>
      <c r="N2428" s="2">
        <f t="shared" ca="1" si="88"/>
        <v>1266.6562920753322</v>
      </c>
      <c r="O2428" s="180">
        <f t="shared" ca="1" si="89"/>
        <v>1.0200106773910753E-3</v>
      </c>
      <c r="P2428" s="180"/>
      <c r="Q2428" s="180"/>
      <c r="R2428" s="180"/>
      <c r="S2428" s="180"/>
      <c r="T2428" s="180"/>
    </row>
    <row r="2429" spans="1:20" x14ac:dyDescent="0.25">
      <c r="A2429" t="s">
        <v>246</v>
      </c>
      <c r="B2429" t="s">
        <v>237</v>
      </c>
      <c r="C2429" t="s">
        <v>238</v>
      </c>
      <c r="D2429" t="s">
        <v>263</v>
      </c>
      <c r="E2429" t="s">
        <v>229</v>
      </c>
      <c r="F2429">
        <v>2013</v>
      </c>
      <c r="G2429">
        <v>2.2112E-4</v>
      </c>
      <c r="H2429" t="s">
        <v>240</v>
      </c>
      <c r="I2429" t="s">
        <v>241</v>
      </c>
      <c r="J2429" t="s">
        <v>3</v>
      </c>
      <c r="K2429" s="183">
        <f ca="1">VLOOKUP(F2429,
    OFFSET(INDIRECT(ADDRESS(MATCH(J2429,'Vehicle numbers'!$A$5:$A$162,0),1,1,1,$L$6)),4,1,COUNTIF('Vehicle numbers'!$A$5:$A$162,J2429),4),
    MATCH(K$8,'Vehicle numbers'!$B$4:$D$4,0))*1000</f>
        <v>1219399</v>
      </c>
      <c r="L2429" s="183">
        <f ca="1">VLOOKUP(F2429,
    OFFSET(INDIRECT(ADDRESS(MATCH(J2429,'Vehicle numbers'!$A$5:$A$162,0),1,1,1,$L$6)),4,1,COUNTIF('Vehicle numbers'!$A$5:$A$162,J2429),4),
    MATCH(L$8,'Vehicle numbers'!$B$4:$D$4,0))*1000</f>
        <v>1241806.8949190932</v>
      </c>
      <c r="M2429" s="184">
        <f>VLOOKUP(F2429,'Annual distance covered (GB)'!$A$8:$H$33,MATCH(J2429,'Annual distance covered (GB)'!$A$7:$H$7,0))</f>
        <v>4.5</v>
      </c>
      <c r="N2429" s="2">
        <f t="shared" ca="1" si="88"/>
        <v>1013.3250336602657</v>
      </c>
      <c r="O2429" s="180">
        <f t="shared" ca="1" si="89"/>
        <v>8.1600854191286019E-4</v>
      </c>
      <c r="P2429" s="180"/>
      <c r="Q2429" s="180"/>
      <c r="R2429" s="180"/>
      <c r="S2429" s="180"/>
      <c r="T2429" s="180"/>
    </row>
    <row r="2430" spans="1:20" x14ac:dyDescent="0.25">
      <c r="A2430" t="s">
        <v>236</v>
      </c>
      <c r="B2430" t="s">
        <v>237</v>
      </c>
      <c r="C2430" t="s">
        <v>238</v>
      </c>
      <c r="D2430" t="s">
        <v>263</v>
      </c>
      <c r="E2430" t="s">
        <v>228</v>
      </c>
      <c r="F2430">
        <v>2013</v>
      </c>
      <c r="G2430">
        <v>2.9239999999999999E-3</v>
      </c>
      <c r="H2430" t="s">
        <v>240</v>
      </c>
      <c r="I2430" t="s">
        <v>241</v>
      </c>
      <c r="J2430" t="s">
        <v>3</v>
      </c>
      <c r="K2430" s="183">
        <f ca="1">VLOOKUP(F2430,
    OFFSET(INDIRECT(ADDRESS(MATCH(J2430,'Vehicle numbers'!$A$5:$A$162,0),1,1,1,$L$6)),4,1,COUNTIF('Vehicle numbers'!$A$5:$A$162,J2430),4),
    MATCH(K$8,'Vehicle numbers'!$B$4:$D$4,0))*1000</f>
        <v>1219399</v>
      </c>
      <c r="L2430" s="183">
        <f ca="1">VLOOKUP(F2430,
    OFFSET(INDIRECT(ADDRESS(MATCH(J2430,'Vehicle numbers'!$A$5:$A$162,0),1,1,1,$L$6)),4,1,COUNTIF('Vehicle numbers'!$A$5:$A$162,J2430),4),
    MATCH(L$8,'Vehicle numbers'!$B$4:$D$4,0))*1000</f>
        <v>1241806.8949190932</v>
      </c>
      <c r="M2430" s="184">
        <f>VLOOKUP(F2430,'Annual distance covered (GB)'!$A$8:$H$33,MATCH(J2430,'Annual distance covered (GB)'!$A$7:$H$7,0))</f>
        <v>4.5</v>
      </c>
      <c r="N2430" s="2">
        <f t="shared" ca="1" si="88"/>
        <v>13399.793770000982</v>
      </c>
      <c r="O2430" s="180">
        <f t="shared" ca="1" si="89"/>
        <v>1.0790561579925848E-2</v>
      </c>
      <c r="P2430" s="180"/>
      <c r="Q2430" s="180"/>
      <c r="R2430" s="180"/>
      <c r="S2430" s="180"/>
      <c r="T2430" s="180"/>
    </row>
    <row r="2431" spans="1:20" x14ac:dyDescent="0.25">
      <c r="A2431" t="s">
        <v>243</v>
      </c>
      <c r="B2431" t="s">
        <v>237</v>
      </c>
      <c r="C2431" t="s">
        <v>238</v>
      </c>
      <c r="D2431" t="s">
        <v>263</v>
      </c>
      <c r="E2431" t="s">
        <v>228</v>
      </c>
      <c r="F2431">
        <v>2013</v>
      </c>
      <c r="G2431">
        <v>2.0468000000000001E-3</v>
      </c>
      <c r="H2431" t="s">
        <v>240</v>
      </c>
      <c r="I2431" t="s">
        <v>241</v>
      </c>
      <c r="J2431" t="s">
        <v>3</v>
      </c>
      <c r="K2431" s="183">
        <f ca="1">VLOOKUP(F2431,
    OFFSET(INDIRECT(ADDRESS(MATCH(J2431,'Vehicle numbers'!$A$5:$A$162,0),1,1,1,$L$6)),4,1,COUNTIF('Vehicle numbers'!$A$5:$A$162,J2431),4),
    MATCH(K$8,'Vehicle numbers'!$B$4:$D$4,0))*1000</f>
        <v>1219399</v>
      </c>
      <c r="L2431" s="183">
        <f ca="1">VLOOKUP(F2431,
    OFFSET(INDIRECT(ADDRESS(MATCH(J2431,'Vehicle numbers'!$A$5:$A$162,0),1,1,1,$L$6)),4,1,COUNTIF('Vehicle numbers'!$A$5:$A$162,J2431),4),
    MATCH(L$8,'Vehicle numbers'!$B$4:$D$4,0))*1000</f>
        <v>1241806.8949190932</v>
      </c>
      <c r="M2431" s="184">
        <f>VLOOKUP(F2431,'Annual distance covered (GB)'!$A$8:$H$33,MATCH(J2431,'Annual distance covered (GB)'!$A$7:$H$7,0))</f>
        <v>4.5</v>
      </c>
      <c r="N2431" s="2">
        <f t="shared" ca="1" si="88"/>
        <v>9379.855639000687</v>
      </c>
      <c r="O2431" s="180">
        <f t="shared" ca="1" si="89"/>
        <v>7.5533931059480934E-3</v>
      </c>
      <c r="P2431" s="180"/>
      <c r="Q2431" s="180"/>
      <c r="R2431" s="180"/>
      <c r="S2431" s="180"/>
      <c r="T2431" s="180"/>
    </row>
    <row r="2432" spans="1:20" x14ac:dyDescent="0.25">
      <c r="A2432" t="s">
        <v>244</v>
      </c>
      <c r="B2432" t="s">
        <v>237</v>
      </c>
      <c r="C2432" t="s">
        <v>238</v>
      </c>
      <c r="D2432" t="s">
        <v>263</v>
      </c>
      <c r="E2432" t="s">
        <v>228</v>
      </c>
      <c r="F2432">
        <v>2013</v>
      </c>
      <c r="G2432">
        <v>2.8828169014084501E-4</v>
      </c>
      <c r="H2432" t="s">
        <v>240</v>
      </c>
      <c r="I2432" t="s">
        <v>241</v>
      </c>
      <c r="J2432" t="s">
        <v>3</v>
      </c>
      <c r="K2432" s="183">
        <f ca="1">VLOOKUP(F2432,
    OFFSET(INDIRECT(ADDRESS(MATCH(J2432,'Vehicle numbers'!$A$5:$A$162,0),1,1,1,$L$6)),4,1,COUNTIF('Vehicle numbers'!$A$5:$A$162,J2432),4),
    MATCH(K$8,'Vehicle numbers'!$B$4:$D$4,0))*1000</f>
        <v>1219399</v>
      </c>
      <c r="L2432" s="183">
        <f ca="1">VLOOKUP(F2432,
    OFFSET(INDIRECT(ADDRESS(MATCH(J2432,'Vehicle numbers'!$A$5:$A$162,0),1,1,1,$L$6)),4,1,COUNTIF('Vehicle numbers'!$A$5:$A$162,J2432),4),
    MATCH(L$8,'Vehicle numbers'!$B$4:$D$4,0))*1000</f>
        <v>1241806.8949190932</v>
      </c>
      <c r="M2432" s="184">
        <f>VLOOKUP(F2432,'Annual distance covered (GB)'!$A$8:$H$33,MATCH(J2432,'Annual distance covered (GB)'!$A$7:$H$7,0))</f>
        <v>4.5</v>
      </c>
      <c r="N2432" s="2">
        <f t="shared" ca="1" si="88"/>
        <v>1321.1064280282656</v>
      </c>
      <c r="O2432" s="180">
        <f t="shared" ca="1" si="89"/>
        <v>1.063858183936351E-3</v>
      </c>
      <c r="P2432" s="180"/>
      <c r="Q2432" s="180"/>
      <c r="R2432" s="180"/>
      <c r="S2432" s="180"/>
      <c r="T2432" s="180"/>
    </row>
    <row r="2433" spans="1:20" x14ac:dyDescent="0.25">
      <c r="A2433" t="s">
        <v>246</v>
      </c>
      <c r="B2433" t="s">
        <v>237</v>
      </c>
      <c r="C2433" t="s">
        <v>238</v>
      </c>
      <c r="D2433" t="s">
        <v>263</v>
      </c>
      <c r="E2433" t="s">
        <v>228</v>
      </c>
      <c r="F2433">
        <v>2013</v>
      </c>
      <c r="G2433">
        <v>2.3062535211267599E-4</v>
      </c>
      <c r="H2433" t="s">
        <v>240</v>
      </c>
      <c r="I2433" t="s">
        <v>241</v>
      </c>
      <c r="J2433" t="s">
        <v>3</v>
      </c>
      <c r="K2433" s="183">
        <f ca="1">VLOOKUP(F2433,
    OFFSET(INDIRECT(ADDRESS(MATCH(J2433,'Vehicle numbers'!$A$5:$A$162,0),1,1,1,$L$6)),4,1,COUNTIF('Vehicle numbers'!$A$5:$A$162,J2433),4),
    MATCH(K$8,'Vehicle numbers'!$B$4:$D$4,0))*1000</f>
        <v>1219399</v>
      </c>
      <c r="L2433" s="183">
        <f ca="1">VLOOKUP(F2433,
    OFFSET(INDIRECT(ADDRESS(MATCH(J2433,'Vehicle numbers'!$A$5:$A$162,0),1,1,1,$L$6)),4,1,COUNTIF('Vehicle numbers'!$A$5:$A$162,J2433),4),
    MATCH(L$8,'Vehicle numbers'!$B$4:$D$4,0))*1000</f>
        <v>1241806.8949190932</v>
      </c>
      <c r="M2433" s="184">
        <f>VLOOKUP(F2433,'Annual distance covered (GB)'!$A$8:$H$33,MATCH(J2433,'Annual distance covered (GB)'!$A$7:$H$7,0))</f>
        <v>4.5</v>
      </c>
      <c r="N2433" s="2">
        <f t="shared" ca="1" si="88"/>
        <v>1056.8851424226125</v>
      </c>
      <c r="O2433" s="180">
        <f t="shared" ca="1" si="89"/>
        <v>8.5108654714908085E-4</v>
      </c>
      <c r="P2433" s="180"/>
      <c r="Q2433" s="180"/>
      <c r="R2433" s="180"/>
      <c r="S2433" s="180"/>
      <c r="T2433" s="180"/>
    </row>
    <row r="2434" spans="1:20" x14ac:dyDescent="0.25">
      <c r="A2434" t="s">
        <v>236</v>
      </c>
      <c r="B2434" t="s">
        <v>237</v>
      </c>
      <c r="C2434" t="s">
        <v>238</v>
      </c>
      <c r="D2434" t="s">
        <v>264</v>
      </c>
      <c r="E2434" t="s">
        <v>229</v>
      </c>
      <c r="F2434">
        <v>2013</v>
      </c>
      <c r="G2434">
        <v>5.8399999999999997E-3</v>
      </c>
      <c r="H2434" t="s">
        <v>240</v>
      </c>
      <c r="I2434" t="s">
        <v>241</v>
      </c>
      <c r="J2434" t="s">
        <v>3</v>
      </c>
      <c r="K2434" s="183">
        <f ca="1">VLOOKUP(F2434,
    OFFSET(INDIRECT(ADDRESS(MATCH(J2434,'Vehicle numbers'!$A$5:$A$162,0),1,1,1,$L$6)),4,1,COUNTIF('Vehicle numbers'!$A$5:$A$162,J2434),4),
    MATCH(K$8,'Vehicle numbers'!$B$4:$D$4,0))*1000</f>
        <v>1219399</v>
      </c>
      <c r="L2434" s="183">
        <f ca="1">VLOOKUP(F2434,
    OFFSET(INDIRECT(ADDRESS(MATCH(J2434,'Vehicle numbers'!$A$5:$A$162,0),1,1,1,$L$6)),4,1,COUNTIF('Vehicle numbers'!$A$5:$A$162,J2434),4),
    MATCH(L$8,'Vehicle numbers'!$B$4:$D$4,0))*1000</f>
        <v>1241806.8949190932</v>
      </c>
      <c r="M2434" s="184">
        <f>VLOOKUP(F2434,'Annual distance covered (GB)'!$A$8:$H$33,MATCH(J2434,'Annual distance covered (GB)'!$A$7:$H$7,0))</f>
        <v>4.5</v>
      </c>
      <c r="N2434" s="2">
        <f t="shared" ca="1" si="88"/>
        <v>26762.925997539576</v>
      </c>
      <c r="O2434" s="180">
        <f t="shared" ca="1" si="89"/>
        <v>2.1551600419550936E-2</v>
      </c>
      <c r="P2434" s="180"/>
      <c r="Q2434" s="180"/>
      <c r="R2434" s="180"/>
      <c r="S2434" s="180"/>
      <c r="T2434" s="180"/>
    </row>
    <row r="2435" spans="1:20" x14ac:dyDescent="0.25">
      <c r="A2435" t="s">
        <v>243</v>
      </c>
      <c r="B2435" t="s">
        <v>237</v>
      </c>
      <c r="C2435" t="s">
        <v>238</v>
      </c>
      <c r="D2435" t="s">
        <v>264</v>
      </c>
      <c r="E2435" t="s">
        <v>229</v>
      </c>
      <c r="F2435">
        <v>2013</v>
      </c>
      <c r="G2435">
        <v>2.336E-3</v>
      </c>
      <c r="H2435" t="s">
        <v>240</v>
      </c>
      <c r="I2435" t="s">
        <v>241</v>
      </c>
      <c r="J2435" t="s">
        <v>3</v>
      </c>
      <c r="K2435" s="183">
        <f ca="1">VLOOKUP(F2435,
    OFFSET(INDIRECT(ADDRESS(MATCH(J2435,'Vehicle numbers'!$A$5:$A$162,0),1,1,1,$L$6)),4,1,COUNTIF('Vehicle numbers'!$A$5:$A$162,J2435),4),
    MATCH(K$8,'Vehicle numbers'!$B$4:$D$4,0))*1000</f>
        <v>1219399</v>
      </c>
      <c r="L2435" s="183">
        <f ca="1">VLOOKUP(F2435,
    OFFSET(INDIRECT(ADDRESS(MATCH(J2435,'Vehicle numbers'!$A$5:$A$162,0),1,1,1,$L$6)),4,1,COUNTIF('Vehicle numbers'!$A$5:$A$162,J2435),4),
    MATCH(L$8,'Vehicle numbers'!$B$4:$D$4,0))*1000</f>
        <v>1241806.8949190932</v>
      </c>
      <c r="M2435" s="184">
        <f>VLOOKUP(F2435,'Annual distance covered (GB)'!$A$8:$H$33,MATCH(J2435,'Annual distance covered (GB)'!$A$7:$H$7,0))</f>
        <v>4.5</v>
      </c>
      <c r="N2435" s="2">
        <f t="shared" ca="1" si="88"/>
        <v>10705.170399015833</v>
      </c>
      <c r="O2435" s="180">
        <f t="shared" ca="1" si="89"/>
        <v>8.6206401678203762E-3</v>
      </c>
      <c r="P2435" s="180"/>
      <c r="Q2435" s="180"/>
      <c r="R2435" s="180"/>
      <c r="S2435" s="180"/>
      <c r="T2435" s="180"/>
    </row>
    <row r="2436" spans="1:20" x14ac:dyDescent="0.25">
      <c r="A2436" t="s">
        <v>244</v>
      </c>
      <c r="B2436" t="s">
        <v>237</v>
      </c>
      <c r="C2436" t="s">
        <v>238</v>
      </c>
      <c r="D2436" t="s">
        <v>264</v>
      </c>
      <c r="E2436" t="s">
        <v>229</v>
      </c>
      <c r="F2436">
        <v>2013</v>
      </c>
      <c r="G2436">
        <v>5.8399999999999999E-4</v>
      </c>
      <c r="H2436" t="s">
        <v>240</v>
      </c>
      <c r="I2436" t="s">
        <v>241</v>
      </c>
      <c r="J2436" t="s">
        <v>3</v>
      </c>
      <c r="K2436" s="183">
        <f ca="1">VLOOKUP(F2436,
    OFFSET(INDIRECT(ADDRESS(MATCH(J2436,'Vehicle numbers'!$A$5:$A$162,0),1,1,1,$L$6)),4,1,COUNTIF('Vehicle numbers'!$A$5:$A$162,J2436),4),
    MATCH(K$8,'Vehicle numbers'!$B$4:$D$4,0))*1000</f>
        <v>1219399</v>
      </c>
      <c r="L2436" s="183">
        <f ca="1">VLOOKUP(F2436,
    OFFSET(INDIRECT(ADDRESS(MATCH(J2436,'Vehicle numbers'!$A$5:$A$162,0),1,1,1,$L$6)),4,1,COUNTIF('Vehicle numbers'!$A$5:$A$162,J2436),4),
    MATCH(L$8,'Vehicle numbers'!$B$4:$D$4,0))*1000</f>
        <v>1241806.8949190932</v>
      </c>
      <c r="M2436" s="184">
        <f>VLOOKUP(F2436,'Annual distance covered (GB)'!$A$8:$H$33,MATCH(J2436,'Annual distance covered (GB)'!$A$7:$H$7,0))</f>
        <v>4.5</v>
      </c>
      <c r="N2436" s="2">
        <f t="shared" ca="1" si="88"/>
        <v>2676.2925997539583</v>
      </c>
      <c r="O2436" s="180">
        <f t="shared" ca="1" si="89"/>
        <v>2.1551600419550941E-3</v>
      </c>
      <c r="P2436" s="180"/>
      <c r="Q2436" s="180"/>
      <c r="R2436" s="180"/>
      <c r="S2436" s="180"/>
      <c r="T2436" s="180"/>
    </row>
    <row r="2437" spans="1:20" x14ac:dyDescent="0.25">
      <c r="A2437" t="s">
        <v>246</v>
      </c>
      <c r="B2437" t="s">
        <v>237</v>
      </c>
      <c r="C2437" t="s">
        <v>238</v>
      </c>
      <c r="D2437" t="s">
        <v>264</v>
      </c>
      <c r="E2437" t="s">
        <v>229</v>
      </c>
      <c r="F2437">
        <v>2013</v>
      </c>
      <c r="G2437">
        <v>4.6720000000000003E-4</v>
      </c>
      <c r="H2437" t="s">
        <v>240</v>
      </c>
      <c r="I2437" t="s">
        <v>241</v>
      </c>
      <c r="J2437" t="s">
        <v>3</v>
      </c>
      <c r="K2437" s="183">
        <f ca="1">VLOOKUP(F2437,
    OFFSET(INDIRECT(ADDRESS(MATCH(J2437,'Vehicle numbers'!$A$5:$A$162,0),1,1,1,$L$6)),4,1,COUNTIF('Vehicle numbers'!$A$5:$A$162,J2437),4),
    MATCH(K$8,'Vehicle numbers'!$B$4:$D$4,0))*1000</f>
        <v>1219399</v>
      </c>
      <c r="L2437" s="183">
        <f ca="1">VLOOKUP(F2437,
    OFFSET(INDIRECT(ADDRESS(MATCH(J2437,'Vehicle numbers'!$A$5:$A$162,0),1,1,1,$L$6)),4,1,COUNTIF('Vehicle numbers'!$A$5:$A$162,J2437),4),
    MATCH(L$8,'Vehicle numbers'!$B$4:$D$4,0))*1000</f>
        <v>1241806.8949190932</v>
      </c>
      <c r="M2437" s="184">
        <f>VLOOKUP(F2437,'Annual distance covered (GB)'!$A$8:$H$33,MATCH(J2437,'Annual distance covered (GB)'!$A$7:$H$7,0))</f>
        <v>4.5</v>
      </c>
      <c r="N2437" s="2">
        <f t="shared" ca="1" si="88"/>
        <v>2141.0340798031666</v>
      </c>
      <c r="O2437" s="180">
        <f t="shared" ca="1" si="89"/>
        <v>1.7241280335640755E-3</v>
      </c>
      <c r="P2437" s="180"/>
      <c r="Q2437" s="180"/>
      <c r="R2437" s="180"/>
      <c r="S2437" s="180"/>
      <c r="T2437" s="180"/>
    </row>
    <row r="2438" spans="1:20" x14ac:dyDescent="0.25">
      <c r="A2438" t="s">
        <v>236</v>
      </c>
      <c r="B2438" t="s">
        <v>237</v>
      </c>
      <c r="C2438" t="s">
        <v>238</v>
      </c>
      <c r="D2438" t="s">
        <v>264</v>
      </c>
      <c r="E2438" t="s">
        <v>228</v>
      </c>
      <c r="F2438">
        <v>2013</v>
      </c>
      <c r="G2438">
        <v>3.7569999999999999E-3</v>
      </c>
      <c r="H2438" t="s">
        <v>240</v>
      </c>
      <c r="I2438" t="s">
        <v>241</v>
      </c>
      <c r="J2438" t="s">
        <v>3</v>
      </c>
      <c r="K2438" s="183">
        <f ca="1">VLOOKUP(F2438,
    OFFSET(INDIRECT(ADDRESS(MATCH(J2438,'Vehicle numbers'!$A$5:$A$162,0),1,1,1,$L$6)),4,1,COUNTIF('Vehicle numbers'!$A$5:$A$162,J2438),4),
    MATCH(K$8,'Vehicle numbers'!$B$4:$D$4,0))*1000</f>
        <v>1219399</v>
      </c>
      <c r="L2438" s="183">
        <f ca="1">VLOOKUP(F2438,
    OFFSET(INDIRECT(ADDRESS(MATCH(J2438,'Vehicle numbers'!$A$5:$A$162,0),1,1,1,$L$6)),4,1,COUNTIF('Vehicle numbers'!$A$5:$A$162,J2438),4),
    MATCH(L$8,'Vehicle numbers'!$B$4:$D$4,0))*1000</f>
        <v>1241806.8949190932</v>
      </c>
      <c r="M2438" s="184">
        <f>VLOOKUP(F2438,'Annual distance covered (GB)'!$A$8:$H$33,MATCH(J2438,'Annual distance covered (GB)'!$A$7:$H$7,0))</f>
        <v>4.5</v>
      </c>
      <c r="N2438" s="2">
        <f t="shared" ca="1" si="88"/>
        <v>17217.176878896607</v>
      </c>
      <c r="O2438" s="180">
        <f t="shared" ca="1" si="89"/>
        <v>1.3864616913741929E-2</v>
      </c>
      <c r="P2438" s="180"/>
      <c r="Q2438" s="180"/>
      <c r="R2438" s="180"/>
      <c r="S2438" s="180"/>
      <c r="T2438" s="180"/>
    </row>
    <row r="2439" spans="1:20" x14ac:dyDescent="0.25">
      <c r="A2439" t="s">
        <v>243</v>
      </c>
      <c r="B2439" t="s">
        <v>237</v>
      </c>
      <c r="C2439" t="s">
        <v>238</v>
      </c>
      <c r="D2439" t="s">
        <v>264</v>
      </c>
      <c r="E2439" t="s">
        <v>228</v>
      </c>
      <c r="F2439">
        <v>2013</v>
      </c>
      <c r="G2439">
        <v>2.6299000000000001E-3</v>
      </c>
      <c r="H2439" t="s">
        <v>240</v>
      </c>
      <c r="I2439" t="s">
        <v>241</v>
      </c>
      <c r="J2439" t="s">
        <v>3</v>
      </c>
      <c r="K2439" s="183">
        <f ca="1">VLOOKUP(F2439,
    OFFSET(INDIRECT(ADDRESS(MATCH(J2439,'Vehicle numbers'!$A$5:$A$162,0),1,1,1,$L$6)),4,1,COUNTIF('Vehicle numbers'!$A$5:$A$162,J2439),4),
    MATCH(K$8,'Vehicle numbers'!$B$4:$D$4,0))*1000</f>
        <v>1219399</v>
      </c>
      <c r="L2439" s="183">
        <f ca="1">VLOOKUP(F2439,
    OFFSET(INDIRECT(ADDRESS(MATCH(J2439,'Vehicle numbers'!$A$5:$A$162,0),1,1,1,$L$6)),4,1,COUNTIF('Vehicle numbers'!$A$5:$A$162,J2439),4),
    MATCH(L$8,'Vehicle numbers'!$B$4:$D$4,0))*1000</f>
        <v>1241806.8949190932</v>
      </c>
      <c r="M2439" s="184">
        <f>VLOOKUP(F2439,'Annual distance covered (GB)'!$A$8:$H$33,MATCH(J2439,'Annual distance covered (GB)'!$A$7:$H$7,0))</f>
        <v>4.5</v>
      </c>
      <c r="N2439" s="2">
        <f t="shared" ca="1" si="88"/>
        <v>12052.023815227629</v>
      </c>
      <c r="O2439" s="180">
        <f t="shared" ca="1" si="89"/>
        <v>9.7052318396193531E-3</v>
      </c>
      <c r="P2439" s="180"/>
      <c r="Q2439" s="180"/>
      <c r="R2439" s="180"/>
      <c r="S2439" s="180"/>
      <c r="T2439" s="180"/>
    </row>
    <row r="2440" spans="1:20" x14ac:dyDescent="0.25">
      <c r="A2440" t="s">
        <v>244</v>
      </c>
      <c r="B2440" t="s">
        <v>237</v>
      </c>
      <c r="C2440" t="s">
        <v>238</v>
      </c>
      <c r="D2440" t="s">
        <v>264</v>
      </c>
      <c r="E2440" t="s">
        <v>228</v>
      </c>
      <c r="F2440">
        <v>2013</v>
      </c>
      <c r="G2440">
        <v>3.7040845070422499E-4</v>
      </c>
      <c r="H2440" t="s">
        <v>240</v>
      </c>
      <c r="I2440" t="s">
        <v>241</v>
      </c>
      <c r="J2440" t="s">
        <v>3</v>
      </c>
      <c r="K2440" s="183">
        <f ca="1">VLOOKUP(F2440,
    OFFSET(INDIRECT(ADDRESS(MATCH(J2440,'Vehicle numbers'!$A$5:$A$162,0),1,1,1,$L$6)),4,1,COUNTIF('Vehicle numbers'!$A$5:$A$162,J2440),4),
    MATCH(K$8,'Vehicle numbers'!$B$4:$D$4,0))*1000</f>
        <v>1219399</v>
      </c>
      <c r="L2440" s="183">
        <f ca="1">VLOOKUP(F2440,
    OFFSET(INDIRECT(ADDRESS(MATCH(J2440,'Vehicle numbers'!$A$5:$A$162,0),1,1,1,$L$6)),4,1,COUNTIF('Vehicle numbers'!$A$5:$A$162,J2440),4),
    MATCH(L$8,'Vehicle numbers'!$B$4:$D$4,0))*1000</f>
        <v>1241806.8949190932</v>
      </c>
      <c r="M2440" s="184">
        <f>VLOOKUP(F2440,'Annual distance covered (GB)'!$A$8:$H$33,MATCH(J2440,'Annual distance covered (GB)'!$A$7:$H$7,0))</f>
        <v>4.5</v>
      </c>
      <c r="N2440" s="2">
        <f t="shared" ca="1" si="88"/>
        <v>1697.4681429898048</v>
      </c>
      <c r="O2440" s="180">
        <f t="shared" ca="1" si="89"/>
        <v>1.3669340619182173E-3</v>
      </c>
      <c r="P2440" s="180"/>
      <c r="Q2440" s="180"/>
      <c r="R2440" s="180"/>
      <c r="S2440" s="180"/>
      <c r="T2440" s="180"/>
    </row>
    <row r="2441" spans="1:20" x14ac:dyDescent="0.25">
      <c r="A2441" t="s">
        <v>246</v>
      </c>
      <c r="B2441" t="s">
        <v>237</v>
      </c>
      <c r="C2441" t="s">
        <v>238</v>
      </c>
      <c r="D2441" t="s">
        <v>264</v>
      </c>
      <c r="E2441" t="s">
        <v>228</v>
      </c>
      <c r="F2441">
        <v>2013</v>
      </c>
      <c r="G2441">
        <v>2.9632676056337998E-4</v>
      </c>
      <c r="H2441" t="s">
        <v>240</v>
      </c>
      <c r="I2441" t="s">
        <v>241</v>
      </c>
      <c r="J2441" t="s">
        <v>3</v>
      </c>
      <c r="K2441" s="183">
        <f ca="1">VLOOKUP(F2441,
    OFFSET(INDIRECT(ADDRESS(MATCH(J2441,'Vehicle numbers'!$A$5:$A$162,0),1,1,1,$L$6)),4,1,COUNTIF('Vehicle numbers'!$A$5:$A$162,J2441),4),
    MATCH(K$8,'Vehicle numbers'!$B$4:$D$4,0))*1000</f>
        <v>1219399</v>
      </c>
      <c r="L2441" s="183">
        <f ca="1">VLOOKUP(F2441,
    OFFSET(INDIRECT(ADDRESS(MATCH(J2441,'Vehicle numbers'!$A$5:$A$162,0),1,1,1,$L$6)),4,1,COUNTIF('Vehicle numbers'!$A$5:$A$162,J2441),4),
    MATCH(L$8,'Vehicle numbers'!$B$4:$D$4,0))*1000</f>
        <v>1241806.8949190932</v>
      </c>
      <c r="M2441" s="184">
        <f>VLOOKUP(F2441,'Annual distance covered (GB)'!$A$8:$H$33,MATCH(J2441,'Annual distance covered (GB)'!$A$7:$H$7,0))</f>
        <v>4.5</v>
      </c>
      <c r="N2441" s="2">
        <f t="shared" ca="1" si="88"/>
        <v>1357.974514391844</v>
      </c>
      <c r="O2441" s="180">
        <f t="shared" ca="1" si="89"/>
        <v>1.0935472495345738E-3</v>
      </c>
      <c r="P2441" s="180"/>
      <c r="Q2441" s="180"/>
      <c r="R2441" s="180"/>
      <c r="S2441" s="180"/>
      <c r="T2441" s="180"/>
    </row>
    <row r="2442" spans="1:20" x14ac:dyDescent="0.25">
      <c r="A2442" t="s">
        <v>236</v>
      </c>
      <c r="B2442" t="s">
        <v>237</v>
      </c>
      <c r="C2442" t="s">
        <v>238</v>
      </c>
      <c r="D2442" t="s">
        <v>239</v>
      </c>
      <c r="E2442" t="s">
        <v>229</v>
      </c>
      <c r="F2442">
        <v>2014</v>
      </c>
      <c r="G2442">
        <v>8.4410000000000093E-3</v>
      </c>
      <c r="H2442" t="s">
        <v>240</v>
      </c>
      <c r="I2442" t="s">
        <v>241</v>
      </c>
      <c r="J2442" t="s">
        <v>242</v>
      </c>
      <c r="K2442" s="183">
        <f ca="1">VLOOKUP(F2442,
    OFFSET(INDIRECT(ADDRESS(MATCH(J2442,'Vehicle numbers'!$A$5:$A$162,0),1,1,1,$L$6)),4,1,COUNTIF('Vehicle numbers'!$A$5:$A$162,J2442),4),
    MATCH(K$8,'Vehicle numbers'!$B$4:$D$4,0))*1000</f>
        <v>163051</v>
      </c>
      <c r="L2442" s="183">
        <f ca="1">VLOOKUP(F2442,
    OFFSET(INDIRECT(ADDRESS(MATCH(J2442,'Vehicle numbers'!$A$5:$A$162,0),1,1,1,$L$6)),4,1,COUNTIF('Vehicle numbers'!$A$5:$A$162,J2442),4),
    MATCH(L$8,'Vehicle numbers'!$B$4:$D$4,0))*1000</f>
        <v>168640</v>
      </c>
      <c r="M2442" s="184">
        <f>VLOOKUP(F2442,'Annual distance covered (GB)'!$A$8:$H$33,MATCH(J2442,'Annual distance covered (GB)'!$A$7:$H$7,0))</f>
        <v>4.7</v>
      </c>
      <c r="N2442" s="2">
        <f t="shared" ca="1" si="88"/>
        <v>41032.585681780591</v>
      </c>
      <c r="O2442" s="180">
        <f t="shared" ca="1" si="89"/>
        <v>0.24331466841663063</v>
      </c>
      <c r="P2442" s="180"/>
      <c r="Q2442" s="180"/>
      <c r="R2442" s="180"/>
      <c r="S2442" s="180"/>
      <c r="T2442" s="180"/>
    </row>
    <row r="2443" spans="1:20" x14ac:dyDescent="0.25">
      <c r="A2443" t="s">
        <v>243</v>
      </c>
      <c r="B2443" t="s">
        <v>237</v>
      </c>
      <c r="C2443" t="s">
        <v>238</v>
      </c>
      <c r="D2443" t="s">
        <v>239</v>
      </c>
      <c r="E2443" t="s">
        <v>229</v>
      </c>
      <c r="F2443">
        <v>2014</v>
      </c>
      <c r="G2443">
        <v>3.3763999999999999E-3</v>
      </c>
      <c r="H2443" t="s">
        <v>240</v>
      </c>
      <c r="I2443" t="s">
        <v>241</v>
      </c>
      <c r="J2443" t="s">
        <v>242</v>
      </c>
      <c r="K2443" s="183">
        <f ca="1">VLOOKUP(F2443,
    OFFSET(INDIRECT(ADDRESS(MATCH(J2443,'Vehicle numbers'!$A$5:$A$162,0),1,1,1,$L$6)),4,1,COUNTIF('Vehicle numbers'!$A$5:$A$162,J2443),4),
    MATCH(K$8,'Vehicle numbers'!$B$4:$D$4,0))*1000</f>
        <v>163051</v>
      </c>
      <c r="L2443" s="183">
        <f ca="1">VLOOKUP(F2443,
    OFFSET(INDIRECT(ADDRESS(MATCH(J2443,'Vehicle numbers'!$A$5:$A$162,0),1,1,1,$L$6)),4,1,COUNTIF('Vehicle numbers'!$A$5:$A$162,J2443),4),
    MATCH(L$8,'Vehicle numbers'!$B$4:$D$4,0))*1000</f>
        <v>168640</v>
      </c>
      <c r="M2443" s="184">
        <f>VLOOKUP(F2443,'Annual distance covered (GB)'!$A$8:$H$33,MATCH(J2443,'Annual distance covered (GB)'!$A$7:$H$7,0))</f>
        <v>4.7</v>
      </c>
      <c r="N2443" s="2">
        <f t="shared" ref="N2443:N2506" ca="1" si="90">M2443*G2443*1000000*(L2443/K2443)</f>
        <v>16413.034272712219</v>
      </c>
      <c r="O2443" s="180">
        <f t="shared" ref="O2443:O2506" ca="1" si="91">N2443/L2443</f>
        <v>9.732586736665215E-2</v>
      </c>
      <c r="P2443" s="180"/>
      <c r="Q2443" s="180"/>
      <c r="R2443" s="180"/>
      <c r="S2443" s="180"/>
      <c r="T2443" s="180"/>
    </row>
    <row r="2444" spans="1:20" x14ac:dyDescent="0.25">
      <c r="A2444" t="s">
        <v>244</v>
      </c>
      <c r="B2444" t="s">
        <v>237</v>
      </c>
      <c r="C2444" t="s">
        <v>238</v>
      </c>
      <c r="D2444" t="s">
        <v>239</v>
      </c>
      <c r="E2444" t="s">
        <v>229</v>
      </c>
      <c r="F2444">
        <v>2014</v>
      </c>
      <c r="G2444">
        <v>8.4409999999999997E-4</v>
      </c>
      <c r="H2444" t="s">
        <v>240</v>
      </c>
      <c r="I2444" t="s">
        <v>241</v>
      </c>
      <c r="J2444" t="s">
        <v>242</v>
      </c>
      <c r="K2444" s="183">
        <f ca="1">VLOOKUP(F2444,
    OFFSET(INDIRECT(ADDRESS(MATCH(J2444,'Vehicle numbers'!$A$5:$A$162,0),1,1,1,$L$6)),4,1,COUNTIF('Vehicle numbers'!$A$5:$A$162,J2444),4),
    MATCH(K$8,'Vehicle numbers'!$B$4:$D$4,0))*1000</f>
        <v>163051</v>
      </c>
      <c r="L2444" s="183">
        <f ca="1">VLOOKUP(F2444,
    OFFSET(INDIRECT(ADDRESS(MATCH(J2444,'Vehicle numbers'!$A$5:$A$162,0),1,1,1,$L$6)),4,1,COUNTIF('Vehicle numbers'!$A$5:$A$162,J2444),4),
    MATCH(L$8,'Vehicle numbers'!$B$4:$D$4,0))*1000</f>
        <v>168640</v>
      </c>
      <c r="M2444" s="184">
        <f>VLOOKUP(F2444,'Annual distance covered (GB)'!$A$8:$H$33,MATCH(J2444,'Annual distance covered (GB)'!$A$7:$H$7,0))</f>
        <v>4.7</v>
      </c>
      <c r="N2444" s="2">
        <f t="shared" ca="1" si="90"/>
        <v>4103.2585681780547</v>
      </c>
      <c r="O2444" s="180">
        <f t="shared" ca="1" si="91"/>
        <v>2.4331466841663037E-2</v>
      </c>
      <c r="P2444" s="180"/>
      <c r="Q2444" s="180"/>
      <c r="R2444" s="180"/>
      <c r="S2444" s="180"/>
      <c r="T2444" s="180"/>
    </row>
    <row r="2445" spans="1:20" x14ac:dyDescent="0.25">
      <c r="A2445" t="s">
        <v>246</v>
      </c>
      <c r="B2445" t="s">
        <v>237</v>
      </c>
      <c r="C2445" t="s">
        <v>238</v>
      </c>
      <c r="D2445" t="s">
        <v>239</v>
      </c>
      <c r="E2445" t="s">
        <v>229</v>
      </c>
      <c r="F2445">
        <v>2014</v>
      </c>
      <c r="G2445">
        <v>6.7528E-4</v>
      </c>
      <c r="H2445" t="s">
        <v>240</v>
      </c>
      <c r="I2445" t="s">
        <v>241</v>
      </c>
      <c r="J2445" t="s">
        <v>242</v>
      </c>
      <c r="K2445" s="183">
        <f ca="1">VLOOKUP(F2445,
    OFFSET(INDIRECT(ADDRESS(MATCH(J2445,'Vehicle numbers'!$A$5:$A$162,0),1,1,1,$L$6)),4,1,COUNTIF('Vehicle numbers'!$A$5:$A$162,J2445),4),
    MATCH(K$8,'Vehicle numbers'!$B$4:$D$4,0))*1000</f>
        <v>163051</v>
      </c>
      <c r="L2445" s="183">
        <f ca="1">VLOOKUP(F2445,
    OFFSET(INDIRECT(ADDRESS(MATCH(J2445,'Vehicle numbers'!$A$5:$A$162,0),1,1,1,$L$6)),4,1,COUNTIF('Vehicle numbers'!$A$5:$A$162,J2445),4),
    MATCH(L$8,'Vehicle numbers'!$B$4:$D$4,0))*1000</f>
        <v>168640</v>
      </c>
      <c r="M2445" s="184">
        <f>VLOOKUP(F2445,'Annual distance covered (GB)'!$A$8:$H$33,MATCH(J2445,'Annual distance covered (GB)'!$A$7:$H$7,0))</f>
        <v>4.7</v>
      </c>
      <c r="N2445" s="2">
        <f t="shared" ca="1" si="90"/>
        <v>3282.6068545424437</v>
      </c>
      <c r="O2445" s="180">
        <f t="shared" ca="1" si="91"/>
        <v>1.9465173473330429E-2</v>
      </c>
      <c r="P2445" s="180"/>
      <c r="Q2445" s="180"/>
      <c r="R2445" s="180"/>
      <c r="S2445" s="180"/>
      <c r="T2445" s="180"/>
    </row>
    <row r="2446" spans="1:20" x14ac:dyDescent="0.25">
      <c r="A2446" t="s">
        <v>236</v>
      </c>
      <c r="B2446" t="s">
        <v>237</v>
      </c>
      <c r="C2446" t="s">
        <v>238</v>
      </c>
      <c r="D2446" t="s">
        <v>239</v>
      </c>
      <c r="E2446" t="s">
        <v>228</v>
      </c>
      <c r="F2446">
        <v>2014</v>
      </c>
      <c r="G2446">
        <v>1.3984E-2</v>
      </c>
      <c r="H2446" t="s">
        <v>240</v>
      </c>
      <c r="I2446" t="s">
        <v>241</v>
      </c>
      <c r="J2446" t="s">
        <v>242</v>
      </c>
      <c r="K2446" s="183">
        <f ca="1">VLOOKUP(F2446,
    OFFSET(INDIRECT(ADDRESS(MATCH(J2446,'Vehicle numbers'!$A$5:$A$162,0),1,1,1,$L$6)),4,1,COUNTIF('Vehicle numbers'!$A$5:$A$162,J2446),4),
    MATCH(K$8,'Vehicle numbers'!$B$4:$D$4,0))*1000</f>
        <v>163051</v>
      </c>
      <c r="L2446" s="183">
        <f ca="1">VLOOKUP(F2446,
    OFFSET(INDIRECT(ADDRESS(MATCH(J2446,'Vehicle numbers'!$A$5:$A$162,0),1,1,1,$L$6)),4,1,COUNTIF('Vehicle numbers'!$A$5:$A$162,J2446),4),
    MATCH(L$8,'Vehicle numbers'!$B$4:$D$4,0))*1000</f>
        <v>168640</v>
      </c>
      <c r="M2446" s="184">
        <f>VLOOKUP(F2446,'Annual distance covered (GB)'!$A$8:$H$33,MATCH(J2446,'Annual distance covered (GB)'!$A$7:$H$7,0))</f>
        <v>4.7</v>
      </c>
      <c r="N2446" s="2">
        <f t="shared" ca="1" si="90"/>
        <v>67977.689630851688</v>
      </c>
      <c r="O2446" s="180">
        <f t="shared" ca="1" si="91"/>
        <v>0.4030935106193767</v>
      </c>
      <c r="P2446" s="180"/>
      <c r="Q2446" s="180"/>
      <c r="R2446" s="180"/>
      <c r="S2446" s="180"/>
      <c r="T2446" s="180"/>
    </row>
    <row r="2447" spans="1:20" x14ac:dyDescent="0.25">
      <c r="A2447" t="s">
        <v>243</v>
      </c>
      <c r="B2447" t="s">
        <v>237</v>
      </c>
      <c r="C2447" t="s">
        <v>238</v>
      </c>
      <c r="D2447" t="s">
        <v>239</v>
      </c>
      <c r="E2447" t="s">
        <v>228</v>
      </c>
      <c r="F2447">
        <v>2014</v>
      </c>
      <c r="G2447">
        <v>9.7888000000000003E-3</v>
      </c>
      <c r="H2447" t="s">
        <v>240</v>
      </c>
      <c r="I2447" t="s">
        <v>241</v>
      </c>
      <c r="J2447" t="s">
        <v>242</v>
      </c>
      <c r="K2447" s="183">
        <f ca="1">VLOOKUP(F2447,
    OFFSET(INDIRECT(ADDRESS(MATCH(J2447,'Vehicle numbers'!$A$5:$A$162,0),1,1,1,$L$6)),4,1,COUNTIF('Vehicle numbers'!$A$5:$A$162,J2447),4),
    MATCH(K$8,'Vehicle numbers'!$B$4:$D$4,0))*1000</f>
        <v>163051</v>
      </c>
      <c r="L2447" s="183">
        <f ca="1">VLOOKUP(F2447,
    OFFSET(INDIRECT(ADDRESS(MATCH(J2447,'Vehicle numbers'!$A$5:$A$162,0),1,1,1,$L$6)),4,1,COUNTIF('Vehicle numbers'!$A$5:$A$162,J2447),4),
    MATCH(L$8,'Vehicle numbers'!$B$4:$D$4,0))*1000</f>
        <v>168640</v>
      </c>
      <c r="M2447" s="184">
        <f>VLOOKUP(F2447,'Annual distance covered (GB)'!$A$8:$H$33,MATCH(J2447,'Annual distance covered (GB)'!$A$7:$H$7,0))</f>
        <v>4.7</v>
      </c>
      <c r="N2447" s="2">
        <f t="shared" ca="1" si="90"/>
        <v>47584.382741596186</v>
      </c>
      <c r="O2447" s="180">
        <f t="shared" ca="1" si="91"/>
        <v>0.28216545743356375</v>
      </c>
      <c r="P2447" s="180"/>
      <c r="Q2447" s="180"/>
      <c r="R2447" s="180"/>
      <c r="S2447" s="180"/>
      <c r="T2447" s="180"/>
    </row>
    <row r="2448" spans="1:20" x14ac:dyDescent="0.25">
      <c r="A2448" t="s">
        <v>244</v>
      </c>
      <c r="B2448" t="s">
        <v>237</v>
      </c>
      <c r="C2448" t="s">
        <v>238</v>
      </c>
      <c r="D2448" t="s">
        <v>239</v>
      </c>
      <c r="E2448" t="s">
        <v>228</v>
      </c>
      <c r="F2448">
        <v>2014</v>
      </c>
      <c r="G2448">
        <v>1.3787042253521099E-3</v>
      </c>
      <c r="H2448" t="s">
        <v>240</v>
      </c>
      <c r="I2448" t="s">
        <v>241</v>
      </c>
      <c r="J2448" t="s">
        <v>242</v>
      </c>
      <c r="K2448" s="183">
        <f ca="1">VLOOKUP(F2448,
    OFFSET(INDIRECT(ADDRESS(MATCH(J2448,'Vehicle numbers'!$A$5:$A$162,0),1,1,1,$L$6)),4,1,COUNTIF('Vehicle numbers'!$A$5:$A$162,J2448),4),
    MATCH(K$8,'Vehicle numbers'!$B$4:$D$4,0))*1000</f>
        <v>163051</v>
      </c>
      <c r="L2448" s="183">
        <f ca="1">VLOOKUP(F2448,
    OFFSET(INDIRECT(ADDRESS(MATCH(J2448,'Vehicle numbers'!$A$5:$A$162,0),1,1,1,$L$6)),4,1,COUNTIF('Vehicle numbers'!$A$5:$A$162,J2448),4),
    MATCH(L$8,'Vehicle numbers'!$B$4:$D$4,0))*1000</f>
        <v>168640</v>
      </c>
      <c r="M2448" s="184">
        <f>VLOOKUP(F2448,'Annual distance covered (GB)'!$A$8:$H$33,MATCH(J2448,'Annual distance covered (GB)'!$A$7:$H$7,0))</f>
        <v>4.7</v>
      </c>
      <c r="N2448" s="2">
        <f t="shared" ca="1" si="90"/>
        <v>6702.0257382529708</v>
      </c>
      <c r="O2448" s="180">
        <f t="shared" ca="1" si="91"/>
        <v>3.9741613723037063E-2</v>
      </c>
      <c r="P2448" s="180"/>
      <c r="Q2448" s="180"/>
      <c r="R2448" s="180"/>
      <c r="S2448" s="180"/>
      <c r="T2448" s="180"/>
    </row>
    <row r="2449" spans="1:20" x14ac:dyDescent="0.25">
      <c r="A2449" t="s">
        <v>246</v>
      </c>
      <c r="B2449" t="s">
        <v>237</v>
      </c>
      <c r="C2449" t="s">
        <v>238</v>
      </c>
      <c r="D2449" t="s">
        <v>239</v>
      </c>
      <c r="E2449" t="s">
        <v>228</v>
      </c>
      <c r="F2449">
        <v>2014</v>
      </c>
      <c r="G2449">
        <v>1.10296338028169E-3</v>
      </c>
      <c r="H2449" t="s">
        <v>240</v>
      </c>
      <c r="I2449" t="s">
        <v>241</v>
      </c>
      <c r="J2449" t="s">
        <v>242</v>
      </c>
      <c r="K2449" s="183">
        <f ca="1">VLOOKUP(F2449,
    OFFSET(INDIRECT(ADDRESS(MATCH(J2449,'Vehicle numbers'!$A$5:$A$162,0),1,1,1,$L$6)),4,1,COUNTIF('Vehicle numbers'!$A$5:$A$162,J2449),4),
    MATCH(K$8,'Vehicle numbers'!$B$4:$D$4,0))*1000</f>
        <v>163051</v>
      </c>
      <c r="L2449" s="183">
        <f ca="1">VLOOKUP(F2449,
    OFFSET(INDIRECT(ADDRESS(MATCH(J2449,'Vehicle numbers'!$A$5:$A$162,0),1,1,1,$L$6)),4,1,COUNTIF('Vehicle numbers'!$A$5:$A$162,J2449),4),
    MATCH(L$8,'Vehicle numbers'!$B$4:$D$4,0))*1000</f>
        <v>168640</v>
      </c>
      <c r="M2449" s="184">
        <f>VLOOKUP(F2449,'Annual distance covered (GB)'!$A$8:$H$33,MATCH(J2449,'Annual distance covered (GB)'!$A$7:$H$7,0))</f>
        <v>4.7</v>
      </c>
      <c r="N2449" s="2">
        <f t="shared" ca="1" si="90"/>
        <v>5361.6205906023861</v>
      </c>
      <c r="O2449" s="180">
        <f t="shared" ca="1" si="91"/>
        <v>3.1793290978429707E-2</v>
      </c>
      <c r="P2449" s="180"/>
      <c r="Q2449" s="180"/>
      <c r="R2449" s="180"/>
      <c r="S2449" s="180"/>
      <c r="T2449" s="180"/>
    </row>
    <row r="2450" spans="1:20" x14ac:dyDescent="0.25">
      <c r="A2450" t="s">
        <v>236</v>
      </c>
      <c r="B2450" t="s">
        <v>237</v>
      </c>
      <c r="C2450" t="s">
        <v>238</v>
      </c>
      <c r="D2450" t="s">
        <v>248</v>
      </c>
      <c r="E2450" t="s">
        <v>229</v>
      </c>
      <c r="F2450">
        <v>2014</v>
      </c>
      <c r="G2450">
        <v>2.7143E-2</v>
      </c>
      <c r="H2450" t="s">
        <v>240</v>
      </c>
      <c r="I2450" t="s">
        <v>241</v>
      </c>
      <c r="J2450" t="s">
        <v>242</v>
      </c>
      <c r="K2450" s="183">
        <f ca="1">VLOOKUP(F2450,
    OFFSET(INDIRECT(ADDRESS(MATCH(J2450,'Vehicle numbers'!$A$5:$A$162,0),1,1,1,$L$6)),4,1,COUNTIF('Vehicle numbers'!$A$5:$A$162,J2450),4),
    MATCH(K$8,'Vehicle numbers'!$B$4:$D$4,0))*1000</f>
        <v>163051</v>
      </c>
      <c r="L2450" s="183">
        <f ca="1">VLOOKUP(F2450,
    OFFSET(INDIRECT(ADDRESS(MATCH(J2450,'Vehicle numbers'!$A$5:$A$162,0),1,1,1,$L$6)),4,1,COUNTIF('Vehicle numbers'!$A$5:$A$162,J2450),4),
    MATCH(L$8,'Vehicle numbers'!$B$4:$D$4,0))*1000</f>
        <v>168640</v>
      </c>
      <c r="M2450" s="184">
        <f>VLOOKUP(F2450,'Annual distance covered (GB)'!$A$8:$H$33,MATCH(J2450,'Annual distance covered (GB)'!$A$7:$H$7,0))</f>
        <v>4.7</v>
      </c>
      <c r="N2450" s="2">
        <f t="shared" ca="1" si="90"/>
        <v>131944.96779535236</v>
      </c>
      <c r="O2450" s="180">
        <f t="shared" ca="1" si="91"/>
        <v>0.78240611833107432</v>
      </c>
      <c r="P2450" s="180"/>
      <c r="Q2450" s="180"/>
      <c r="R2450" s="180"/>
      <c r="S2450" s="180"/>
      <c r="T2450" s="180"/>
    </row>
    <row r="2451" spans="1:20" x14ac:dyDescent="0.25">
      <c r="A2451" t="s">
        <v>243</v>
      </c>
      <c r="B2451" t="s">
        <v>237</v>
      </c>
      <c r="C2451" t="s">
        <v>238</v>
      </c>
      <c r="D2451" t="s">
        <v>248</v>
      </c>
      <c r="E2451" t="s">
        <v>229</v>
      </c>
      <c r="F2451">
        <v>2014</v>
      </c>
      <c r="G2451">
        <v>1.0857199999999999E-2</v>
      </c>
      <c r="H2451" t="s">
        <v>240</v>
      </c>
      <c r="I2451" t="s">
        <v>241</v>
      </c>
      <c r="J2451" t="s">
        <v>242</v>
      </c>
      <c r="K2451" s="183">
        <f ca="1">VLOOKUP(F2451,
    OFFSET(INDIRECT(ADDRESS(MATCH(J2451,'Vehicle numbers'!$A$5:$A$162,0),1,1,1,$L$6)),4,1,COUNTIF('Vehicle numbers'!$A$5:$A$162,J2451),4),
    MATCH(K$8,'Vehicle numbers'!$B$4:$D$4,0))*1000</f>
        <v>163051</v>
      </c>
      <c r="L2451" s="183">
        <f ca="1">VLOOKUP(F2451,
    OFFSET(INDIRECT(ADDRESS(MATCH(J2451,'Vehicle numbers'!$A$5:$A$162,0),1,1,1,$L$6)),4,1,COUNTIF('Vehicle numbers'!$A$5:$A$162,J2451),4),
    MATCH(L$8,'Vehicle numbers'!$B$4:$D$4,0))*1000</f>
        <v>168640</v>
      </c>
      <c r="M2451" s="184">
        <f>VLOOKUP(F2451,'Annual distance covered (GB)'!$A$8:$H$33,MATCH(J2451,'Annual distance covered (GB)'!$A$7:$H$7,0))</f>
        <v>4.7</v>
      </c>
      <c r="N2451" s="2">
        <f t="shared" ca="1" si="90"/>
        <v>52777.98711814094</v>
      </c>
      <c r="O2451" s="180">
        <f t="shared" ca="1" si="91"/>
        <v>0.31296244733242967</v>
      </c>
      <c r="P2451" s="180"/>
      <c r="Q2451" s="180"/>
      <c r="R2451" s="180"/>
      <c r="S2451" s="180"/>
      <c r="T2451" s="180"/>
    </row>
    <row r="2452" spans="1:20" x14ac:dyDescent="0.25">
      <c r="A2452" t="s">
        <v>244</v>
      </c>
      <c r="B2452" t="s">
        <v>237</v>
      </c>
      <c r="C2452" t="s">
        <v>238</v>
      </c>
      <c r="D2452" t="s">
        <v>248</v>
      </c>
      <c r="E2452" t="s">
        <v>229</v>
      </c>
      <c r="F2452">
        <v>2014</v>
      </c>
      <c r="G2452">
        <v>2.7142999999999998E-3</v>
      </c>
      <c r="H2452" t="s">
        <v>240</v>
      </c>
      <c r="I2452" t="s">
        <v>241</v>
      </c>
      <c r="J2452" t="s">
        <v>242</v>
      </c>
      <c r="K2452" s="183">
        <f ca="1">VLOOKUP(F2452,
    OFFSET(INDIRECT(ADDRESS(MATCH(J2452,'Vehicle numbers'!$A$5:$A$162,0),1,1,1,$L$6)),4,1,COUNTIF('Vehicle numbers'!$A$5:$A$162,J2452),4),
    MATCH(K$8,'Vehicle numbers'!$B$4:$D$4,0))*1000</f>
        <v>163051</v>
      </c>
      <c r="L2452" s="183">
        <f ca="1">VLOOKUP(F2452,
    OFFSET(INDIRECT(ADDRESS(MATCH(J2452,'Vehicle numbers'!$A$5:$A$162,0),1,1,1,$L$6)),4,1,COUNTIF('Vehicle numbers'!$A$5:$A$162,J2452),4),
    MATCH(L$8,'Vehicle numbers'!$B$4:$D$4,0))*1000</f>
        <v>168640</v>
      </c>
      <c r="M2452" s="184">
        <f>VLOOKUP(F2452,'Annual distance covered (GB)'!$A$8:$H$33,MATCH(J2452,'Annual distance covered (GB)'!$A$7:$H$7,0))</f>
        <v>4.7</v>
      </c>
      <c r="N2452" s="2">
        <f t="shared" ca="1" si="90"/>
        <v>13194.496779535235</v>
      </c>
      <c r="O2452" s="180">
        <f t="shared" ca="1" si="91"/>
        <v>7.8240611833107418E-2</v>
      </c>
      <c r="P2452" s="180"/>
      <c r="Q2452" s="180"/>
      <c r="R2452" s="180"/>
      <c r="S2452" s="180"/>
      <c r="T2452" s="180"/>
    </row>
    <row r="2453" spans="1:20" x14ac:dyDescent="0.25">
      <c r="A2453" t="s">
        <v>246</v>
      </c>
      <c r="B2453" t="s">
        <v>237</v>
      </c>
      <c r="C2453" t="s">
        <v>238</v>
      </c>
      <c r="D2453" t="s">
        <v>248</v>
      </c>
      <c r="E2453" t="s">
        <v>229</v>
      </c>
      <c r="F2453">
        <v>2014</v>
      </c>
      <c r="G2453">
        <v>2.1714400000000002E-3</v>
      </c>
      <c r="H2453" t="s">
        <v>240</v>
      </c>
      <c r="I2453" t="s">
        <v>241</v>
      </c>
      <c r="J2453" t="s">
        <v>242</v>
      </c>
      <c r="K2453" s="183">
        <f ca="1">VLOOKUP(F2453,
    OFFSET(INDIRECT(ADDRESS(MATCH(J2453,'Vehicle numbers'!$A$5:$A$162,0),1,1,1,$L$6)),4,1,COUNTIF('Vehicle numbers'!$A$5:$A$162,J2453),4),
    MATCH(K$8,'Vehicle numbers'!$B$4:$D$4,0))*1000</f>
        <v>163051</v>
      </c>
      <c r="L2453" s="183">
        <f ca="1">VLOOKUP(F2453,
    OFFSET(INDIRECT(ADDRESS(MATCH(J2453,'Vehicle numbers'!$A$5:$A$162,0),1,1,1,$L$6)),4,1,COUNTIF('Vehicle numbers'!$A$5:$A$162,J2453),4),
    MATCH(L$8,'Vehicle numbers'!$B$4:$D$4,0))*1000</f>
        <v>168640</v>
      </c>
      <c r="M2453" s="184">
        <f>VLOOKUP(F2453,'Annual distance covered (GB)'!$A$8:$H$33,MATCH(J2453,'Annual distance covered (GB)'!$A$7:$H$7,0))</f>
        <v>4.7</v>
      </c>
      <c r="N2453" s="2">
        <f t="shared" ca="1" si="90"/>
        <v>10555.597423628189</v>
      </c>
      <c r="O2453" s="180">
        <f t="shared" ca="1" si="91"/>
        <v>6.2592489466485934E-2</v>
      </c>
      <c r="P2453" s="180"/>
      <c r="Q2453" s="180"/>
      <c r="R2453" s="180"/>
      <c r="S2453" s="180"/>
      <c r="T2453" s="180"/>
    </row>
    <row r="2454" spans="1:20" x14ac:dyDescent="0.25">
      <c r="A2454" t="s">
        <v>236</v>
      </c>
      <c r="B2454" t="s">
        <v>237</v>
      </c>
      <c r="C2454" t="s">
        <v>238</v>
      </c>
      <c r="D2454" t="s">
        <v>248</v>
      </c>
      <c r="E2454" t="s">
        <v>228</v>
      </c>
      <c r="F2454">
        <v>2014</v>
      </c>
      <c r="G2454">
        <v>1.68578987779569E-2</v>
      </c>
      <c r="H2454" t="s">
        <v>240</v>
      </c>
      <c r="I2454" t="s">
        <v>241</v>
      </c>
      <c r="J2454" t="s">
        <v>242</v>
      </c>
      <c r="K2454" s="183">
        <f ca="1">VLOOKUP(F2454,
    OFFSET(INDIRECT(ADDRESS(MATCH(J2454,'Vehicle numbers'!$A$5:$A$162,0),1,1,1,$L$6)),4,1,COUNTIF('Vehicle numbers'!$A$5:$A$162,J2454),4),
    MATCH(K$8,'Vehicle numbers'!$B$4:$D$4,0))*1000</f>
        <v>163051</v>
      </c>
      <c r="L2454" s="183">
        <f ca="1">VLOOKUP(F2454,
    OFFSET(INDIRECT(ADDRESS(MATCH(J2454,'Vehicle numbers'!$A$5:$A$162,0),1,1,1,$L$6)),4,1,COUNTIF('Vehicle numbers'!$A$5:$A$162,J2454),4),
    MATCH(L$8,'Vehicle numbers'!$B$4:$D$4,0))*1000</f>
        <v>168640</v>
      </c>
      <c r="M2454" s="184">
        <f>VLOOKUP(F2454,'Annual distance covered (GB)'!$A$8:$H$33,MATCH(J2454,'Annual distance covered (GB)'!$A$7:$H$7,0))</f>
        <v>4.7</v>
      </c>
      <c r="N2454" s="2">
        <f t="shared" ca="1" si="90"/>
        <v>81948.012797215983</v>
      </c>
      <c r="O2454" s="180">
        <f t="shared" ca="1" si="91"/>
        <v>0.48593461098918395</v>
      </c>
      <c r="P2454" s="180"/>
      <c r="Q2454" s="180"/>
      <c r="R2454" s="180"/>
      <c r="S2454" s="180"/>
      <c r="T2454" s="180"/>
    </row>
    <row r="2455" spans="1:20" x14ac:dyDescent="0.25">
      <c r="A2455" t="s">
        <v>243</v>
      </c>
      <c r="B2455" t="s">
        <v>237</v>
      </c>
      <c r="C2455" t="s">
        <v>238</v>
      </c>
      <c r="D2455" t="s">
        <v>248</v>
      </c>
      <c r="E2455" t="s">
        <v>228</v>
      </c>
      <c r="F2455">
        <v>2014</v>
      </c>
      <c r="G2455">
        <v>1.1800529144569799E-2</v>
      </c>
      <c r="H2455" t="s">
        <v>240</v>
      </c>
      <c r="I2455" t="s">
        <v>241</v>
      </c>
      <c r="J2455" t="s">
        <v>242</v>
      </c>
      <c r="K2455" s="183">
        <f ca="1">VLOOKUP(F2455,
    OFFSET(INDIRECT(ADDRESS(MATCH(J2455,'Vehicle numbers'!$A$5:$A$162,0),1,1,1,$L$6)),4,1,COUNTIF('Vehicle numbers'!$A$5:$A$162,J2455),4),
    MATCH(K$8,'Vehicle numbers'!$B$4:$D$4,0))*1000</f>
        <v>163051</v>
      </c>
      <c r="L2455" s="183">
        <f ca="1">VLOOKUP(F2455,
    OFFSET(INDIRECT(ADDRESS(MATCH(J2455,'Vehicle numbers'!$A$5:$A$162,0),1,1,1,$L$6)),4,1,COUNTIF('Vehicle numbers'!$A$5:$A$162,J2455),4),
    MATCH(L$8,'Vehicle numbers'!$B$4:$D$4,0))*1000</f>
        <v>168640</v>
      </c>
      <c r="M2455" s="184">
        <f>VLOOKUP(F2455,'Annual distance covered (GB)'!$A$8:$H$33,MATCH(J2455,'Annual distance covered (GB)'!$A$7:$H$7,0))</f>
        <v>4.7</v>
      </c>
      <c r="N2455" s="2">
        <f t="shared" ca="1" si="90"/>
        <v>57363.608958051038</v>
      </c>
      <c r="O2455" s="180">
        <f t="shared" ca="1" si="91"/>
        <v>0.34015422769242787</v>
      </c>
      <c r="P2455" s="180"/>
      <c r="Q2455" s="180"/>
      <c r="R2455" s="180"/>
      <c r="S2455" s="180"/>
      <c r="T2455" s="180"/>
    </row>
    <row r="2456" spans="1:20" x14ac:dyDescent="0.25">
      <c r="A2456" t="s">
        <v>244</v>
      </c>
      <c r="B2456" t="s">
        <v>237</v>
      </c>
      <c r="C2456" t="s">
        <v>238</v>
      </c>
      <c r="D2456" t="s">
        <v>248</v>
      </c>
      <c r="E2456" t="s">
        <v>228</v>
      </c>
      <c r="F2456">
        <v>2014</v>
      </c>
      <c r="G2456">
        <v>1.66204635839011E-3</v>
      </c>
      <c r="H2456" t="s">
        <v>240</v>
      </c>
      <c r="I2456" t="s">
        <v>241</v>
      </c>
      <c r="J2456" t="s">
        <v>242</v>
      </c>
      <c r="K2456" s="183">
        <f ca="1">VLOOKUP(F2456,
    OFFSET(INDIRECT(ADDRESS(MATCH(J2456,'Vehicle numbers'!$A$5:$A$162,0),1,1,1,$L$6)),4,1,COUNTIF('Vehicle numbers'!$A$5:$A$162,J2456),4),
    MATCH(K$8,'Vehicle numbers'!$B$4:$D$4,0))*1000</f>
        <v>163051</v>
      </c>
      <c r="L2456" s="183">
        <f ca="1">VLOOKUP(F2456,
    OFFSET(INDIRECT(ADDRESS(MATCH(J2456,'Vehicle numbers'!$A$5:$A$162,0),1,1,1,$L$6)),4,1,COUNTIF('Vehicle numbers'!$A$5:$A$162,J2456),4),
    MATCH(L$8,'Vehicle numbers'!$B$4:$D$4,0))*1000</f>
        <v>168640</v>
      </c>
      <c r="M2456" s="184">
        <f>VLOOKUP(F2456,'Annual distance covered (GB)'!$A$8:$H$33,MATCH(J2456,'Annual distance covered (GB)'!$A$7:$H$7,0))</f>
        <v>4.7</v>
      </c>
      <c r="N2456" s="2">
        <f t="shared" ca="1" si="90"/>
        <v>8079.381543387457</v>
      </c>
      <c r="O2456" s="180">
        <f t="shared" ca="1" si="91"/>
        <v>4.7909046153863002E-2</v>
      </c>
      <c r="P2456" s="180"/>
      <c r="Q2456" s="180"/>
      <c r="R2456" s="180"/>
      <c r="S2456" s="180"/>
      <c r="T2456" s="180"/>
    </row>
    <row r="2457" spans="1:20" x14ac:dyDescent="0.25">
      <c r="A2457" t="s">
        <v>246</v>
      </c>
      <c r="B2457" t="s">
        <v>237</v>
      </c>
      <c r="C2457" t="s">
        <v>238</v>
      </c>
      <c r="D2457" t="s">
        <v>248</v>
      </c>
      <c r="E2457" t="s">
        <v>228</v>
      </c>
      <c r="F2457">
        <v>2014</v>
      </c>
      <c r="G2457">
        <v>1.32963708671209E-3</v>
      </c>
      <c r="H2457" t="s">
        <v>240</v>
      </c>
      <c r="I2457" t="s">
        <v>241</v>
      </c>
      <c r="J2457" t="s">
        <v>242</v>
      </c>
      <c r="K2457" s="183">
        <f ca="1">VLOOKUP(F2457,
    OFFSET(INDIRECT(ADDRESS(MATCH(J2457,'Vehicle numbers'!$A$5:$A$162,0),1,1,1,$L$6)),4,1,COUNTIF('Vehicle numbers'!$A$5:$A$162,J2457),4),
    MATCH(K$8,'Vehicle numbers'!$B$4:$D$4,0))*1000</f>
        <v>163051</v>
      </c>
      <c r="L2457" s="183">
        <f ca="1">VLOOKUP(F2457,
    OFFSET(INDIRECT(ADDRESS(MATCH(J2457,'Vehicle numbers'!$A$5:$A$162,0),1,1,1,$L$6)),4,1,COUNTIF('Vehicle numbers'!$A$5:$A$162,J2457),4),
    MATCH(L$8,'Vehicle numbers'!$B$4:$D$4,0))*1000</f>
        <v>168640</v>
      </c>
      <c r="M2457" s="184">
        <f>VLOOKUP(F2457,'Annual distance covered (GB)'!$A$8:$H$33,MATCH(J2457,'Annual distance covered (GB)'!$A$7:$H$7,0))</f>
        <v>4.7</v>
      </c>
      <c r="N2457" s="2">
        <f t="shared" ca="1" si="90"/>
        <v>6463.5052347099754</v>
      </c>
      <c r="O2457" s="180">
        <f t="shared" ca="1" si="91"/>
        <v>3.8327236923090459E-2</v>
      </c>
      <c r="P2457" s="180"/>
      <c r="Q2457" s="180"/>
      <c r="R2457" s="180"/>
      <c r="S2457" s="180"/>
      <c r="T2457" s="180"/>
    </row>
    <row r="2458" spans="1:20" x14ac:dyDescent="0.25">
      <c r="A2458" t="s">
        <v>236</v>
      </c>
      <c r="B2458" t="s">
        <v>237</v>
      </c>
      <c r="C2458" t="s">
        <v>238</v>
      </c>
      <c r="D2458" t="s">
        <v>249</v>
      </c>
      <c r="E2458" t="s">
        <v>229</v>
      </c>
      <c r="F2458">
        <v>2014</v>
      </c>
      <c r="G2458">
        <v>5.3594999999999997E-2</v>
      </c>
      <c r="H2458" t="s">
        <v>240</v>
      </c>
      <c r="I2458" t="s">
        <v>241</v>
      </c>
      <c r="J2458" t="s">
        <v>242</v>
      </c>
      <c r="K2458" s="183">
        <f ca="1">VLOOKUP(F2458,
    OFFSET(INDIRECT(ADDRESS(MATCH(J2458,'Vehicle numbers'!$A$5:$A$162,0),1,1,1,$L$6)),4,1,COUNTIF('Vehicle numbers'!$A$5:$A$162,J2458),4),
    MATCH(K$8,'Vehicle numbers'!$B$4:$D$4,0))*1000</f>
        <v>163051</v>
      </c>
      <c r="L2458" s="183">
        <f ca="1">VLOOKUP(F2458,
    OFFSET(INDIRECT(ADDRESS(MATCH(J2458,'Vehicle numbers'!$A$5:$A$162,0),1,1,1,$L$6)),4,1,COUNTIF('Vehicle numbers'!$A$5:$A$162,J2458),4),
    MATCH(L$8,'Vehicle numbers'!$B$4:$D$4,0))*1000</f>
        <v>168640</v>
      </c>
      <c r="M2458" s="184">
        <f>VLOOKUP(F2458,'Annual distance covered (GB)'!$A$8:$H$33,MATCH(J2458,'Annual distance covered (GB)'!$A$7:$H$7,0))</f>
        <v>4.7</v>
      </c>
      <c r="N2458" s="2">
        <f t="shared" ca="1" si="90"/>
        <v>260530.91216858523</v>
      </c>
      <c r="O2458" s="180">
        <f t="shared" ca="1" si="91"/>
        <v>1.5448939288934134</v>
      </c>
      <c r="P2458" s="180"/>
      <c r="Q2458" s="180"/>
      <c r="R2458" s="180"/>
      <c r="S2458" s="180"/>
      <c r="T2458" s="180"/>
    </row>
    <row r="2459" spans="1:20" x14ac:dyDescent="0.25">
      <c r="A2459" t="s">
        <v>243</v>
      </c>
      <c r="B2459" t="s">
        <v>237</v>
      </c>
      <c r="C2459" t="s">
        <v>238</v>
      </c>
      <c r="D2459" t="s">
        <v>249</v>
      </c>
      <c r="E2459" t="s">
        <v>229</v>
      </c>
      <c r="F2459">
        <v>2014</v>
      </c>
      <c r="G2459">
        <v>2.1437999999999999E-2</v>
      </c>
      <c r="H2459" t="s">
        <v>240</v>
      </c>
      <c r="I2459" t="s">
        <v>241</v>
      </c>
      <c r="J2459" t="s">
        <v>242</v>
      </c>
      <c r="K2459" s="183">
        <f ca="1">VLOOKUP(F2459,
    OFFSET(INDIRECT(ADDRESS(MATCH(J2459,'Vehicle numbers'!$A$5:$A$162,0),1,1,1,$L$6)),4,1,COUNTIF('Vehicle numbers'!$A$5:$A$162,J2459),4),
    MATCH(K$8,'Vehicle numbers'!$B$4:$D$4,0))*1000</f>
        <v>163051</v>
      </c>
      <c r="L2459" s="183">
        <f ca="1">VLOOKUP(F2459,
    OFFSET(INDIRECT(ADDRESS(MATCH(J2459,'Vehicle numbers'!$A$5:$A$162,0),1,1,1,$L$6)),4,1,COUNTIF('Vehicle numbers'!$A$5:$A$162,J2459),4),
    MATCH(L$8,'Vehicle numbers'!$B$4:$D$4,0))*1000</f>
        <v>168640</v>
      </c>
      <c r="M2459" s="184">
        <f>VLOOKUP(F2459,'Annual distance covered (GB)'!$A$8:$H$33,MATCH(J2459,'Annual distance covered (GB)'!$A$7:$H$7,0))</f>
        <v>4.7</v>
      </c>
      <c r="N2459" s="2">
        <f t="shared" ca="1" si="90"/>
        <v>104212.36486743411</v>
      </c>
      <c r="O2459" s="180">
        <f t="shared" ca="1" si="91"/>
        <v>0.61795757155736541</v>
      </c>
      <c r="P2459" s="180"/>
      <c r="Q2459" s="180"/>
      <c r="R2459" s="180"/>
      <c r="S2459" s="180"/>
      <c r="T2459" s="180"/>
    </row>
    <row r="2460" spans="1:20" x14ac:dyDescent="0.25">
      <c r="A2460" t="s">
        <v>244</v>
      </c>
      <c r="B2460" t="s">
        <v>237</v>
      </c>
      <c r="C2460" t="s">
        <v>238</v>
      </c>
      <c r="D2460" t="s">
        <v>249</v>
      </c>
      <c r="E2460" t="s">
        <v>229</v>
      </c>
      <c r="F2460">
        <v>2014</v>
      </c>
      <c r="G2460">
        <v>5.3594999999999997E-3</v>
      </c>
      <c r="H2460" t="s">
        <v>240</v>
      </c>
      <c r="I2460" t="s">
        <v>241</v>
      </c>
      <c r="J2460" t="s">
        <v>242</v>
      </c>
      <c r="K2460" s="183">
        <f ca="1">VLOOKUP(F2460,
    OFFSET(INDIRECT(ADDRESS(MATCH(J2460,'Vehicle numbers'!$A$5:$A$162,0),1,1,1,$L$6)),4,1,COUNTIF('Vehicle numbers'!$A$5:$A$162,J2460),4),
    MATCH(K$8,'Vehicle numbers'!$B$4:$D$4,0))*1000</f>
        <v>163051</v>
      </c>
      <c r="L2460" s="183">
        <f ca="1">VLOOKUP(F2460,
    OFFSET(INDIRECT(ADDRESS(MATCH(J2460,'Vehicle numbers'!$A$5:$A$162,0),1,1,1,$L$6)),4,1,COUNTIF('Vehicle numbers'!$A$5:$A$162,J2460),4),
    MATCH(L$8,'Vehicle numbers'!$B$4:$D$4,0))*1000</f>
        <v>168640</v>
      </c>
      <c r="M2460" s="184">
        <f>VLOOKUP(F2460,'Annual distance covered (GB)'!$A$8:$H$33,MATCH(J2460,'Annual distance covered (GB)'!$A$7:$H$7,0))</f>
        <v>4.7</v>
      </c>
      <c r="N2460" s="2">
        <f t="shared" ca="1" si="90"/>
        <v>26053.091216858527</v>
      </c>
      <c r="O2460" s="180">
        <f t="shared" ca="1" si="91"/>
        <v>0.15448939288934135</v>
      </c>
      <c r="P2460" s="180"/>
      <c r="Q2460" s="180"/>
      <c r="R2460" s="180"/>
      <c r="S2460" s="180"/>
      <c r="T2460" s="180"/>
    </row>
    <row r="2461" spans="1:20" x14ac:dyDescent="0.25">
      <c r="A2461" t="s">
        <v>246</v>
      </c>
      <c r="B2461" t="s">
        <v>237</v>
      </c>
      <c r="C2461" t="s">
        <v>238</v>
      </c>
      <c r="D2461" t="s">
        <v>249</v>
      </c>
      <c r="E2461" t="s">
        <v>229</v>
      </c>
      <c r="F2461">
        <v>2014</v>
      </c>
      <c r="G2461">
        <v>4.2875999999999999E-3</v>
      </c>
      <c r="H2461" t="s">
        <v>240</v>
      </c>
      <c r="I2461" t="s">
        <v>241</v>
      </c>
      <c r="J2461" t="s">
        <v>242</v>
      </c>
      <c r="K2461" s="183">
        <f ca="1">VLOOKUP(F2461,
    OFFSET(INDIRECT(ADDRESS(MATCH(J2461,'Vehicle numbers'!$A$5:$A$162,0),1,1,1,$L$6)),4,1,COUNTIF('Vehicle numbers'!$A$5:$A$162,J2461),4),
    MATCH(K$8,'Vehicle numbers'!$B$4:$D$4,0))*1000</f>
        <v>163051</v>
      </c>
      <c r="L2461" s="183">
        <f ca="1">VLOOKUP(F2461,
    OFFSET(INDIRECT(ADDRESS(MATCH(J2461,'Vehicle numbers'!$A$5:$A$162,0),1,1,1,$L$6)),4,1,COUNTIF('Vehicle numbers'!$A$5:$A$162,J2461),4),
    MATCH(L$8,'Vehicle numbers'!$B$4:$D$4,0))*1000</f>
        <v>168640</v>
      </c>
      <c r="M2461" s="184">
        <f>VLOOKUP(F2461,'Annual distance covered (GB)'!$A$8:$H$33,MATCH(J2461,'Annual distance covered (GB)'!$A$7:$H$7,0))</f>
        <v>4.7</v>
      </c>
      <c r="N2461" s="2">
        <f t="shared" ca="1" si="90"/>
        <v>20842.472973486823</v>
      </c>
      <c r="O2461" s="180">
        <f t="shared" ca="1" si="91"/>
        <v>0.1235915143114731</v>
      </c>
      <c r="P2461" s="180"/>
      <c r="Q2461" s="180"/>
      <c r="R2461" s="180"/>
      <c r="S2461" s="180"/>
      <c r="T2461" s="180"/>
    </row>
    <row r="2462" spans="1:20" x14ac:dyDescent="0.25">
      <c r="A2462" t="s">
        <v>236</v>
      </c>
      <c r="B2462" t="s">
        <v>237</v>
      </c>
      <c r="C2462" t="s">
        <v>238</v>
      </c>
      <c r="D2462" t="s">
        <v>249</v>
      </c>
      <c r="E2462" t="s">
        <v>228</v>
      </c>
      <c r="F2462">
        <v>2014</v>
      </c>
      <c r="G2462">
        <v>2.1388947205254999E-2</v>
      </c>
      <c r="H2462" t="s">
        <v>240</v>
      </c>
      <c r="I2462" t="s">
        <v>241</v>
      </c>
      <c r="J2462" t="s">
        <v>242</v>
      </c>
      <c r="K2462" s="183">
        <f ca="1">VLOOKUP(F2462,
    OFFSET(INDIRECT(ADDRESS(MATCH(J2462,'Vehicle numbers'!$A$5:$A$162,0),1,1,1,$L$6)),4,1,COUNTIF('Vehicle numbers'!$A$5:$A$162,J2462),4),
    MATCH(K$8,'Vehicle numbers'!$B$4:$D$4,0))*1000</f>
        <v>163051</v>
      </c>
      <c r="L2462" s="183">
        <f ca="1">VLOOKUP(F2462,
    OFFSET(INDIRECT(ADDRESS(MATCH(J2462,'Vehicle numbers'!$A$5:$A$162,0),1,1,1,$L$6)),4,1,COUNTIF('Vehicle numbers'!$A$5:$A$162,J2462),4),
    MATCH(L$8,'Vehicle numbers'!$B$4:$D$4,0))*1000</f>
        <v>168640</v>
      </c>
      <c r="M2462" s="184">
        <f>VLOOKUP(F2462,'Annual distance covered (GB)'!$A$8:$H$33,MATCH(J2462,'Annual distance covered (GB)'!$A$7:$H$7,0))</f>
        <v>4.7</v>
      </c>
      <c r="N2462" s="2">
        <f t="shared" ca="1" si="90"/>
        <v>103973.91409106816</v>
      </c>
      <c r="O2462" s="180">
        <f t="shared" ca="1" si="91"/>
        <v>0.61654360822502463</v>
      </c>
      <c r="P2462" s="180"/>
      <c r="Q2462" s="180"/>
      <c r="R2462" s="180"/>
      <c r="S2462" s="180"/>
      <c r="T2462" s="180"/>
    </row>
    <row r="2463" spans="1:20" x14ac:dyDescent="0.25">
      <c r="A2463" t="s">
        <v>243</v>
      </c>
      <c r="B2463" t="s">
        <v>237</v>
      </c>
      <c r="C2463" t="s">
        <v>238</v>
      </c>
      <c r="D2463" t="s">
        <v>249</v>
      </c>
      <c r="E2463" t="s">
        <v>228</v>
      </c>
      <c r="F2463">
        <v>2014</v>
      </c>
      <c r="G2463">
        <v>1.49722630436785E-2</v>
      </c>
      <c r="H2463" t="s">
        <v>240</v>
      </c>
      <c r="I2463" t="s">
        <v>241</v>
      </c>
      <c r="J2463" t="s">
        <v>242</v>
      </c>
      <c r="K2463" s="183">
        <f ca="1">VLOOKUP(F2463,
    OFFSET(INDIRECT(ADDRESS(MATCH(J2463,'Vehicle numbers'!$A$5:$A$162,0),1,1,1,$L$6)),4,1,COUNTIF('Vehicle numbers'!$A$5:$A$162,J2463),4),
    MATCH(K$8,'Vehicle numbers'!$B$4:$D$4,0))*1000</f>
        <v>163051</v>
      </c>
      <c r="L2463" s="183">
        <f ca="1">VLOOKUP(F2463,
    OFFSET(INDIRECT(ADDRESS(MATCH(J2463,'Vehicle numbers'!$A$5:$A$162,0),1,1,1,$L$6)),4,1,COUNTIF('Vehicle numbers'!$A$5:$A$162,J2463),4),
    MATCH(L$8,'Vehicle numbers'!$B$4:$D$4,0))*1000</f>
        <v>168640</v>
      </c>
      <c r="M2463" s="184">
        <f>VLOOKUP(F2463,'Annual distance covered (GB)'!$A$8:$H$33,MATCH(J2463,'Annual distance covered (GB)'!$A$7:$H$7,0))</f>
        <v>4.7</v>
      </c>
      <c r="N2463" s="2">
        <f t="shared" ca="1" si="90"/>
        <v>72781.739863747702</v>
      </c>
      <c r="O2463" s="180">
        <f t="shared" ca="1" si="91"/>
        <v>0.43158052575751721</v>
      </c>
      <c r="P2463" s="180"/>
      <c r="Q2463" s="180"/>
      <c r="R2463" s="180"/>
      <c r="S2463" s="180"/>
      <c r="T2463" s="180"/>
    </row>
    <row r="2464" spans="1:20" x14ac:dyDescent="0.25">
      <c r="A2464" t="s">
        <v>244</v>
      </c>
      <c r="B2464" t="s">
        <v>237</v>
      </c>
      <c r="C2464" t="s">
        <v>238</v>
      </c>
      <c r="D2464" t="s">
        <v>249</v>
      </c>
      <c r="E2464" t="s">
        <v>228</v>
      </c>
      <c r="F2464">
        <v>2014</v>
      </c>
      <c r="G2464">
        <v>2.1087694427716201E-3</v>
      </c>
      <c r="H2464" t="s">
        <v>240</v>
      </c>
      <c r="I2464" t="s">
        <v>241</v>
      </c>
      <c r="J2464" t="s">
        <v>242</v>
      </c>
      <c r="K2464" s="183">
        <f ca="1">VLOOKUP(F2464,
    OFFSET(INDIRECT(ADDRESS(MATCH(J2464,'Vehicle numbers'!$A$5:$A$162,0),1,1,1,$L$6)),4,1,COUNTIF('Vehicle numbers'!$A$5:$A$162,J2464),4),
    MATCH(K$8,'Vehicle numbers'!$B$4:$D$4,0))*1000</f>
        <v>163051</v>
      </c>
      <c r="L2464" s="183">
        <f ca="1">VLOOKUP(F2464,
    OFFSET(INDIRECT(ADDRESS(MATCH(J2464,'Vehicle numbers'!$A$5:$A$162,0),1,1,1,$L$6)),4,1,COUNTIF('Vehicle numbers'!$A$5:$A$162,J2464),4),
    MATCH(L$8,'Vehicle numbers'!$B$4:$D$4,0))*1000</f>
        <v>168640</v>
      </c>
      <c r="M2464" s="184">
        <f>VLOOKUP(F2464,'Annual distance covered (GB)'!$A$8:$H$33,MATCH(J2464,'Annual distance covered (GB)'!$A$7:$H$7,0))</f>
        <v>4.7</v>
      </c>
      <c r="N2464" s="2">
        <f t="shared" ca="1" si="90"/>
        <v>10250.949276584188</v>
      </c>
      <c r="O2464" s="180">
        <f t="shared" ca="1" si="91"/>
        <v>6.078598954331231E-2</v>
      </c>
      <c r="P2464" s="180"/>
      <c r="Q2464" s="180"/>
      <c r="R2464" s="180"/>
      <c r="S2464" s="180"/>
      <c r="T2464" s="180"/>
    </row>
    <row r="2465" spans="1:20" x14ac:dyDescent="0.25">
      <c r="A2465" t="s">
        <v>246</v>
      </c>
      <c r="B2465" t="s">
        <v>237</v>
      </c>
      <c r="C2465" t="s">
        <v>238</v>
      </c>
      <c r="D2465" t="s">
        <v>249</v>
      </c>
      <c r="E2465" t="s">
        <v>228</v>
      </c>
      <c r="F2465">
        <v>2014</v>
      </c>
      <c r="G2465">
        <v>1.6870155542172899E-3</v>
      </c>
      <c r="H2465" t="s">
        <v>240</v>
      </c>
      <c r="I2465" t="s">
        <v>241</v>
      </c>
      <c r="J2465" t="s">
        <v>242</v>
      </c>
      <c r="K2465" s="183">
        <f ca="1">VLOOKUP(F2465,
    OFFSET(INDIRECT(ADDRESS(MATCH(J2465,'Vehicle numbers'!$A$5:$A$162,0),1,1,1,$L$6)),4,1,COUNTIF('Vehicle numbers'!$A$5:$A$162,J2465),4),
    MATCH(K$8,'Vehicle numbers'!$B$4:$D$4,0))*1000</f>
        <v>163051</v>
      </c>
      <c r="L2465" s="183">
        <f ca="1">VLOOKUP(F2465,
    OFFSET(INDIRECT(ADDRESS(MATCH(J2465,'Vehicle numbers'!$A$5:$A$162,0),1,1,1,$L$6)),4,1,COUNTIF('Vehicle numbers'!$A$5:$A$162,J2465),4),
    MATCH(L$8,'Vehicle numbers'!$B$4:$D$4,0))*1000</f>
        <v>168640</v>
      </c>
      <c r="M2465" s="184">
        <f>VLOOKUP(F2465,'Annual distance covered (GB)'!$A$8:$H$33,MATCH(J2465,'Annual distance covered (GB)'!$A$7:$H$7,0))</f>
        <v>4.7</v>
      </c>
      <c r="N2465" s="2">
        <f t="shared" ca="1" si="90"/>
        <v>8200.7594212673193</v>
      </c>
      <c r="O2465" s="180">
        <f t="shared" ca="1" si="91"/>
        <v>4.8628791634649664E-2</v>
      </c>
      <c r="P2465" s="180"/>
      <c r="Q2465" s="180"/>
      <c r="R2465" s="180"/>
      <c r="S2465" s="180"/>
      <c r="T2465" s="180"/>
    </row>
    <row r="2466" spans="1:20" x14ac:dyDescent="0.25">
      <c r="A2466" t="s">
        <v>236</v>
      </c>
      <c r="B2466" t="s">
        <v>237</v>
      </c>
      <c r="C2466" t="s">
        <v>238</v>
      </c>
      <c r="D2466" t="s">
        <v>250</v>
      </c>
      <c r="E2466" t="s">
        <v>229</v>
      </c>
      <c r="F2466">
        <v>2014</v>
      </c>
      <c r="G2466">
        <v>1.3600000000000001E-3</v>
      </c>
      <c r="H2466" t="s">
        <v>240</v>
      </c>
      <c r="I2466" t="s">
        <v>241</v>
      </c>
      <c r="J2466" t="s">
        <v>2</v>
      </c>
      <c r="K2466" s="183">
        <f ca="1">VLOOKUP(F2466,
    OFFSET(INDIRECT(ADDRESS(MATCH(J2466,'Vehicle numbers'!$A$5:$A$162,0),1,1,1,$L$6)),4,1,COUNTIF('Vehicle numbers'!$A$5:$A$162,J2466),4),
    MATCH(K$8,'Vehicle numbers'!$B$4:$D$4,0))*1000</f>
        <v>29611489</v>
      </c>
      <c r="L2466" s="183">
        <f ca="1">VLOOKUP(F2466,
    OFFSET(INDIRECT(ADDRESS(MATCH(J2466,'Vehicle numbers'!$A$5:$A$162,0),1,1,1,$L$6)),4,1,COUNTIF('Vehicle numbers'!$A$5:$A$162,J2466),4),
    MATCH(L$8,'Vehicle numbers'!$B$4:$D$4,0))*1000</f>
        <v>30513268</v>
      </c>
      <c r="M2466" s="184">
        <f>VLOOKUP(F2466,'Annual distance covered (GB)'!$A$8:$H$33,MATCH(J2466,'Annual distance covered (GB)'!$A$7:$H$7,0))</f>
        <v>408</v>
      </c>
      <c r="N2466" s="2">
        <f t="shared" ca="1" si="90"/>
        <v>571778.141512573</v>
      </c>
      <c r="O2466" s="180">
        <f t="shared" ca="1" si="91"/>
        <v>1.8738672682079578E-2</v>
      </c>
      <c r="P2466" s="180"/>
      <c r="Q2466" s="180"/>
      <c r="R2466" s="180"/>
      <c r="S2466" s="180"/>
      <c r="T2466" s="180"/>
    </row>
    <row r="2467" spans="1:20" x14ac:dyDescent="0.25">
      <c r="A2467" t="s">
        <v>243</v>
      </c>
      <c r="B2467" t="s">
        <v>237</v>
      </c>
      <c r="C2467" t="s">
        <v>238</v>
      </c>
      <c r="D2467" t="s">
        <v>250</v>
      </c>
      <c r="E2467" t="s">
        <v>229</v>
      </c>
      <c r="F2467">
        <v>2014</v>
      </c>
      <c r="G2467">
        <v>5.44E-4</v>
      </c>
      <c r="H2467" t="s">
        <v>240</v>
      </c>
      <c r="I2467" t="s">
        <v>241</v>
      </c>
      <c r="J2467" t="s">
        <v>2</v>
      </c>
      <c r="K2467" s="183">
        <f ca="1">VLOOKUP(F2467,
    OFFSET(INDIRECT(ADDRESS(MATCH(J2467,'Vehicle numbers'!$A$5:$A$162,0),1,1,1,$L$6)),4,1,COUNTIF('Vehicle numbers'!$A$5:$A$162,J2467),4),
    MATCH(K$8,'Vehicle numbers'!$B$4:$D$4,0))*1000</f>
        <v>29611489</v>
      </c>
      <c r="L2467" s="183">
        <f ca="1">VLOOKUP(F2467,
    OFFSET(INDIRECT(ADDRESS(MATCH(J2467,'Vehicle numbers'!$A$5:$A$162,0),1,1,1,$L$6)),4,1,COUNTIF('Vehicle numbers'!$A$5:$A$162,J2467),4),
    MATCH(L$8,'Vehicle numbers'!$B$4:$D$4,0))*1000</f>
        <v>30513268</v>
      </c>
      <c r="M2467" s="184">
        <f>VLOOKUP(F2467,'Annual distance covered (GB)'!$A$8:$H$33,MATCH(J2467,'Annual distance covered (GB)'!$A$7:$H$7,0))</f>
        <v>408</v>
      </c>
      <c r="N2467" s="2">
        <f t="shared" ca="1" si="90"/>
        <v>228711.25660502919</v>
      </c>
      <c r="O2467" s="180">
        <f t="shared" ca="1" si="91"/>
        <v>7.4954690728318311E-3</v>
      </c>
      <c r="P2467" s="180"/>
      <c r="Q2467" s="180"/>
      <c r="R2467" s="180"/>
      <c r="S2467" s="180"/>
      <c r="T2467" s="180"/>
    </row>
    <row r="2468" spans="1:20" x14ac:dyDescent="0.25">
      <c r="A2468" t="s">
        <v>244</v>
      </c>
      <c r="B2468" t="s">
        <v>237</v>
      </c>
      <c r="C2468" t="s">
        <v>238</v>
      </c>
      <c r="D2468" t="s">
        <v>250</v>
      </c>
      <c r="E2468" t="s">
        <v>229</v>
      </c>
      <c r="F2468">
        <v>2014</v>
      </c>
      <c r="G2468">
        <v>1.36E-4</v>
      </c>
      <c r="H2468" t="s">
        <v>240</v>
      </c>
      <c r="I2468" t="s">
        <v>241</v>
      </c>
      <c r="J2468" t="s">
        <v>2</v>
      </c>
      <c r="K2468" s="183">
        <f ca="1">VLOOKUP(F2468,
    OFFSET(INDIRECT(ADDRESS(MATCH(J2468,'Vehicle numbers'!$A$5:$A$162,0),1,1,1,$L$6)),4,1,COUNTIF('Vehicle numbers'!$A$5:$A$162,J2468),4),
    MATCH(K$8,'Vehicle numbers'!$B$4:$D$4,0))*1000</f>
        <v>29611489</v>
      </c>
      <c r="L2468" s="183">
        <f ca="1">VLOOKUP(F2468,
    OFFSET(INDIRECT(ADDRESS(MATCH(J2468,'Vehicle numbers'!$A$5:$A$162,0),1,1,1,$L$6)),4,1,COUNTIF('Vehicle numbers'!$A$5:$A$162,J2468),4),
    MATCH(L$8,'Vehicle numbers'!$B$4:$D$4,0))*1000</f>
        <v>30513268</v>
      </c>
      <c r="M2468" s="184">
        <f>VLOOKUP(F2468,'Annual distance covered (GB)'!$A$8:$H$33,MATCH(J2468,'Annual distance covered (GB)'!$A$7:$H$7,0))</f>
        <v>408</v>
      </c>
      <c r="N2468" s="2">
        <f t="shared" ca="1" si="90"/>
        <v>57177.814151257298</v>
      </c>
      <c r="O2468" s="180">
        <f t="shared" ca="1" si="91"/>
        <v>1.8738672682079578E-3</v>
      </c>
      <c r="P2468" s="180"/>
      <c r="Q2468" s="180"/>
      <c r="R2468" s="180"/>
      <c r="S2468" s="180"/>
      <c r="T2468" s="180"/>
    </row>
    <row r="2469" spans="1:20" x14ac:dyDescent="0.25">
      <c r="A2469" t="s">
        <v>246</v>
      </c>
      <c r="B2469" t="s">
        <v>237</v>
      </c>
      <c r="C2469" t="s">
        <v>238</v>
      </c>
      <c r="D2469" t="s">
        <v>250</v>
      </c>
      <c r="E2469" t="s">
        <v>229</v>
      </c>
      <c r="F2469">
        <v>2014</v>
      </c>
      <c r="G2469">
        <v>1.088E-4</v>
      </c>
      <c r="H2469" t="s">
        <v>240</v>
      </c>
      <c r="I2469" t="s">
        <v>241</v>
      </c>
      <c r="J2469" t="s">
        <v>2</v>
      </c>
      <c r="K2469" s="183">
        <f ca="1">VLOOKUP(F2469,
    OFFSET(INDIRECT(ADDRESS(MATCH(J2469,'Vehicle numbers'!$A$5:$A$162,0),1,1,1,$L$6)),4,1,COUNTIF('Vehicle numbers'!$A$5:$A$162,J2469),4),
    MATCH(K$8,'Vehicle numbers'!$B$4:$D$4,0))*1000</f>
        <v>29611489</v>
      </c>
      <c r="L2469" s="183">
        <f ca="1">VLOOKUP(F2469,
    OFFSET(INDIRECT(ADDRESS(MATCH(J2469,'Vehicle numbers'!$A$5:$A$162,0),1,1,1,$L$6)),4,1,COUNTIF('Vehicle numbers'!$A$5:$A$162,J2469),4),
    MATCH(L$8,'Vehicle numbers'!$B$4:$D$4,0))*1000</f>
        <v>30513268</v>
      </c>
      <c r="M2469" s="184">
        <f>VLOOKUP(F2469,'Annual distance covered (GB)'!$A$8:$H$33,MATCH(J2469,'Annual distance covered (GB)'!$A$7:$H$7,0))</f>
        <v>408</v>
      </c>
      <c r="N2469" s="2">
        <f t="shared" ca="1" si="90"/>
        <v>45742.251321005839</v>
      </c>
      <c r="O2469" s="180">
        <f t="shared" ca="1" si="91"/>
        <v>1.4990938145663664E-3</v>
      </c>
      <c r="P2469" s="180"/>
      <c r="Q2469" s="180"/>
      <c r="R2469" s="180"/>
      <c r="S2469" s="180"/>
      <c r="T2469" s="180"/>
    </row>
    <row r="2470" spans="1:20" x14ac:dyDescent="0.25">
      <c r="A2470" t="s">
        <v>236</v>
      </c>
      <c r="B2470" t="s">
        <v>237</v>
      </c>
      <c r="C2470" t="s">
        <v>238</v>
      </c>
      <c r="D2470" t="s">
        <v>250</v>
      </c>
      <c r="E2470" t="s">
        <v>228</v>
      </c>
      <c r="F2470">
        <v>2014</v>
      </c>
      <c r="G2470">
        <v>5.7910000000000001E-3</v>
      </c>
      <c r="H2470" t="s">
        <v>240</v>
      </c>
      <c r="I2470" t="s">
        <v>241</v>
      </c>
      <c r="J2470" t="s">
        <v>2</v>
      </c>
      <c r="K2470" s="183">
        <f ca="1">VLOOKUP(F2470,
    OFFSET(INDIRECT(ADDRESS(MATCH(J2470,'Vehicle numbers'!$A$5:$A$162,0),1,1,1,$L$6)),4,1,COUNTIF('Vehicle numbers'!$A$5:$A$162,J2470),4),
    MATCH(K$8,'Vehicle numbers'!$B$4:$D$4,0))*1000</f>
        <v>29611489</v>
      </c>
      <c r="L2470" s="183">
        <f ca="1">VLOOKUP(F2470,
    OFFSET(INDIRECT(ADDRESS(MATCH(J2470,'Vehicle numbers'!$A$5:$A$162,0),1,1,1,$L$6)),4,1,COUNTIF('Vehicle numbers'!$A$5:$A$162,J2470),4),
    MATCH(L$8,'Vehicle numbers'!$B$4:$D$4,0))*1000</f>
        <v>30513268</v>
      </c>
      <c r="M2470" s="184">
        <f>VLOOKUP(F2470,'Annual distance covered (GB)'!$A$8:$H$33,MATCH(J2470,'Annual distance covered (GB)'!$A$7:$H$7,0))</f>
        <v>408</v>
      </c>
      <c r="N2470" s="2">
        <f t="shared" ca="1" si="90"/>
        <v>2434681.7775730221</v>
      </c>
      <c r="O2470" s="180">
        <f t="shared" ca="1" si="91"/>
        <v>7.9790921692590319E-2</v>
      </c>
      <c r="P2470" s="180"/>
      <c r="Q2470" s="180"/>
      <c r="R2470" s="180"/>
      <c r="S2470" s="180"/>
      <c r="T2470" s="180"/>
    </row>
    <row r="2471" spans="1:20" x14ac:dyDescent="0.25">
      <c r="A2471" t="s">
        <v>243</v>
      </c>
      <c r="B2471" t="s">
        <v>237</v>
      </c>
      <c r="C2471" t="s">
        <v>238</v>
      </c>
      <c r="D2471" t="s">
        <v>250</v>
      </c>
      <c r="E2471" t="s">
        <v>228</v>
      </c>
      <c r="F2471">
        <v>2014</v>
      </c>
      <c r="G2471">
        <v>4.0537000000000004E-3</v>
      </c>
      <c r="H2471" t="s">
        <v>240</v>
      </c>
      <c r="I2471" t="s">
        <v>241</v>
      </c>
      <c r="J2471" t="s">
        <v>2</v>
      </c>
      <c r="K2471" s="183">
        <f ca="1">VLOOKUP(F2471,
    OFFSET(INDIRECT(ADDRESS(MATCH(J2471,'Vehicle numbers'!$A$5:$A$162,0),1,1,1,$L$6)),4,1,COUNTIF('Vehicle numbers'!$A$5:$A$162,J2471),4),
    MATCH(K$8,'Vehicle numbers'!$B$4:$D$4,0))*1000</f>
        <v>29611489</v>
      </c>
      <c r="L2471" s="183">
        <f ca="1">VLOOKUP(F2471,
    OFFSET(INDIRECT(ADDRESS(MATCH(J2471,'Vehicle numbers'!$A$5:$A$162,0),1,1,1,$L$6)),4,1,COUNTIF('Vehicle numbers'!$A$5:$A$162,J2471),4),
    MATCH(L$8,'Vehicle numbers'!$B$4:$D$4,0))*1000</f>
        <v>30513268</v>
      </c>
      <c r="M2471" s="184">
        <f>VLOOKUP(F2471,'Annual distance covered (GB)'!$A$8:$H$33,MATCH(J2471,'Annual distance covered (GB)'!$A$7:$H$7,0))</f>
        <v>408</v>
      </c>
      <c r="N2471" s="2">
        <f t="shared" ca="1" si="90"/>
        <v>1704277.2443011156</v>
      </c>
      <c r="O2471" s="180">
        <f t="shared" ca="1" si="91"/>
        <v>5.5853645184813228E-2</v>
      </c>
      <c r="P2471" s="180"/>
      <c r="Q2471" s="180"/>
      <c r="R2471" s="180"/>
      <c r="S2471" s="180"/>
      <c r="T2471" s="180"/>
    </row>
    <row r="2472" spans="1:20" x14ac:dyDescent="0.25">
      <c r="A2472" t="s">
        <v>244</v>
      </c>
      <c r="B2472" t="s">
        <v>237</v>
      </c>
      <c r="C2472" t="s">
        <v>238</v>
      </c>
      <c r="D2472" t="s">
        <v>250</v>
      </c>
      <c r="E2472" t="s">
        <v>228</v>
      </c>
      <c r="F2472">
        <v>2014</v>
      </c>
      <c r="G2472">
        <v>5.7094366197182997E-4</v>
      </c>
      <c r="H2472" t="s">
        <v>240</v>
      </c>
      <c r="I2472" t="s">
        <v>241</v>
      </c>
      <c r="J2472" t="s">
        <v>2</v>
      </c>
      <c r="K2472" s="183">
        <f ca="1">VLOOKUP(F2472,
    OFFSET(INDIRECT(ADDRESS(MATCH(J2472,'Vehicle numbers'!$A$5:$A$162,0),1,1,1,$L$6)),4,1,COUNTIF('Vehicle numbers'!$A$5:$A$162,J2472),4),
    MATCH(K$8,'Vehicle numbers'!$B$4:$D$4,0))*1000</f>
        <v>29611489</v>
      </c>
      <c r="L2472" s="183">
        <f ca="1">VLOOKUP(F2472,
    OFFSET(INDIRECT(ADDRESS(MATCH(J2472,'Vehicle numbers'!$A$5:$A$162,0),1,1,1,$L$6)),4,1,COUNTIF('Vehicle numbers'!$A$5:$A$162,J2472),4),
    MATCH(L$8,'Vehicle numbers'!$B$4:$D$4,0))*1000</f>
        <v>30513268</v>
      </c>
      <c r="M2472" s="184">
        <f>VLOOKUP(F2472,'Annual distance covered (GB)'!$A$8:$H$33,MATCH(J2472,'Annual distance covered (GB)'!$A$7:$H$7,0))</f>
        <v>408</v>
      </c>
      <c r="N2472" s="2">
        <f t="shared" ca="1" si="90"/>
        <v>240039.04849311445</v>
      </c>
      <c r="O2472" s="180">
        <f t="shared" ca="1" si="91"/>
        <v>7.8667105894103008E-3</v>
      </c>
      <c r="P2472" s="180"/>
      <c r="Q2472" s="180"/>
      <c r="R2472" s="180"/>
      <c r="S2472" s="180"/>
      <c r="T2472" s="180"/>
    </row>
    <row r="2473" spans="1:20" x14ac:dyDescent="0.25">
      <c r="A2473" t="s">
        <v>246</v>
      </c>
      <c r="B2473" t="s">
        <v>237</v>
      </c>
      <c r="C2473" t="s">
        <v>238</v>
      </c>
      <c r="D2473" t="s">
        <v>250</v>
      </c>
      <c r="E2473" t="s">
        <v>228</v>
      </c>
      <c r="F2473">
        <v>2014</v>
      </c>
      <c r="G2473">
        <v>4.5675492957746402E-4</v>
      </c>
      <c r="H2473" t="s">
        <v>240</v>
      </c>
      <c r="I2473" t="s">
        <v>241</v>
      </c>
      <c r="J2473" t="s">
        <v>2</v>
      </c>
      <c r="K2473" s="183">
        <f ca="1">VLOOKUP(F2473,
    OFFSET(INDIRECT(ADDRESS(MATCH(J2473,'Vehicle numbers'!$A$5:$A$162,0),1,1,1,$L$6)),4,1,COUNTIF('Vehicle numbers'!$A$5:$A$162,J2473),4),
    MATCH(K$8,'Vehicle numbers'!$B$4:$D$4,0))*1000</f>
        <v>29611489</v>
      </c>
      <c r="L2473" s="183">
        <f ca="1">VLOOKUP(F2473,
    OFFSET(INDIRECT(ADDRESS(MATCH(J2473,'Vehicle numbers'!$A$5:$A$162,0),1,1,1,$L$6)),4,1,COUNTIF('Vehicle numbers'!$A$5:$A$162,J2473),4),
    MATCH(L$8,'Vehicle numbers'!$B$4:$D$4,0))*1000</f>
        <v>30513268</v>
      </c>
      <c r="M2473" s="184">
        <f>VLOOKUP(F2473,'Annual distance covered (GB)'!$A$8:$H$33,MATCH(J2473,'Annual distance covered (GB)'!$A$7:$H$7,0))</f>
        <v>408</v>
      </c>
      <c r="N2473" s="2">
        <f t="shared" ca="1" si="90"/>
        <v>192031.23879449157</v>
      </c>
      <c r="O2473" s="180">
        <f t="shared" ca="1" si="91"/>
        <v>6.2933684715282406E-3</v>
      </c>
      <c r="P2473" s="180"/>
      <c r="Q2473" s="180"/>
      <c r="R2473" s="180"/>
      <c r="S2473" s="180"/>
      <c r="T2473" s="180"/>
    </row>
    <row r="2474" spans="1:20" x14ac:dyDescent="0.25">
      <c r="A2474" t="s">
        <v>236</v>
      </c>
      <c r="B2474" t="s">
        <v>237</v>
      </c>
      <c r="C2474" t="s">
        <v>238</v>
      </c>
      <c r="D2474" t="s">
        <v>255</v>
      </c>
      <c r="E2474" t="s">
        <v>229</v>
      </c>
      <c r="F2474">
        <v>2014</v>
      </c>
      <c r="G2474">
        <v>5.5269999999999903E-3</v>
      </c>
      <c r="H2474" t="s">
        <v>240</v>
      </c>
      <c r="I2474" t="s">
        <v>241</v>
      </c>
      <c r="J2474" t="s">
        <v>2</v>
      </c>
      <c r="K2474" s="183">
        <f ca="1">VLOOKUP(F2474,
    OFFSET(INDIRECT(ADDRESS(MATCH(J2474,'Vehicle numbers'!$A$5:$A$162,0),1,1,1,$L$6)),4,1,COUNTIF('Vehicle numbers'!$A$5:$A$162,J2474),4),
    MATCH(K$8,'Vehicle numbers'!$B$4:$D$4,0))*1000</f>
        <v>29611489</v>
      </c>
      <c r="L2474" s="183">
        <f ca="1">VLOOKUP(F2474,
    OFFSET(INDIRECT(ADDRESS(MATCH(J2474,'Vehicle numbers'!$A$5:$A$162,0),1,1,1,$L$6)),4,1,COUNTIF('Vehicle numbers'!$A$5:$A$162,J2474),4),
    MATCH(L$8,'Vehicle numbers'!$B$4:$D$4,0))*1000</f>
        <v>30513268</v>
      </c>
      <c r="M2474" s="184">
        <f>VLOOKUP(F2474,'Annual distance covered (GB)'!$A$8:$H$33,MATCH(J2474,'Annual distance covered (GB)'!$A$7:$H$7,0))</f>
        <v>408</v>
      </c>
      <c r="N2474" s="2">
        <f t="shared" ca="1" si="90"/>
        <v>2323689.5501029301</v>
      </c>
      <c r="O2474" s="180">
        <f t="shared" ca="1" si="91"/>
        <v>7.6153414642539441E-2</v>
      </c>
      <c r="P2474" s="180"/>
      <c r="Q2474" s="180"/>
      <c r="R2474" s="180"/>
      <c r="S2474" s="180"/>
      <c r="T2474" s="180"/>
    </row>
    <row r="2475" spans="1:20" x14ac:dyDescent="0.25">
      <c r="A2475" t="s">
        <v>243</v>
      </c>
      <c r="B2475" t="s">
        <v>237</v>
      </c>
      <c r="C2475" t="s">
        <v>238</v>
      </c>
      <c r="D2475" t="s">
        <v>255</v>
      </c>
      <c r="E2475" t="s">
        <v>229</v>
      </c>
      <c r="F2475">
        <v>2014</v>
      </c>
      <c r="G2475">
        <v>2.2108000000000002E-3</v>
      </c>
      <c r="H2475" t="s">
        <v>240</v>
      </c>
      <c r="I2475" t="s">
        <v>241</v>
      </c>
      <c r="J2475" t="s">
        <v>2</v>
      </c>
      <c r="K2475" s="183">
        <f ca="1">VLOOKUP(F2475,
    OFFSET(INDIRECT(ADDRESS(MATCH(J2475,'Vehicle numbers'!$A$5:$A$162,0),1,1,1,$L$6)),4,1,COUNTIF('Vehicle numbers'!$A$5:$A$162,J2475),4),
    MATCH(K$8,'Vehicle numbers'!$B$4:$D$4,0))*1000</f>
        <v>29611489</v>
      </c>
      <c r="L2475" s="183">
        <f ca="1">VLOOKUP(F2475,
    OFFSET(INDIRECT(ADDRESS(MATCH(J2475,'Vehicle numbers'!$A$5:$A$162,0),1,1,1,$L$6)),4,1,COUNTIF('Vehicle numbers'!$A$5:$A$162,J2475),4),
    MATCH(L$8,'Vehicle numbers'!$B$4:$D$4,0))*1000</f>
        <v>30513268</v>
      </c>
      <c r="M2475" s="184">
        <f>VLOOKUP(F2475,'Annual distance covered (GB)'!$A$8:$H$33,MATCH(J2475,'Annual distance covered (GB)'!$A$7:$H$7,0))</f>
        <v>408</v>
      </c>
      <c r="N2475" s="2">
        <f t="shared" ca="1" si="90"/>
        <v>929475.82004117395</v>
      </c>
      <c r="O2475" s="180">
        <f t="shared" ca="1" si="91"/>
        <v>3.0461365857015837E-2</v>
      </c>
      <c r="P2475" s="180"/>
      <c r="Q2475" s="180"/>
      <c r="R2475" s="180"/>
      <c r="S2475" s="180"/>
      <c r="T2475" s="180"/>
    </row>
    <row r="2476" spans="1:20" x14ac:dyDescent="0.25">
      <c r="A2476" t="s">
        <v>244</v>
      </c>
      <c r="B2476" t="s">
        <v>237</v>
      </c>
      <c r="C2476" t="s">
        <v>238</v>
      </c>
      <c r="D2476" t="s">
        <v>255</v>
      </c>
      <c r="E2476" t="s">
        <v>229</v>
      </c>
      <c r="F2476">
        <v>2014</v>
      </c>
      <c r="G2476">
        <v>5.5270000000000004E-4</v>
      </c>
      <c r="H2476" t="s">
        <v>240</v>
      </c>
      <c r="I2476" t="s">
        <v>241</v>
      </c>
      <c r="J2476" t="s">
        <v>2</v>
      </c>
      <c r="K2476" s="183">
        <f ca="1">VLOOKUP(F2476,
    OFFSET(INDIRECT(ADDRESS(MATCH(J2476,'Vehicle numbers'!$A$5:$A$162,0),1,1,1,$L$6)),4,1,COUNTIF('Vehicle numbers'!$A$5:$A$162,J2476),4),
    MATCH(K$8,'Vehicle numbers'!$B$4:$D$4,0))*1000</f>
        <v>29611489</v>
      </c>
      <c r="L2476" s="183">
        <f ca="1">VLOOKUP(F2476,
    OFFSET(INDIRECT(ADDRESS(MATCH(J2476,'Vehicle numbers'!$A$5:$A$162,0),1,1,1,$L$6)),4,1,COUNTIF('Vehicle numbers'!$A$5:$A$162,J2476),4),
    MATCH(L$8,'Vehicle numbers'!$B$4:$D$4,0))*1000</f>
        <v>30513268</v>
      </c>
      <c r="M2476" s="184">
        <f>VLOOKUP(F2476,'Annual distance covered (GB)'!$A$8:$H$33,MATCH(J2476,'Annual distance covered (GB)'!$A$7:$H$7,0))</f>
        <v>408</v>
      </c>
      <c r="N2476" s="2">
        <f t="shared" ca="1" si="90"/>
        <v>232368.95501029349</v>
      </c>
      <c r="O2476" s="180">
        <f t="shared" ca="1" si="91"/>
        <v>7.6153414642539594E-3</v>
      </c>
      <c r="P2476" s="180"/>
      <c r="Q2476" s="180"/>
      <c r="R2476" s="180"/>
      <c r="S2476" s="180"/>
      <c r="T2476" s="180"/>
    </row>
    <row r="2477" spans="1:20" x14ac:dyDescent="0.25">
      <c r="A2477" t="s">
        <v>246</v>
      </c>
      <c r="B2477" t="s">
        <v>237</v>
      </c>
      <c r="C2477" t="s">
        <v>238</v>
      </c>
      <c r="D2477" t="s">
        <v>255</v>
      </c>
      <c r="E2477" t="s">
        <v>229</v>
      </c>
      <c r="F2477">
        <v>2014</v>
      </c>
      <c r="G2477">
        <v>4.4215999999999998E-4</v>
      </c>
      <c r="H2477" t="s">
        <v>240</v>
      </c>
      <c r="I2477" t="s">
        <v>241</v>
      </c>
      <c r="J2477" t="s">
        <v>2</v>
      </c>
      <c r="K2477" s="183">
        <f ca="1">VLOOKUP(F2477,
    OFFSET(INDIRECT(ADDRESS(MATCH(J2477,'Vehicle numbers'!$A$5:$A$162,0),1,1,1,$L$6)),4,1,COUNTIF('Vehicle numbers'!$A$5:$A$162,J2477),4),
    MATCH(K$8,'Vehicle numbers'!$B$4:$D$4,0))*1000</f>
        <v>29611489</v>
      </c>
      <c r="L2477" s="183">
        <f ca="1">VLOOKUP(F2477,
    OFFSET(INDIRECT(ADDRESS(MATCH(J2477,'Vehicle numbers'!$A$5:$A$162,0),1,1,1,$L$6)),4,1,COUNTIF('Vehicle numbers'!$A$5:$A$162,J2477),4),
    MATCH(L$8,'Vehicle numbers'!$B$4:$D$4,0))*1000</f>
        <v>30513268</v>
      </c>
      <c r="M2477" s="184">
        <f>VLOOKUP(F2477,'Annual distance covered (GB)'!$A$8:$H$33,MATCH(J2477,'Annual distance covered (GB)'!$A$7:$H$7,0))</f>
        <v>408</v>
      </c>
      <c r="N2477" s="2">
        <f t="shared" ca="1" si="90"/>
        <v>185895.16400823474</v>
      </c>
      <c r="O2477" s="180">
        <f t="shared" ca="1" si="91"/>
        <v>6.0922731714031664E-3</v>
      </c>
      <c r="P2477" s="180"/>
      <c r="Q2477" s="180"/>
      <c r="R2477" s="180"/>
      <c r="S2477" s="180"/>
      <c r="T2477" s="180"/>
    </row>
    <row r="2478" spans="1:20" x14ac:dyDescent="0.25">
      <c r="A2478" t="s">
        <v>236</v>
      </c>
      <c r="B2478" t="s">
        <v>237</v>
      </c>
      <c r="C2478" t="s">
        <v>238</v>
      </c>
      <c r="D2478" t="s">
        <v>255</v>
      </c>
      <c r="E2478" t="s">
        <v>228</v>
      </c>
      <c r="F2478">
        <v>2014</v>
      </c>
      <c r="G2478">
        <v>6.7999999999999797E-3</v>
      </c>
      <c r="H2478" t="s">
        <v>240</v>
      </c>
      <c r="I2478" t="s">
        <v>241</v>
      </c>
      <c r="J2478" t="s">
        <v>2</v>
      </c>
      <c r="K2478" s="183">
        <f ca="1">VLOOKUP(F2478,
    OFFSET(INDIRECT(ADDRESS(MATCH(J2478,'Vehicle numbers'!$A$5:$A$162,0),1,1,1,$L$6)),4,1,COUNTIF('Vehicle numbers'!$A$5:$A$162,J2478),4),
    MATCH(K$8,'Vehicle numbers'!$B$4:$D$4,0))*1000</f>
        <v>29611489</v>
      </c>
      <c r="L2478" s="183">
        <f ca="1">VLOOKUP(F2478,
    OFFSET(INDIRECT(ADDRESS(MATCH(J2478,'Vehicle numbers'!$A$5:$A$162,0),1,1,1,$L$6)),4,1,COUNTIF('Vehicle numbers'!$A$5:$A$162,J2478),4),
    MATCH(L$8,'Vehicle numbers'!$B$4:$D$4,0))*1000</f>
        <v>30513268</v>
      </c>
      <c r="M2478" s="184">
        <f>VLOOKUP(F2478,'Annual distance covered (GB)'!$A$8:$H$33,MATCH(J2478,'Annual distance covered (GB)'!$A$7:$H$7,0))</f>
        <v>408</v>
      </c>
      <c r="N2478" s="2">
        <f t="shared" ca="1" si="90"/>
        <v>2858890.7075628564</v>
      </c>
      <c r="O2478" s="180">
        <f t="shared" ca="1" si="91"/>
        <v>9.369336341039762E-2</v>
      </c>
      <c r="P2478" s="180"/>
      <c r="Q2478" s="180"/>
      <c r="R2478" s="180"/>
      <c r="S2478" s="180"/>
      <c r="T2478" s="180"/>
    </row>
    <row r="2479" spans="1:20" x14ac:dyDescent="0.25">
      <c r="A2479" t="s">
        <v>243</v>
      </c>
      <c r="B2479" t="s">
        <v>237</v>
      </c>
      <c r="C2479" t="s">
        <v>238</v>
      </c>
      <c r="D2479" t="s">
        <v>255</v>
      </c>
      <c r="E2479" t="s">
        <v>228</v>
      </c>
      <c r="F2479">
        <v>2014</v>
      </c>
      <c r="G2479">
        <v>4.7599999999999899E-3</v>
      </c>
      <c r="H2479" t="s">
        <v>240</v>
      </c>
      <c r="I2479" t="s">
        <v>241</v>
      </c>
      <c r="J2479" t="s">
        <v>2</v>
      </c>
      <c r="K2479" s="183">
        <f ca="1">VLOOKUP(F2479,
    OFFSET(INDIRECT(ADDRESS(MATCH(J2479,'Vehicle numbers'!$A$5:$A$162,0),1,1,1,$L$6)),4,1,COUNTIF('Vehicle numbers'!$A$5:$A$162,J2479),4),
    MATCH(K$8,'Vehicle numbers'!$B$4:$D$4,0))*1000</f>
        <v>29611489</v>
      </c>
      <c r="L2479" s="183">
        <f ca="1">VLOOKUP(F2479,
    OFFSET(INDIRECT(ADDRESS(MATCH(J2479,'Vehicle numbers'!$A$5:$A$162,0),1,1,1,$L$6)),4,1,COUNTIF('Vehicle numbers'!$A$5:$A$162,J2479),4),
    MATCH(L$8,'Vehicle numbers'!$B$4:$D$4,0))*1000</f>
        <v>30513268</v>
      </c>
      <c r="M2479" s="184">
        <f>VLOOKUP(F2479,'Annual distance covered (GB)'!$A$8:$H$33,MATCH(J2479,'Annual distance covered (GB)'!$A$7:$H$7,0))</f>
        <v>408</v>
      </c>
      <c r="N2479" s="2">
        <f t="shared" ca="1" si="90"/>
        <v>2001223.4952940012</v>
      </c>
      <c r="O2479" s="180">
        <f t="shared" ca="1" si="91"/>
        <v>6.5585354387278388E-2</v>
      </c>
      <c r="P2479" s="180"/>
      <c r="Q2479" s="180"/>
      <c r="R2479" s="180"/>
      <c r="S2479" s="180"/>
      <c r="T2479" s="180"/>
    </row>
    <row r="2480" spans="1:20" x14ac:dyDescent="0.25">
      <c r="A2480" t="s">
        <v>244</v>
      </c>
      <c r="B2480" t="s">
        <v>237</v>
      </c>
      <c r="C2480" t="s">
        <v>238</v>
      </c>
      <c r="D2480" t="s">
        <v>255</v>
      </c>
      <c r="E2480" t="s">
        <v>228</v>
      </c>
      <c r="F2480">
        <v>2014</v>
      </c>
      <c r="G2480">
        <v>6.7042253521126501E-4</v>
      </c>
      <c r="H2480" t="s">
        <v>240</v>
      </c>
      <c r="I2480" t="s">
        <v>241</v>
      </c>
      <c r="J2480" t="s">
        <v>2</v>
      </c>
      <c r="K2480" s="183">
        <f ca="1">VLOOKUP(F2480,
    OFFSET(INDIRECT(ADDRESS(MATCH(J2480,'Vehicle numbers'!$A$5:$A$162,0),1,1,1,$L$6)),4,1,COUNTIF('Vehicle numbers'!$A$5:$A$162,J2480),4),
    MATCH(K$8,'Vehicle numbers'!$B$4:$D$4,0))*1000</f>
        <v>29611489</v>
      </c>
      <c r="L2480" s="183">
        <f ca="1">VLOOKUP(F2480,
    OFFSET(INDIRECT(ADDRESS(MATCH(J2480,'Vehicle numbers'!$A$5:$A$162,0),1,1,1,$L$6)),4,1,COUNTIF('Vehicle numbers'!$A$5:$A$162,J2480),4),
    MATCH(L$8,'Vehicle numbers'!$B$4:$D$4,0))*1000</f>
        <v>30513268</v>
      </c>
      <c r="M2480" s="184">
        <f>VLOOKUP(F2480,'Annual distance covered (GB)'!$A$8:$H$33,MATCH(J2480,'Annual distance covered (GB)'!$A$7:$H$7,0))</f>
        <v>408</v>
      </c>
      <c r="N2480" s="2">
        <f t="shared" ca="1" si="90"/>
        <v>281862.4641259152</v>
      </c>
      <c r="O2480" s="180">
        <f t="shared" ca="1" si="91"/>
        <v>9.2373738573631372E-3</v>
      </c>
      <c r="P2480" s="180"/>
      <c r="Q2480" s="180"/>
      <c r="R2480" s="180"/>
      <c r="S2480" s="180"/>
      <c r="T2480" s="180"/>
    </row>
    <row r="2481" spans="1:20" x14ac:dyDescent="0.25">
      <c r="A2481" t="s">
        <v>246</v>
      </c>
      <c r="B2481" t="s">
        <v>237</v>
      </c>
      <c r="C2481" t="s">
        <v>238</v>
      </c>
      <c r="D2481" t="s">
        <v>255</v>
      </c>
      <c r="E2481" t="s">
        <v>228</v>
      </c>
      <c r="F2481">
        <v>2014</v>
      </c>
      <c r="G2481">
        <v>5.3633802816901196E-4</v>
      </c>
      <c r="H2481" t="s">
        <v>240</v>
      </c>
      <c r="I2481" t="s">
        <v>241</v>
      </c>
      <c r="J2481" t="s">
        <v>2</v>
      </c>
      <c r="K2481" s="183">
        <f ca="1">VLOOKUP(F2481,
    OFFSET(INDIRECT(ADDRESS(MATCH(J2481,'Vehicle numbers'!$A$5:$A$162,0),1,1,1,$L$6)),4,1,COUNTIF('Vehicle numbers'!$A$5:$A$162,J2481),4),
    MATCH(K$8,'Vehicle numbers'!$B$4:$D$4,0))*1000</f>
        <v>29611489</v>
      </c>
      <c r="L2481" s="183">
        <f ca="1">VLOOKUP(F2481,
    OFFSET(INDIRECT(ADDRESS(MATCH(J2481,'Vehicle numbers'!$A$5:$A$162,0),1,1,1,$L$6)),4,1,COUNTIF('Vehicle numbers'!$A$5:$A$162,J2481),4),
    MATCH(L$8,'Vehicle numbers'!$B$4:$D$4,0))*1000</f>
        <v>30513268</v>
      </c>
      <c r="M2481" s="184">
        <f>VLOOKUP(F2481,'Annual distance covered (GB)'!$A$8:$H$33,MATCH(J2481,'Annual distance covered (GB)'!$A$7:$H$7,0))</f>
        <v>408</v>
      </c>
      <c r="N2481" s="2">
        <f t="shared" ca="1" si="90"/>
        <v>225489.97130073211</v>
      </c>
      <c r="O2481" s="180">
        <f t="shared" ca="1" si="91"/>
        <v>7.3898990858905084E-3</v>
      </c>
      <c r="P2481" s="180"/>
      <c r="Q2481" s="180"/>
      <c r="R2481" s="180"/>
      <c r="S2481" s="180"/>
      <c r="T2481" s="180"/>
    </row>
    <row r="2482" spans="1:20" x14ac:dyDescent="0.25">
      <c r="A2482" t="s">
        <v>236</v>
      </c>
      <c r="B2482" t="s">
        <v>237</v>
      </c>
      <c r="C2482" t="s">
        <v>238</v>
      </c>
      <c r="D2482" t="s">
        <v>256</v>
      </c>
      <c r="E2482" t="s">
        <v>229</v>
      </c>
      <c r="F2482">
        <v>2014</v>
      </c>
      <c r="G2482">
        <v>1.17227010678166E-2</v>
      </c>
      <c r="H2482" t="s">
        <v>240</v>
      </c>
      <c r="I2482" t="s">
        <v>241</v>
      </c>
      <c r="J2482" t="s">
        <v>2</v>
      </c>
      <c r="K2482" s="183">
        <f ca="1">VLOOKUP(F2482,
    OFFSET(INDIRECT(ADDRESS(MATCH(J2482,'Vehicle numbers'!$A$5:$A$162,0),1,1,1,$L$6)),4,1,COUNTIF('Vehicle numbers'!$A$5:$A$162,J2482),4),
    MATCH(K$8,'Vehicle numbers'!$B$4:$D$4,0))*1000</f>
        <v>29611489</v>
      </c>
      <c r="L2482" s="183">
        <f ca="1">VLOOKUP(F2482,
    OFFSET(INDIRECT(ADDRESS(MATCH(J2482,'Vehicle numbers'!$A$5:$A$162,0),1,1,1,$L$6)),4,1,COUNTIF('Vehicle numbers'!$A$5:$A$162,J2482),4),
    MATCH(L$8,'Vehicle numbers'!$B$4:$D$4,0))*1000</f>
        <v>30513268</v>
      </c>
      <c r="M2482" s="184">
        <f>VLOOKUP(F2482,'Annual distance covered (GB)'!$A$8:$H$33,MATCH(J2482,'Annual distance covered (GB)'!$A$7:$H$7,0))</f>
        <v>408</v>
      </c>
      <c r="N2482" s="2">
        <f t="shared" ca="1" si="90"/>
        <v>4928517.8162232582</v>
      </c>
      <c r="O2482" s="180">
        <f t="shared" ca="1" si="91"/>
        <v>0.16152048401447064</v>
      </c>
      <c r="P2482" s="180"/>
      <c r="Q2482" s="180"/>
      <c r="R2482" s="180"/>
      <c r="S2482" s="180"/>
      <c r="T2482" s="180"/>
    </row>
    <row r="2483" spans="1:20" x14ac:dyDescent="0.25">
      <c r="A2483" t="s">
        <v>243</v>
      </c>
      <c r="B2483" t="s">
        <v>237</v>
      </c>
      <c r="C2483" t="s">
        <v>238</v>
      </c>
      <c r="D2483" t="s">
        <v>256</v>
      </c>
      <c r="E2483" t="s">
        <v>229</v>
      </c>
      <c r="F2483">
        <v>2014</v>
      </c>
      <c r="G2483">
        <v>4.6890804271266396E-3</v>
      </c>
      <c r="H2483" t="s">
        <v>240</v>
      </c>
      <c r="I2483" t="s">
        <v>241</v>
      </c>
      <c r="J2483" t="s">
        <v>2</v>
      </c>
      <c r="K2483" s="183">
        <f ca="1">VLOOKUP(F2483,
    OFFSET(INDIRECT(ADDRESS(MATCH(J2483,'Vehicle numbers'!$A$5:$A$162,0),1,1,1,$L$6)),4,1,COUNTIF('Vehicle numbers'!$A$5:$A$162,J2483),4),
    MATCH(K$8,'Vehicle numbers'!$B$4:$D$4,0))*1000</f>
        <v>29611489</v>
      </c>
      <c r="L2483" s="183">
        <f ca="1">VLOOKUP(F2483,
    OFFSET(INDIRECT(ADDRESS(MATCH(J2483,'Vehicle numbers'!$A$5:$A$162,0),1,1,1,$L$6)),4,1,COUNTIF('Vehicle numbers'!$A$5:$A$162,J2483),4),
    MATCH(L$8,'Vehicle numbers'!$B$4:$D$4,0))*1000</f>
        <v>30513268</v>
      </c>
      <c r="M2483" s="184">
        <f>VLOOKUP(F2483,'Annual distance covered (GB)'!$A$8:$H$33,MATCH(J2483,'Annual distance covered (GB)'!$A$7:$H$7,0))</f>
        <v>408</v>
      </c>
      <c r="N2483" s="2">
        <f t="shared" ca="1" si="90"/>
        <v>1971407.1264893031</v>
      </c>
      <c r="O2483" s="180">
        <f t="shared" ca="1" si="91"/>
        <v>6.4608193605788247E-2</v>
      </c>
      <c r="P2483" s="180"/>
      <c r="Q2483" s="180"/>
      <c r="R2483" s="180"/>
      <c r="S2483" s="180"/>
      <c r="T2483" s="180"/>
    </row>
    <row r="2484" spans="1:20" x14ac:dyDescent="0.25">
      <c r="A2484" t="s">
        <v>244</v>
      </c>
      <c r="B2484" t="s">
        <v>237</v>
      </c>
      <c r="C2484" t="s">
        <v>238</v>
      </c>
      <c r="D2484" t="s">
        <v>256</v>
      </c>
      <c r="E2484" t="s">
        <v>229</v>
      </c>
      <c r="F2484">
        <v>2014</v>
      </c>
      <c r="G2484">
        <v>1.1722701067816599E-3</v>
      </c>
      <c r="H2484" t="s">
        <v>240</v>
      </c>
      <c r="I2484" t="s">
        <v>241</v>
      </c>
      <c r="J2484" t="s">
        <v>2</v>
      </c>
      <c r="K2484" s="183">
        <f ca="1">VLOOKUP(F2484,
    OFFSET(INDIRECT(ADDRESS(MATCH(J2484,'Vehicle numbers'!$A$5:$A$162,0),1,1,1,$L$6)),4,1,COUNTIF('Vehicle numbers'!$A$5:$A$162,J2484),4),
    MATCH(K$8,'Vehicle numbers'!$B$4:$D$4,0))*1000</f>
        <v>29611489</v>
      </c>
      <c r="L2484" s="183">
        <f ca="1">VLOOKUP(F2484,
    OFFSET(INDIRECT(ADDRESS(MATCH(J2484,'Vehicle numbers'!$A$5:$A$162,0),1,1,1,$L$6)),4,1,COUNTIF('Vehicle numbers'!$A$5:$A$162,J2484),4),
    MATCH(L$8,'Vehicle numbers'!$B$4:$D$4,0))*1000</f>
        <v>30513268</v>
      </c>
      <c r="M2484" s="184">
        <f>VLOOKUP(F2484,'Annual distance covered (GB)'!$A$8:$H$33,MATCH(J2484,'Annual distance covered (GB)'!$A$7:$H$7,0))</f>
        <v>408</v>
      </c>
      <c r="N2484" s="2">
        <f t="shared" ca="1" si="90"/>
        <v>492851.78162232577</v>
      </c>
      <c r="O2484" s="180">
        <f t="shared" ca="1" si="91"/>
        <v>1.6152048401447062E-2</v>
      </c>
      <c r="P2484" s="180"/>
      <c r="Q2484" s="180"/>
      <c r="R2484" s="180"/>
      <c r="S2484" s="180"/>
      <c r="T2484" s="180"/>
    </row>
    <row r="2485" spans="1:20" x14ac:dyDescent="0.25">
      <c r="A2485" t="s">
        <v>246</v>
      </c>
      <c r="B2485" t="s">
        <v>237</v>
      </c>
      <c r="C2485" t="s">
        <v>238</v>
      </c>
      <c r="D2485" t="s">
        <v>256</v>
      </c>
      <c r="E2485" t="s">
        <v>229</v>
      </c>
      <c r="F2485">
        <v>2014</v>
      </c>
      <c r="G2485">
        <v>9.3781608542532801E-4</v>
      </c>
      <c r="H2485" t="s">
        <v>240</v>
      </c>
      <c r="I2485" t="s">
        <v>241</v>
      </c>
      <c r="J2485" t="s">
        <v>2</v>
      </c>
      <c r="K2485" s="183">
        <f ca="1">VLOOKUP(F2485,
    OFFSET(INDIRECT(ADDRESS(MATCH(J2485,'Vehicle numbers'!$A$5:$A$162,0),1,1,1,$L$6)),4,1,COUNTIF('Vehicle numbers'!$A$5:$A$162,J2485),4),
    MATCH(K$8,'Vehicle numbers'!$B$4:$D$4,0))*1000</f>
        <v>29611489</v>
      </c>
      <c r="L2485" s="183">
        <f ca="1">VLOOKUP(F2485,
    OFFSET(INDIRECT(ADDRESS(MATCH(J2485,'Vehicle numbers'!$A$5:$A$162,0),1,1,1,$L$6)),4,1,COUNTIF('Vehicle numbers'!$A$5:$A$162,J2485),4),
    MATCH(L$8,'Vehicle numbers'!$B$4:$D$4,0))*1000</f>
        <v>30513268</v>
      </c>
      <c r="M2485" s="184">
        <f>VLOOKUP(F2485,'Annual distance covered (GB)'!$A$8:$H$33,MATCH(J2485,'Annual distance covered (GB)'!$A$7:$H$7,0))</f>
        <v>408</v>
      </c>
      <c r="N2485" s="2">
        <f t="shared" ca="1" si="90"/>
        <v>394281.42529786058</v>
      </c>
      <c r="O2485" s="180">
        <f t="shared" ca="1" si="91"/>
        <v>1.2921638721157648E-2</v>
      </c>
      <c r="P2485" s="180"/>
      <c r="Q2485" s="180"/>
      <c r="R2485" s="180"/>
      <c r="S2485" s="180"/>
      <c r="T2485" s="180"/>
    </row>
    <row r="2486" spans="1:20" x14ac:dyDescent="0.25">
      <c r="A2486" t="s">
        <v>236</v>
      </c>
      <c r="B2486" t="s">
        <v>237</v>
      </c>
      <c r="C2486" t="s">
        <v>238</v>
      </c>
      <c r="D2486" t="s">
        <v>256</v>
      </c>
      <c r="E2486" t="s">
        <v>228</v>
      </c>
      <c r="F2486">
        <v>2014</v>
      </c>
      <c r="G2486">
        <v>8.7728315758953106E-3</v>
      </c>
      <c r="H2486" t="s">
        <v>240</v>
      </c>
      <c r="I2486" t="s">
        <v>241</v>
      </c>
      <c r="J2486" t="s">
        <v>2</v>
      </c>
      <c r="K2486" s="183">
        <f ca="1">VLOOKUP(F2486,
    OFFSET(INDIRECT(ADDRESS(MATCH(J2486,'Vehicle numbers'!$A$5:$A$162,0),1,1,1,$L$6)),4,1,COUNTIF('Vehicle numbers'!$A$5:$A$162,J2486),4),
    MATCH(K$8,'Vehicle numbers'!$B$4:$D$4,0))*1000</f>
        <v>29611489</v>
      </c>
      <c r="L2486" s="183">
        <f ca="1">VLOOKUP(F2486,
    OFFSET(INDIRECT(ADDRESS(MATCH(J2486,'Vehicle numbers'!$A$5:$A$162,0),1,1,1,$L$6)),4,1,COUNTIF('Vehicle numbers'!$A$5:$A$162,J2486),4),
    MATCH(L$8,'Vehicle numbers'!$B$4:$D$4,0))*1000</f>
        <v>30513268</v>
      </c>
      <c r="M2486" s="184">
        <f>VLOOKUP(F2486,'Annual distance covered (GB)'!$A$8:$H$33,MATCH(J2486,'Annual distance covered (GB)'!$A$7:$H$7,0))</f>
        <v>408</v>
      </c>
      <c r="N2486" s="2">
        <f t="shared" ca="1" si="90"/>
        <v>3688318.6281384099</v>
      </c>
      <c r="O2486" s="180">
        <f t="shared" ca="1" si="91"/>
        <v>0.12087589661449602</v>
      </c>
      <c r="P2486" s="180"/>
      <c r="Q2486" s="180"/>
      <c r="R2486" s="180"/>
      <c r="S2486" s="180"/>
      <c r="T2486" s="180"/>
    </row>
    <row r="2487" spans="1:20" x14ac:dyDescent="0.25">
      <c r="A2487" t="s">
        <v>243</v>
      </c>
      <c r="B2487" t="s">
        <v>237</v>
      </c>
      <c r="C2487" t="s">
        <v>238</v>
      </c>
      <c r="D2487" t="s">
        <v>256</v>
      </c>
      <c r="E2487" t="s">
        <v>228</v>
      </c>
      <c r="F2487">
        <v>2014</v>
      </c>
      <c r="G2487">
        <v>6.1409821031267204E-3</v>
      </c>
      <c r="H2487" t="s">
        <v>240</v>
      </c>
      <c r="I2487" t="s">
        <v>241</v>
      </c>
      <c r="J2487" t="s">
        <v>2</v>
      </c>
      <c r="K2487" s="183">
        <f ca="1">VLOOKUP(F2487,
    OFFSET(INDIRECT(ADDRESS(MATCH(J2487,'Vehicle numbers'!$A$5:$A$162,0),1,1,1,$L$6)),4,1,COUNTIF('Vehicle numbers'!$A$5:$A$162,J2487),4),
    MATCH(K$8,'Vehicle numbers'!$B$4:$D$4,0))*1000</f>
        <v>29611489</v>
      </c>
      <c r="L2487" s="183">
        <f ca="1">VLOOKUP(F2487,
    OFFSET(INDIRECT(ADDRESS(MATCH(J2487,'Vehicle numbers'!$A$5:$A$162,0),1,1,1,$L$6)),4,1,COUNTIF('Vehicle numbers'!$A$5:$A$162,J2487),4),
    MATCH(L$8,'Vehicle numbers'!$B$4:$D$4,0))*1000</f>
        <v>30513268</v>
      </c>
      <c r="M2487" s="184">
        <f>VLOOKUP(F2487,'Annual distance covered (GB)'!$A$8:$H$33,MATCH(J2487,'Annual distance covered (GB)'!$A$7:$H$7,0))</f>
        <v>408</v>
      </c>
      <c r="N2487" s="2">
        <f t="shared" ca="1" si="90"/>
        <v>2581823.0396968881</v>
      </c>
      <c r="O2487" s="180">
        <f t="shared" ca="1" si="91"/>
        <v>8.461312763014725E-2</v>
      </c>
      <c r="P2487" s="180"/>
      <c r="Q2487" s="180"/>
      <c r="R2487" s="180"/>
      <c r="S2487" s="180"/>
      <c r="T2487" s="180"/>
    </row>
    <row r="2488" spans="1:20" x14ac:dyDescent="0.25">
      <c r="A2488" t="s">
        <v>244</v>
      </c>
      <c r="B2488" t="s">
        <v>237</v>
      </c>
      <c r="C2488" t="s">
        <v>238</v>
      </c>
      <c r="D2488" t="s">
        <v>256</v>
      </c>
      <c r="E2488" t="s">
        <v>228</v>
      </c>
      <c r="F2488">
        <v>2014</v>
      </c>
      <c r="G2488">
        <v>8.6492705677841003E-4</v>
      </c>
      <c r="H2488" t="s">
        <v>240</v>
      </c>
      <c r="I2488" t="s">
        <v>241</v>
      </c>
      <c r="J2488" t="s">
        <v>2</v>
      </c>
      <c r="K2488" s="183">
        <f ca="1">VLOOKUP(F2488,
    OFFSET(INDIRECT(ADDRESS(MATCH(J2488,'Vehicle numbers'!$A$5:$A$162,0),1,1,1,$L$6)),4,1,COUNTIF('Vehicle numbers'!$A$5:$A$162,J2488),4),
    MATCH(K$8,'Vehicle numbers'!$B$4:$D$4,0))*1000</f>
        <v>29611489</v>
      </c>
      <c r="L2488" s="183">
        <f ca="1">VLOOKUP(F2488,
    OFFSET(INDIRECT(ADDRESS(MATCH(J2488,'Vehicle numbers'!$A$5:$A$162,0),1,1,1,$L$6)),4,1,COUNTIF('Vehicle numbers'!$A$5:$A$162,J2488),4),
    MATCH(L$8,'Vehicle numbers'!$B$4:$D$4,0))*1000</f>
        <v>30513268</v>
      </c>
      <c r="M2488" s="184">
        <f>VLOOKUP(F2488,'Annual distance covered (GB)'!$A$8:$H$33,MATCH(J2488,'Annual distance covered (GB)'!$A$7:$H$7,0))</f>
        <v>408</v>
      </c>
      <c r="N2488" s="2">
        <f t="shared" ca="1" si="90"/>
        <v>363637.0478446316</v>
      </c>
      <c r="O2488" s="180">
        <f t="shared" ca="1" si="91"/>
        <v>1.1917341919739033E-2</v>
      </c>
      <c r="P2488" s="180"/>
      <c r="Q2488" s="180"/>
      <c r="R2488" s="180"/>
      <c r="S2488" s="180"/>
      <c r="T2488" s="180"/>
    </row>
    <row r="2489" spans="1:20" x14ac:dyDescent="0.25">
      <c r="A2489" t="s">
        <v>246</v>
      </c>
      <c r="B2489" t="s">
        <v>237</v>
      </c>
      <c r="C2489" t="s">
        <v>238</v>
      </c>
      <c r="D2489" t="s">
        <v>256</v>
      </c>
      <c r="E2489" t="s">
        <v>228</v>
      </c>
      <c r="F2489">
        <v>2014</v>
      </c>
      <c r="G2489">
        <v>6.9194164542272802E-4</v>
      </c>
      <c r="H2489" t="s">
        <v>240</v>
      </c>
      <c r="I2489" t="s">
        <v>241</v>
      </c>
      <c r="J2489" t="s">
        <v>2</v>
      </c>
      <c r="K2489" s="183">
        <f ca="1">VLOOKUP(F2489,
    OFFSET(INDIRECT(ADDRESS(MATCH(J2489,'Vehicle numbers'!$A$5:$A$162,0),1,1,1,$L$6)),4,1,COUNTIF('Vehicle numbers'!$A$5:$A$162,J2489),4),
    MATCH(K$8,'Vehicle numbers'!$B$4:$D$4,0))*1000</f>
        <v>29611489</v>
      </c>
      <c r="L2489" s="183">
        <f ca="1">VLOOKUP(F2489,
    OFFSET(INDIRECT(ADDRESS(MATCH(J2489,'Vehicle numbers'!$A$5:$A$162,0),1,1,1,$L$6)),4,1,COUNTIF('Vehicle numbers'!$A$5:$A$162,J2489),4),
    MATCH(L$8,'Vehicle numbers'!$B$4:$D$4,0))*1000</f>
        <v>30513268</v>
      </c>
      <c r="M2489" s="184">
        <f>VLOOKUP(F2489,'Annual distance covered (GB)'!$A$8:$H$33,MATCH(J2489,'Annual distance covered (GB)'!$A$7:$H$7,0))</f>
        <v>408</v>
      </c>
      <c r="N2489" s="2">
        <f t="shared" ca="1" si="90"/>
        <v>290909.63827570528</v>
      </c>
      <c r="O2489" s="180">
        <f t="shared" ca="1" si="91"/>
        <v>9.5338735357912256E-3</v>
      </c>
      <c r="P2489" s="180"/>
      <c r="Q2489" s="180"/>
      <c r="R2489" s="180"/>
      <c r="S2489" s="180"/>
      <c r="T2489" s="180"/>
    </row>
    <row r="2490" spans="1:20" x14ac:dyDescent="0.25">
      <c r="A2490" t="s">
        <v>236</v>
      </c>
      <c r="B2490" t="s">
        <v>237</v>
      </c>
      <c r="C2490" t="s">
        <v>238</v>
      </c>
      <c r="D2490" t="s">
        <v>265</v>
      </c>
      <c r="E2490" t="s">
        <v>229</v>
      </c>
      <c r="F2490">
        <v>2014</v>
      </c>
      <c r="G2490">
        <v>8.4410000000000006E-3</v>
      </c>
      <c r="H2490" t="s">
        <v>240</v>
      </c>
      <c r="I2490" t="s">
        <v>241</v>
      </c>
      <c r="J2490" t="s">
        <v>247</v>
      </c>
      <c r="K2490" s="183">
        <f ca="1">VLOOKUP(F2490,
    OFFSET(INDIRECT(ADDRESS(MATCH(J2490,'Vehicle numbers'!$A$5:$A$162,0),1,1,1,$L$6)),4,1,COUNTIF('Vehicle numbers'!$A$5:$A$162,J2490),4),
    MATCH(K$8,'Vehicle numbers'!$B$4:$D$4,0))*1000</f>
        <v>115152</v>
      </c>
      <c r="L2490" s="183">
        <f ca="1">VLOOKUP(F2490,
    OFFSET(INDIRECT(ADDRESS(MATCH(J2490,'Vehicle numbers'!$A$5:$A$162,0),1,1,1,$L$6)),4,1,COUNTIF('Vehicle numbers'!$A$5:$A$162,J2490),4),
    MATCH(L$8,'Vehicle numbers'!$B$4:$D$4,0))*1000</f>
        <v>121142</v>
      </c>
      <c r="M2490" s="184">
        <f ca="1">VLOOKUP(F2490,'Annual distance covered (GB)'!$A$8:$H$33,MATCH(J2490,'Annual distance covered (GB)'!$A$7:$H$7,0))</f>
        <v>13.7</v>
      </c>
      <c r="N2490" s="2">
        <f t="shared" ca="1" si="90"/>
        <v>121657.17331353342</v>
      </c>
      <c r="O2490" s="180">
        <f t="shared" ca="1" si="91"/>
        <v>1.0042526399888843</v>
      </c>
      <c r="P2490" s="180"/>
      <c r="Q2490" s="180"/>
      <c r="R2490" s="180"/>
      <c r="S2490" s="180"/>
      <c r="T2490" s="180"/>
    </row>
    <row r="2491" spans="1:20" x14ac:dyDescent="0.25">
      <c r="A2491" t="s">
        <v>243</v>
      </c>
      <c r="B2491" t="s">
        <v>237</v>
      </c>
      <c r="C2491" t="s">
        <v>238</v>
      </c>
      <c r="D2491" t="s">
        <v>265</v>
      </c>
      <c r="E2491" t="s">
        <v>229</v>
      </c>
      <c r="F2491">
        <v>2014</v>
      </c>
      <c r="G2491">
        <v>3.3763999999999999E-3</v>
      </c>
      <c r="H2491" t="s">
        <v>240</v>
      </c>
      <c r="I2491" t="s">
        <v>241</v>
      </c>
      <c r="J2491" t="s">
        <v>247</v>
      </c>
      <c r="K2491" s="183">
        <f ca="1">VLOOKUP(F2491,
    OFFSET(INDIRECT(ADDRESS(MATCH(J2491,'Vehicle numbers'!$A$5:$A$162,0),1,1,1,$L$6)),4,1,COUNTIF('Vehicle numbers'!$A$5:$A$162,J2491),4),
    MATCH(K$8,'Vehicle numbers'!$B$4:$D$4,0))*1000</f>
        <v>115152</v>
      </c>
      <c r="L2491" s="183">
        <f ca="1">VLOOKUP(F2491,
    OFFSET(INDIRECT(ADDRESS(MATCH(J2491,'Vehicle numbers'!$A$5:$A$162,0),1,1,1,$L$6)),4,1,COUNTIF('Vehicle numbers'!$A$5:$A$162,J2491),4),
    MATCH(L$8,'Vehicle numbers'!$B$4:$D$4,0))*1000</f>
        <v>121142</v>
      </c>
      <c r="M2491" s="184">
        <f ca="1">VLOOKUP(F2491,'Annual distance covered (GB)'!$A$8:$H$33,MATCH(J2491,'Annual distance covered (GB)'!$A$7:$H$7,0))</f>
        <v>13.7</v>
      </c>
      <c r="N2491" s="2">
        <f t="shared" ca="1" si="90"/>
        <v>48662.869325413361</v>
      </c>
      <c r="O2491" s="180">
        <f t="shared" ca="1" si="91"/>
        <v>0.40170105599555367</v>
      </c>
      <c r="P2491" s="180"/>
      <c r="Q2491" s="180"/>
      <c r="R2491" s="180"/>
      <c r="S2491" s="180"/>
      <c r="T2491" s="180"/>
    </row>
    <row r="2492" spans="1:20" x14ac:dyDescent="0.25">
      <c r="A2492" t="s">
        <v>244</v>
      </c>
      <c r="B2492" t="s">
        <v>237</v>
      </c>
      <c r="C2492" t="s">
        <v>238</v>
      </c>
      <c r="D2492" t="s">
        <v>265</v>
      </c>
      <c r="E2492" t="s">
        <v>229</v>
      </c>
      <c r="F2492">
        <v>2014</v>
      </c>
      <c r="G2492">
        <v>8.4409999999999997E-4</v>
      </c>
      <c r="H2492" t="s">
        <v>240</v>
      </c>
      <c r="I2492" t="s">
        <v>241</v>
      </c>
      <c r="J2492" t="s">
        <v>247</v>
      </c>
      <c r="K2492" s="183">
        <f ca="1">VLOOKUP(F2492,
    OFFSET(INDIRECT(ADDRESS(MATCH(J2492,'Vehicle numbers'!$A$5:$A$162,0),1,1,1,$L$6)),4,1,COUNTIF('Vehicle numbers'!$A$5:$A$162,J2492),4),
    MATCH(K$8,'Vehicle numbers'!$B$4:$D$4,0))*1000</f>
        <v>115152</v>
      </c>
      <c r="L2492" s="183">
        <f ca="1">VLOOKUP(F2492,
    OFFSET(INDIRECT(ADDRESS(MATCH(J2492,'Vehicle numbers'!$A$5:$A$162,0),1,1,1,$L$6)),4,1,COUNTIF('Vehicle numbers'!$A$5:$A$162,J2492),4),
    MATCH(L$8,'Vehicle numbers'!$B$4:$D$4,0))*1000</f>
        <v>121142</v>
      </c>
      <c r="M2492" s="184">
        <f ca="1">VLOOKUP(F2492,'Annual distance covered (GB)'!$A$8:$H$33,MATCH(J2492,'Annual distance covered (GB)'!$A$7:$H$7,0))</f>
        <v>13.7</v>
      </c>
      <c r="N2492" s="2">
        <f t="shared" ca="1" si="90"/>
        <v>12165.71733135334</v>
      </c>
      <c r="O2492" s="180">
        <f t="shared" ca="1" si="91"/>
        <v>0.10042526399888842</v>
      </c>
      <c r="P2492" s="180"/>
      <c r="Q2492" s="180"/>
      <c r="R2492" s="180"/>
      <c r="S2492" s="180"/>
      <c r="T2492" s="180"/>
    </row>
    <row r="2493" spans="1:20" x14ac:dyDescent="0.25">
      <c r="A2493" t="s">
        <v>246</v>
      </c>
      <c r="B2493" t="s">
        <v>237</v>
      </c>
      <c r="C2493" t="s">
        <v>238</v>
      </c>
      <c r="D2493" t="s">
        <v>265</v>
      </c>
      <c r="E2493" t="s">
        <v>229</v>
      </c>
      <c r="F2493">
        <v>2014</v>
      </c>
      <c r="G2493">
        <v>6.7528E-4</v>
      </c>
      <c r="H2493" t="s">
        <v>240</v>
      </c>
      <c r="I2493" t="s">
        <v>241</v>
      </c>
      <c r="J2493" t="s">
        <v>247</v>
      </c>
      <c r="K2493" s="183">
        <f ca="1">VLOOKUP(F2493,
    OFFSET(INDIRECT(ADDRESS(MATCH(J2493,'Vehicle numbers'!$A$5:$A$162,0),1,1,1,$L$6)),4,1,COUNTIF('Vehicle numbers'!$A$5:$A$162,J2493),4),
    MATCH(K$8,'Vehicle numbers'!$B$4:$D$4,0))*1000</f>
        <v>115152</v>
      </c>
      <c r="L2493" s="183">
        <f ca="1">VLOOKUP(F2493,
    OFFSET(INDIRECT(ADDRESS(MATCH(J2493,'Vehicle numbers'!$A$5:$A$162,0),1,1,1,$L$6)),4,1,COUNTIF('Vehicle numbers'!$A$5:$A$162,J2493),4),
    MATCH(L$8,'Vehicle numbers'!$B$4:$D$4,0))*1000</f>
        <v>121142</v>
      </c>
      <c r="M2493" s="184">
        <f ca="1">VLOOKUP(F2493,'Annual distance covered (GB)'!$A$8:$H$33,MATCH(J2493,'Annual distance covered (GB)'!$A$7:$H$7,0))</f>
        <v>13.7</v>
      </c>
      <c r="N2493" s="2">
        <f t="shared" ca="1" si="90"/>
        <v>9732.5738650826734</v>
      </c>
      <c r="O2493" s="180">
        <f t="shared" ca="1" si="91"/>
        <v>8.0340211199110736E-2</v>
      </c>
      <c r="P2493" s="180"/>
      <c r="Q2493" s="180"/>
      <c r="R2493" s="180"/>
      <c r="S2493" s="180"/>
      <c r="T2493" s="180"/>
    </row>
    <row r="2494" spans="1:20" x14ac:dyDescent="0.25">
      <c r="A2494" t="s">
        <v>236</v>
      </c>
      <c r="B2494" t="s">
        <v>237</v>
      </c>
      <c r="C2494" t="s">
        <v>238</v>
      </c>
      <c r="D2494" t="s">
        <v>265</v>
      </c>
      <c r="E2494" t="s">
        <v>228</v>
      </c>
      <c r="F2494">
        <v>2014</v>
      </c>
      <c r="G2494">
        <v>3.1494399999999999E-2</v>
      </c>
      <c r="H2494" t="s">
        <v>240</v>
      </c>
      <c r="I2494" t="s">
        <v>241</v>
      </c>
      <c r="J2494" t="s">
        <v>247</v>
      </c>
      <c r="K2494" s="183">
        <f ca="1">VLOOKUP(F2494,
    OFFSET(INDIRECT(ADDRESS(MATCH(J2494,'Vehicle numbers'!$A$5:$A$162,0),1,1,1,$L$6)),4,1,COUNTIF('Vehicle numbers'!$A$5:$A$162,J2494),4),
    MATCH(K$8,'Vehicle numbers'!$B$4:$D$4,0))*1000</f>
        <v>115152</v>
      </c>
      <c r="L2494" s="183">
        <f ca="1">VLOOKUP(F2494,
    OFFSET(INDIRECT(ADDRESS(MATCH(J2494,'Vehicle numbers'!$A$5:$A$162,0),1,1,1,$L$6)),4,1,COUNTIF('Vehicle numbers'!$A$5:$A$162,J2494),4),
    MATCH(L$8,'Vehicle numbers'!$B$4:$D$4,0))*1000</f>
        <v>121142</v>
      </c>
      <c r="M2494" s="184">
        <f ca="1">VLOOKUP(F2494,'Annual distance covered (GB)'!$A$8:$H$33,MATCH(J2494,'Annual distance covered (GB)'!$A$7:$H$7,0))</f>
        <v>13.7</v>
      </c>
      <c r="N2494" s="2">
        <f t="shared" ca="1" si="90"/>
        <v>453917.74424899259</v>
      </c>
      <c r="O2494" s="180">
        <f t="shared" ca="1" si="91"/>
        <v>3.7469890232041125</v>
      </c>
      <c r="P2494" s="180"/>
      <c r="Q2494" s="180"/>
      <c r="R2494" s="180"/>
      <c r="S2494" s="180"/>
      <c r="T2494" s="180"/>
    </row>
    <row r="2495" spans="1:20" x14ac:dyDescent="0.25">
      <c r="A2495" t="s">
        <v>243</v>
      </c>
      <c r="B2495" t="s">
        <v>237</v>
      </c>
      <c r="C2495" t="s">
        <v>238</v>
      </c>
      <c r="D2495" t="s">
        <v>265</v>
      </c>
      <c r="E2495" t="s">
        <v>228</v>
      </c>
      <c r="F2495">
        <v>2014</v>
      </c>
      <c r="G2495">
        <v>2.2046079999999999E-2</v>
      </c>
      <c r="H2495" t="s">
        <v>240</v>
      </c>
      <c r="I2495" t="s">
        <v>241</v>
      </c>
      <c r="J2495" t="s">
        <v>247</v>
      </c>
      <c r="K2495" s="183">
        <f ca="1">VLOOKUP(F2495,
    OFFSET(INDIRECT(ADDRESS(MATCH(J2495,'Vehicle numbers'!$A$5:$A$162,0),1,1,1,$L$6)),4,1,COUNTIF('Vehicle numbers'!$A$5:$A$162,J2495),4),
    MATCH(K$8,'Vehicle numbers'!$B$4:$D$4,0))*1000</f>
        <v>115152</v>
      </c>
      <c r="L2495" s="183">
        <f ca="1">VLOOKUP(F2495,
    OFFSET(INDIRECT(ADDRESS(MATCH(J2495,'Vehicle numbers'!$A$5:$A$162,0),1,1,1,$L$6)),4,1,COUNTIF('Vehicle numbers'!$A$5:$A$162,J2495),4),
    MATCH(L$8,'Vehicle numbers'!$B$4:$D$4,0))*1000</f>
        <v>121142</v>
      </c>
      <c r="M2495" s="184">
        <f ca="1">VLOOKUP(F2495,'Annual distance covered (GB)'!$A$8:$H$33,MATCH(J2495,'Annual distance covered (GB)'!$A$7:$H$7,0))</f>
        <v>13.7</v>
      </c>
      <c r="N2495" s="2">
        <f t="shared" ca="1" si="90"/>
        <v>317742.42097429483</v>
      </c>
      <c r="O2495" s="180">
        <f t="shared" ca="1" si="91"/>
        <v>2.6228923162428788</v>
      </c>
      <c r="P2495" s="180"/>
      <c r="Q2495" s="180"/>
      <c r="R2495" s="180"/>
      <c r="S2495" s="180"/>
      <c r="T2495" s="180"/>
    </row>
    <row r="2496" spans="1:20" x14ac:dyDescent="0.25">
      <c r="A2496" t="s">
        <v>244</v>
      </c>
      <c r="B2496" t="s">
        <v>237</v>
      </c>
      <c r="C2496" t="s">
        <v>238</v>
      </c>
      <c r="D2496" t="s">
        <v>265</v>
      </c>
      <c r="E2496" t="s">
        <v>228</v>
      </c>
      <c r="F2496">
        <v>2014</v>
      </c>
      <c r="G2496">
        <v>3.1050816901408399E-3</v>
      </c>
      <c r="H2496" t="s">
        <v>240</v>
      </c>
      <c r="I2496" t="s">
        <v>241</v>
      </c>
      <c r="J2496" t="s">
        <v>247</v>
      </c>
      <c r="K2496" s="183">
        <f ca="1">VLOOKUP(F2496,
    OFFSET(INDIRECT(ADDRESS(MATCH(J2496,'Vehicle numbers'!$A$5:$A$162,0),1,1,1,$L$6)),4,1,COUNTIF('Vehicle numbers'!$A$5:$A$162,J2496),4),
    MATCH(K$8,'Vehicle numbers'!$B$4:$D$4,0))*1000</f>
        <v>115152</v>
      </c>
      <c r="L2496" s="183">
        <f ca="1">VLOOKUP(F2496,
    OFFSET(INDIRECT(ADDRESS(MATCH(J2496,'Vehicle numbers'!$A$5:$A$162,0),1,1,1,$L$6)),4,1,COUNTIF('Vehicle numbers'!$A$5:$A$162,J2496),4),
    MATCH(L$8,'Vehicle numbers'!$B$4:$D$4,0))*1000</f>
        <v>121142</v>
      </c>
      <c r="M2496" s="184">
        <f ca="1">VLOOKUP(F2496,'Annual distance covered (GB)'!$A$8:$H$33,MATCH(J2496,'Annual distance covered (GB)'!$A$7:$H$7,0))</f>
        <v>13.7</v>
      </c>
      <c r="N2496" s="2">
        <f t="shared" ca="1" si="90"/>
        <v>44752.453658351311</v>
      </c>
      <c r="O2496" s="180">
        <f t="shared" ca="1" si="91"/>
        <v>0.36942145299195417</v>
      </c>
      <c r="P2496" s="180"/>
      <c r="Q2496" s="180"/>
      <c r="R2496" s="180"/>
      <c r="S2496" s="180"/>
      <c r="T2496" s="180"/>
    </row>
    <row r="2497" spans="1:20" x14ac:dyDescent="0.25">
      <c r="A2497" t="s">
        <v>246</v>
      </c>
      <c r="B2497" t="s">
        <v>237</v>
      </c>
      <c r="C2497" t="s">
        <v>238</v>
      </c>
      <c r="D2497" t="s">
        <v>265</v>
      </c>
      <c r="E2497" t="s">
        <v>228</v>
      </c>
      <c r="F2497">
        <v>2014</v>
      </c>
      <c r="G2497">
        <v>2.4840653521126699E-3</v>
      </c>
      <c r="H2497" t="s">
        <v>240</v>
      </c>
      <c r="I2497" t="s">
        <v>241</v>
      </c>
      <c r="J2497" t="s">
        <v>247</v>
      </c>
      <c r="K2497" s="183">
        <f ca="1">VLOOKUP(F2497,
    OFFSET(INDIRECT(ADDRESS(MATCH(J2497,'Vehicle numbers'!$A$5:$A$162,0),1,1,1,$L$6)),4,1,COUNTIF('Vehicle numbers'!$A$5:$A$162,J2497),4),
    MATCH(K$8,'Vehicle numbers'!$B$4:$D$4,0))*1000</f>
        <v>115152</v>
      </c>
      <c r="L2497" s="183">
        <f ca="1">VLOOKUP(F2497,
    OFFSET(INDIRECT(ADDRESS(MATCH(J2497,'Vehicle numbers'!$A$5:$A$162,0),1,1,1,$L$6)),4,1,COUNTIF('Vehicle numbers'!$A$5:$A$162,J2497),4),
    MATCH(L$8,'Vehicle numbers'!$B$4:$D$4,0))*1000</f>
        <v>121142</v>
      </c>
      <c r="M2497" s="184">
        <f ca="1">VLOOKUP(F2497,'Annual distance covered (GB)'!$A$8:$H$33,MATCH(J2497,'Annual distance covered (GB)'!$A$7:$H$7,0))</f>
        <v>13.7</v>
      </c>
      <c r="N2497" s="2">
        <f t="shared" ca="1" si="90"/>
        <v>35801.962926681015</v>
      </c>
      <c r="O2497" s="180">
        <f t="shared" ca="1" si="91"/>
        <v>0.29553716239356304</v>
      </c>
      <c r="P2497" s="180"/>
      <c r="Q2497" s="180"/>
      <c r="R2497" s="180"/>
      <c r="S2497" s="180"/>
      <c r="T2497" s="180"/>
    </row>
    <row r="2498" spans="1:20" x14ac:dyDescent="0.25">
      <c r="A2498" t="s">
        <v>236</v>
      </c>
      <c r="B2498" t="s">
        <v>237</v>
      </c>
      <c r="C2498" t="s">
        <v>238</v>
      </c>
      <c r="D2498" t="s">
        <v>266</v>
      </c>
      <c r="E2498" t="s">
        <v>229</v>
      </c>
      <c r="F2498">
        <v>2014</v>
      </c>
      <c r="G2498">
        <v>2.7143E-2</v>
      </c>
      <c r="H2498" t="s">
        <v>240</v>
      </c>
      <c r="I2498" t="s">
        <v>241</v>
      </c>
      <c r="J2498" t="s">
        <v>247</v>
      </c>
      <c r="K2498" s="183">
        <f ca="1">VLOOKUP(F2498,
    OFFSET(INDIRECT(ADDRESS(MATCH(J2498,'Vehicle numbers'!$A$5:$A$162,0),1,1,1,$L$6)),4,1,COUNTIF('Vehicle numbers'!$A$5:$A$162,J2498),4),
    MATCH(K$8,'Vehicle numbers'!$B$4:$D$4,0))*1000</f>
        <v>115152</v>
      </c>
      <c r="L2498" s="183">
        <f ca="1">VLOOKUP(F2498,
    OFFSET(INDIRECT(ADDRESS(MATCH(J2498,'Vehicle numbers'!$A$5:$A$162,0),1,1,1,$L$6)),4,1,COUNTIF('Vehicle numbers'!$A$5:$A$162,J2498),4),
    MATCH(L$8,'Vehicle numbers'!$B$4:$D$4,0))*1000</f>
        <v>121142</v>
      </c>
      <c r="M2498" s="184">
        <f ca="1">VLOOKUP(F2498,'Annual distance covered (GB)'!$A$8:$H$33,MATCH(J2498,'Annual distance covered (GB)'!$A$7:$H$7,0))</f>
        <v>13.7</v>
      </c>
      <c r="N2498" s="2">
        <f t="shared" ca="1" si="90"/>
        <v>391202.54178998194</v>
      </c>
      <c r="O2498" s="180">
        <f t="shared" ca="1" si="91"/>
        <v>3.2292891135195223</v>
      </c>
      <c r="P2498" s="180"/>
      <c r="Q2498" s="180"/>
      <c r="R2498" s="180"/>
      <c r="S2498" s="180"/>
      <c r="T2498" s="180"/>
    </row>
    <row r="2499" spans="1:20" x14ac:dyDescent="0.25">
      <c r="A2499" t="s">
        <v>243</v>
      </c>
      <c r="B2499" t="s">
        <v>237</v>
      </c>
      <c r="C2499" t="s">
        <v>238</v>
      </c>
      <c r="D2499" t="s">
        <v>266</v>
      </c>
      <c r="E2499" t="s">
        <v>229</v>
      </c>
      <c r="F2499">
        <v>2014</v>
      </c>
      <c r="G2499">
        <v>1.0857199999999999E-2</v>
      </c>
      <c r="H2499" t="s">
        <v>240</v>
      </c>
      <c r="I2499" t="s">
        <v>241</v>
      </c>
      <c r="J2499" t="s">
        <v>247</v>
      </c>
      <c r="K2499" s="183">
        <f ca="1">VLOOKUP(F2499,
    OFFSET(INDIRECT(ADDRESS(MATCH(J2499,'Vehicle numbers'!$A$5:$A$162,0),1,1,1,$L$6)),4,1,COUNTIF('Vehicle numbers'!$A$5:$A$162,J2499),4),
    MATCH(K$8,'Vehicle numbers'!$B$4:$D$4,0))*1000</f>
        <v>115152</v>
      </c>
      <c r="L2499" s="183">
        <f ca="1">VLOOKUP(F2499,
    OFFSET(INDIRECT(ADDRESS(MATCH(J2499,'Vehicle numbers'!$A$5:$A$162,0),1,1,1,$L$6)),4,1,COUNTIF('Vehicle numbers'!$A$5:$A$162,J2499),4),
    MATCH(L$8,'Vehicle numbers'!$B$4:$D$4,0))*1000</f>
        <v>121142</v>
      </c>
      <c r="M2499" s="184">
        <f ca="1">VLOOKUP(F2499,'Annual distance covered (GB)'!$A$8:$H$33,MATCH(J2499,'Annual distance covered (GB)'!$A$7:$H$7,0))</f>
        <v>13.7</v>
      </c>
      <c r="N2499" s="2">
        <f t="shared" ca="1" si="90"/>
        <v>156481.01671599277</v>
      </c>
      <c r="O2499" s="180">
        <f t="shared" ca="1" si="91"/>
        <v>1.2917156454078087</v>
      </c>
      <c r="P2499" s="180"/>
      <c r="Q2499" s="180"/>
      <c r="R2499" s="180"/>
      <c r="S2499" s="180"/>
      <c r="T2499" s="180"/>
    </row>
    <row r="2500" spans="1:20" x14ac:dyDescent="0.25">
      <c r="A2500" t="s">
        <v>244</v>
      </c>
      <c r="B2500" t="s">
        <v>237</v>
      </c>
      <c r="C2500" t="s">
        <v>238</v>
      </c>
      <c r="D2500" t="s">
        <v>266</v>
      </c>
      <c r="E2500" t="s">
        <v>229</v>
      </c>
      <c r="F2500">
        <v>2014</v>
      </c>
      <c r="G2500">
        <v>2.7142999999999998E-3</v>
      </c>
      <c r="H2500" t="s">
        <v>240</v>
      </c>
      <c r="I2500" t="s">
        <v>241</v>
      </c>
      <c r="J2500" t="s">
        <v>247</v>
      </c>
      <c r="K2500" s="183">
        <f ca="1">VLOOKUP(F2500,
    OFFSET(INDIRECT(ADDRESS(MATCH(J2500,'Vehicle numbers'!$A$5:$A$162,0),1,1,1,$L$6)),4,1,COUNTIF('Vehicle numbers'!$A$5:$A$162,J2500),4),
    MATCH(K$8,'Vehicle numbers'!$B$4:$D$4,0))*1000</f>
        <v>115152</v>
      </c>
      <c r="L2500" s="183">
        <f ca="1">VLOOKUP(F2500,
    OFFSET(INDIRECT(ADDRESS(MATCH(J2500,'Vehicle numbers'!$A$5:$A$162,0),1,1,1,$L$6)),4,1,COUNTIF('Vehicle numbers'!$A$5:$A$162,J2500),4),
    MATCH(L$8,'Vehicle numbers'!$B$4:$D$4,0))*1000</f>
        <v>121142</v>
      </c>
      <c r="M2500" s="184">
        <f ca="1">VLOOKUP(F2500,'Annual distance covered (GB)'!$A$8:$H$33,MATCH(J2500,'Annual distance covered (GB)'!$A$7:$H$7,0))</f>
        <v>13.7</v>
      </c>
      <c r="N2500" s="2">
        <f t="shared" ca="1" si="90"/>
        <v>39120.254178998191</v>
      </c>
      <c r="O2500" s="180">
        <f t="shared" ca="1" si="91"/>
        <v>0.32292891135195217</v>
      </c>
      <c r="P2500" s="180"/>
      <c r="Q2500" s="180"/>
      <c r="R2500" s="180"/>
      <c r="S2500" s="180"/>
      <c r="T2500" s="180"/>
    </row>
    <row r="2501" spans="1:20" x14ac:dyDescent="0.25">
      <c r="A2501" t="s">
        <v>246</v>
      </c>
      <c r="B2501" t="s">
        <v>237</v>
      </c>
      <c r="C2501" t="s">
        <v>238</v>
      </c>
      <c r="D2501" t="s">
        <v>266</v>
      </c>
      <c r="E2501" t="s">
        <v>229</v>
      </c>
      <c r="F2501">
        <v>2014</v>
      </c>
      <c r="G2501">
        <v>2.1714400000000002E-3</v>
      </c>
      <c r="H2501" t="s">
        <v>240</v>
      </c>
      <c r="I2501" t="s">
        <v>241</v>
      </c>
      <c r="J2501" t="s">
        <v>247</v>
      </c>
      <c r="K2501" s="183">
        <f ca="1">VLOOKUP(F2501,
    OFFSET(INDIRECT(ADDRESS(MATCH(J2501,'Vehicle numbers'!$A$5:$A$162,0),1,1,1,$L$6)),4,1,COUNTIF('Vehicle numbers'!$A$5:$A$162,J2501),4),
    MATCH(K$8,'Vehicle numbers'!$B$4:$D$4,0))*1000</f>
        <v>115152</v>
      </c>
      <c r="L2501" s="183">
        <f ca="1">VLOOKUP(F2501,
    OFFSET(INDIRECT(ADDRESS(MATCH(J2501,'Vehicle numbers'!$A$5:$A$162,0),1,1,1,$L$6)),4,1,COUNTIF('Vehicle numbers'!$A$5:$A$162,J2501),4),
    MATCH(L$8,'Vehicle numbers'!$B$4:$D$4,0))*1000</f>
        <v>121142</v>
      </c>
      <c r="M2501" s="184">
        <f ca="1">VLOOKUP(F2501,'Annual distance covered (GB)'!$A$8:$H$33,MATCH(J2501,'Annual distance covered (GB)'!$A$7:$H$7,0))</f>
        <v>13.7</v>
      </c>
      <c r="N2501" s="2">
        <f t="shared" ca="1" si="90"/>
        <v>31296.203343198558</v>
      </c>
      <c r="O2501" s="180">
        <f t="shared" ca="1" si="91"/>
        <v>0.25834312908156176</v>
      </c>
      <c r="P2501" s="180"/>
      <c r="Q2501" s="180"/>
      <c r="R2501" s="180"/>
      <c r="S2501" s="180"/>
      <c r="T2501" s="180"/>
    </row>
    <row r="2502" spans="1:20" x14ac:dyDescent="0.25">
      <c r="A2502" t="s">
        <v>236</v>
      </c>
      <c r="B2502" t="s">
        <v>237</v>
      </c>
      <c r="C2502" t="s">
        <v>238</v>
      </c>
      <c r="D2502" t="s">
        <v>266</v>
      </c>
      <c r="E2502" t="s">
        <v>228</v>
      </c>
      <c r="F2502">
        <v>2014</v>
      </c>
      <c r="G2502">
        <v>3.8239919999999997E-2</v>
      </c>
      <c r="H2502" t="s">
        <v>240</v>
      </c>
      <c r="I2502" t="s">
        <v>241</v>
      </c>
      <c r="J2502" t="s">
        <v>247</v>
      </c>
      <c r="K2502" s="183">
        <f ca="1">VLOOKUP(F2502,
    OFFSET(INDIRECT(ADDRESS(MATCH(J2502,'Vehicle numbers'!$A$5:$A$162,0),1,1,1,$L$6)),4,1,COUNTIF('Vehicle numbers'!$A$5:$A$162,J2502),4),
    MATCH(K$8,'Vehicle numbers'!$B$4:$D$4,0))*1000</f>
        <v>115152</v>
      </c>
      <c r="L2502" s="183">
        <f ca="1">VLOOKUP(F2502,
    OFFSET(INDIRECT(ADDRESS(MATCH(J2502,'Vehicle numbers'!$A$5:$A$162,0),1,1,1,$L$6)),4,1,COUNTIF('Vehicle numbers'!$A$5:$A$162,J2502),4),
    MATCH(L$8,'Vehicle numbers'!$B$4:$D$4,0))*1000</f>
        <v>121142</v>
      </c>
      <c r="M2502" s="184">
        <f ca="1">VLOOKUP(F2502,'Annual distance covered (GB)'!$A$8:$H$33,MATCH(J2502,'Annual distance covered (GB)'!$A$7:$H$7,0))</f>
        <v>13.7</v>
      </c>
      <c r="N2502" s="2">
        <f t="shared" ca="1" si="90"/>
        <v>551138.55881242175</v>
      </c>
      <c r="O2502" s="180">
        <f t="shared" ca="1" si="91"/>
        <v>4.5495250104210081</v>
      </c>
      <c r="P2502" s="180"/>
      <c r="Q2502" s="180"/>
      <c r="R2502" s="180"/>
      <c r="S2502" s="180"/>
      <c r="T2502" s="180"/>
    </row>
    <row r="2503" spans="1:20" x14ac:dyDescent="0.25">
      <c r="A2503" t="s">
        <v>243</v>
      </c>
      <c r="B2503" t="s">
        <v>237</v>
      </c>
      <c r="C2503" t="s">
        <v>238</v>
      </c>
      <c r="D2503" t="s">
        <v>266</v>
      </c>
      <c r="E2503" t="s">
        <v>228</v>
      </c>
      <c r="F2503">
        <v>2014</v>
      </c>
      <c r="G2503">
        <v>2.6767943999999998E-2</v>
      </c>
      <c r="H2503" t="s">
        <v>240</v>
      </c>
      <c r="I2503" t="s">
        <v>241</v>
      </c>
      <c r="J2503" t="s">
        <v>247</v>
      </c>
      <c r="K2503" s="183">
        <f ca="1">VLOOKUP(F2503,
    OFFSET(INDIRECT(ADDRESS(MATCH(J2503,'Vehicle numbers'!$A$5:$A$162,0),1,1,1,$L$6)),4,1,COUNTIF('Vehicle numbers'!$A$5:$A$162,J2503),4),
    MATCH(K$8,'Vehicle numbers'!$B$4:$D$4,0))*1000</f>
        <v>115152</v>
      </c>
      <c r="L2503" s="183">
        <f ca="1">VLOOKUP(F2503,
    OFFSET(INDIRECT(ADDRESS(MATCH(J2503,'Vehicle numbers'!$A$5:$A$162,0),1,1,1,$L$6)),4,1,COUNTIF('Vehicle numbers'!$A$5:$A$162,J2503),4),
    MATCH(L$8,'Vehicle numbers'!$B$4:$D$4,0))*1000</f>
        <v>121142</v>
      </c>
      <c r="M2503" s="184">
        <f ca="1">VLOOKUP(F2503,'Annual distance covered (GB)'!$A$8:$H$33,MATCH(J2503,'Annual distance covered (GB)'!$A$7:$H$7,0))</f>
        <v>13.7</v>
      </c>
      <c r="N2503" s="2">
        <f t="shared" ca="1" si="90"/>
        <v>385796.99116869527</v>
      </c>
      <c r="O2503" s="180">
        <f t="shared" ca="1" si="91"/>
        <v>3.1846675072947059</v>
      </c>
      <c r="P2503" s="180"/>
      <c r="Q2503" s="180"/>
      <c r="R2503" s="180"/>
      <c r="S2503" s="180"/>
      <c r="T2503" s="180"/>
    </row>
    <row r="2504" spans="1:20" x14ac:dyDescent="0.25">
      <c r="A2504" t="s">
        <v>244</v>
      </c>
      <c r="B2504" t="s">
        <v>237</v>
      </c>
      <c r="C2504" t="s">
        <v>238</v>
      </c>
      <c r="D2504" t="s">
        <v>266</v>
      </c>
      <c r="E2504" t="s">
        <v>228</v>
      </c>
      <c r="F2504">
        <v>2014</v>
      </c>
      <c r="G2504">
        <v>3.7701329577464701E-3</v>
      </c>
      <c r="H2504" t="s">
        <v>240</v>
      </c>
      <c r="I2504" t="s">
        <v>241</v>
      </c>
      <c r="J2504" t="s">
        <v>247</v>
      </c>
      <c r="K2504" s="183">
        <f ca="1">VLOOKUP(F2504,
    OFFSET(INDIRECT(ADDRESS(MATCH(J2504,'Vehicle numbers'!$A$5:$A$162,0),1,1,1,$L$6)),4,1,COUNTIF('Vehicle numbers'!$A$5:$A$162,J2504),4),
    MATCH(K$8,'Vehicle numbers'!$B$4:$D$4,0))*1000</f>
        <v>115152</v>
      </c>
      <c r="L2504" s="183">
        <f ca="1">VLOOKUP(F2504,
    OFFSET(INDIRECT(ADDRESS(MATCH(J2504,'Vehicle numbers'!$A$5:$A$162,0),1,1,1,$L$6)),4,1,COUNTIF('Vehicle numbers'!$A$5:$A$162,J2504),4),
    MATCH(L$8,'Vehicle numbers'!$B$4:$D$4,0))*1000</f>
        <v>121142</v>
      </c>
      <c r="M2504" s="184">
        <f ca="1">VLOOKUP(F2504,'Annual distance covered (GB)'!$A$8:$H$33,MATCH(J2504,'Annual distance covered (GB)'!$A$7:$H$7,0))</f>
        <v>13.7</v>
      </c>
      <c r="N2504" s="2">
        <f t="shared" ca="1" si="90"/>
        <v>54337.604389956956</v>
      </c>
      <c r="O2504" s="180">
        <f t="shared" ca="1" si="91"/>
        <v>0.44854471933728152</v>
      </c>
      <c r="P2504" s="180"/>
      <c r="Q2504" s="180"/>
      <c r="R2504" s="180"/>
      <c r="S2504" s="180"/>
      <c r="T2504" s="180"/>
    </row>
    <row r="2505" spans="1:20" x14ac:dyDescent="0.25">
      <c r="A2505" t="s">
        <v>246</v>
      </c>
      <c r="B2505" t="s">
        <v>237</v>
      </c>
      <c r="C2505" t="s">
        <v>238</v>
      </c>
      <c r="D2505" t="s">
        <v>266</v>
      </c>
      <c r="E2505" t="s">
        <v>228</v>
      </c>
      <c r="F2505">
        <v>2014</v>
      </c>
      <c r="G2505">
        <v>3.01610636619718E-3</v>
      </c>
      <c r="H2505" t="s">
        <v>240</v>
      </c>
      <c r="I2505" t="s">
        <v>241</v>
      </c>
      <c r="J2505" t="s">
        <v>247</v>
      </c>
      <c r="K2505" s="183">
        <f ca="1">VLOOKUP(F2505,
    OFFSET(INDIRECT(ADDRESS(MATCH(J2505,'Vehicle numbers'!$A$5:$A$162,0),1,1,1,$L$6)),4,1,COUNTIF('Vehicle numbers'!$A$5:$A$162,J2505),4),
    MATCH(K$8,'Vehicle numbers'!$B$4:$D$4,0))*1000</f>
        <v>115152</v>
      </c>
      <c r="L2505" s="183">
        <f ca="1">VLOOKUP(F2505,
    OFFSET(INDIRECT(ADDRESS(MATCH(J2505,'Vehicle numbers'!$A$5:$A$162,0),1,1,1,$L$6)),4,1,COUNTIF('Vehicle numbers'!$A$5:$A$162,J2505),4),
    MATCH(L$8,'Vehicle numbers'!$B$4:$D$4,0))*1000</f>
        <v>121142</v>
      </c>
      <c r="M2505" s="184">
        <f ca="1">VLOOKUP(F2505,'Annual distance covered (GB)'!$A$8:$H$33,MATCH(J2505,'Annual distance covered (GB)'!$A$7:$H$7,0))</f>
        <v>13.7</v>
      </c>
      <c r="N2505" s="2">
        <f t="shared" ca="1" si="90"/>
        <v>43470.083511965619</v>
      </c>
      <c r="O2505" s="180">
        <f t="shared" ca="1" si="91"/>
        <v>0.35883577546982565</v>
      </c>
      <c r="P2505" s="180"/>
      <c r="Q2505" s="180"/>
      <c r="R2505" s="180"/>
      <c r="S2505" s="180"/>
      <c r="T2505" s="180"/>
    </row>
    <row r="2506" spans="1:20" x14ac:dyDescent="0.25">
      <c r="A2506" t="s">
        <v>236</v>
      </c>
      <c r="B2506" t="s">
        <v>237</v>
      </c>
      <c r="C2506" t="s">
        <v>238</v>
      </c>
      <c r="D2506" t="s">
        <v>267</v>
      </c>
      <c r="E2506" t="s">
        <v>229</v>
      </c>
      <c r="F2506">
        <v>2014</v>
      </c>
      <c r="G2506">
        <v>5.0994999999999999E-2</v>
      </c>
      <c r="H2506" t="s">
        <v>240</v>
      </c>
      <c r="I2506" t="s">
        <v>241</v>
      </c>
      <c r="J2506" t="s">
        <v>247</v>
      </c>
      <c r="K2506" s="183">
        <f ca="1">VLOOKUP(F2506,
    OFFSET(INDIRECT(ADDRESS(MATCH(J2506,'Vehicle numbers'!$A$5:$A$162,0),1,1,1,$L$6)),4,1,COUNTIF('Vehicle numbers'!$A$5:$A$162,J2506),4),
    MATCH(K$8,'Vehicle numbers'!$B$4:$D$4,0))*1000</f>
        <v>115152</v>
      </c>
      <c r="L2506" s="183">
        <f ca="1">VLOOKUP(F2506,
    OFFSET(INDIRECT(ADDRESS(MATCH(J2506,'Vehicle numbers'!$A$5:$A$162,0),1,1,1,$L$6)),4,1,COUNTIF('Vehicle numbers'!$A$5:$A$162,J2506),4),
    MATCH(L$8,'Vehicle numbers'!$B$4:$D$4,0))*1000</f>
        <v>121142</v>
      </c>
      <c r="M2506" s="184">
        <f ca="1">VLOOKUP(F2506,'Annual distance covered (GB)'!$A$8:$H$33,MATCH(J2506,'Annual distance covered (GB)'!$A$7:$H$7,0))</f>
        <v>13.7</v>
      </c>
      <c r="N2506" s="2">
        <f t="shared" ca="1" si="90"/>
        <v>734973.05451056</v>
      </c>
      <c r="O2506" s="180">
        <f t="shared" ca="1" si="91"/>
        <v>6.0670374808948173</v>
      </c>
      <c r="P2506" s="180"/>
      <c r="Q2506" s="180"/>
      <c r="R2506" s="180"/>
      <c r="S2506" s="180"/>
      <c r="T2506" s="180"/>
    </row>
    <row r="2507" spans="1:20" x14ac:dyDescent="0.25">
      <c r="A2507" t="s">
        <v>243</v>
      </c>
      <c r="B2507" t="s">
        <v>237</v>
      </c>
      <c r="C2507" t="s">
        <v>238</v>
      </c>
      <c r="D2507" t="s">
        <v>267</v>
      </c>
      <c r="E2507" t="s">
        <v>229</v>
      </c>
      <c r="F2507">
        <v>2014</v>
      </c>
      <c r="G2507">
        <v>2.0397999999999999E-2</v>
      </c>
      <c r="H2507" t="s">
        <v>240</v>
      </c>
      <c r="I2507" t="s">
        <v>241</v>
      </c>
      <c r="J2507" t="s">
        <v>247</v>
      </c>
      <c r="K2507" s="183">
        <f ca="1">VLOOKUP(F2507,
    OFFSET(INDIRECT(ADDRESS(MATCH(J2507,'Vehicle numbers'!$A$5:$A$162,0),1,1,1,$L$6)),4,1,COUNTIF('Vehicle numbers'!$A$5:$A$162,J2507),4),
    MATCH(K$8,'Vehicle numbers'!$B$4:$D$4,0))*1000</f>
        <v>115152</v>
      </c>
      <c r="L2507" s="183">
        <f ca="1">VLOOKUP(F2507,
    OFFSET(INDIRECT(ADDRESS(MATCH(J2507,'Vehicle numbers'!$A$5:$A$162,0),1,1,1,$L$6)),4,1,COUNTIF('Vehicle numbers'!$A$5:$A$162,J2507),4),
    MATCH(L$8,'Vehicle numbers'!$B$4:$D$4,0))*1000</f>
        <v>121142</v>
      </c>
      <c r="M2507" s="184">
        <f ca="1">VLOOKUP(F2507,'Annual distance covered (GB)'!$A$8:$H$33,MATCH(J2507,'Annual distance covered (GB)'!$A$7:$H$7,0))</f>
        <v>13.7</v>
      </c>
      <c r="N2507" s="2">
        <f t="shared" ref="N2507:N2570" ca="1" si="92">M2507*G2507*1000000*(L2507/K2507)</f>
        <v>293989.22180422395</v>
      </c>
      <c r="O2507" s="180">
        <f t="shared" ref="O2507:O2570" ca="1" si="93">N2507/L2507</f>
        <v>2.4268149923579267</v>
      </c>
      <c r="P2507" s="180"/>
      <c r="Q2507" s="180"/>
      <c r="R2507" s="180"/>
      <c r="S2507" s="180"/>
      <c r="T2507" s="180"/>
    </row>
    <row r="2508" spans="1:20" x14ac:dyDescent="0.25">
      <c r="A2508" t="s">
        <v>244</v>
      </c>
      <c r="B2508" t="s">
        <v>237</v>
      </c>
      <c r="C2508" t="s">
        <v>238</v>
      </c>
      <c r="D2508" t="s">
        <v>267</v>
      </c>
      <c r="E2508" t="s">
        <v>229</v>
      </c>
      <c r="F2508">
        <v>2014</v>
      </c>
      <c r="G2508">
        <v>5.0994999999999999E-3</v>
      </c>
      <c r="H2508" t="s">
        <v>240</v>
      </c>
      <c r="I2508" t="s">
        <v>241</v>
      </c>
      <c r="J2508" t="s">
        <v>247</v>
      </c>
      <c r="K2508" s="183">
        <f ca="1">VLOOKUP(F2508,
    OFFSET(INDIRECT(ADDRESS(MATCH(J2508,'Vehicle numbers'!$A$5:$A$162,0),1,1,1,$L$6)),4,1,COUNTIF('Vehicle numbers'!$A$5:$A$162,J2508),4),
    MATCH(K$8,'Vehicle numbers'!$B$4:$D$4,0))*1000</f>
        <v>115152</v>
      </c>
      <c r="L2508" s="183">
        <f ca="1">VLOOKUP(F2508,
    OFFSET(INDIRECT(ADDRESS(MATCH(J2508,'Vehicle numbers'!$A$5:$A$162,0),1,1,1,$L$6)),4,1,COUNTIF('Vehicle numbers'!$A$5:$A$162,J2508),4),
    MATCH(L$8,'Vehicle numbers'!$B$4:$D$4,0))*1000</f>
        <v>121142</v>
      </c>
      <c r="M2508" s="184">
        <f ca="1">VLOOKUP(F2508,'Annual distance covered (GB)'!$A$8:$H$33,MATCH(J2508,'Annual distance covered (GB)'!$A$7:$H$7,0))</f>
        <v>13.7</v>
      </c>
      <c r="N2508" s="2">
        <f t="shared" ca="1" si="92"/>
        <v>73497.305451055989</v>
      </c>
      <c r="O2508" s="180">
        <f t="shared" ca="1" si="93"/>
        <v>0.60670374808948169</v>
      </c>
      <c r="P2508" s="180"/>
      <c r="Q2508" s="180"/>
      <c r="R2508" s="180"/>
      <c r="S2508" s="180"/>
      <c r="T2508" s="180"/>
    </row>
    <row r="2509" spans="1:20" x14ac:dyDescent="0.25">
      <c r="A2509" t="s">
        <v>246</v>
      </c>
      <c r="B2509" t="s">
        <v>237</v>
      </c>
      <c r="C2509" t="s">
        <v>238</v>
      </c>
      <c r="D2509" t="s">
        <v>267</v>
      </c>
      <c r="E2509" t="s">
        <v>229</v>
      </c>
      <c r="F2509">
        <v>2014</v>
      </c>
      <c r="G2509">
        <v>4.0796000000000001E-3</v>
      </c>
      <c r="H2509" t="s">
        <v>240</v>
      </c>
      <c r="I2509" t="s">
        <v>241</v>
      </c>
      <c r="J2509" t="s">
        <v>247</v>
      </c>
      <c r="K2509" s="183">
        <f ca="1">VLOOKUP(F2509,
    OFFSET(INDIRECT(ADDRESS(MATCH(J2509,'Vehicle numbers'!$A$5:$A$162,0),1,1,1,$L$6)),4,1,COUNTIF('Vehicle numbers'!$A$5:$A$162,J2509),4),
    MATCH(K$8,'Vehicle numbers'!$B$4:$D$4,0))*1000</f>
        <v>115152</v>
      </c>
      <c r="L2509" s="183">
        <f ca="1">VLOOKUP(F2509,
    OFFSET(INDIRECT(ADDRESS(MATCH(J2509,'Vehicle numbers'!$A$5:$A$162,0),1,1,1,$L$6)),4,1,COUNTIF('Vehicle numbers'!$A$5:$A$162,J2509),4),
    MATCH(L$8,'Vehicle numbers'!$B$4:$D$4,0))*1000</f>
        <v>121142</v>
      </c>
      <c r="M2509" s="184">
        <f ca="1">VLOOKUP(F2509,'Annual distance covered (GB)'!$A$8:$H$33,MATCH(J2509,'Annual distance covered (GB)'!$A$7:$H$7,0))</f>
        <v>13.7</v>
      </c>
      <c r="N2509" s="2">
        <f t="shared" ca="1" si="92"/>
        <v>58797.844360844792</v>
      </c>
      <c r="O2509" s="180">
        <f t="shared" ca="1" si="93"/>
        <v>0.48536299847158537</v>
      </c>
      <c r="P2509" s="180"/>
      <c r="Q2509" s="180"/>
      <c r="R2509" s="180"/>
      <c r="S2509" s="180"/>
      <c r="T2509" s="180"/>
    </row>
    <row r="2510" spans="1:20" x14ac:dyDescent="0.25">
      <c r="A2510" t="s">
        <v>236</v>
      </c>
      <c r="B2510" t="s">
        <v>237</v>
      </c>
      <c r="C2510" t="s">
        <v>238</v>
      </c>
      <c r="D2510" t="s">
        <v>267</v>
      </c>
      <c r="E2510" t="s">
        <v>228</v>
      </c>
      <c r="F2510">
        <v>2014</v>
      </c>
      <c r="G2510">
        <v>4.7072879999999998E-2</v>
      </c>
      <c r="H2510" t="s">
        <v>240</v>
      </c>
      <c r="I2510" t="s">
        <v>241</v>
      </c>
      <c r="J2510" t="s">
        <v>247</v>
      </c>
      <c r="K2510" s="183">
        <f ca="1">VLOOKUP(F2510,
    OFFSET(INDIRECT(ADDRESS(MATCH(J2510,'Vehicle numbers'!$A$5:$A$162,0),1,1,1,$L$6)),4,1,COUNTIF('Vehicle numbers'!$A$5:$A$162,J2510),4),
    MATCH(K$8,'Vehicle numbers'!$B$4:$D$4,0))*1000</f>
        <v>115152</v>
      </c>
      <c r="L2510" s="183">
        <f ca="1">VLOOKUP(F2510,
    OFFSET(INDIRECT(ADDRESS(MATCH(J2510,'Vehicle numbers'!$A$5:$A$162,0),1,1,1,$L$6)),4,1,COUNTIF('Vehicle numbers'!$A$5:$A$162,J2510),4),
    MATCH(L$8,'Vehicle numbers'!$B$4:$D$4,0))*1000</f>
        <v>121142</v>
      </c>
      <c r="M2510" s="184">
        <f ca="1">VLOOKUP(F2510,'Annual distance covered (GB)'!$A$8:$H$33,MATCH(J2510,'Annual distance covered (GB)'!$A$7:$H$7,0))</f>
        <v>13.7</v>
      </c>
      <c r="N2510" s="2">
        <f t="shared" ca="1" si="92"/>
        <v>678444.91417215508</v>
      </c>
      <c r="O2510" s="180">
        <f t="shared" ca="1" si="93"/>
        <v>5.6004103793247184</v>
      </c>
      <c r="P2510" s="180"/>
      <c r="Q2510" s="180"/>
      <c r="R2510" s="180"/>
      <c r="S2510" s="180"/>
      <c r="T2510" s="180"/>
    </row>
    <row r="2511" spans="1:20" x14ac:dyDescent="0.25">
      <c r="A2511" t="s">
        <v>243</v>
      </c>
      <c r="B2511" t="s">
        <v>237</v>
      </c>
      <c r="C2511" t="s">
        <v>238</v>
      </c>
      <c r="D2511" t="s">
        <v>267</v>
      </c>
      <c r="E2511" t="s">
        <v>228</v>
      </c>
      <c r="F2511">
        <v>2014</v>
      </c>
      <c r="G2511">
        <v>3.2951016E-2</v>
      </c>
      <c r="H2511" t="s">
        <v>240</v>
      </c>
      <c r="I2511" t="s">
        <v>241</v>
      </c>
      <c r="J2511" t="s">
        <v>247</v>
      </c>
      <c r="K2511" s="183">
        <f ca="1">VLOOKUP(F2511,
    OFFSET(INDIRECT(ADDRESS(MATCH(J2511,'Vehicle numbers'!$A$5:$A$162,0),1,1,1,$L$6)),4,1,COUNTIF('Vehicle numbers'!$A$5:$A$162,J2511),4),
    MATCH(K$8,'Vehicle numbers'!$B$4:$D$4,0))*1000</f>
        <v>115152</v>
      </c>
      <c r="L2511" s="183">
        <f ca="1">VLOOKUP(F2511,
    OFFSET(INDIRECT(ADDRESS(MATCH(J2511,'Vehicle numbers'!$A$5:$A$162,0),1,1,1,$L$6)),4,1,COUNTIF('Vehicle numbers'!$A$5:$A$162,J2511),4),
    MATCH(L$8,'Vehicle numbers'!$B$4:$D$4,0))*1000</f>
        <v>121142</v>
      </c>
      <c r="M2511" s="184">
        <f ca="1">VLOOKUP(F2511,'Annual distance covered (GB)'!$A$8:$H$33,MATCH(J2511,'Annual distance covered (GB)'!$A$7:$H$7,0))</f>
        <v>13.7</v>
      </c>
      <c r="N2511" s="2">
        <f t="shared" ca="1" si="92"/>
        <v>474911.43992050848</v>
      </c>
      <c r="O2511" s="180">
        <f t="shared" ca="1" si="93"/>
        <v>3.9202872655273024</v>
      </c>
      <c r="P2511" s="180"/>
      <c r="Q2511" s="180"/>
      <c r="R2511" s="180"/>
      <c r="S2511" s="180"/>
      <c r="T2511" s="180"/>
    </row>
    <row r="2512" spans="1:20" x14ac:dyDescent="0.25">
      <c r="A2512" t="s">
        <v>244</v>
      </c>
      <c r="B2512" t="s">
        <v>237</v>
      </c>
      <c r="C2512" t="s">
        <v>238</v>
      </c>
      <c r="D2512" t="s">
        <v>267</v>
      </c>
      <c r="E2512" t="s">
        <v>228</v>
      </c>
      <c r="F2512">
        <v>2014</v>
      </c>
      <c r="G2512">
        <v>4.64098816901408E-3</v>
      </c>
      <c r="H2512" t="s">
        <v>240</v>
      </c>
      <c r="I2512" t="s">
        <v>241</v>
      </c>
      <c r="J2512" t="s">
        <v>247</v>
      </c>
      <c r="K2512" s="183">
        <f ca="1">VLOOKUP(F2512,
    OFFSET(INDIRECT(ADDRESS(MATCH(J2512,'Vehicle numbers'!$A$5:$A$162,0),1,1,1,$L$6)),4,1,COUNTIF('Vehicle numbers'!$A$5:$A$162,J2512),4),
    MATCH(K$8,'Vehicle numbers'!$B$4:$D$4,0))*1000</f>
        <v>115152</v>
      </c>
      <c r="L2512" s="183">
        <f ca="1">VLOOKUP(F2512,
    OFFSET(INDIRECT(ADDRESS(MATCH(J2512,'Vehicle numbers'!$A$5:$A$162,0),1,1,1,$L$6)),4,1,COUNTIF('Vehicle numbers'!$A$5:$A$162,J2512),4),
    MATCH(L$8,'Vehicle numbers'!$B$4:$D$4,0))*1000</f>
        <v>121142</v>
      </c>
      <c r="M2512" s="184">
        <f ca="1">VLOOKUP(F2512,'Annual distance covered (GB)'!$A$8:$H$33,MATCH(J2512,'Annual distance covered (GB)'!$A$7:$H$7,0))</f>
        <v>13.7</v>
      </c>
      <c r="N2512" s="2">
        <f t="shared" ca="1" si="92"/>
        <v>66888.935200071559</v>
      </c>
      <c r="O2512" s="180">
        <f t="shared" ca="1" si="93"/>
        <v>0.55215313598976046</v>
      </c>
      <c r="P2512" s="180"/>
      <c r="Q2512" s="180"/>
      <c r="R2512" s="180"/>
      <c r="S2512" s="180"/>
      <c r="T2512" s="180"/>
    </row>
    <row r="2513" spans="1:20" x14ac:dyDescent="0.25">
      <c r="A2513" t="s">
        <v>246</v>
      </c>
      <c r="B2513" t="s">
        <v>237</v>
      </c>
      <c r="C2513" t="s">
        <v>238</v>
      </c>
      <c r="D2513" t="s">
        <v>267</v>
      </c>
      <c r="E2513" t="s">
        <v>228</v>
      </c>
      <c r="F2513">
        <v>2014</v>
      </c>
      <c r="G2513">
        <v>3.71279053521126E-3</v>
      </c>
      <c r="H2513" t="s">
        <v>240</v>
      </c>
      <c r="I2513" t="s">
        <v>241</v>
      </c>
      <c r="J2513" t="s">
        <v>247</v>
      </c>
      <c r="K2513" s="183">
        <f ca="1">VLOOKUP(F2513,
    OFFSET(INDIRECT(ADDRESS(MATCH(J2513,'Vehicle numbers'!$A$5:$A$162,0),1,1,1,$L$6)),4,1,COUNTIF('Vehicle numbers'!$A$5:$A$162,J2513),4),
    MATCH(K$8,'Vehicle numbers'!$B$4:$D$4,0))*1000</f>
        <v>115152</v>
      </c>
      <c r="L2513" s="183">
        <f ca="1">VLOOKUP(F2513,
    OFFSET(INDIRECT(ADDRESS(MATCH(J2513,'Vehicle numbers'!$A$5:$A$162,0),1,1,1,$L$6)),4,1,COUNTIF('Vehicle numbers'!$A$5:$A$162,J2513),4),
    MATCH(L$8,'Vehicle numbers'!$B$4:$D$4,0))*1000</f>
        <v>121142</v>
      </c>
      <c r="M2513" s="184">
        <f ca="1">VLOOKUP(F2513,'Annual distance covered (GB)'!$A$8:$H$33,MATCH(J2513,'Annual distance covered (GB)'!$A$7:$H$7,0))</f>
        <v>13.7</v>
      </c>
      <c r="N2513" s="2">
        <f t="shared" ca="1" si="92"/>
        <v>53511.148160057193</v>
      </c>
      <c r="O2513" s="180">
        <f t="shared" ca="1" si="93"/>
        <v>0.44172250879180791</v>
      </c>
      <c r="P2513" s="180"/>
      <c r="Q2513" s="180"/>
      <c r="R2513" s="180"/>
      <c r="S2513" s="180"/>
      <c r="T2513" s="180"/>
    </row>
    <row r="2514" spans="1:20" x14ac:dyDescent="0.25">
      <c r="A2514" t="s">
        <v>236</v>
      </c>
      <c r="B2514" t="s">
        <v>237</v>
      </c>
      <c r="C2514" t="s">
        <v>238</v>
      </c>
      <c r="D2514" t="s">
        <v>268</v>
      </c>
      <c r="E2514" t="s">
        <v>229</v>
      </c>
      <c r="F2514">
        <v>2014</v>
      </c>
      <c r="G2514">
        <v>8.4410000000000093E-3</v>
      </c>
      <c r="H2514" t="s">
        <v>240</v>
      </c>
      <c r="I2514" t="s">
        <v>241</v>
      </c>
      <c r="J2514" t="s">
        <v>245</v>
      </c>
      <c r="K2514" s="183">
        <f ca="1">VLOOKUP(F2514,
    OFFSET(INDIRECT(ADDRESS(MATCH(J2514,'Vehicle numbers'!$A$5:$A$162,0),1,1,1,$L$6)),4,1,COUNTIF('Vehicle numbers'!$A$5:$A$162,J2514),4),
    MATCH(K$8,'Vehicle numbers'!$B$4:$D$4,0))*1000</f>
        <v>274635</v>
      </c>
      <c r="L2514" s="183">
        <f ca="1">VLOOKUP(F2514,
    OFFSET(INDIRECT(ADDRESS(MATCH(J2514,'Vehicle numbers'!$A$5:$A$162,0),1,1,1,$L$6)),4,1,COUNTIF('Vehicle numbers'!$A$5:$A$162,J2514),4),
    MATCH(L$8,'Vehicle numbers'!$B$4:$D$4,0))*1000</f>
        <v>288809</v>
      </c>
      <c r="M2514" s="184">
        <f ca="1">VLOOKUP(F2514,'Annual distance covered (GB)'!$A$8:$H$33,MATCH(J2514,'Annual distance covered (GB)'!$A$7:$H$7,0))</f>
        <v>12.4</v>
      </c>
      <c r="N2514" s="2">
        <f t="shared" ca="1" si="92"/>
        <v>110070.36952901137</v>
      </c>
      <c r="O2514" s="180">
        <f t="shared" ca="1" si="93"/>
        <v>0.38111821144428104</v>
      </c>
      <c r="P2514" s="180"/>
      <c r="Q2514" s="180"/>
      <c r="R2514" s="180"/>
      <c r="S2514" s="180"/>
      <c r="T2514" s="180"/>
    </row>
    <row r="2515" spans="1:20" x14ac:dyDescent="0.25">
      <c r="A2515" t="s">
        <v>243</v>
      </c>
      <c r="B2515" t="s">
        <v>237</v>
      </c>
      <c r="C2515" t="s">
        <v>238</v>
      </c>
      <c r="D2515" t="s">
        <v>268</v>
      </c>
      <c r="E2515" t="s">
        <v>229</v>
      </c>
      <c r="F2515">
        <v>2014</v>
      </c>
      <c r="G2515">
        <v>3.3763999999999999E-3</v>
      </c>
      <c r="H2515" t="s">
        <v>240</v>
      </c>
      <c r="I2515" t="s">
        <v>241</v>
      </c>
      <c r="J2515" t="s">
        <v>245</v>
      </c>
      <c r="K2515" s="183">
        <f ca="1">VLOOKUP(F2515,
    OFFSET(INDIRECT(ADDRESS(MATCH(J2515,'Vehicle numbers'!$A$5:$A$162,0),1,1,1,$L$6)),4,1,COUNTIF('Vehicle numbers'!$A$5:$A$162,J2515),4),
    MATCH(K$8,'Vehicle numbers'!$B$4:$D$4,0))*1000</f>
        <v>274635</v>
      </c>
      <c r="L2515" s="183">
        <f ca="1">VLOOKUP(F2515,
    OFFSET(INDIRECT(ADDRESS(MATCH(J2515,'Vehicle numbers'!$A$5:$A$162,0),1,1,1,$L$6)),4,1,COUNTIF('Vehicle numbers'!$A$5:$A$162,J2515),4),
    MATCH(L$8,'Vehicle numbers'!$B$4:$D$4,0))*1000</f>
        <v>288809</v>
      </c>
      <c r="M2515" s="184">
        <f ca="1">VLOOKUP(F2515,'Annual distance covered (GB)'!$A$8:$H$33,MATCH(J2515,'Annual distance covered (GB)'!$A$7:$H$7,0))</f>
        <v>12.4</v>
      </c>
      <c r="N2515" s="2">
        <f t="shared" ca="1" si="92"/>
        <v>44028.147811604496</v>
      </c>
      <c r="O2515" s="180">
        <f t="shared" ca="1" si="93"/>
        <v>0.15244728457771226</v>
      </c>
      <c r="P2515" s="180"/>
      <c r="Q2515" s="180"/>
      <c r="R2515" s="180"/>
      <c r="S2515" s="180"/>
      <c r="T2515" s="180"/>
    </row>
    <row r="2516" spans="1:20" x14ac:dyDescent="0.25">
      <c r="A2516" t="s">
        <v>244</v>
      </c>
      <c r="B2516" t="s">
        <v>237</v>
      </c>
      <c r="C2516" t="s">
        <v>238</v>
      </c>
      <c r="D2516" t="s">
        <v>268</v>
      </c>
      <c r="E2516" t="s">
        <v>229</v>
      </c>
      <c r="F2516">
        <v>2014</v>
      </c>
      <c r="G2516">
        <v>8.4409999999999997E-4</v>
      </c>
      <c r="H2516" t="s">
        <v>240</v>
      </c>
      <c r="I2516" t="s">
        <v>241</v>
      </c>
      <c r="J2516" t="s">
        <v>245</v>
      </c>
      <c r="K2516" s="183">
        <f ca="1">VLOOKUP(F2516,
    OFFSET(INDIRECT(ADDRESS(MATCH(J2516,'Vehicle numbers'!$A$5:$A$162,0),1,1,1,$L$6)),4,1,COUNTIF('Vehicle numbers'!$A$5:$A$162,J2516),4),
    MATCH(K$8,'Vehicle numbers'!$B$4:$D$4,0))*1000</f>
        <v>274635</v>
      </c>
      <c r="L2516" s="183">
        <f ca="1">VLOOKUP(F2516,
    OFFSET(INDIRECT(ADDRESS(MATCH(J2516,'Vehicle numbers'!$A$5:$A$162,0),1,1,1,$L$6)),4,1,COUNTIF('Vehicle numbers'!$A$5:$A$162,J2516),4),
    MATCH(L$8,'Vehicle numbers'!$B$4:$D$4,0))*1000</f>
        <v>288809</v>
      </c>
      <c r="M2516" s="184">
        <f ca="1">VLOOKUP(F2516,'Annual distance covered (GB)'!$A$8:$H$33,MATCH(J2516,'Annual distance covered (GB)'!$A$7:$H$7,0))</f>
        <v>12.4</v>
      </c>
      <c r="N2516" s="2">
        <f t="shared" ca="1" si="92"/>
        <v>11007.036952901124</v>
      </c>
      <c r="O2516" s="180">
        <f t="shared" ca="1" si="93"/>
        <v>3.8111821144428064E-2</v>
      </c>
      <c r="P2516" s="180"/>
      <c r="Q2516" s="180"/>
      <c r="R2516" s="180"/>
      <c r="S2516" s="180"/>
      <c r="T2516" s="180"/>
    </row>
    <row r="2517" spans="1:20" x14ac:dyDescent="0.25">
      <c r="A2517" t="s">
        <v>246</v>
      </c>
      <c r="B2517" t="s">
        <v>237</v>
      </c>
      <c r="C2517" t="s">
        <v>238</v>
      </c>
      <c r="D2517" t="s">
        <v>268</v>
      </c>
      <c r="E2517" t="s">
        <v>229</v>
      </c>
      <c r="F2517">
        <v>2014</v>
      </c>
      <c r="G2517">
        <v>6.7528E-4</v>
      </c>
      <c r="H2517" t="s">
        <v>240</v>
      </c>
      <c r="I2517" t="s">
        <v>241</v>
      </c>
      <c r="J2517" t="s">
        <v>245</v>
      </c>
      <c r="K2517" s="183">
        <f ca="1">VLOOKUP(F2517,
    OFFSET(INDIRECT(ADDRESS(MATCH(J2517,'Vehicle numbers'!$A$5:$A$162,0),1,1,1,$L$6)),4,1,COUNTIF('Vehicle numbers'!$A$5:$A$162,J2517),4),
    MATCH(K$8,'Vehicle numbers'!$B$4:$D$4,0))*1000</f>
        <v>274635</v>
      </c>
      <c r="L2517" s="183">
        <f ca="1">VLOOKUP(F2517,
    OFFSET(INDIRECT(ADDRESS(MATCH(J2517,'Vehicle numbers'!$A$5:$A$162,0),1,1,1,$L$6)),4,1,COUNTIF('Vehicle numbers'!$A$5:$A$162,J2517),4),
    MATCH(L$8,'Vehicle numbers'!$B$4:$D$4,0))*1000</f>
        <v>288809</v>
      </c>
      <c r="M2517" s="184">
        <f ca="1">VLOOKUP(F2517,'Annual distance covered (GB)'!$A$8:$H$33,MATCH(J2517,'Annual distance covered (GB)'!$A$7:$H$7,0))</f>
        <v>12.4</v>
      </c>
      <c r="N2517" s="2">
        <f t="shared" ca="1" si="92"/>
        <v>8805.6295623208989</v>
      </c>
      <c r="O2517" s="180">
        <f t="shared" ca="1" si="93"/>
        <v>3.0489456915542449E-2</v>
      </c>
      <c r="P2517" s="180"/>
      <c r="Q2517" s="180"/>
      <c r="R2517" s="180"/>
      <c r="S2517" s="180"/>
      <c r="T2517" s="180"/>
    </row>
    <row r="2518" spans="1:20" x14ac:dyDescent="0.25">
      <c r="A2518" t="s">
        <v>236</v>
      </c>
      <c r="B2518" t="s">
        <v>237</v>
      </c>
      <c r="C2518" t="s">
        <v>238</v>
      </c>
      <c r="D2518" t="s">
        <v>268</v>
      </c>
      <c r="E2518" t="s">
        <v>228</v>
      </c>
      <c r="F2518">
        <v>2014</v>
      </c>
      <c r="G2518">
        <v>1.3984E-2</v>
      </c>
      <c r="H2518" t="s">
        <v>240</v>
      </c>
      <c r="I2518" t="s">
        <v>241</v>
      </c>
      <c r="J2518" t="s">
        <v>245</v>
      </c>
      <c r="K2518" s="183">
        <f ca="1">VLOOKUP(F2518,
    OFFSET(INDIRECT(ADDRESS(MATCH(J2518,'Vehicle numbers'!$A$5:$A$162,0),1,1,1,$L$6)),4,1,COUNTIF('Vehicle numbers'!$A$5:$A$162,J2518),4),
    MATCH(K$8,'Vehicle numbers'!$B$4:$D$4,0))*1000</f>
        <v>274635</v>
      </c>
      <c r="L2518" s="183">
        <f ca="1">VLOOKUP(F2518,
    OFFSET(INDIRECT(ADDRESS(MATCH(J2518,'Vehicle numbers'!$A$5:$A$162,0),1,1,1,$L$6)),4,1,COUNTIF('Vehicle numbers'!$A$5:$A$162,J2518),4),
    MATCH(L$8,'Vehicle numbers'!$B$4:$D$4,0))*1000</f>
        <v>288809</v>
      </c>
      <c r="M2518" s="184">
        <f ca="1">VLOOKUP(F2518,'Annual distance covered (GB)'!$A$8:$H$33,MATCH(J2518,'Annual distance covered (GB)'!$A$7:$H$7,0))</f>
        <v>12.4</v>
      </c>
      <c r="N2518" s="2">
        <f t="shared" ca="1" si="92"/>
        <v>182350.91191727202</v>
      </c>
      <c r="O2518" s="180">
        <f t="shared" ca="1" si="93"/>
        <v>0.6313892985234949</v>
      </c>
      <c r="P2518" s="180"/>
      <c r="Q2518" s="180"/>
      <c r="R2518" s="180"/>
      <c r="S2518" s="180"/>
      <c r="T2518" s="180"/>
    </row>
    <row r="2519" spans="1:20" x14ac:dyDescent="0.25">
      <c r="A2519" t="s">
        <v>243</v>
      </c>
      <c r="B2519" t="s">
        <v>237</v>
      </c>
      <c r="C2519" t="s">
        <v>238</v>
      </c>
      <c r="D2519" t="s">
        <v>268</v>
      </c>
      <c r="E2519" t="s">
        <v>228</v>
      </c>
      <c r="F2519">
        <v>2014</v>
      </c>
      <c r="G2519">
        <v>9.7888000000000003E-3</v>
      </c>
      <c r="H2519" t="s">
        <v>240</v>
      </c>
      <c r="I2519" t="s">
        <v>241</v>
      </c>
      <c r="J2519" t="s">
        <v>245</v>
      </c>
      <c r="K2519" s="183">
        <f ca="1">VLOOKUP(F2519,
    OFFSET(INDIRECT(ADDRESS(MATCH(J2519,'Vehicle numbers'!$A$5:$A$162,0),1,1,1,$L$6)),4,1,COUNTIF('Vehicle numbers'!$A$5:$A$162,J2519),4),
    MATCH(K$8,'Vehicle numbers'!$B$4:$D$4,0))*1000</f>
        <v>274635</v>
      </c>
      <c r="L2519" s="183">
        <f ca="1">VLOOKUP(F2519,
    OFFSET(INDIRECT(ADDRESS(MATCH(J2519,'Vehicle numbers'!$A$5:$A$162,0),1,1,1,$L$6)),4,1,COUNTIF('Vehicle numbers'!$A$5:$A$162,J2519),4),
    MATCH(L$8,'Vehicle numbers'!$B$4:$D$4,0))*1000</f>
        <v>288809</v>
      </c>
      <c r="M2519" s="184">
        <f ca="1">VLOOKUP(F2519,'Annual distance covered (GB)'!$A$8:$H$33,MATCH(J2519,'Annual distance covered (GB)'!$A$7:$H$7,0))</f>
        <v>12.4</v>
      </c>
      <c r="N2519" s="2">
        <f t="shared" ca="1" si="92"/>
        <v>127645.63834209042</v>
      </c>
      <c r="O2519" s="180">
        <f t="shared" ca="1" si="93"/>
        <v>0.44197250896644641</v>
      </c>
      <c r="P2519" s="180"/>
      <c r="Q2519" s="180"/>
      <c r="R2519" s="180"/>
      <c r="S2519" s="180"/>
      <c r="T2519" s="180"/>
    </row>
    <row r="2520" spans="1:20" x14ac:dyDescent="0.25">
      <c r="A2520" t="s">
        <v>244</v>
      </c>
      <c r="B2520" t="s">
        <v>237</v>
      </c>
      <c r="C2520" t="s">
        <v>238</v>
      </c>
      <c r="D2520" t="s">
        <v>268</v>
      </c>
      <c r="E2520" t="s">
        <v>228</v>
      </c>
      <c r="F2520">
        <v>2014</v>
      </c>
      <c r="G2520">
        <v>1.3787042253521099E-3</v>
      </c>
      <c r="H2520" t="s">
        <v>240</v>
      </c>
      <c r="I2520" t="s">
        <v>241</v>
      </c>
      <c r="J2520" t="s">
        <v>245</v>
      </c>
      <c r="K2520" s="183">
        <f ca="1">VLOOKUP(F2520,
    OFFSET(INDIRECT(ADDRESS(MATCH(J2520,'Vehicle numbers'!$A$5:$A$162,0),1,1,1,$L$6)),4,1,COUNTIF('Vehicle numbers'!$A$5:$A$162,J2520),4),
    MATCH(K$8,'Vehicle numbers'!$B$4:$D$4,0))*1000</f>
        <v>274635</v>
      </c>
      <c r="L2520" s="183">
        <f ca="1">VLOOKUP(F2520,
    OFFSET(INDIRECT(ADDRESS(MATCH(J2520,'Vehicle numbers'!$A$5:$A$162,0),1,1,1,$L$6)),4,1,COUNTIF('Vehicle numbers'!$A$5:$A$162,J2520),4),
    MATCH(L$8,'Vehicle numbers'!$B$4:$D$4,0))*1000</f>
        <v>288809</v>
      </c>
      <c r="M2520" s="184">
        <f ca="1">VLOOKUP(F2520,'Annual distance covered (GB)'!$A$8:$H$33,MATCH(J2520,'Annual distance covered (GB)'!$A$7:$H$7,0))</f>
        <v>12.4</v>
      </c>
      <c r="N2520" s="2">
        <f t="shared" ca="1" si="92"/>
        <v>17978.258921421148</v>
      </c>
      <c r="O2520" s="180">
        <f t="shared" ca="1" si="93"/>
        <v>6.2249649150203583E-2</v>
      </c>
      <c r="P2520" s="180"/>
      <c r="Q2520" s="180"/>
      <c r="R2520" s="180"/>
      <c r="S2520" s="180"/>
      <c r="T2520" s="180"/>
    </row>
    <row r="2521" spans="1:20" x14ac:dyDescent="0.25">
      <c r="A2521" t="s">
        <v>246</v>
      </c>
      <c r="B2521" t="s">
        <v>237</v>
      </c>
      <c r="C2521" t="s">
        <v>238</v>
      </c>
      <c r="D2521" t="s">
        <v>268</v>
      </c>
      <c r="E2521" t="s">
        <v>228</v>
      </c>
      <c r="F2521">
        <v>2014</v>
      </c>
      <c r="G2521">
        <v>1.10296338028169E-3</v>
      </c>
      <c r="H2521" t="s">
        <v>240</v>
      </c>
      <c r="I2521" t="s">
        <v>241</v>
      </c>
      <c r="J2521" t="s">
        <v>245</v>
      </c>
      <c r="K2521" s="183">
        <f ca="1">VLOOKUP(F2521,
    OFFSET(INDIRECT(ADDRESS(MATCH(J2521,'Vehicle numbers'!$A$5:$A$162,0),1,1,1,$L$6)),4,1,COUNTIF('Vehicle numbers'!$A$5:$A$162,J2521),4),
    MATCH(K$8,'Vehicle numbers'!$B$4:$D$4,0))*1000</f>
        <v>274635</v>
      </c>
      <c r="L2521" s="183">
        <f ca="1">VLOOKUP(F2521,
    OFFSET(INDIRECT(ADDRESS(MATCH(J2521,'Vehicle numbers'!$A$5:$A$162,0),1,1,1,$L$6)),4,1,COUNTIF('Vehicle numbers'!$A$5:$A$162,J2521),4),
    MATCH(L$8,'Vehicle numbers'!$B$4:$D$4,0))*1000</f>
        <v>288809</v>
      </c>
      <c r="M2521" s="184">
        <f ca="1">VLOOKUP(F2521,'Annual distance covered (GB)'!$A$8:$H$33,MATCH(J2521,'Annual distance covered (GB)'!$A$7:$H$7,0))</f>
        <v>12.4</v>
      </c>
      <c r="N2521" s="2">
        <f t="shared" ca="1" si="92"/>
        <v>14382.607137136947</v>
      </c>
      <c r="O2521" s="180">
        <f t="shared" ca="1" si="93"/>
        <v>4.9799719320162972E-2</v>
      </c>
      <c r="P2521" s="180"/>
      <c r="Q2521" s="180"/>
      <c r="R2521" s="180"/>
      <c r="S2521" s="180"/>
      <c r="T2521" s="180"/>
    </row>
    <row r="2522" spans="1:20" x14ac:dyDescent="0.25">
      <c r="A2522" t="s">
        <v>236</v>
      </c>
      <c r="B2522" t="s">
        <v>237</v>
      </c>
      <c r="C2522" t="s">
        <v>238</v>
      </c>
      <c r="D2522" t="s">
        <v>269</v>
      </c>
      <c r="E2522" t="s">
        <v>229</v>
      </c>
      <c r="F2522">
        <v>2014</v>
      </c>
      <c r="G2522">
        <v>2.7143E-2</v>
      </c>
      <c r="H2522" t="s">
        <v>240</v>
      </c>
      <c r="I2522" t="s">
        <v>241</v>
      </c>
      <c r="J2522" t="s">
        <v>245</v>
      </c>
      <c r="K2522" s="183">
        <f ca="1">VLOOKUP(F2522,
    OFFSET(INDIRECT(ADDRESS(MATCH(J2522,'Vehicle numbers'!$A$5:$A$162,0),1,1,1,$L$6)),4,1,COUNTIF('Vehicle numbers'!$A$5:$A$162,J2522),4),
    MATCH(K$8,'Vehicle numbers'!$B$4:$D$4,0))*1000</f>
        <v>274635</v>
      </c>
      <c r="L2522" s="183">
        <f ca="1">VLOOKUP(F2522,
    OFFSET(INDIRECT(ADDRESS(MATCH(J2522,'Vehicle numbers'!$A$5:$A$162,0),1,1,1,$L$6)),4,1,COUNTIF('Vehicle numbers'!$A$5:$A$162,J2522),4),
    MATCH(L$8,'Vehicle numbers'!$B$4:$D$4,0))*1000</f>
        <v>288809</v>
      </c>
      <c r="M2522" s="184">
        <f ca="1">VLOOKUP(F2522,'Annual distance covered (GB)'!$A$8:$H$33,MATCH(J2522,'Annual distance covered (GB)'!$A$7:$H$7,0))</f>
        <v>12.4</v>
      </c>
      <c r="N2522" s="2">
        <f t="shared" ca="1" si="92"/>
        <v>353943.85026963061</v>
      </c>
      <c r="O2522" s="180">
        <f t="shared" ca="1" si="93"/>
        <v>1.2255291568809512</v>
      </c>
      <c r="P2522" s="180"/>
      <c r="Q2522" s="180"/>
      <c r="R2522" s="180"/>
      <c r="S2522" s="180"/>
      <c r="T2522" s="180"/>
    </row>
    <row r="2523" spans="1:20" x14ac:dyDescent="0.25">
      <c r="A2523" t="s">
        <v>243</v>
      </c>
      <c r="B2523" t="s">
        <v>237</v>
      </c>
      <c r="C2523" t="s">
        <v>238</v>
      </c>
      <c r="D2523" t="s">
        <v>269</v>
      </c>
      <c r="E2523" t="s">
        <v>229</v>
      </c>
      <c r="F2523">
        <v>2014</v>
      </c>
      <c r="G2523">
        <v>1.0857199999999999E-2</v>
      </c>
      <c r="H2523" t="s">
        <v>240</v>
      </c>
      <c r="I2523" t="s">
        <v>241</v>
      </c>
      <c r="J2523" t="s">
        <v>245</v>
      </c>
      <c r="K2523" s="183">
        <f ca="1">VLOOKUP(F2523,
    OFFSET(INDIRECT(ADDRESS(MATCH(J2523,'Vehicle numbers'!$A$5:$A$162,0),1,1,1,$L$6)),4,1,COUNTIF('Vehicle numbers'!$A$5:$A$162,J2523),4),
    MATCH(K$8,'Vehicle numbers'!$B$4:$D$4,0))*1000</f>
        <v>274635</v>
      </c>
      <c r="L2523" s="183">
        <f ca="1">VLOOKUP(F2523,
    OFFSET(INDIRECT(ADDRESS(MATCH(J2523,'Vehicle numbers'!$A$5:$A$162,0),1,1,1,$L$6)),4,1,COUNTIF('Vehicle numbers'!$A$5:$A$162,J2523),4),
    MATCH(L$8,'Vehicle numbers'!$B$4:$D$4,0))*1000</f>
        <v>288809</v>
      </c>
      <c r="M2523" s="184">
        <f ca="1">VLOOKUP(F2523,'Annual distance covered (GB)'!$A$8:$H$33,MATCH(J2523,'Annual distance covered (GB)'!$A$7:$H$7,0))</f>
        <v>12.4</v>
      </c>
      <c r="N2523" s="2">
        <f t="shared" ca="1" si="92"/>
        <v>141577.54010785226</v>
      </c>
      <c r="O2523" s="180">
        <f t="shared" ca="1" si="93"/>
        <v>0.49021166275238048</v>
      </c>
      <c r="P2523" s="180"/>
      <c r="Q2523" s="180"/>
      <c r="R2523" s="180"/>
      <c r="S2523" s="180"/>
      <c r="T2523" s="180"/>
    </row>
    <row r="2524" spans="1:20" x14ac:dyDescent="0.25">
      <c r="A2524" t="s">
        <v>244</v>
      </c>
      <c r="B2524" t="s">
        <v>237</v>
      </c>
      <c r="C2524" t="s">
        <v>238</v>
      </c>
      <c r="D2524" t="s">
        <v>269</v>
      </c>
      <c r="E2524" t="s">
        <v>229</v>
      </c>
      <c r="F2524">
        <v>2014</v>
      </c>
      <c r="G2524">
        <v>2.7142999999999998E-3</v>
      </c>
      <c r="H2524" t="s">
        <v>240</v>
      </c>
      <c r="I2524" t="s">
        <v>241</v>
      </c>
      <c r="J2524" t="s">
        <v>245</v>
      </c>
      <c r="K2524" s="183">
        <f ca="1">VLOOKUP(F2524,
    OFFSET(INDIRECT(ADDRESS(MATCH(J2524,'Vehicle numbers'!$A$5:$A$162,0),1,1,1,$L$6)),4,1,COUNTIF('Vehicle numbers'!$A$5:$A$162,J2524),4),
    MATCH(K$8,'Vehicle numbers'!$B$4:$D$4,0))*1000</f>
        <v>274635</v>
      </c>
      <c r="L2524" s="183">
        <f ca="1">VLOOKUP(F2524,
    OFFSET(INDIRECT(ADDRESS(MATCH(J2524,'Vehicle numbers'!$A$5:$A$162,0),1,1,1,$L$6)),4,1,COUNTIF('Vehicle numbers'!$A$5:$A$162,J2524),4),
    MATCH(L$8,'Vehicle numbers'!$B$4:$D$4,0))*1000</f>
        <v>288809</v>
      </c>
      <c r="M2524" s="184">
        <f ca="1">VLOOKUP(F2524,'Annual distance covered (GB)'!$A$8:$H$33,MATCH(J2524,'Annual distance covered (GB)'!$A$7:$H$7,0))</f>
        <v>12.4</v>
      </c>
      <c r="N2524" s="2">
        <f t="shared" ca="1" si="92"/>
        <v>35394.385026963064</v>
      </c>
      <c r="O2524" s="180">
        <f t="shared" ca="1" si="93"/>
        <v>0.12255291568809512</v>
      </c>
      <c r="P2524" s="180"/>
      <c r="Q2524" s="180"/>
      <c r="R2524" s="180"/>
      <c r="S2524" s="180"/>
      <c r="T2524" s="180"/>
    </row>
    <row r="2525" spans="1:20" x14ac:dyDescent="0.25">
      <c r="A2525" t="s">
        <v>246</v>
      </c>
      <c r="B2525" t="s">
        <v>237</v>
      </c>
      <c r="C2525" t="s">
        <v>238</v>
      </c>
      <c r="D2525" t="s">
        <v>269</v>
      </c>
      <c r="E2525" t="s">
        <v>229</v>
      </c>
      <c r="F2525">
        <v>2014</v>
      </c>
      <c r="G2525">
        <v>2.1714400000000002E-3</v>
      </c>
      <c r="H2525" t="s">
        <v>240</v>
      </c>
      <c r="I2525" t="s">
        <v>241</v>
      </c>
      <c r="J2525" t="s">
        <v>245</v>
      </c>
      <c r="K2525" s="183">
        <f ca="1">VLOOKUP(F2525,
    OFFSET(INDIRECT(ADDRESS(MATCH(J2525,'Vehicle numbers'!$A$5:$A$162,0),1,1,1,$L$6)),4,1,COUNTIF('Vehicle numbers'!$A$5:$A$162,J2525),4),
    MATCH(K$8,'Vehicle numbers'!$B$4:$D$4,0))*1000</f>
        <v>274635</v>
      </c>
      <c r="L2525" s="183">
        <f ca="1">VLOOKUP(F2525,
    OFFSET(INDIRECT(ADDRESS(MATCH(J2525,'Vehicle numbers'!$A$5:$A$162,0),1,1,1,$L$6)),4,1,COUNTIF('Vehicle numbers'!$A$5:$A$162,J2525),4),
    MATCH(L$8,'Vehicle numbers'!$B$4:$D$4,0))*1000</f>
        <v>288809</v>
      </c>
      <c r="M2525" s="184">
        <f ca="1">VLOOKUP(F2525,'Annual distance covered (GB)'!$A$8:$H$33,MATCH(J2525,'Annual distance covered (GB)'!$A$7:$H$7,0))</f>
        <v>12.4</v>
      </c>
      <c r="N2525" s="2">
        <f t="shared" ca="1" si="92"/>
        <v>28315.508021570447</v>
      </c>
      <c r="O2525" s="180">
        <f t="shared" ca="1" si="93"/>
        <v>9.8042332550476091E-2</v>
      </c>
      <c r="P2525" s="180"/>
      <c r="Q2525" s="180"/>
      <c r="R2525" s="180"/>
      <c r="S2525" s="180"/>
      <c r="T2525" s="180"/>
    </row>
    <row r="2526" spans="1:20" x14ac:dyDescent="0.25">
      <c r="A2526" t="s">
        <v>236</v>
      </c>
      <c r="B2526" t="s">
        <v>237</v>
      </c>
      <c r="C2526" t="s">
        <v>238</v>
      </c>
      <c r="D2526" t="s">
        <v>269</v>
      </c>
      <c r="E2526" t="s">
        <v>228</v>
      </c>
      <c r="F2526">
        <v>2014</v>
      </c>
      <c r="G2526">
        <v>1.7388480000000001E-2</v>
      </c>
      <c r="H2526" t="s">
        <v>240</v>
      </c>
      <c r="I2526" t="s">
        <v>241</v>
      </c>
      <c r="J2526" t="s">
        <v>245</v>
      </c>
      <c r="K2526" s="183">
        <f ca="1">VLOOKUP(F2526,
    OFFSET(INDIRECT(ADDRESS(MATCH(J2526,'Vehicle numbers'!$A$5:$A$162,0),1,1,1,$L$6)),4,1,COUNTIF('Vehicle numbers'!$A$5:$A$162,J2526),4),
    MATCH(K$8,'Vehicle numbers'!$B$4:$D$4,0))*1000</f>
        <v>274635</v>
      </c>
      <c r="L2526" s="183">
        <f ca="1">VLOOKUP(F2526,
    OFFSET(INDIRECT(ADDRESS(MATCH(J2526,'Vehicle numbers'!$A$5:$A$162,0),1,1,1,$L$6)),4,1,COUNTIF('Vehicle numbers'!$A$5:$A$162,J2526),4),
    MATCH(L$8,'Vehicle numbers'!$B$4:$D$4,0))*1000</f>
        <v>288809</v>
      </c>
      <c r="M2526" s="184">
        <f ca="1">VLOOKUP(F2526,'Annual distance covered (GB)'!$A$8:$H$33,MATCH(J2526,'Annual distance covered (GB)'!$A$7:$H$7,0))</f>
        <v>12.4</v>
      </c>
      <c r="N2526" s="2">
        <f t="shared" ca="1" si="92"/>
        <v>226745.22202912232</v>
      </c>
      <c r="O2526" s="180">
        <f t="shared" ca="1" si="93"/>
        <v>0.78510441859194946</v>
      </c>
      <c r="P2526" s="180"/>
      <c r="Q2526" s="180"/>
      <c r="R2526" s="180"/>
      <c r="S2526" s="180"/>
      <c r="T2526" s="180"/>
    </row>
    <row r="2527" spans="1:20" x14ac:dyDescent="0.25">
      <c r="A2527" t="s">
        <v>243</v>
      </c>
      <c r="B2527" t="s">
        <v>237</v>
      </c>
      <c r="C2527" t="s">
        <v>238</v>
      </c>
      <c r="D2527" t="s">
        <v>269</v>
      </c>
      <c r="E2527" t="s">
        <v>228</v>
      </c>
      <c r="F2527">
        <v>2014</v>
      </c>
      <c r="G2527">
        <v>1.2171936E-2</v>
      </c>
      <c r="H2527" t="s">
        <v>240</v>
      </c>
      <c r="I2527" t="s">
        <v>241</v>
      </c>
      <c r="J2527" t="s">
        <v>245</v>
      </c>
      <c r="K2527" s="183">
        <f ca="1">VLOOKUP(F2527,
    OFFSET(INDIRECT(ADDRESS(MATCH(J2527,'Vehicle numbers'!$A$5:$A$162,0),1,1,1,$L$6)),4,1,COUNTIF('Vehicle numbers'!$A$5:$A$162,J2527),4),
    MATCH(K$8,'Vehicle numbers'!$B$4:$D$4,0))*1000</f>
        <v>274635</v>
      </c>
      <c r="L2527" s="183">
        <f ca="1">VLOOKUP(F2527,
    OFFSET(INDIRECT(ADDRESS(MATCH(J2527,'Vehicle numbers'!$A$5:$A$162,0),1,1,1,$L$6)),4,1,COUNTIF('Vehicle numbers'!$A$5:$A$162,J2527),4),
    MATCH(L$8,'Vehicle numbers'!$B$4:$D$4,0))*1000</f>
        <v>288809</v>
      </c>
      <c r="M2527" s="184">
        <f ca="1">VLOOKUP(F2527,'Annual distance covered (GB)'!$A$8:$H$33,MATCH(J2527,'Annual distance covered (GB)'!$A$7:$H$7,0))</f>
        <v>12.4</v>
      </c>
      <c r="N2527" s="2">
        <f t="shared" ca="1" si="92"/>
        <v>158721.65542038559</v>
      </c>
      <c r="O2527" s="180">
        <f t="shared" ca="1" si="93"/>
        <v>0.54957309301436452</v>
      </c>
      <c r="P2527" s="180"/>
      <c r="Q2527" s="180"/>
      <c r="R2527" s="180"/>
      <c r="S2527" s="180"/>
      <c r="T2527" s="180"/>
    </row>
    <row r="2528" spans="1:20" x14ac:dyDescent="0.25">
      <c r="A2528" t="s">
        <v>244</v>
      </c>
      <c r="B2528" t="s">
        <v>237</v>
      </c>
      <c r="C2528" t="s">
        <v>238</v>
      </c>
      <c r="D2528" t="s">
        <v>269</v>
      </c>
      <c r="E2528" t="s">
        <v>228</v>
      </c>
      <c r="F2528">
        <v>2014</v>
      </c>
      <c r="G2528">
        <v>1.71435718309859E-3</v>
      </c>
      <c r="H2528" t="s">
        <v>240</v>
      </c>
      <c r="I2528" t="s">
        <v>241</v>
      </c>
      <c r="J2528" t="s">
        <v>245</v>
      </c>
      <c r="K2528" s="183">
        <f ca="1">VLOOKUP(F2528,
    OFFSET(INDIRECT(ADDRESS(MATCH(J2528,'Vehicle numbers'!$A$5:$A$162,0),1,1,1,$L$6)),4,1,COUNTIF('Vehicle numbers'!$A$5:$A$162,J2528),4),
    MATCH(K$8,'Vehicle numbers'!$B$4:$D$4,0))*1000</f>
        <v>274635</v>
      </c>
      <c r="L2528" s="183">
        <f ca="1">VLOOKUP(F2528,
    OFFSET(INDIRECT(ADDRESS(MATCH(J2528,'Vehicle numbers'!$A$5:$A$162,0),1,1,1,$L$6)),4,1,COUNTIF('Vehicle numbers'!$A$5:$A$162,J2528),4),
    MATCH(L$8,'Vehicle numbers'!$B$4:$D$4,0))*1000</f>
        <v>288809</v>
      </c>
      <c r="M2528" s="184">
        <f ca="1">VLOOKUP(F2528,'Annual distance covered (GB)'!$A$8:$H$33,MATCH(J2528,'Annual distance covered (GB)'!$A$7:$H$7,0))</f>
        <v>12.4</v>
      </c>
      <c r="N2528" s="2">
        <f t="shared" ca="1" si="92"/>
        <v>22355.162735265556</v>
      </c>
      <c r="O2528" s="180">
        <f t="shared" ca="1" si="93"/>
        <v>7.7404660987938592E-2</v>
      </c>
      <c r="P2528" s="180"/>
      <c r="Q2528" s="180"/>
      <c r="R2528" s="180"/>
      <c r="S2528" s="180"/>
      <c r="T2528" s="180"/>
    </row>
    <row r="2529" spans="1:20" x14ac:dyDescent="0.25">
      <c r="A2529" t="s">
        <v>246</v>
      </c>
      <c r="B2529" t="s">
        <v>237</v>
      </c>
      <c r="C2529" t="s">
        <v>238</v>
      </c>
      <c r="D2529" t="s">
        <v>269</v>
      </c>
      <c r="E2529" t="s">
        <v>228</v>
      </c>
      <c r="F2529">
        <v>2014</v>
      </c>
      <c r="G2529">
        <v>1.37148574647887E-3</v>
      </c>
      <c r="H2529" t="s">
        <v>240</v>
      </c>
      <c r="I2529" t="s">
        <v>241</v>
      </c>
      <c r="J2529" t="s">
        <v>245</v>
      </c>
      <c r="K2529" s="183">
        <f ca="1">VLOOKUP(F2529,
    OFFSET(INDIRECT(ADDRESS(MATCH(J2529,'Vehicle numbers'!$A$5:$A$162,0),1,1,1,$L$6)),4,1,COUNTIF('Vehicle numbers'!$A$5:$A$162,J2529),4),
    MATCH(K$8,'Vehicle numbers'!$B$4:$D$4,0))*1000</f>
        <v>274635</v>
      </c>
      <c r="L2529" s="183">
        <f ca="1">VLOOKUP(F2529,
    OFFSET(INDIRECT(ADDRESS(MATCH(J2529,'Vehicle numbers'!$A$5:$A$162,0),1,1,1,$L$6)),4,1,COUNTIF('Vehicle numbers'!$A$5:$A$162,J2529),4),
    MATCH(L$8,'Vehicle numbers'!$B$4:$D$4,0))*1000</f>
        <v>288809</v>
      </c>
      <c r="M2529" s="184">
        <f ca="1">VLOOKUP(F2529,'Annual distance covered (GB)'!$A$8:$H$33,MATCH(J2529,'Annual distance covered (GB)'!$A$7:$H$7,0))</f>
        <v>12.4</v>
      </c>
      <c r="N2529" s="2">
        <f t="shared" ca="1" si="92"/>
        <v>17884.130188212421</v>
      </c>
      <c r="O2529" s="180">
        <f t="shared" ca="1" si="93"/>
        <v>6.1923728790350789E-2</v>
      </c>
      <c r="P2529" s="180"/>
      <c r="Q2529" s="180"/>
      <c r="R2529" s="180"/>
      <c r="S2529" s="180"/>
      <c r="T2529" s="180"/>
    </row>
    <row r="2530" spans="1:20" x14ac:dyDescent="0.25">
      <c r="A2530" t="s">
        <v>236</v>
      </c>
      <c r="B2530" t="s">
        <v>237</v>
      </c>
      <c r="C2530" t="s">
        <v>238</v>
      </c>
      <c r="D2530" t="s">
        <v>270</v>
      </c>
      <c r="E2530" t="s">
        <v>229</v>
      </c>
      <c r="F2530">
        <v>2014</v>
      </c>
      <c r="G2530">
        <v>5.0994999999999999E-2</v>
      </c>
      <c r="H2530" t="s">
        <v>240</v>
      </c>
      <c r="I2530" t="s">
        <v>241</v>
      </c>
      <c r="J2530" t="s">
        <v>245</v>
      </c>
      <c r="K2530" s="183">
        <f ca="1">VLOOKUP(F2530,
    OFFSET(INDIRECT(ADDRESS(MATCH(J2530,'Vehicle numbers'!$A$5:$A$162,0),1,1,1,$L$6)),4,1,COUNTIF('Vehicle numbers'!$A$5:$A$162,J2530),4),
    MATCH(K$8,'Vehicle numbers'!$B$4:$D$4,0))*1000</f>
        <v>274635</v>
      </c>
      <c r="L2530" s="183">
        <f ca="1">VLOOKUP(F2530,
    OFFSET(INDIRECT(ADDRESS(MATCH(J2530,'Vehicle numbers'!$A$5:$A$162,0),1,1,1,$L$6)),4,1,COUNTIF('Vehicle numbers'!$A$5:$A$162,J2530),4),
    MATCH(L$8,'Vehicle numbers'!$B$4:$D$4,0))*1000</f>
        <v>288809</v>
      </c>
      <c r="M2530" s="184">
        <f ca="1">VLOOKUP(F2530,'Annual distance covered (GB)'!$A$8:$H$33,MATCH(J2530,'Annual distance covered (GB)'!$A$7:$H$7,0))</f>
        <v>12.4</v>
      </c>
      <c r="N2530" s="2">
        <f t="shared" ca="1" si="92"/>
        <v>664973.1659912247</v>
      </c>
      <c r="O2530" s="180">
        <f t="shared" ca="1" si="93"/>
        <v>2.3024669106268321</v>
      </c>
      <c r="P2530" s="180"/>
      <c r="Q2530" s="180"/>
      <c r="R2530" s="180"/>
      <c r="S2530" s="180"/>
      <c r="T2530" s="180"/>
    </row>
    <row r="2531" spans="1:20" x14ac:dyDescent="0.25">
      <c r="A2531" t="s">
        <v>243</v>
      </c>
      <c r="B2531" t="s">
        <v>237</v>
      </c>
      <c r="C2531" t="s">
        <v>238</v>
      </c>
      <c r="D2531" t="s">
        <v>270</v>
      </c>
      <c r="E2531" t="s">
        <v>229</v>
      </c>
      <c r="F2531">
        <v>2014</v>
      </c>
      <c r="G2531">
        <v>2.0397999999999999E-2</v>
      </c>
      <c r="H2531" t="s">
        <v>240</v>
      </c>
      <c r="I2531" t="s">
        <v>241</v>
      </c>
      <c r="J2531" t="s">
        <v>245</v>
      </c>
      <c r="K2531" s="183">
        <f ca="1">VLOOKUP(F2531,
    OFFSET(INDIRECT(ADDRESS(MATCH(J2531,'Vehicle numbers'!$A$5:$A$162,0),1,1,1,$L$6)),4,1,COUNTIF('Vehicle numbers'!$A$5:$A$162,J2531),4),
    MATCH(K$8,'Vehicle numbers'!$B$4:$D$4,0))*1000</f>
        <v>274635</v>
      </c>
      <c r="L2531" s="183">
        <f ca="1">VLOOKUP(F2531,
    OFFSET(INDIRECT(ADDRESS(MATCH(J2531,'Vehicle numbers'!$A$5:$A$162,0),1,1,1,$L$6)),4,1,COUNTIF('Vehicle numbers'!$A$5:$A$162,J2531),4),
    MATCH(L$8,'Vehicle numbers'!$B$4:$D$4,0))*1000</f>
        <v>288809</v>
      </c>
      <c r="M2531" s="184">
        <f ca="1">VLOOKUP(F2531,'Annual distance covered (GB)'!$A$8:$H$33,MATCH(J2531,'Annual distance covered (GB)'!$A$7:$H$7,0))</f>
        <v>12.4</v>
      </c>
      <c r="N2531" s="2">
        <f t="shared" ca="1" si="92"/>
        <v>265989.26639648993</v>
      </c>
      <c r="O2531" s="180">
        <f t="shared" ca="1" si="93"/>
        <v>0.92098676425073289</v>
      </c>
      <c r="P2531" s="180"/>
      <c r="Q2531" s="180"/>
      <c r="R2531" s="180"/>
      <c r="S2531" s="180"/>
      <c r="T2531" s="180"/>
    </row>
    <row r="2532" spans="1:20" x14ac:dyDescent="0.25">
      <c r="A2532" t="s">
        <v>244</v>
      </c>
      <c r="B2532" t="s">
        <v>237</v>
      </c>
      <c r="C2532" t="s">
        <v>238</v>
      </c>
      <c r="D2532" t="s">
        <v>270</v>
      </c>
      <c r="E2532" t="s">
        <v>229</v>
      </c>
      <c r="F2532">
        <v>2014</v>
      </c>
      <c r="G2532">
        <v>5.0994999999999999E-3</v>
      </c>
      <c r="H2532" t="s">
        <v>240</v>
      </c>
      <c r="I2532" t="s">
        <v>241</v>
      </c>
      <c r="J2532" t="s">
        <v>245</v>
      </c>
      <c r="K2532" s="183">
        <f ca="1">VLOOKUP(F2532,
    OFFSET(INDIRECT(ADDRESS(MATCH(J2532,'Vehicle numbers'!$A$5:$A$162,0),1,1,1,$L$6)),4,1,COUNTIF('Vehicle numbers'!$A$5:$A$162,J2532),4),
    MATCH(K$8,'Vehicle numbers'!$B$4:$D$4,0))*1000</f>
        <v>274635</v>
      </c>
      <c r="L2532" s="183">
        <f ca="1">VLOOKUP(F2532,
    OFFSET(INDIRECT(ADDRESS(MATCH(J2532,'Vehicle numbers'!$A$5:$A$162,0),1,1,1,$L$6)),4,1,COUNTIF('Vehicle numbers'!$A$5:$A$162,J2532),4),
    MATCH(L$8,'Vehicle numbers'!$B$4:$D$4,0))*1000</f>
        <v>288809</v>
      </c>
      <c r="M2532" s="184">
        <f ca="1">VLOOKUP(F2532,'Annual distance covered (GB)'!$A$8:$H$33,MATCH(J2532,'Annual distance covered (GB)'!$A$7:$H$7,0))</f>
        <v>12.4</v>
      </c>
      <c r="N2532" s="2">
        <f t="shared" ca="1" si="92"/>
        <v>66497.316599122481</v>
      </c>
      <c r="O2532" s="180">
        <f t="shared" ca="1" si="93"/>
        <v>0.23024669106268322</v>
      </c>
      <c r="P2532" s="180"/>
      <c r="Q2532" s="180"/>
      <c r="R2532" s="180"/>
      <c r="S2532" s="180"/>
      <c r="T2532" s="180"/>
    </row>
    <row r="2533" spans="1:20" x14ac:dyDescent="0.25">
      <c r="A2533" t="s">
        <v>246</v>
      </c>
      <c r="B2533" t="s">
        <v>237</v>
      </c>
      <c r="C2533" t="s">
        <v>238</v>
      </c>
      <c r="D2533" t="s">
        <v>270</v>
      </c>
      <c r="E2533" t="s">
        <v>229</v>
      </c>
      <c r="F2533">
        <v>2014</v>
      </c>
      <c r="G2533">
        <v>4.0796000000000001E-3</v>
      </c>
      <c r="H2533" t="s">
        <v>240</v>
      </c>
      <c r="I2533" t="s">
        <v>241</v>
      </c>
      <c r="J2533" t="s">
        <v>245</v>
      </c>
      <c r="K2533" s="183">
        <f ca="1">VLOOKUP(F2533,
    OFFSET(INDIRECT(ADDRESS(MATCH(J2533,'Vehicle numbers'!$A$5:$A$162,0),1,1,1,$L$6)),4,1,COUNTIF('Vehicle numbers'!$A$5:$A$162,J2533),4),
    MATCH(K$8,'Vehicle numbers'!$B$4:$D$4,0))*1000</f>
        <v>274635</v>
      </c>
      <c r="L2533" s="183">
        <f ca="1">VLOOKUP(F2533,
    OFFSET(INDIRECT(ADDRESS(MATCH(J2533,'Vehicle numbers'!$A$5:$A$162,0),1,1,1,$L$6)),4,1,COUNTIF('Vehicle numbers'!$A$5:$A$162,J2533),4),
    MATCH(L$8,'Vehicle numbers'!$B$4:$D$4,0))*1000</f>
        <v>288809</v>
      </c>
      <c r="M2533" s="184">
        <f ca="1">VLOOKUP(F2533,'Annual distance covered (GB)'!$A$8:$H$33,MATCH(J2533,'Annual distance covered (GB)'!$A$7:$H$7,0))</f>
        <v>12.4</v>
      </c>
      <c r="N2533" s="2">
        <f t="shared" ca="1" si="92"/>
        <v>53197.853279297982</v>
      </c>
      <c r="O2533" s="180">
        <f t="shared" ca="1" si="93"/>
        <v>0.18419735285014657</v>
      </c>
      <c r="P2533" s="180"/>
      <c r="Q2533" s="180"/>
      <c r="R2533" s="180"/>
      <c r="S2533" s="180"/>
      <c r="T2533" s="180"/>
    </row>
    <row r="2534" spans="1:20" x14ac:dyDescent="0.25">
      <c r="A2534" t="s">
        <v>236</v>
      </c>
      <c r="B2534" t="s">
        <v>237</v>
      </c>
      <c r="C2534" t="s">
        <v>238</v>
      </c>
      <c r="D2534" t="s">
        <v>270</v>
      </c>
      <c r="E2534" t="s">
        <v>228</v>
      </c>
      <c r="F2534">
        <v>2014</v>
      </c>
      <c r="G2534">
        <v>2.0737760000000001E-2</v>
      </c>
      <c r="H2534" t="s">
        <v>240</v>
      </c>
      <c r="I2534" t="s">
        <v>241</v>
      </c>
      <c r="J2534" t="s">
        <v>245</v>
      </c>
      <c r="K2534" s="183">
        <f ca="1">VLOOKUP(F2534,
    OFFSET(INDIRECT(ADDRESS(MATCH(J2534,'Vehicle numbers'!$A$5:$A$162,0),1,1,1,$L$6)),4,1,COUNTIF('Vehicle numbers'!$A$5:$A$162,J2534),4),
    MATCH(K$8,'Vehicle numbers'!$B$4:$D$4,0))*1000</f>
        <v>274635</v>
      </c>
      <c r="L2534" s="183">
        <f ca="1">VLOOKUP(F2534,
    OFFSET(INDIRECT(ADDRESS(MATCH(J2534,'Vehicle numbers'!$A$5:$A$162,0),1,1,1,$L$6)),4,1,COUNTIF('Vehicle numbers'!$A$5:$A$162,J2534),4),
    MATCH(L$8,'Vehicle numbers'!$B$4:$D$4,0))*1000</f>
        <v>288809</v>
      </c>
      <c r="M2534" s="184">
        <f ca="1">VLOOKUP(F2534,'Annual distance covered (GB)'!$A$8:$H$33,MATCH(J2534,'Annual distance covered (GB)'!$A$7:$H$7,0))</f>
        <v>12.4</v>
      </c>
      <c r="N2534" s="2">
        <f t="shared" ca="1" si="92"/>
        <v>270419.72590972023</v>
      </c>
      <c r="O2534" s="180">
        <f t="shared" ca="1" si="93"/>
        <v>0.93632721248202178</v>
      </c>
      <c r="P2534" s="180"/>
      <c r="Q2534" s="180"/>
      <c r="R2534" s="180"/>
      <c r="S2534" s="180"/>
      <c r="T2534" s="180"/>
    </row>
    <row r="2535" spans="1:20" x14ac:dyDescent="0.25">
      <c r="A2535" t="s">
        <v>243</v>
      </c>
      <c r="B2535" t="s">
        <v>237</v>
      </c>
      <c r="C2535" t="s">
        <v>238</v>
      </c>
      <c r="D2535" t="s">
        <v>270</v>
      </c>
      <c r="E2535" t="s">
        <v>228</v>
      </c>
      <c r="F2535">
        <v>2014</v>
      </c>
      <c r="G2535">
        <v>1.4516431999999999E-2</v>
      </c>
      <c r="H2535" t="s">
        <v>240</v>
      </c>
      <c r="I2535" t="s">
        <v>241</v>
      </c>
      <c r="J2535" t="s">
        <v>245</v>
      </c>
      <c r="K2535" s="183">
        <f ca="1">VLOOKUP(F2535,
    OFFSET(INDIRECT(ADDRESS(MATCH(J2535,'Vehicle numbers'!$A$5:$A$162,0),1,1,1,$L$6)),4,1,COUNTIF('Vehicle numbers'!$A$5:$A$162,J2535),4),
    MATCH(K$8,'Vehicle numbers'!$B$4:$D$4,0))*1000</f>
        <v>274635</v>
      </c>
      <c r="L2535" s="183">
        <f ca="1">VLOOKUP(F2535,
    OFFSET(INDIRECT(ADDRESS(MATCH(J2535,'Vehicle numbers'!$A$5:$A$162,0),1,1,1,$L$6)),4,1,COUNTIF('Vehicle numbers'!$A$5:$A$162,J2535),4),
    MATCH(L$8,'Vehicle numbers'!$B$4:$D$4,0))*1000</f>
        <v>288809</v>
      </c>
      <c r="M2535" s="184">
        <f ca="1">VLOOKUP(F2535,'Annual distance covered (GB)'!$A$8:$H$33,MATCH(J2535,'Annual distance covered (GB)'!$A$7:$H$7,0))</f>
        <v>12.4</v>
      </c>
      <c r="N2535" s="2">
        <f t="shared" ca="1" si="92"/>
        <v>189293.80813680412</v>
      </c>
      <c r="O2535" s="180">
        <f t="shared" ca="1" si="93"/>
        <v>0.65542904873741514</v>
      </c>
      <c r="P2535" s="180"/>
      <c r="Q2535" s="180"/>
      <c r="R2535" s="180"/>
      <c r="S2535" s="180"/>
      <c r="T2535" s="180"/>
    </row>
    <row r="2536" spans="1:20" x14ac:dyDescent="0.25">
      <c r="A2536" t="s">
        <v>244</v>
      </c>
      <c r="B2536" t="s">
        <v>237</v>
      </c>
      <c r="C2536" t="s">
        <v>238</v>
      </c>
      <c r="D2536" t="s">
        <v>270</v>
      </c>
      <c r="E2536" t="s">
        <v>228</v>
      </c>
      <c r="F2536">
        <v>2014</v>
      </c>
      <c r="G2536">
        <v>2.0445678873239402E-3</v>
      </c>
      <c r="H2536" t="s">
        <v>240</v>
      </c>
      <c r="I2536" t="s">
        <v>241</v>
      </c>
      <c r="J2536" t="s">
        <v>245</v>
      </c>
      <c r="K2536" s="183">
        <f ca="1">VLOOKUP(F2536,
    OFFSET(INDIRECT(ADDRESS(MATCH(J2536,'Vehicle numbers'!$A$5:$A$162,0),1,1,1,$L$6)),4,1,COUNTIF('Vehicle numbers'!$A$5:$A$162,J2536),4),
    MATCH(K$8,'Vehicle numbers'!$B$4:$D$4,0))*1000</f>
        <v>274635</v>
      </c>
      <c r="L2536" s="183">
        <f ca="1">VLOOKUP(F2536,
    OFFSET(INDIRECT(ADDRESS(MATCH(J2536,'Vehicle numbers'!$A$5:$A$162,0),1,1,1,$L$6)),4,1,COUNTIF('Vehicle numbers'!$A$5:$A$162,J2536),4),
    MATCH(L$8,'Vehicle numbers'!$B$4:$D$4,0))*1000</f>
        <v>288809</v>
      </c>
      <c r="M2536" s="184">
        <f ca="1">VLOOKUP(F2536,'Annual distance covered (GB)'!$A$8:$H$33,MATCH(J2536,'Annual distance covered (GB)'!$A$7:$H$7,0))</f>
        <v>12.4</v>
      </c>
      <c r="N2536" s="2">
        <f t="shared" ca="1" si="92"/>
        <v>26661.099737578003</v>
      </c>
      <c r="O2536" s="180">
        <f t="shared" ca="1" si="93"/>
        <v>9.2313950526396349E-2</v>
      </c>
      <c r="P2536" s="180"/>
      <c r="Q2536" s="180"/>
      <c r="R2536" s="180"/>
      <c r="S2536" s="180"/>
      <c r="T2536" s="180"/>
    </row>
    <row r="2537" spans="1:20" x14ac:dyDescent="0.25">
      <c r="A2537" t="s">
        <v>246</v>
      </c>
      <c r="B2537" t="s">
        <v>237</v>
      </c>
      <c r="C2537" t="s">
        <v>238</v>
      </c>
      <c r="D2537" t="s">
        <v>270</v>
      </c>
      <c r="E2537" t="s">
        <v>228</v>
      </c>
      <c r="F2537">
        <v>2014</v>
      </c>
      <c r="G2537">
        <v>1.6356543098591499E-3</v>
      </c>
      <c r="H2537" t="s">
        <v>240</v>
      </c>
      <c r="I2537" t="s">
        <v>241</v>
      </c>
      <c r="J2537" t="s">
        <v>245</v>
      </c>
      <c r="K2537" s="183">
        <f ca="1">VLOOKUP(F2537,
    OFFSET(INDIRECT(ADDRESS(MATCH(J2537,'Vehicle numbers'!$A$5:$A$162,0),1,1,1,$L$6)),4,1,COUNTIF('Vehicle numbers'!$A$5:$A$162,J2537),4),
    MATCH(K$8,'Vehicle numbers'!$B$4:$D$4,0))*1000</f>
        <v>274635</v>
      </c>
      <c r="L2537" s="183">
        <f ca="1">VLOOKUP(F2537,
    OFFSET(INDIRECT(ADDRESS(MATCH(J2537,'Vehicle numbers'!$A$5:$A$162,0),1,1,1,$L$6)),4,1,COUNTIF('Vehicle numbers'!$A$5:$A$162,J2537),4),
    MATCH(L$8,'Vehicle numbers'!$B$4:$D$4,0))*1000</f>
        <v>288809</v>
      </c>
      <c r="M2537" s="184">
        <f ca="1">VLOOKUP(F2537,'Annual distance covered (GB)'!$A$8:$H$33,MATCH(J2537,'Annual distance covered (GB)'!$A$7:$H$7,0))</f>
        <v>12.4</v>
      </c>
      <c r="N2537" s="2">
        <f t="shared" ca="1" si="92"/>
        <v>21328.879790062372</v>
      </c>
      <c r="O2537" s="180">
        <f t="shared" ca="1" si="93"/>
        <v>7.3851160421116974E-2</v>
      </c>
      <c r="P2537" s="180"/>
      <c r="Q2537" s="180"/>
      <c r="R2537" s="180"/>
      <c r="S2537" s="180"/>
      <c r="T2537" s="180"/>
    </row>
    <row r="2538" spans="1:20" x14ac:dyDescent="0.25">
      <c r="A2538" t="s">
        <v>236</v>
      </c>
      <c r="B2538" t="s">
        <v>237</v>
      </c>
      <c r="C2538" t="s">
        <v>238</v>
      </c>
      <c r="D2538" t="s">
        <v>257</v>
      </c>
      <c r="E2538" t="s">
        <v>229</v>
      </c>
      <c r="F2538">
        <v>2014</v>
      </c>
      <c r="G2538">
        <v>2.1209999999999901E-3</v>
      </c>
      <c r="H2538" t="s">
        <v>240</v>
      </c>
      <c r="I2538" t="s">
        <v>241</v>
      </c>
      <c r="J2538" t="s">
        <v>188</v>
      </c>
      <c r="K2538" s="183">
        <f ca="1">VLOOKUP(F2538,
    OFFSET(INDIRECT(ADDRESS(MATCH(J2538,'Vehicle numbers'!$A$5:$A$162,0),1,1,1,$L$6)),4,1,COUNTIF('Vehicle numbers'!$A$5:$A$162,J2538),4),
    MATCH(K$8,'Vehicle numbers'!$B$4:$D$4,0))*1000</f>
        <v>3471280</v>
      </c>
      <c r="L2538" s="183">
        <f ca="1">VLOOKUP(F2538,
    OFFSET(INDIRECT(ADDRESS(MATCH(J2538,'Vehicle numbers'!$A$5:$A$162,0),1,1,1,$L$6)),4,1,COUNTIF('Vehicle numbers'!$A$5:$A$162,J2538),4),
    MATCH(L$8,'Vehicle numbers'!$B$4:$D$4,0))*1000</f>
        <v>3569613</v>
      </c>
      <c r="M2538" s="184">
        <f>VLOOKUP(F2538,'Annual distance covered (GB)'!$A$8:$H$33,MATCH(J2538,'Annual distance covered (GB)'!$A$7:$H$7,0))</f>
        <v>75</v>
      </c>
      <c r="N2538" s="2">
        <f t="shared" ca="1" si="92"/>
        <v>163581.21153436121</v>
      </c>
      <c r="O2538" s="180">
        <f t="shared" ca="1" si="93"/>
        <v>4.5826035352953168E-2</v>
      </c>
      <c r="P2538" s="180"/>
      <c r="Q2538" s="180"/>
      <c r="R2538" s="180"/>
      <c r="S2538" s="180"/>
      <c r="T2538" s="180"/>
    </row>
    <row r="2539" spans="1:20" x14ac:dyDescent="0.25">
      <c r="A2539" t="s">
        <v>243</v>
      </c>
      <c r="B2539" t="s">
        <v>237</v>
      </c>
      <c r="C2539" t="s">
        <v>238</v>
      </c>
      <c r="D2539" t="s">
        <v>257</v>
      </c>
      <c r="E2539" t="s">
        <v>229</v>
      </c>
      <c r="F2539">
        <v>2014</v>
      </c>
      <c r="G2539">
        <v>8.4839999999999601E-4</v>
      </c>
      <c r="H2539" t="s">
        <v>240</v>
      </c>
      <c r="I2539" t="s">
        <v>241</v>
      </c>
      <c r="J2539" t="s">
        <v>188</v>
      </c>
      <c r="K2539" s="183">
        <f ca="1">VLOOKUP(F2539,
    OFFSET(INDIRECT(ADDRESS(MATCH(J2539,'Vehicle numbers'!$A$5:$A$162,0),1,1,1,$L$6)),4,1,COUNTIF('Vehicle numbers'!$A$5:$A$162,J2539),4),
    MATCH(K$8,'Vehicle numbers'!$B$4:$D$4,0))*1000</f>
        <v>3471280</v>
      </c>
      <c r="L2539" s="183">
        <f ca="1">VLOOKUP(F2539,
    OFFSET(INDIRECT(ADDRESS(MATCH(J2539,'Vehicle numbers'!$A$5:$A$162,0),1,1,1,$L$6)),4,1,COUNTIF('Vehicle numbers'!$A$5:$A$162,J2539),4),
    MATCH(L$8,'Vehicle numbers'!$B$4:$D$4,0))*1000</f>
        <v>3569613</v>
      </c>
      <c r="M2539" s="184">
        <f>VLOOKUP(F2539,'Annual distance covered (GB)'!$A$8:$H$33,MATCH(J2539,'Annual distance covered (GB)'!$A$7:$H$7,0))</f>
        <v>75</v>
      </c>
      <c r="N2539" s="2">
        <f t="shared" ca="1" si="92"/>
        <v>65432.484613744484</v>
      </c>
      <c r="O2539" s="180">
        <f t="shared" ca="1" si="93"/>
        <v>1.8330414141181268E-2</v>
      </c>
      <c r="P2539" s="180"/>
      <c r="Q2539" s="180"/>
      <c r="R2539" s="180"/>
      <c r="S2539" s="180"/>
      <c r="T2539" s="180"/>
    </row>
    <row r="2540" spans="1:20" x14ac:dyDescent="0.25">
      <c r="A2540" t="s">
        <v>244</v>
      </c>
      <c r="B2540" t="s">
        <v>237</v>
      </c>
      <c r="C2540" t="s">
        <v>238</v>
      </c>
      <c r="D2540" t="s">
        <v>257</v>
      </c>
      <c r="E2540" t="s">
        <v>229</v>
      </c>
      <c r="F2540">
        <v>2014</v>
      </c>
      <c r="G2540">
        <v>2.12099999999999E-4</v>
      </c>
      <c r="H2540" t="s">
        <v>240</v>
      </c>
      <c r="I2540" t="s">
        <v>241</v>
      </c>
      <c r="J2540" t="s">
        <v>188</v>
      </c>
      <c r="K2540" s="183">
        <f ca="1">VLOOKUP(F2540,
    OFFSET(INDIRECT(ADDRESS(MATCH(J2540,'Vehicle numbers'!$A$5:$A$162,0),1,1,1,$L$6)),4,1,COUNTIF('Vehicle numbers'!$A$5:$A$162,J2540),4),
    MATCH(K$8,'Vehicle numbers'!$B$4:$D$4,0))*1000</f>
        <v>3471280</v>
      </c>
      <c r="L2540" s="183">
        <f ca="1">VLOOKUP(F2540,
    OFFSET(INDIRECT(ADDRESS(MATCH(J2540,'Vehicle numbers'!$A$5:$A$162,0),1,1,1,$L$6)),4,1,COUNTIF('Vehicle numbers'!$A$5:$A$162,J2540),4),
    MATCH(L$8,'Vehicle numbers'!$B$4:$D$4,0))*1000</f>
        <v>3569613</v>
      </c>
      <c r="M2540" s="184">
        <f>VLOOKUP(F2540,'Annual distance covered (GB)'!$A$8:$H$33,MATCH(J2540,'Annual distance covered (GB)'!$A$7:$H$7,0))</f>
        <v>75</v>
      </c>
      <c r="N2540" s="2">
        <f t="shared" ca="1" si="92"/>
        <v>16358.121153436121</v>
      </c>
      <c r="O2540" s="180">
        <f t="shared" ca="1" si="93"/>
        <v>4.582603535295317E-3</v>
      </c>
      <c r="P2540" s="180"/>
      <c r="Q2540" s="180"/>
      <c r="R2540" s="180"/>
      <c r="S2540" s="180"/>
      <c r="T2540" s="180"/>
    </row>
    <row r="2541" spans="1:20" x14ac:dyDescent="0.25">
      <c r="A2541" t="s">
        <v>246</v>
      </c>
      <c r="B2541" t="s">
        <v>237</v>
      </c>
      <c r="C2541" t="s">
        <v>238</v>
      </c>
      <c r="D2541" t="s">
        <v>257</v>
      </c>
      <c r="E2541" t="s">
        <v>229</v>
      </c>
      <c r="F2541">
        <v>2014</v>
      </c>
      <c r="G2541">
        <v>1.6967999999999901E-4</v>
      </c>
      <c r="H2541" t="s">
        <v>240</v>
      </c>
      <c r="I2541" t="s">
        <v>241</v>
      </c>
      <c r="J2541" t="s">
        <v>188</v>
      </c>
      <c r="K2541" s="183">
        <f ca="1">VLOOKUP(F2541,
    OFFSET(INDIRECT(ADDRESS(MATCH(J2541,'Vehicle numbers'!$A$5:$A$162,0),1,1,1,$L$6)),4,1,COUNTIF('Vehicle numbers'!$A$5:$A$162,J2541),4),
    MATCH(K$8,'Vehicle numbers'!$B$4:$D$4,0))*1000</f>
        <v>3471280</v>
      </c>
      <c r="L2541" s="183">
        <f ca="1">VLOOKUP(F2541,
    OFFSET(INDIRECT(ADDRESS(MATCH(J2541,'Vehicle numbers'!$A$5:$A$162,0),1,1,1,$L$6)),4,1,COUNTIF('Vehicle numbers'!$A$5:$A$162,J2541),4),
    MATCH(L$8,'Vehicle numbers'!$B$4:$D$4,0))*1000</f>
        <v>3569613</v>
      </c>
      <c r="M2541" s="184">
        <f>VLOOKUP(F2541,'Annual distance covered (GB)'!$A$8:$H$33,MATCH(J2541,'Annual distance covered (GB)'!$A$7:$H$7,0))</f>
        <v>75</v>
      </c>
      <c r="N2541" s="2">
        <f t="shared" ca="1" si="92"/>
        <v>13086.496922748884</v>
      </c>
      <c r="O2541" s="180">
        <f t="shared" ca="1" si="93"/>
        <v>3.6660828282362497E-3</v>
      </c>
      <c r="P2541" s="180"/>
      <c r="Q2541" s="180"/>
      <c r="R2541" s="180"/>
      <c r="S2541" s="180"/>
      <c r="T2541" s="180"/>
    </row>
    <row r="2542" spans="1:20" x14ac:dyDescent="0.25">
      <c r="A2542" t="s">
        <v>236</v>
      </c>
      <c r="B2542" t="s">
        <v>237</v>
      </c>
      <c r="C2542" t="s">
        <v>238</v>
      </c>
      <c r="D2542" t="s">
        <v>257</v>
      </c>
      <c r="E2542" t="s">
        <v>228</v>
      </c>
      <c r="F2542">
        <v>2014</v>
      </c>
      <c r="G2542">
        <v>9.1459999999999805E-3</v>
      </c>
      <c r="H2542" t="s">
        <v>240</v>
      </c>
      <c r="I2542" t="s">
        <v>241</v>
      </c>
      <c r="J2542" t="s">
        <v>188</v>
      </c>
      <c r="K2542" s="183">
        <f ca="1">VLOOKUP(F2542,
    OFFSET(INDIRECT(ADDRESS(MATCH(J2542,'Vehicle numbers'!$A$5:$A$162,0),1,1,1,$L$6)),4,1,COUNTIF('Vehicle numbers'!$A$5:$A$162,J2542),4),
    MATCH(K$8,'Vehicle numbers'!$B$4:$D$4,0))*1000</f>
        <v>3471280</v>
      </c>
      <c r="L2542" s="183">
        <f ca="1">VLOOKUP(F2542,
    OFFSET(INDIRECT(ADDRESS(MATCH(J2542,'Vehicle numbers'!$A$5:$A$162,0),1,1,1,$L$6)),4,1,COUNTIF('Vehicle numbers'!$A$5:$A$162,J2542),4),
    MATCH(L$8,'Vehicle numbers'!$B$4:$D$4,0))*1000</f>
        <v>3569613</v>
      </c>
      <c r="M2542" s="184">
        <f>VLOOKUP(F2542,'Annual distance covered (GB)'!$A$8:$H$33,MATCH(J2542,'Annual distance covered (GB)'!$A$7:$H$7,0))</f>
        <v>75</v>
      </c>
      <c r="N2542" s="2">
        <f t="shared" ca="1" si="92"/>
        <v>705381.31102935947</v>
      </c>
      <c r="O2542" s="180">
        <f t="shared" ca="1" si="93"/>
        <v>0.19760722269595035</v>
      </c>
      <c r="P2542" s="180"/>
      <c r="Q2542" s="180"/>
      <c r="R2542" s="180"/>
      <c r="S2542" s="180"/>
      <c r="T2542" s="180"/>
    </row>
    <row r="2543" spans="1:20" x14ac:dyDescent="0.25">
      <c r="A2543" t="s">
        <v>243</v>
      </c>
      <c r="B2543" t="s">
        <v>237</v>
      </c>
      <c r="C2543" t="s">
        <v>238</v>
      </c>
      <c r="D2543" t="s">
        <v>257</v>
      </c>
      <c r="E2543" t="s">
        <v>228</v>
      </c>
      <c r="F2543">
        <v>2014</v>
      </c>
      <c r="G2543">
        <v>6.4021999999999898E-3</v>
      </c>
      <c r="H2543" t="s">
        <v>240</v>
      </c>
      <c r="I2543" t="s">
        <v>241</v>
      </c>
      <c r="J2543" t="s">
        <v>188</v>
      </c>
      <c r="K2543" s="183">
        <f ca="1">VLOOKUP(F2543,
    OFFSET(INDIRECT(ADDRESS(MATCH(J2543,'Vehicle numbers'!$A$5:$A$162,0),1,1,1,$L$6)),4,1,COUNTIF('Vehicle numbers'!$A$5:$A$162,J2543),4),
    MATCH(K$8,'Vehicle numbers'!$B$4:$D$4,0))*1000</f>
        <v>3471280</v>
      </c>
      <c r="L2543" s="183">
        <f ca="1">VLOOKUP(F2543,
    OFFSET(INDIRECT(ADDRESS(MATCH(J2543,'Vehicle numbers'!$A$5:$A$162,0),1,1,1,$L$6)),4,1,COUNTIF('Vehicle numbers'!$A$5:$A$162,J2543),4),
    MATCH(L$8,'Vehicle numbers'!$B$4:$D$4,0))*1000</f>
        <v>3569613</v>
      </c>
      <c r="M2543" s="184">
        <f>VLOOKUP(F2543,'Annual distance covered (GB)'!$A$8:$H$33,MATCH(J2543,'Annual distance covered (GB)'!$A$7:$H$7,0))</f>
        <v>75</v>
      </c>
      <c r="N2543" s="2">
        <f t="shared" ca="1" si="92"/>
        <v>493766.91772055189</v>
      </c>
      <c r="O2543" s="180">
        <f t="shared" ca="1" si="93"/>
        <v>0.13832505588716532</v>
      </c>
      <c r="P2543" s="180"/>
      <c r="Q2543" s="180"/>
      <c r="R2543" s="180"/>
      <c r="S2543" s="180"/>
      <c r="T2543" s="180"/>
    </row>
    <row r="2544" spans="1:20" x14ac:dyDescent="0.25">
      <c r="A2544" t="s">
        <v>244</v>
      </c>
      <c r="B2544" t="s">
        <v>237</v>
      </c>
      <c r="C2544" t="s">
        <v>238</v>
      </c>
      <c r="D2544" t="s">
        <v>257</v>
      </c>
      <c r="E2544" t="s">
        <v>228</v>
      </c>
      <c r="F2544">
        <v>2014</v>
      </c>
      <c r="G2544">
        <v>9.0171830985915204E-4</v>
      </c>
      <c r="H2544" t="s">
        <v>240</v>
      </c>
      <c r="I2544" t="s">
        <v>241</v>
      </c>
      <c r="J2544" t="s">
        <v>188</v>
      </c>
      <c r="K2544" s="183">
        <f ca="1">VLOOKUP(F2544,
    OFFSET(INDIRECT(ADDRESS(MATCH(J2544,'Vehicle numbers'!$A$5:$A$162,0),1,1,1,$L$6)),4,1,COUNTIF('Vehicle numbers'!$A$5:$A$162,J2544),4),
    MATCH(K$8,'Vehicle numbers'!$B$4:$D$4,0))*1000</f>
        <v>3471280</v>
      </c>
      <c r="L2544" s="183">
        <f ca="1">VLOOKUP(F2544,
    OFFSET(INDIRECT(ADDRESS(MATCH(J2544,'Vehicle numbers'!$A$5:$A$162,0),1,1,1,$L$6)),4,1,COUNTIF('Vehicle numbers'!$A$5:$A$162,J2544),4),
    MATCH(L$8,'Vehicle numbers'!$B$4:$D$4,0))*1000</f>
        <v>3569613</v>
      </c>
      <c r="M2544" s="184">
        <f>VLOOKUP(F2544,'Annual distance covered (GB)'!$A$8:$H$33,MATCH(J2544,'Annual distance covered (GB)'!$A$7:$H$7,0))</f>
        <v>75</v>
      </c>
      <c r="N2544" s="2">
        <f t="shared" ca="1" si="92"/>
        <v>69544.636298669167</v>
      </c>
      <c r="O2544" s="180">
        <f t="shared" ca="1" si="93"/>
        <v>1.9482402237628888E-2</v>
      </c>
      <c r="P2544" s="180"/>
      <c r="Q2544" s="180"/>
      <c r="R2544" s="180"/>
      <c r="S2544" s="180"/>
      <c r="T2544" s="180"/>
    </row>
    <row r="2545" spans="1:20" x14ac:dyDescent="0.25">
      <c r="A2545" t="s">
        <v>246</v>
      </c>
      <c r="B2545" t="s">
        <v>237</v>
      </c>
      <c r="C2545" t="s">
        <v>238</v>
      </c>
      <c r="D2545" t="s">
        <v>257</v>
      </c>
      <c r="E2545" t="s">
        <v>228</v>
      </c>
      <c r="F2545">
        <v>2014</v>
      </c>
      <c r="G2545">
        <v>7.2137464788732202E-4</v>
      </c>
      <c r="H2545" t="s">
        <v>240</v>
      </c>
      <c r="I2545" t="s">
        <v>241</v>
      </c>
      <c r="J2545" t="s">
        <v>188</v>
      </c>
      <c r="K2545" s="183">
        <f ca="1">VLOOKUP(F2545,
    OFFSET(INDIRECT(ADDRESS(MATCH(J2545,'Vehicle numbers'!$A$5:$A$162,0),1,1,1,$L$6)),4,1,COUNTIF('Vehicle numbers'!$A$5:$A$162,J2545),4),
    MATCH(K$8,'Vehicle numbers'!$B$4:$D$4,0))*1000</f>
        <v>3471280</v>
      </c>
      <c r="L2545" s="183">
        <f ca="1">VLOOKUP(F2545,
    OFFSET(INDIRECT(ADDRESS(MATCH(J2545,'Vehicle numbers'!$A$5:$A$162,0),1,1,1,$L$6)),4,1,COUNTIF('Vehicle numbers'!$A$5:$A$162,J2545),4),
    MATCH(L$8,'Vehicle numbers'!$B$4:$D$4,0))*1000</f>
        <v>3569613</v>
      </c>
      <c r="M2545" s="184">
        <f>VLOOKUP(F2545,'Annual distance covered (GB)'!$A$8:$H$33,MATCH(J2545,'Annual distance covered (GB)'!$A$7:$H$7,0))</f>
        <v>75</v>
      </c>
      <c r="N2545" s="2">
        <f t="shared" ca="1" si="92"/>
        <v>55635.709038935369</v>
      </c>
      <c r="O2545" s="180">
        <f t="shared" ca="1" si="93"/>
        <v>1.5585921790103121E-2</v>
      </c>
      <c r="P2545" s="180"/>
      <c r="Q2545" s="180"/>
      <c r="R2545" s="180"/>
      <c r="S2545" s="180"/>
      <c r="T2545" s="180"/>
    </row>
    <row r="2546" spans="1:20" x14ac:dyDescent="0.25">
      <c r="A2546" t="s">
        <v>236</v>
      </c>
      <c r="B2546" t="s">
        <v>237</v>
      </c>
      <c r="C2546" t="s">
        <v>238</v>
      </c>
      <c r="D2546" t="s">
        <v>258</v>
      </c>
      <c r="E2546" t="s">
        <v>229</v>
      </c>
      <c r="F2546">
        <v>2014</v>
      </c>
      <c r="G2546">
        <v>8.6219999999999995E-3</v>
      </c>
      <c r="H2546" t="s">
        <v>240</v>
      </c>
      <c r="I2546" t="s">
        <v>241</v>
      </c>
      <c r="J2546" t="s">
        <v>188</v>
      </c>
      <c r="K2546" s="183">
        <f ca="1">VLOOKUP(F2546,
    OFFSET(INDIRECT(ADDRESS(MATCH(J2546,'Vehicle numbers'!$A$5:$A$162,0),1,1,1,$L$6)),4,1,COUNTIF('Vehicle numbers'!$A$5:$A$162,J2546),4),
    MATCH(K$8,'Vehicle numbers'!$B$4:$D$4,0))*1000</f>
        <v>3471280</v>
      </c>
      <c r="L2546" s="183">
        <f ca="1">VLOOKUP(F2546,
    OFFSET(INDIRECT(ADDRESS(MATCH(J2546,'Vehicle numbers'!$A$5:$A$162,0),1,1,1,$L$6)),4,1,COUNTIF('Vehicle numbers'!$A$5:$A$162,J2546),4),
    MATCH(L$8,'Vehicle numbers'!$B$4:$D$4,0))*1000</f>
        <v>3569613</v>
      </c>
      <c r="M2546" s="184">
        <f>VLOOKUP(F2546,'Annual distance covered (GB)'!$A$8:$H$33,MATCH(J2546,'Annual distance covered (GB)'!$A$7:$H$7,0))</f>
        <v>75</v>
      </c>
      <c r="N2546" s="2">
        <f t="shared" ca="1" si="92"/>
        <v>664968.03670404002</v>
      </c>
      <c r="O2546" s="180">
        <f t="shared" ca="1" si="93"/>
        <v>0.18628575050125604</v>
      </c>
      <c r="P2546" s="180"/>
      <c r="Q2546" s="180"/>
      <c r="R2546" s="180"/>
      <c r="S2546" s="180"/>
      <c r="T2546" s="180"/>
    </row>
    <row r="2547" spans="1:20" x14ac:dyDescent="0.25">
      <c r="A2547" t="s">
        <v>243</v>
      </c>
      <c r="B2547" t="s">
        <v>237</v>
      </c>
      <c r="C2547" t="s">
        <v>238</v>
      </c>
      <c r="D2547" t="s">
        <v>258</v>
      </c>
      <c r="E2547" t="s">
        <v>229</v>
      </c>
      <c r="F2547">
        <v>2014</v>
      </c>
      <c r="G2547">
        <v>3.4488000000000001E-3</v>
      </c>
      <c r="H2547" t="s">
        <v>240</v>
      </c>
      <c r="I2547" t="s">
        <v>241</v>
      </c>
      <c r="J2547" t="s">
        <v>188</v>
      </c>
      <c r="K2547" s="183">
        <f ca="1">VLOOKUP(F2547,
    OFFSET(INDIRECT(ADDRESS(MATCH(J2547,'Vehicle numbers'!$A$5:$A$162,0),1,1,1,$L$6)),4,1,COUNTIF('Vehicle numbers'!$A$5:$A$162,J2547),4),
    MATCH(K$8,'Vehicle numbers'!$B$4:$D$4,0))*1000</f>
        <v>3471280</v>
      </c>
      <c r="L2547" s="183">
        <f ca="1">VLOOKUP(F2547,
    OFFSET(INDIRECT(ADDRESS(MATCH(J2547,'Vehicle numbers'!$A$5:$A$162,0),1,1,1,$L$6)),4,1,COUNTIF('Vehicle numbers'!$A$5:$A$162,J2547),4),
    MATCH(L$8,'Vehicle numbers'!$B$4:$D$4,0))*1000</f>
        <v>3569613</v>
      </c>
      <c r="M2547" s="184">
        <f>VLOOKUP(F2547,'Annual distance covered (GB)'!$A$8:$H$33,MATCH(J2547,'Annual distance covered (GB)'!$A$7:$H$7,0))</f>
        <v>75</v>
      </c>
      <c r="N2547" s="2">
        <f t="shared" ca="1" si="92"/>
        <v>265987.21468161605</v>
      </c>
      <c r="O2547" s="180">
        <f t="shared" ca="1" si="93"/>
        <v>7.4514300200502426E-2</v>
      </c>
      <c r="P2547" s="180"/>
      <c r="Q2547" s="180"/>
      <c r="R2547" s="180"/>
      <c r="S2547" s="180"/>
      <c r="T2547" s="180"/>
    </row>
    <row r="2548" spans="1:20" x14ac:dyDescent="0.25">
      <c r="A2548" t="s">
        <v>244</v>
      </c>
      <c r="B2548" t="s">
        <v>237</v>
      </c>
      <c r="C2548" t="s">
        <v>238</v>
      </c>
      <c r="D2548" t="s">
        <v>258</v>
      </c>
      <c r="E2548" t="s">
        <v>229</v>
      </c>
      <c r="F2548">
        <v>2014</v>
      </c>
      <c r="G2548">
        <v>8.6220000000000003E-4</v>
      </c>
      <c r="H2548" t="s">
        <v>240</v>
      </c>
      <c r="I2548" t="s">
        <v>241</v>
      </c>
      <c r="J2548" t="s">
        <v>188</v>
      </c>
      <c r="K2548" s="183">
        <f ca="1">VLOOKUP(F2548,
    OFFSET(INDIRECT(ADDRESS(MATCH(J2548,'Vehicle numbers'!$A$5:$A$162,0),1,1,1,$L$6)),4,1,COUNTIF('Vehicle numbers'!$A$5:$A$162,J2548),4),
    MATCH(K$8,'Vehicle numbers'!$B$4:$D$4,0))*1000</f>
        <v>3471280</v>
      </c>
      <c r="L2548" s="183">
        <f ca="1">VLOOKUP(F2548,
    OFFSET(INDIRECT(ADDRESS(MATCH(J2548,'Vehicle numbers'!$A$5:$A$162,0),1,1,1,$L$6)),4,1,COUNTIF('Vehicle numbers'!$A$5:$A$162,J2548),4),
    MATCH(L$8,'Vehicle numbers'!$B$4:$D$4,0))*1000</f>
        <v>3569613</v>
      </c>
      <c r="M2548" s="184">
        <f>VLOOKUP(F2548,'Annual distance covered (GB)'!$A$8:$H$33,MATCH(J2548,'Annual distance covered (GB)'!$A$7:$H$7,0))</f>
        <v>75</v>
      </c>
      <c r="N2548" s="2">
        <f t="shared" ca="1" si="92"/>
        <v>66496.803670404013</v>
      </c>
      <c r="O2548" s="180">
        <f t="shared" ca="1" si="93"/>
        <v>1.8628575050125606E-2</v>
      </c>
      <c r="P2548" s="180"/>
      <c r="Q2548" s="180"/>
      <c r="R2548" s="180"/>
      <c r="S2548" s="180"/>
      <c r="T2548" s="180"/>
    </row>
    <row r="2549" spans="1:20" x14ac:dyDescent="0.25">
      <c r="A2549" t="s">
        <v>246</v>
      </c>
      <c r="B2549" t="s">
        <v>237</v>
      </c>
      <c r="C2549" t="s">
        <v>238</v>
      </c>
      <c r="D2549" t="s">
        <v>258</v>
      </c>
      <c r="E2549" t="s">
        <v>229</v>
      </c>
      <c r="F2549">
        <v>2014</v>
      </c>
      <c r="G2549">
        <v>6.8975999999999998E-4</v>
      </c>
      <c r="H2549" t="s">
        <v>240</v>
      </c>
      <c r="I2549" t="s">
        <v>241</v>
      </c>
      <c r="J2549" t="s">
        <v>188</v>
      </c>
      <c r="K2549" s="183">
        <f ca="1">VLOOKUP(F2549,
    OFFSET(INDIRECT(ADDRESS(MATCH(J2549,'Vehicle numbers'!$A$5:$A$162,0),1,1,1,$L$6)),4,1,COUNTIF('Vehicle numbers'!$A$5:$A$162,J2549),4),
    MATCH(K$8,'Vehicle numbers'!$B$4:$D$4,0))*1000</f>
        <v>3471280</v>
      </c>
      <c r="L2549" s="183">
        <f ca="1">VLOOKUP(F2549,
    OFFSET(INDIRECT(ADDRESS(MATCH(J2549,'Vehicle numbers'!$A$5:$A$162,0),1,1,1,$L$6)),4,1,COUNTIF('Vehicle numbers'!$A$5:$A$162,J2549),4),
    MATCH(L$8,'Vehicle numbers'!$B$4:$D$4,0))*1000</f>
        <v>3569613</v>
      </c>
      <c r="M2549" s="184">
        <f>VLOOKUP(F2549,'Annual distance covered (GB)'!$A$8:$H$33,MATCH(J2549,'Annual distance covered (GB)'!$A$7:$H$7,0))</f>
        <v>75</v>
      </c>
      <c r="N2549" s="2">
        <f t="shared" ca="1" si="92"/>
        <v>53197.442936323205</v>
      </c>
      <c r="O2549" s="180">
        <f t="shared" ca="1" si="93"/>
        <v>1.4902860040100482E-2</v>
      </c>
      <c r="P2549" s="180"/>
      <c r="Q2549" s="180"/>
      <c r="R2549" s="180"/>
      <c r="S2549" s="180"/>
      <c r="T2549" s="180"/>
    </row>
    <row r="2550" spans="1:20" x14ac:dyDescent="0.25">
      <c r="A2550" t="s">
        <v>236</v>
      </c>
      <c r="B2550" t="s">
        <v>237</v>
      </c>
      <c r="C2550" t="s">
        <v>238</v>
      </c>
      <c r="D2550" t="s">
        <v>258</v>
      </c>
      <c r="E2550" t="s">
        <v>228</v>
      </c>
      <c r="F2550">
        <v>2014</v>
      </c>
      <c r="G2550">
        <v>1.0741000000000001E-2</v>
      </c>
      <c r="H2550" t="s">
        <v>240</v>
      </c>
      <c r="I2550" t="s">
        <v>241</v>
      </c>
      <c r="J2550" t="s">
        <v>188</v>
      </c>
      <c r="K2550" s="183">
        <f ca="1">VLOOKUP(F2550,
    OFFSET(INDIRECT(ADDRESS(MATCH(J2550,'Vehicle numbers'!$A$5:$A$162,0),1,1,1,$L$6)),4,1,COUNTIF('Vehicle numbers'!$A$5:$A$162,J2550),4),
    MATCH(K$8,'Vehicle numbers'!$B$4:$D$4,0))*1000</f>
        <v>3471280</v>
      </c>
      <c r="L2550" s="183">
        <f ca="1">VLOOKUP(F2550,
    OFFSET(INDIRECT(ADDRESS(MATCH(J2550,'Vehicle numbers'!$A$5:$A$162,0),1,1,1,$L$6)),4,1,COUNTIF('Vehicle numbers'!$A$5:$A$162,J2550),4),
    MATCH(L$8,'Vehicle numbers'!$B$4:$D$4,0))*1000</f>
        <v>3569613</v>
      </c>
      <c r="M2550" s="184">
        <f>VLOOKUP(F2550,'Annual distance covered (GB)'!$A$8:$H$33,MATCH(J2550,'Annual distance covered (GB)'!$A$7:$H$7,0))</f>
        <v>75</v>
      </c>
      <c r="N2550" s="2">
        <f t="shared" ca="1" si="92"/>
        <v>828394.99909975578</v>
      </c>
      <c r="O2550" s="180">
        <f t="shared" ca="1" si="93"/>
        <v>0.23206857412827547</v>
      </c>
      <c r="P2550" s="180"/>
      <c r="Q2550" s="180"/>
      <c r="R2550" s="180"/>
      <c r="S2550" s="180"/>
      <c r="T2550" s="180"/>
    </row>
    <row r="2551" spans="1:20" x14ac:dyDescent="0.25">
      <c r="A2551" t="s">
        <v>243</v>
      </c>
      <c r="B2551" t="s">
        <v>237</v>
      </c>
      <c r="C2551" t="s">
        <v>238</v>
      </c>
      <c r="D2551" t="s">
        <v>258</v>
      </c>
      <c r="E2551" t="s">
        <v>228</v>
      </c>
      <c r="F2551">
        <v>2014</v>
      </c>
      <c r="G2551">
        <v>7.5186999999999997E-3</v>
      </c>
      <c r="H2551" t="s">
        <v>240</v>
      </c>
      <c r="I2551" t="s">
        <v>241</v>
      </c>
      <c r="J2551" t="s">
        <v>188</v>
      </c>
      <c r="K2551" s="183">
        <f ca="1">VLOOKUP(F2551,
    OFFSET(INDIRECT(ADDRESS(MATCH(J2551,'Vehicle numbers'!$A$5:$A$162,0),1,1,1,$L$6)),4,1,COUNTIF('Vehicle numbers'!$A$5:$A$162,J2551),4),
    MATCH(K$8,'Vehicle numbers'!$B$4:$D$4,0))*1000</f>
        <v>3471280</v>
      </c>
      <c r="L2551" s="183">
        <f ca="1">VLOOKUP(F2551,
    OFFSET(INDIRECT(ADDRESS(MATCH(J2551,'Vehicle numbers'!$A$5:$A$162,0),1,1,1,$L$6)),4,1,COUNTIF('Vehicle numbers'!$A$5:$A$162,J2551),4),
    MATCH(L$8,'Vehicle numbers'!$B$4:$D$4,0))*1000</f>
        <v>3569613</v>
      </c>
      <c r="M2551" s="184">
        <f>VLOOKUP(F2551,'Annual distance covered (GB)'!$A$8:$H$33,MATCH(J2551,'Annual distance covered (GB)'!$A$7:$H$7,0))</f>
        <v>75</v>
      </c>
      <c r="N2551" s="2">
        <f t="shared" ca="1" si="92"/>
        <v>579876.49936982908</v>
      </c>
      <c r="O2551" s="180">
        <f t="shared" ca="1" si="93"/>
        <v>0.16244800188979283</v>
      </c>
      <c r="P2551" s="180"/>
      <c r="Q2551" s="180"/>
      <c r="R2551" s="180"/>
      <c r="S2551" s="180"/>
      <c r="T2551" s="180"/>
    </row>
    <row r="2552" spans="1:20" x14ac:dyDescent="0.25">
      <c r="A2552" t="s">
        <v>244</v>
      </c>
      <c r="B2552" t="s">
        <v>237</v>
      </c>
      <c r="C2552" t="s">
        <v>238</v>
      </c>
      <c r="D2552" t="s">
        <v>258</v>
      </c>
      <c r="E2552" t="s">
        <v>228</v>
      </c>
      <c r="F2552">
        <v>2014</v>
      </c>
      <c r="G2552">
        <v>1.05897183098591E-3</v>
      </c>
      <c r="H2552" t="s">
        <v>240</v>
      </c>
      <c r="I2552" t="s">
        <v>241</v>
      </c>
      <c r="J2552" t="s">
        <v>188</v>
      </c>
      <c r="K2552" s="183">
        <f ca="1">VLOOKUP(F2552,
    OFFSET(INDIRECT(ADDRESS(MATCH(J2552,'Vehicle numbers'!$A$5:$A$162,0),1,1,1,$L$6)),4,1,COUNTIF('Vehicle numbers'!$A$5:$A$162,J2552),4),
    MATCH(K$8,'Vehicle numbers'!$B$4:$D$4,0))*1000</f>
        <v>3471280</v>
      </c>
      <c r="L2552" s="183">
        <f ca="1">VLOOKUP(F2552,
    OFFSET(INDIRECT(ADDRESS(MATCH(J2552,'Vehicle numbers'!$A$5:$A$162,0),1,1,1,$L$6)),4,1,COUNTIF('Vehicle numbers'!$A$5:$A$162,J2552),4),
    MATCH(L$8,'Vehicle numbers'!$B$4:$D$4,0))*1000</f>
        <v>3569613</v>
      </c>
      <c r="M2552" s="184">
        <f>VLOOKUP(F2552,'Annual distance covered (GB)'!$A$8:$H$33,MATCH(J2552,'Annual distance covered (GB)'!$A$7:$H$7,0))</f>
        <v>75</v>
      </c>
      <c r="N2552" s="2">
        <f t="shared" ca="1" si="92"/>
        <v>81672.746390116343</v>
      </c>
      <c r="O2552" s="180">
        <f t="shared" ca="1" si="93"/>
        <v>2.2880000266167884E-2</v>
      </c>
      <c r="P2552" s="180"/>
      <c r="Q2552" s="180"/>
      <c r="R2552" s="180"/>
      <c r="S2552" s="180"/>
      <c r="T2552" s="180"/>
    </row>
    <row r="2553" spans="1:20" x14ac:dyDescent="0.25">
      <c r="A2553" t="s">
        <v>246</v>
      </c>
      <c r="B2553" t="s">
        <v>237</v>
      </c>
      <c r="C2553" t="s">
        <v>238</v>
      </c>
      <c r="D2553" t="s">
        <v>258</v>
      </c>
      <c r="E2553" t="s">
        <v>228</v>
      </c>
      <c r="F2553">
        <v>2014</v>
      </c>
      <c r="G2553">
        <v>8.47177464788731E-4</v>
      </c>
      <c r="H2553" t="s">
        <v>240</v>
      </c>
      <c r="I2553" t="s">
        <v>241</v>
      </c>
      <c r="J2553" t="s">
        <v>188</v>
      </c>
      <c r="K2553" s="183">
        <f ca="1">VLOOKUP(F2553,
    OFFSET(INDIRECT(ADDRESS(MATCH(J2553,'Vehicle numbers'!$A$5:$A$162,0),1,1,1,$L$6)),4,1,COUNTIF('Vehicle numbers'!$A$5:$A$162,J2553),4),
    MATCH(K$8,'Vehicle numbers'!$B$4:$D$4,0))*1000</f>
        <v>3471280</v>
      </c>
      <c r="L2553" s="183">
        <f ca="1">VLOOKUP(F2553,
    OFFSET(INDIRECT(ADDRESS(MATCH(J2553,'Vehicle numbers'!$A$5:$A$162,0),1,1,1,$L$6)),4,1,COUNTIF('Vehicle numbers'!$A$5:$A$162,J2553),4),
    MATCH(L$8,'Vehicle numbers'!$B$4:$D$4,0))*1000</f>
        <v>3569613</v>
      </c>
      <c r="M2553" s="184">
        <f>VLOOKUP(F2553,'Annual distance covered (GB)'!$A$8:$H$33,MATCH(J2553,'Annual distance covered (GB)'!$A$7:$H$7,0))</f>
        <v>75</v>
      </c>
      <c r="N2553" s="2">
        <f t="shared" ca="1" si="92"/>
        <v>65338.197112093316</v>
      </c>
      <c r="O2553" s="180">
        <f t="shared" ca="1" si="93"/>
        <v>1.8304000212934376E-2</v>
      </c>
      <c r="P2553" s="180"/>
      <c r="Q2553" s="180"/>
      <c r="R2553" s="180"/>
      <c r="S2553" s="180"/>
      <c r="T2553" s="180"/>
    </row>
    <row r="2554" spans="1:20" x14ac:dyDescent="0.25">
      <c r="A2554" t="s">
        <v>236</v>
      </c>
      <c r="B2554" t="s">
        <v>237</v>
      </c>
      <c r="C2554" t="s">
        <v>238</v>
      </c>
      <c r="D2554" t="s">
        <v>259</v>
      </c>
      <c r="E2554" t="s">
        <v>229</v>
      </c>
      <c r="F2554">
        <v>2014</v>
      </c>
      <c r="G2554">
        <v>1.8218999999999999E-2</v>
      </c>
      <c r="H2554" t="s">
        <v>240</v>
      </c>
      <c r="I2554" t="s">
        <v>241</v>
      </c>
      <c r="J2554" t="s">
        <v>188</v>
      </c>
      <c r="K2554" s="183">
        <f ca="1">VLOOKUP(F2554,
    OFFSET(INDIRECT(ADDRESS(MATCH(J2554,'Vehicle numbers'!$A$5:$A$162,0),1,1,1,$L$6)),4,1,COUNTIF('Vehicle numbers'!$A$5:$A$162,J2554),4),
    MATCH(K$8,'Vehicle numbers'!$B$4:$D$4,0))*1000</f>
        <v>3471280</v>
      </c>
      <c r="L2554" s="183">
        <f ca="1">VLOOKUP(F2554,
    OFFSET(INDIRECT(ADDRESS(MATCH(J2554,'Vehicle numbers'!$A$5:$A$162,0),1,1,1,$L$6)),4,1,COUNTIF('Vehicle numbers'!$A$5:$A$162,J2554),4),
    MATCH(L$8,'Vehicle numbers'!$B$4:$D$4,0))*1000</f>
        <v>3569613</v>
      </c>
      <c r="M2554" s="184">
        <f>VLOOKUP(F2554,'Annual distance covered (GB)'!$A$8:$H$33,MATCH(J2554,'Annual distance covered (GB)'!$A$7:$H$7,0))</f>
        <v>75</v>
      </c>
      <c r="N2554" s="2">
        <f t="shared" ca="1" si="92"/>
        <v>1405132.5284981334</v>
      </c>
      <c r="O2554" s="180">
        <f t="shared" ca="1" si="93"/>
        <v>0.39363721739531243</v>
      </c>
      <c r="P2554" s="180"/>
      <c r="Q2554" s="180"/>
      <c r="R2554" s="180"/>
      <c r="S2554" s="180"/>
      <c r="T2554" s="180"/>
    </row>
    <row r="2555" spans="1:20" x14ac:dyDescent="0.25">
      <c r="A2555" t="s">
        <v>243</v>
      </c>
      <c r="B2555" t="s">
        <v>237</v>
      </c>
      <c r="C2555" t="s">
        <v>238</v>
      </c>
      <c r="D2555" t="s">
        <v>259</v>
      </c>
      <c r="E2555" t="s">
        <v>229</v>
      </c>
      <c r="F2555">
        <v>2014</v>
      </c>
      <c r="G2555">
        <v>7.2876E-3</v>
      </c>
      <c r="H2555" t="s">
        <v>240</v>
      </c>
      <c r="I2555" t="s">
        <v>241</v>
      </c>
      <c r="J2555" t="s">
        <v>188</v>
      </c>
      <c r="K2555" s="183">
        <f ca="1">VLOOKUP(F2555,
    OFFSET(INDIRECT(ADDRESS(MATCH(J2555,'Vehicle numbers'!$A$5:$A$162,0),1,1,1,$L$6)),4,1,COUNTIF('Vehicle numbers'!$A$5:$A$162,J2555),4),
    MATCH(K$8,'Vehicle numbers'!$B$4:$D$4,0))*1000</f>
        <v>3471280</v>
      </c>
      <c r="L2555" s="183">
        <f ca="1">VLOOKUP(F2555,
    OFFSET(INDIRECT(ADDRESS(MATCH(J2555,'Vehicle numbers'!$A$5:$A$162,0),1,1,1,$L$6)),4,1,COUNTIF('Vehicle numbers'!$A$5:$A$162,J2555),4),
    MATCH(L$8,'Vehicle numbers'!$B$4:$D$4,0))*1000</f>
        <v>3569613</v>
      </c>
      <c r="M2555" s="184">
        <f>VLOOKUP(F2555,'Annual distance covered (GB)'!$A$8:$H$33,MATCH(J2555,'Annual distance covered (GB)'!$A$7:$H$7,0))</f>
        <v>75</v>
      </c>
      <c r="N2555" s="2">
        <f t="shared" ca="1" si="92"/>
        <v>562053.01139925339</v>
      </c>
      <c r="O2555" s="180">
        <f t="shared" ca="1" si="93"/>
        <v>0.15745488695812498</v>
      </c>
      <c r="P2555" s="180"/>
      <c r="Q2555" s="180"/>
      <c r="R2555" s="180"/>
      <c r="S2555" s="180"/>
      <c r="T2555" s="180"/>
    </row>
    <row r="2556" spans="1:20" x14ac:dyDescent="0.25">
      <c r="A2556" t="s">
        <v>244</v>
      </c>
      <c r="B2556" t="s">
        <v>237</v>
      </c>
      <c r="C2556" t="s">
        <v>238</v>
      </c>
      <c r="D2556" t="s">
        <v>259</v>
      </c>
      <c r="E2556" t="s">
        <v>229</v>
      </c>
      <c r="F2556">
        <v>2014</v>
      </c>
      <c r="G2556">
        <v>1.8219E-3</v>
      </c>
      <c r="H2556" t="s">
        <v>240</v>
      </c>
      <c r="I2556" t="s">
        <v>241</v>
      </c>
      <c r="J2556" t="s">
        <v>188</v>
      </c>
      <c r="K2556" s="183">
        <f ca="1">VLOOKUP(F2556,
    OFFSET(INDIRECT(ADDRESS(MATCH(J2556,'Vehicle numbers'!$A$5:$A$162,0),1,1,1,$L$6)),4,1,COUNTIF('Vehicle numbers'!$A$5:$A$162,J2556),4),
    MATCH(K$8,'Vehicle numbers'!$B$4:$D$4,0))*1000</f>
        <v>3471280</v>
      </c>
      <c r="L2556" s="183">
        <f ca="1">VLOOKUP(F2556,
    OFFSET(INDIRECT(ADDRESS(MATCH(J2556,'Vehicle numbers'!$A$5:$A$162,0),1,1,1,$L$6)),4,1,COUNTIF('Vehicle numbers'!$A$5:$A$162,J2556),4),
    MATCH(L$8,'Vehicle numbers'!$B$4:$D$4,0))*1000</f>
        <v>3569613</v>
      </c>
      <c r="M2556" s="184">
        <f>VLOOKUP(F2556,'Annual distance covered (GB)'!$A$8:$H$33,MATCH(J2556,'Annual distance covered (GB)'!$A$7:$H$7,0))</f>
        <v>75</v>
      </c>
      <c r="N2556" s="2">
        <f t="shared" ca="1" si="92"/>
        <v>140513.25284981335</v>
      </c>
      <c r="O2556" s="180">
        <f t="shared" ca="1" si="93"/>
        <v>3.9363721739531246E-2</v>
      </c>
      <c r="P2556" s="180"/>
      <c r="Q2556" s="180"/>
      <c r="R2556" s="180"/>
      <c r="S2556" s="180"/>
      <c r="T2556" s="180"/>
    </row>
    <row r="2557" spans="1:20" x14ac:dyDescent="0.25">
      <c r="A2557" t="s">
        <v>246</v>
      </c>
      <c r="B2557" t="s">
        <v>237</v>
      </c>
      <c r="C2557" t="s">
        <v>238</v>
      </c>
      <c r="D2557" t="s">
        <v>259</v>
      </c>
      <c r="E2557" t="s">
        <v>229</v>
      </c>
      <c r="F2557">
        <v>2014</v>
      </c>
      <c r="G2557">
        <v>1.4575199999999999E-3</v>
      </c>
      <c r="H2557" t="s">
        <v>240</v>
      </c>
      <c r="I2557" t="s">
        <v>241</v>
      </c>
      <c r="J2557" t="s">
        <v>188</v>
      </c>
      <c r="K2557" s="183">
        <f ca="1">VLOOKUP(F2557,
    OFFSET(INDIRECT(ADDRESS(MATCH(J2557,'Vehicle numbers'!$A$5:$A$162,0),1,1,1,$L$6)),4,1,COUNTIF('Vehicle numbers'!$A$5:$A$162,J2557),4),
    MATCH(K$8,'Vehicle numbers'!$B$4:$D$4,0))*1000</f>
        <v>3471280</v>
      </c>
      <c r="L2557" s="183">
        <f ca="1">VLOOKUP(F2557,
    OFFSET(INDIRECT(ADDRESS(MATCH(J2557,'Vehicle numbers'!$A$5:$A$162,0),1,1,1,$L$6)),4,1,COUNTIF('Vehicle numbers'!$A$5:$A$162,J2557),4),
    MATCH(L$8,'Vehicle numbers'!$B$4:$D$4,0))*1000</f>
        <v>3569613</v>
      </c>
      <c r="M2557" s="184">
        <f>VLOOKUP(F2557,'Annual distance covered (GB)'!$A$8:$H$33,MATCH(J2557,'Annual distance covered (GB)'!$A$7:$H$7,0))</f>
        <v>75</v>
      </c>
      <c r="N2557" s="2">
        <f t="shared" ca="1" si="92"/>
        <v>112410.60227985067</v>
      </c>
      <c r="O2557" s="180">
        <f t="shared" ca="1" si="93"/>
        <v>3.1490977391624993E-2</v>
      </c>
      <c r="P2557" s="180"/>
      <c r="Q2557" s="180"/>
      <c r="R2557" s="180"/>
      <c r="S2557" s="180"/>
      <c r="T2557" s="180"/>
    </row>
    <row r="2558" spans="1:20" x14ac:dyDescent="0.25">
      <c r="A2558" t="s">
        <v>236</v>
      </c>
      <c r="B2558" t="s">
        <v>237</v>
      </c>
      <c r="C2558" t="s">
        <v>238</v>
      </c>
      <c r="D2558" t="s">
        <v>259</v>
      </c>
      <c r="E2558" t="s">
        <v>228</v>
      </c>
      <c r="F2558">
        <v>2014</v>
      </c>
      <c r="G2558">
        <v>1.3802E-2</v>
      </c>
      <c r="H2558" t="s">
        <v>240</v>
      </c>
      <c r="I2558" t="s">
        <v>241</v>
      </c>
      <c r="J2558" t="s">
        <v>188</v>
      </c>
      <c r="K2558" s="183">
        <f ca="1">VLOOKUP(F2558,
    OFFSET(INDIRECT(ADDRESS(MATCH(J2558,'Vehicle numbers'!$A$5:$A$162,0),1,1,1,$L$6)),4,1,COUNTIF('Vehicle numbers'!$A$5:$A$162,J2558),4),
    MATCH(K$8,'Vehicle numbers'!$B$4:$D$4,0))*1000</f>
        <v>3471280</v>
      </c>
      <c r="L2558" s="183">
        <f ca="1">VLOOKUP(F2558,
    OFFSET(INDIRECT(ADDRESS(MATCH(J2558,'Vehicle numbers'!$A$5:$A$162,0),1,1,1,$L$6)),4,1,COUNTIF('Vehicle numbers'!$A$5:$A$162,J2558),4),
    MATCH(L$8,'Vehicle numbers'!$B$4:$D$4,0))*1000</f>
        <v>3569613</v>
      </c>
      <c r="M2558" s="184">
        <f>VLOOKUP(F2558,'Annual distance covered (GB)'!$A$8:$H$33,MATCH(J2558,'Annual distance covered (GB)'!$A$7:$H$7,0))</f>
        <v>75</v>
      </c>
      <c r="N2558" s="2">
        <f t="shared" ca="1" si="92"/>
        <v>1064473.3057978614</v>
      </c>
      <c r="O2558" s="180">
        <f t="shared" ca="1" si="93"/>
        <v>0.29820412067018509</v>
      </c>
      <c r="P2558" s="180"/>
      <c r="Q2558" s="180"/>
      <c r="R2558" s="180"/>
      <c r="S2558" s="180"/>
      <c r="T2558" s="180"/>
    </row>
    <row r="2559" spans="1:20" x14ac:dyDescent="0.25">
      <c r="A2559" t="s">
        <v>243</v>
      </c>
      <c r="B2559" t="s">
        <v>237</v>
      </c>
      <c r="C2559" t="s">
        <v>238</v>
      </c>
      <c r="D2559" t="s">
        <v>259</v>
      </c>
      <c r="E2559" t="s">
        <v>228</v>
      </c>
      <c r="F2559">
        <v>2014</v>
      </c>
      <c r="G2559">
        <v>9.6614000000000005E-3</v>
      </c>
      <c r="H2559" t="s">
        <v>240</v>
      </c>
      <c r="I2559" t="s">
        <v>241</v>
      </c>
      <c r="J2559" t="s">
        <v>188</v>
      </c>
      <c r="K2559" s="183">
        <f ca="1">VLOOKUP(F2559,
    OFFSET(INDIRECT(ADDRESS(MATCH(J2559,'Vehicle numbers'!$A$5:$A$162,0),1,1,1,$L$6)),4,1,COUNTIF('Vehicle numbers'!$A$5:$A$162,J2559),4),
    MATCH(K$8,'Vehicle numbers'!$B$4:$D$4,0))*1000</f>
        <v>3471280</v>
      </c>
      <c r="L2559" s="183">
        <f ca="1">VLOOKUP(F2559,
    OFFSET(INDIRECT(ADDRESS(MATCH(J2559,'Vehicle numbers'!$A$5:$A$162,0),1,1,1,$L$6)),4,1,COUNTIF('Vehicle numbers'!$A$5:$A$162,J2559),4),
    MATCH(L$8,'Vehicle numbers'!$B$4:$D$4,0))*1000</f>
        <v>3569613</v>
      </c>
      <c r="M2559" s="184">
        <f>VLOOKUP(F2559,'Annual distance covered (GB)'!$A$8:$H$33,MATCH(J2559,'Annual distance covered (GB)'!$A$7:$H$7,0))</f>
        <v>75</v>
      </c>
      <c r="N2559" s="2">
        <f t="shared" ca="1" si="92"/>
        <v>745131.31405850302</v>
      </c>
      <c r="O2559" s="180">
        <f t="shared" ca="1" si="93"/>
        <v>0.20874288446912959</v>
      </c>
      <c r="P2559" s="180"/>
      <c r="Q2559" s="180"/>
      <c r="R2559" s="180"/>
      <c r="S2559" s="180"/>
      <c r="T2559" s="180"/>
    </row>
    <row r="2560" spans="1:20" x14ac:dyDescent="0.25">
      <c r="A2560" t="s">
        <v>244</v>
      </c>
      <c r="B2560" t="s">
        <v>237</v>
      </c>
      <c r="C2560" t="s">
        <v>238</v>
      </c>
      <c r="D2560" t="s">
        <v>259</v>
      </c>
      <c r="E2560" t="s">
        <v>228</v>
      </c>
      <c r="F2560">
        <v>2014</v>
      </c>
      <c r="G2560">
        <v>1.3607605633802801E-3</v>
      </c>
      <c r="H2560" t="s">
        <v>240</v>
      </c>
      <c r="I2560" t="s">
        <v>241</v>
      </c>
      <c r="J2560" t="s">
        <v>188</v>
      </c>
      <c r="K2560" s="183">
        <f ca="1">VLOOKUP(F2560,
    OFFSET(INDIRECT(ADDRESS(MATCH(J2560,'Vehicle numbers'!$A$5:$A$162,0),1,1,1,$L$6)),4,1,COUNTIF('Vehicle numbers'!$A$5:$A$162,J2560),4),
    MATCH(K$8,'Vehicle numbers'!$B$4:$D$4,0))*1000</f>
        <v>3471280</v>
      </c>
      <c r="L2560" s="183">
        <f ca="1">VLOOKUP(F2560,
    OFFSET(INDIRECT(ADDRESS(MATCH(J2560,'Vehicle numbers'!$A$5:$A$162,0),1,1,1,$L$6)),4,1,COUNTIF('Vehicle numbers'!$A$5:$A$162,J2560),4),
    MATCH(L$8,'Vehicle numbers'!$B$4:$D$4,0))*1000</f>
        <v>3569613</v>
      </c>
      <c r="M2560" s="184">
        <f>VLOOKUP(F2560,'Annual distance covered (GB)'!$A$8:$H$33,MATCH(J2560,'Annual distance covered (GB)'!$A$7:$H$7,0))</f>
        <v>75</v>
      </c>
      <c r="N2560" s="2">
        <f t="shared" ca="1" si="92"/>
        <v>104948.07240260593</v>
      </c>
      <c r="O2560" s="180">
        <f t="shared" ca="1" si="93"/>
        <v>2.9400406263257652E-2</v>
      </c>
      <c r="P2560" s="180"/>
      <c r="Q2560" s="180"/>
      <c r="R2560" s="180"/>
      <c r="S2560" s="180"/>
      <c r="T2560" s="180"/>
    </row>
    <row r="2561" spans="1:20" x14ac:dyDescent="0.25">
      <c r="A2561" t="s">
        <v>246</v>
      </c>
      <c r="B2561" t="s">
        <v>237</v>
      </c>
      <c r="C2561" t="s">
        <v>238</v>
      </c>
      <c r="D2561" t="s">
        <v>259</v>
      </c>
      <c r="E2561" t="s">
        <v>228</v>
      </c>
      <c r="F2561">
        <v>2014</v>
      </c>
      <c r="G2561">
        <v>1.0886084507042201E-3</v>
      </c>
      <c r="H2561" t="s">
        <v>240</v>
      </c>
      <c r="I2561" t="s">
        <v>241</v>
      </c>
      <c r="J2561" t="s">
        <v>188</v>
      </c>
      <c r="K2561" s="183">
        <f ca="1">VLOOKUP(F2561,
    OFFSET(INDIRECT(ADDRESS(MATCH(J2561,'Vehicle numbers'!$A$5:$A$162,0),1,1,1,$L$6)),4,1,COUNTIF('Vehicle numbers'!$A$5:$A$162,J2561),4),
    MATCH(K$8,'Vehicle numbers'!$B$4:$D$4,0))*1000</f>
        <v>3471280</v>
      </c>
      <c r="L2561" s="183">
        <f ca="1">VLOOKUP(F2561,
    OFFSET(INDIRECT(ADDRESS(MATCH(J2561,'Vehicle numbers'!$A$5:$A$162,0),1,1,1,$L$6)),4,1,COUNTIF('Vehicle numbers'!$A$5:$A$162,J2561),4),
    MATCH(L$8,'Vehicle numbers'!$B$4:$D$4,0))*1000</f>
        <v>3569613</v>
      </c>
      <c r="M2561" s="184">
        <f>VLOOKUP(F2561,'Annual distance covered (GB)'!$A$8:$H$33,MATCH(J2561,'Annual distance covered (GB)'!$A$7:$H$7,0))</f>
        <v>75</v>
      </c>
      <c r="N2561" s="2">
        <f t="shared" ca="1" si="92"/>
        <v>83958.457922084432</v>
      </c>
      <c r="O2561" s="180">
        <f t="shared" ca="1" si="93"/>
        <v>2.3520325010606032E-2</v>
      </c>
      <c r="P2561" s="180"/>
      <c r="Q2561" s="180"/>
      <c r="R2561" s="180"/>
      <c r="S2561" s="180"/>
      <c r="T2561" s="180"/>
    </row>
    <row r="2562" spans="1:20" x14ac:dyDescent="0.25">
      <c r="A2562" t="s">
        <v>236</v>
      </c>
      <c r="B2562" t="s">
        <v>237</v>
      </c>
      <c r="C2562" t="s">
        <v>238</v>
      </c>
      <c r="D2562" t="s">
        <v>260</v>
      </c>
      <c r="E2562" t="s">
        <v>229</v>
      </c>
      <c r="F2562">
        <v>2014</v>
      </c>
      <c r="G2562">
        <v>5.8400000000000101E-3</v>
      </c>
      <c r="H2562" t="s">
        <v>240</v>
      </c>
      <c r="I2562" t="s">
        <v>241</v>
      </c>
      <c r="J2562" t="s">
        <v>3</v>
      </c>
      <c r="K2562" s="183">
        <f ca="1">VLOOKUP(F2562,
    OFFSET(INDIRECT(ADDRESS(MATCH(J2562,'Vehicle numbers'!$A$5:$A$162,0),1,1,1,$L$6)),4,1,COUNTIF('Vehicle numbers'!$A$5:$A$162,J2562),4),
    MATCH(K$8,'Vehicle numbers'!$B$4:$D$4,0))*1000</f>
        <v>1216168</v>
      </c>
      <c r="L2562" s="183">
        <f ca="1">VLOOKUP(F2562,
    OFFSET(INDIRECT(ADDRESS(MATCH(J2562,'Vehicle numbers'!$A$5:$A$162,0),1,1,1,$L$6)),4,1,COUNTIF('Vehicle numbers'!$A$5:$A$162,J2562),4),
    MATCH(L$8,'Vehicle numbers'!$B$4:$D$4,0))*1000</f>
        <v>1240212</v>
      </c>
      <c r="M2562" s="184">
        <f>VLOOKUP(F2562,'Annual distance covered (GB)'!$A$8:$H$33,MATCH(J2562,'Annual distance covered (GB)'!$A$7:$H$7,0))</f>
        <v>4.7</v>
      </c>
      <c r="N2562" s="2">
        <f t="shared" ca="1" si="92"/>
        <v>27990.655054235973</v>
      </c>
      <c r="O2562" s="180">
        <f t="shared" ca="1" si="93"/>
        <v>2.2569250300945299E-2</v>
      </c>
      <c r="P2562" s="180"/>
      <c r="Q2562" s="180"/>
      <c r="R2562" s="180"/>
      <c r="S2562" s="180"/>
      <c r="T2562" s="180"/>
    </row>
    <row r="2563" spans="1:20" x14ac:dyDescent="0.25">
      <c r="A2563" t="s">
        <v>243</v>
      </c>
      <c r="B2563" t="s">
        <v>237</v>
      </c>
      <c r="C2563" t="s">
        <v>238</v>
      </c>
      <c r="D2563" t="s">
        <v>260</v>
      </c>
      <c r="E2563" t="s">
        <v>229</v>
      </c>
      <c r="F2563">
        <v>2014</v>
      </c>
      <c r="G2563">
        <v>2.336E-3</v>
      </c>
      <c r="H2563" t="s">
        <v>240</v>
      </c>
      <c r="I2563" t="s">
        <v>241</v>
      </c>
      <c r="J2563" t="s">
        <v>3</v>
      </c>
      <c r="K2563" s="183">
        <f ca="1">VLOOKUP(F2563,
    OFFSET(INDIRECT(ADDRESS(MATCH(J2563,'Vehicle numbers'!$A$5:$A$162,0),1,1,1,$L$6)),4,1,COUNTIF('Vehicle numbers'!$A$5:$A$162,J2563),4),
    MATCH(K$8,'Vehicle numbers'!$B$4:$D$4,0))*1000</f>
        <v>1216168</v>
      </c>
      <c r="L2563" s="183">
        <f ca="1">VLOOKUP(F2563,
    OFFSET(INDIRECT(ADDRESS(MATCH(J2563,'Vehicle numbers'!$A$5:$A$162,0),1,1,1,$L$6)),4,1,COUNTIF('Vehicle numbers'!$A$5:$A$162,J2563),4),
    MATCH(L$8,'Vehicle numbers'!$B$4:$D$4,0))*1000</f>
        <v>1240212</v>
      </c>
      <c r="M2563" s="184">
        <f>VLOOKUP(F2563,'Annual distance covered (GB)'!$A$8:$H$33,MATCH(J2563,'Annual distance covered (GB)'!$A$7:$H$7,0))</f>
        <v>4.7</v>
      </c>
      <c r="N2563" s="2">
        <f t="shared" ca="1" si="92"/>
        <v>11196.262021694369</v>
      </c>
      <c r="O2563" s="180">
        <f t="shared" ca="1" si="93"/>
        <v>9.0277001203781029E-3</v>
      </c>
      <c r="P2563" s="180"/>
      <c r="Q2563" s="180"/>
      <c r="R2563" s="180"/>
      <c r="S2563" s="180"/>
      <c r="T2563" s="180"/>
    </row>
    <row r="2564" spans="1:20" x14ac:dyDescent="0.25">
      <c r="A2564" t="s">
        <v>244</v>
      </c>
      <c r="B2564" t="s">
        <v>237</v>
      </c>
      <c r="C2564" t="s">
        <v>238</v>
      </c>
      <c r="D2564" t="s">
        <v>260</v>
      </c>
      <c r="E2564" t="s">
        <v>229</v>
      </c>
      <c r="F2564">
        <v>2014</v>
      </c>
      <c r="G2564">
        <v>5.8399999999999999E-4</v>
      </c>
      <c r="H2564" t="s">
        <v>240</v>
      </c>
      <c r="I2564" t="s">
        <v>241</v>
      </c>
      <c r="J2564" t="s">
        <v>3</v>
      </c>
      <c r="K2564" s="183">
        <f ca="1">VLOOKUP(F2564,
    OFFSET(INDIRECT(ADDRESS(MATCH(J2564,'Vehicle numbers'!$A$5:$A$162,0),1,1,1,$L$6)),4,1,COUNTIF('Vehicle numbers'!$A$5:$A$162,J2564),4),
    MATCH(K$8,'Vehicle numbers'!$B$4:$D$4,0))*1000</f>
        <v>1216168</v>
      </c>
      <c r="L2564" s="183">
        <f ca="1">VLOOKUP(F2564,
    OFFSET(INDIRECT(ADDRESS(MATCH(J2564,'Vehicle numbers'!$A$5:$A$162,0),1,1,1,$L$6)),4,1,COUNTIF('Vehicle numbers'!$A$5:$A$162,J2564),4),
    MATCH(L$8,'Vehicle numbers'!$B$4:$D$4,0))*1000</f>
        <v>1240212</v>
      </c>
      <c r="M2564" s="184">
        <f>VLOOKUP(F2564,'Annual distance covered (GB)'!$A$8:$H$33,MATCH(J2564,'Annual distance covered (GB)'!$A$7:$H$7,0))</f>
        <v>4.7</v>
      </c>
      <c r="N2564" s="2">
        <f t="shared" ca="1" si="92"/>
        <v>2799.0655054235922</v>
      </c>
      <c r="O2564" s="180">
        <f t="shared" ca="1" si="93"/>
        <v>2.2569250300945257E-3</v>
      </c>
      <c r="P2564" s="180"/>
      <c r="Q2564" s="180"/>
      <c r="R2564" s="180"/>
      <c r="S2564" s="180"/>
      <c r="T2564" s="180"/>
    </row>
    <row r="2565" spans="1:20" x14ac:dyDescent="0.25">
      <c r="A2565" t="s">
        <v>246</v>
      </c>
      <c r="B2565" t="s">
        <v>237</v>
      </c>
      <c r="C2565" t="s">
        <v>238</v>
      </c>
      <c r="D2565" t="s">
        <v>260</v>
      </c>
      <c r="E2565" t="s">
        <v>229</v>
      </c>
      <c r="F2565">
        <v>2014</v>
      </c>
      <c r="G2565">
        <v>4.6720000000000003E-4</v>
      </c>
      <c r="H2565" t="s">
        <v>240</v>
      </c>
      <c r="I2565" t="s">
        <v>241</v>
      </c>
      <c r="J2565" t="s">
        <v>3</v>
      </c>
      <c r="K2565" s="183">
        <f ca="1">VLOOKUP(F2565,
    OFFSET(INDIRECT(ADDRESS(MATCH(J2565,'Vehicle numbers'!$A$5:$A$162,0),1,1,1,$L$6)),4,1,COUNTIF('Vehicle numbers'!$A$5:$A$162,J2565),4),
    MATCH(K$8,'Vehicle numbers'!$B$4:$D$4,0))*1000</f>
        <v>1216168</v>
      </c>
      <c r="L2565" s="183">
        <f ca="1">VLOOKUP(F2565,
    OFFSET(INDIRECT(ADDRESS(MATCH(J2565,'Vehicle numbers'!$A$5:$A$162,0),1,1,1,$L$6)),4,1,COUNTIF('Vehicle numbers'!$A$5:$A$162,J2565),4),
    MATCH(L$8,'Vehicle numbers'!$B$4:$D$4,0))*1000</f>
        <v>1240212</v>
      </c>
      <c r="M2565" s="184">
        <f>VLOOKUP(F2565,'Annual distance covered (GB)'!$A$8:$H$33,MATCH(J2565,'Annual distance covered (GB)'!$A$7:$H$7,0))</f>
        <v>4.7</v>
      </c>
      <c r="N2565" s="2">
        <f t="shared" ca="1" si="92"/>
        <v>2239.2524043388744</v>
      </c>
      <c r="O2565" s="180">
        <f t="shared" ca="1" si="93"/>
        <v>1.8055400240756213E-3</v>
      </c>
      <c r="P2565" s="180"/>
      <c r="Q2565" s="180"/>
      <c r="R2565" s="180"/>
      <c r="S2565" s="180"/>
      <c r="T2565" s="180"/>
    </row>
    <row r="2566" spans="1:20" x14ac:dyDescent="0.25">
      <c r="A2566" t="s">
        <v>236</v>
      </c>
      <c r="B2566" t="s">
        <v>237</v>
      </c>
      <c r="C2566" t="s">
        <v>238</v>
      </c>
      <c r="D2566" t="s">
        <v>260</v>
      </c>
      <c r="E2566" t="s">
        <v>228</v>
      </c>
      <c r="F2566">
        <v>2014</v>
      </c>
      <c r="G2566">
        <v>3.7570000000000099E-3</v>
      </c>
      <c r="H2566" t="s">
        <v>240</v>
      </c>
      <c r="I2566" t="s">
        <v>241</v>
      </c>
      <c r="J2566" t="s">
        <v>3</v>
      </c>
      <c r="K2566" s="183">
        <f ca="1">VLOOKUP(F2566,
    OFFSET(INDIRECT(ADDRESS(MATCH(J2566,'Vehicle numbers'!$A$5:$A$162,0),1,1,1,$L$6)),4,1,COUNTIF('Vehicle numbers'!$A$5:$A$162,J2566),4),
    MATCH(K$8,'Vehicle numbers'!$B$4:$D$4,0))*1000</f>
        <v>1216168</v>
      </c>
      <c r="L2566" s="183">
        <f ca="1">VLOOKUP(F2566,
    OFFSET(INDIRECT(ADDRESS(MATCH(J2566,'Vehicle numbers'!$A$5:$A$162,0),1,1,1,$L$6)),4,1,COUNTIF('Vehicle numbers'!$A$5:$A$162,J2566),4),
    MATCH(L$8,'Vehicle numbers'!$B$4:$D$4,0))*1000</f>
        <v>1240212</v>
      </c>
      <c r="M2566" s="184">
        <f>VLOOKUP(F2566,'Annual distance covered (GB)'!$A$8:$H$33,MATCH(J2566,'Annual distance covered (GB)'!$A$7:$H$7,0))</f>
        <v>4.7</v>
      </c>
      <c r="N2566" s="2">
        <f t="shared" ca="1" si="92"/>
        <v>18007.001890199426</v>
      </c>
      <c r="O2566" s="180">
        <f t="shared" ca="1" si="93"/>
        <v>1.4519293387097872E-2</v>
      </c>
      <c r="P2566" s="180"/>
      <c r="Q2566" s="180"/>
      <c r="R2566" s="180"/>
      <c r="S2566" s="180"/>
      <c r="T2566" s="180"/>
    </row>
    <row r="2567" spans="1:20" x14ac:dyDescent="0.25">
      <c r="A2567" t="s">
        <v>243</v>
      </c>
      <c r="B2567" t="s">
        <v>237</v>
      </c>
      <c r="C2567" t="s">
        <v>238</v>
      </c>
      <c r="D2567" t="s">
        <v>260</v>
      </c>
      <c r="E2567" t="s">
        <v>228</v>
      </c>
      <c r="F2567">
        <v>2014</v>
      </c>
      <c r="G2567">
        <v>2.6299000000000101E-3</v>
      </c>
      <c r="H2567" t="s">
        <v>240</v>
      </c>
      <c r="I2567" t="s">
        <v>241</v>
      </c>
      <c r="J2567" t="s">
        <v>3</v>
      </c>
      <c r="K2567" s="183">
        <f ca="1">VLOOKUP(F2567,
    OFFSET(INDIRECT(ADDRESS(MATCH(J2567,'Vehicle numbers'!$A$5:$A$162,0),1,1,1,$L$6)),4,1,COUNTIF('Vehicle numbers'!$A$5:$A$162,J2567),4),
    MATCH(K$8,'Vehicle numbers'!$B$4:$D$4,0))*1000</f>
        <v>1216168</v>
      </c>
      <c r="L2567" s="183">
        <f ca="1">VLOOKUP(F2567,
    OFFSET(INDIRECT(ADDRESS(MATCH(J2567,'Vehicle numbers'!$A$5:$A$162,0),1,1,1,$L$6)),4,1,COUNTIF('Vehicle numbers'!$A$5:$A$162,J2567),4),
    MATCH(L$8,'Vehicle numbers'!$B$4:$D$4,0))*1000</f>
        <v>1240212</v>
      </c>
      <c r="M2567" s="184">
        <f>VLOOKUP(F2567,'Annual distance covered (GB)'!$A$8:$H$33,MATCH(J2567,'Annual distance covered (GB)'!$A$7:$H$7,0))</f>
        <v>4.7</v>
      </c>
      <c r="N2567" s="2">
        <f t="shared" ca="1" si="92"/>
        <v>12604.901323139615</v>
      </c>
      <c r="O2567" s="180">
        <f t="shared" ca="1" si="93"/>
        <v>1.0163505370968523E-2</v>
      </c>
      <c r="P2567" s="180"/>
      <c r="Q2567" s="180"/>
      <c r="R2567" s="180"/>
      <c r="S2567" s="180"/>
      <c r="T2567" s="180"/>
    </row>
    <row r="2568" spans="1:20" x14ac:dyDescent="0.25">
      <c r="A2568" t="s">
        <v>244</v>
      </c>
      <c r="B2568" t="s">
        <v>237</v>
      </c>
      <c r="C2568" t="s">
        <v>238</v>
      </c>
      <c r="D2568" t="s">
        <v>260</v>
      </c>
      <c r="E2568" t="s">
        <v>228</v>
      </c>
      <c r="F2568">
        <v>2014</v>
      </c>
      <c r="G2568">
        <v>3.7040845070422602E-4</v>
      </c>
      <c r="H2568" t="s">
        <v>240</v>
      </c>
      <c r="I2568" t="s">
        <v>241</v>
      </c>
      <c r="J2568" t="s">
        <v>3</v>
      </c>
      <c r="K2568" s="183">
        <f ca="1">VLOOKUP(F2568,
    OFFSET(INDIRECT(ADDRESS(MATCH(J2568,'Vehicle numbers'!$A$5:$A$162,0),1,1,1,$L$6)),4,1,COUNTIF('Vehicle numbers'!$A$5:$A$162,J2568),4),
    MATCH(K$8,'Vehicle numbers'!$B$4:$D$4,0))*1000</f>
        <v>1216168</v>
      </c>
      <c r="L2568" s="183">
        <f ca="1">VLOOKUP(F2568,
    OFFSET(INDIRECT(ADDRESS(MATCH(J2568,'Vehicle numbers'!$A$5:$A$162,0),1,1,1,$L$6)),4,1,COUNTIF('Vehicle numbers'!$A$5:$A$162,J2568),4),
    MATCH(L$8,'Vehicle numbers'!$B$4:$D$4,0))*1000</f>
        <v>1240212</v>
      </c>
      <c r="M2568" s="184">
        <f>VLOOKUP(F2568,'Annual distance covered (GB)'!$A$8:$H$33,MATCH(J2568,'Annual distance covered (GB)'!$A$7:$H$7,0))</f>
        <v>4.7</v>
      </c>
      <c r="N2568" s="2">
        <f t="shared" ca="1" si="92"/>
        <v>1775.3382145267028</v>
      </c>
      <c r="O2568" s="180">
        <f t="shared" ca="1" si="93"/>
        <v>1.4314796297138738E-3</v>
      </c>
      <c r="P2568" s="180"/>
      <c r="Q2568" s="180"/>
      <c r="R2568" s="180"/>
      <c r="S2568" s="180"/>
      <c r="T2568" s="180"/>
    </row>
    <row r="2569" spans="1:20" x14ac:dyDescent="0.25">
      <c r="A2569" t="s">
        <v>246</v>
      </c>
      <c r="B2569" t="s">
        <v>237</v>
      </c>
      <c r="C2569" t="s">
        <v>238</v>
      </c>
      <c r="D2569" t="s">
        <v>260</v>
      </c>
      <c r="E2569" t="s">
        <v>228</v>
      </c>
      <c r="F2569">
        <v>2014</v>
      </c>
      <c r="G2569">
        <v>2.9632676056338101E-4</v>
      </c>
      <c r="H2569" t="s">
        <v>240</v>
      </c>
      <c r="I2569" t="s">
        <v>241</v>
      </c>
      <c r="J2569" t="s">
        <v>3</v>
      </c>
      <c r="K2569" s="183">
        <f ca="1">VLOOKUP(F2569,
    OFFSET(INDIRECT(ADDRESS(MATCH(J2569,'Vehicle numbers'!$A$5:$A$162,0),1,1,1,$L$6)),4,1,COUNTIF('Vehicle numbers'!$A$5:$A$162,J2569),4),
    MATCH(K$8,'Vehicle numbers'!$B$4:$D$4,0))*1000</f>
        <v>1216168</v>
      </c>
      <c r="L2569" s="183">
        <f ca="1">VLOOKUP(F2569,
    OFFSET(INDIRECT(ADDRESS(MATCH(J2569,'Vehicle numbers'!$A$5:$A$162,0),1,1,1,$L$6)),4,1,COUNTIF('Vehicle numbers'!$A$5:$A$162,J2569),4),
    MATCH(L$8,'Vehicle numbers'!$B$4:$D$4,0))*1000</f>
        <v>1240212</v>
      </c>
      <c r="M2569" s="184">
        <f>VLOOKUP(F2569,'Annual distance covered (GB)'!$A$8:$H$33,MATCH(J2569,'Annual distance covered (GB)'!$A$7:$H$7,0))</f>
        <v>4.7</v>
      </c>
      <c r="N2569" s="2">
        <f t="shared" ca="1" si="92"/>
        <v>1420.2705716213632</v>
      </c>
      <c r="O2569" s="180">
        <f t="shared" ca="1" si="93"/>
        <v>1.1451837037710997E-3</v>
      </c>
      <c r="P2569" s="180"/>
      <c r="Q2569" s="180"/>
      <c r="R2569" s="180"/>
      <c r="S2569" s="180"/>
      <c r="T2569" s="180"/>
    </row>
    <row r="2570" spans="1:20" x14ac:dyDescent="0.25">
      <c r="A2570" t="s">
        <v>236</v>
      </c>
      <c r="B2570" t="s">
        <v>237</v>
      </c>
      <c r="C2570" t="s">
        <v>238</v>
      </c>
      <c r="D2570" t="s">
        <v>261</v>
      </c>
      <c r="E2570" t="s">
        <v>229</v>
      </c>
      <c r="F2570">
        <v>2014</v>
      </c>
      <c r="G2570">
        <v>5.8399999999999997E-3</v>
      </c>
      <c r="H2570" t="s">
        <v>240</v>
      </c>
      <c r="I2570" t="s">
        <v>241</v>
      </c>
      <c r="J2570" t="s">
        <v>3</v>
      </c>
      <c r="K2570" s="183">
        <f ca="1">VLOOKUP(F2570,
    OFFSET(INDIRECT(ADDRESS(MATCH(J2570,'Vehicle numbers'!$A$5:$A$162,0),1,1,1,$L$6)),4,1,COUNTIF('Vehicle numbers'!$A$5:$A$162,J2570),4),
    MATCH(K$8,'Vehicle numbers'!$B$4:$D$4,0))*1000</f>
        <v>1216168</v>
      </c>
      <c r="L2570" s="183">
        <f ca="1">VLOOKUP(F2570,
    OFFSET(INDIRECT(ADDRESS(MATCH(J2570,'Vehicle numbers'!$A$5:$A$162,0),1,1,1,$L$6)),4,1,COUNTIF('Vehicle numbers'!$A$5:$A$162,J2570),4),
    MATCH(L$8,'Vehicle numbers'!$B$4:$D$4,0))*1000</f>
        <v>1240212</v>
      </c>
      <c r="M2570" s="184">
        <f>VLOOKUP(F2570,'Annual distance covered (GB)'!$A$8:$H$33,MATCH(J2570,'Annual distance covered (GB)'!$A$7:$H$7,0))</f>
        <v>4.7</v>
      </c>
      <c r="N2570" s="2">
        <f t="shared" ca="1" si="92"/>
        <v>27990.655054235925</v>
      </c>
      <c r="O2570" s="180">
        <f t="shared" ca="1" si="93"/>
        <v>2.2569250300945261E-2</v>
      </c>
      <c r="P2570" s="180"/>
      <c r="Q2570" s="180"/>
      <c r="R2570" s="180"/>
      <c r="S2570" s="180"/>
      <c r="T2570" s="180"/>
    </row>
    <row r="2571" spans="1:20" x14ac:dyDescent="0.25">
      <c r="A2571" t="s">
        <v>243</v>
      </c>
      <c r="B2571" t="s">
        <v>237</v>
      </c>
      <c r="C2571" t="s">
        <v>238</v>
      </c>
      <c r="D2571" t="s">
        <v>261</v>
      </c>
      <c r="E2571" t="s">
        <v>229</v>
      </c>
      <c r="F2571">
        <v>2014</v>
      </c>
      <c r="G2571">
        <v>2.336E-3</v>
      </c>
      <c r="H2571" t="s">
        <v>240</v>
      </c>
      <c r="I2571" t="s">
        <v>241</v>
      </c>
      <c r="J2571" t="s">
        <v>3</v>
      </c>
      <c r="K2571" s="183">
        <f ca="1">VLOOKUP(F2571,
    OFFSET(INDIRECT(ADDRESS(MATCH(J2571,'Vehicle numbers'!$A$5:$A$162,0),1,1,1,$L$6)),4,1,COUNTIF('Vehicle numbers'!$A$5:$A$162,J2571),4),
    MATCH(K$8,'Vehicle numbers'!$B$4:$D$4,0))*1000</f>
        <v>1216168</v>
      </c>
      <c r="L2571" s="183">
        <f ca="1">VLOOKUP(F2571,
    OFFSET(INDIRECT(ADDRESS(MATCH(J2571,'Vehicle numbers'!$A$5:$A$162,0),1,1,1,$L$6)),4,1,COUNTIF('Vehicle numbers'!$A$5:$A$162,J2571),4),
    MATCH(L$8,'Vehicle numbers'!$B$4:$D$4,0))*1000</f>
        <v>1240212</v>
      </c>
      <c r="M2571" s="184">
        <f>VLOOKUP(F2571,'Annual distance covered (GB)'!$A$8:$H$33,MATCH(J2571,'Annual distance covered (GB)'!$A$7:$H$7,0))</f>
        <v>4.7</v>
      </c>
      <c r="N2571" s="2">
        <f t="shared" ref="N2571:N2634" ca="1" si="94">M2571*G2571*1000000*(L2571/K2571)</f>
        <v>11196.262021694369</v>
      </c>
      <c r="O2571" s="180">
        <f t="shared" ref="O2571:O2634" ca="1" si="95">N2571/L2571</f>
        <v>9.0277001203781029E-3</v>
      </c>
      <c r="P2571" s="180"/>
      <c r="Q2571" s="180"/>
      <c r="R2571" s="180"/>
      <c r="S2571" s="180"/>
      <c r="T2571" s="180"/>
    </row>
    <row r="2572" spans="1:20" x14ac:dyDescent="0.25">
      <c r="A2572" t="s">
        <v>244</v>
      </c>
      <c r="B2572" t="s">
        <v>237</v>
      </c>
      <c r="C2572" t="s">
        <v>238</v>
      </c>
      <c r="D2572" t="s">
        <v>261</v>
      </c>
      <c r="E2572" t="s">
        <v>229</v>
      </c>
      <c r="F2572">
        <v>2014</v>
      </c>
      <c r="G2572">
        <v>5.8399999999999999E-4</v>
      </c>
      <c r="H2572" t="s">
        <v>240</v>
      </c>
      <c r="I2572" t="s">
        <v>241</v>
      </c>
      <c r="J2572" t="s">
        <v>3</v>
      </c>
      <c r="K2572" s="183">
        <f ca="1">VLOOKUP(F2572,
    OFFSET(INDIRECT(ADDRESS(MATCH(J2572,'Vehicle numbers'!$A$5:$A$162,0),1,1,1,$L$6)),4,1,COUNTIF('Vehicle numbers'!$A$5:$A$162,J2572),4),
    MATCH(K$8,'Vehicle numbers'!$B$4:$D$4,0))*1000</f>
        <v>1216168</v>
      </c>
      <c r="L2572" s="183">
        <f ca="1">VLOOKUP(F2572,
    OFFSET(INDIRECT(ADDRESS(MATCH(J2572,'Vehicle numbers'!$A$5:$A$162,0),1,1,1,$L$6)),4,1,COUNTIF('Vehicle numbers'!$A$5:$A$162,J2572),4),
    MATCH(L$8,'Vehicle numbers'!$B$4:$D$4,0))*1000</f>
        <v>1240212</v>
      </c>
      <c r="M2572" s="184">
        <f>VLOOKUP(F2572,'Annual distance covered (GB)'!$A$8:$H$33,MATCH(J2572,'Annual distance covered (GB)'!$A$7:$H$7,0))</f>
        <v>4.7</v>
      </c>
      <c r="N2572" s="2">
        <f t="shared" ca="1" si="94"/>
        <v>2799.0655054235922</v>
      </c>
      <c r="O2572" s="180">
        <f t="shared" ca="1" si="95"/>
        <v>2.2569250300945257E-3</v>
      </c>
      <c r="P2572" s="180"/>
      <c r="Q2572" s="180"/>
      <c r="R2572" s="180"/>
      <c r="S2572" s="180"/>
      <c r="T2572" s="180"/>
    </row>
    <row r="2573" spans="1:20" x14ac:dyDescent="0.25">
      <c r="A2573" t="s">
        <v>246</v>
      </c>
      <c r="B2573" t="s">
        <v>237</v>
      </c>
      <c r="C2573" t="s">
        <v>238</v>
      </c>
      <c r="D2573" t="s">
        <v>261</v>
      </c>
      <c r="E2573" t="s">
        <v>229</v>
      </c>
      <c r="F2573">
        <v>2014</v>
      </c>
      <c r="G2573">
        <v>4.6720000000000003E-4</v>
      </c>
      <c r="H2573" t="s">
        <v>240</v>
      </c>
      <c r="I2573" t="s">
        <v>241</v>
      </c>
      <c r="J2573" t="s">
        <v>3</v>
      </c>
      <c r="K2573" s="183">
        <f ca="1">VLOOKUP(F2573,
    OFFSET(INDIRECT(ADDRESS(MATCH(J2573,'Vehicle numbers'!$A$5:$A$162,0),1,1,1,$L$6)),4,1,COUNTIF('Vehicle numbers'!$A$5:$A$162,J2573),4),
    MATCH(K$8,'Vehicle numbers'!$B$4:$D$4,0))*1000</f>
        <v>1216168</v>
      </c>
      <c r="L2573" s="183">
        <f ca="1">VLOOKUP(F2573,
    OFFSET(INDIRECT(ADDRESS(MATCH(J2573,'Vehicle numbers'!$A$5:$A$162,0),1,1,1,$L$6)),4,1,COUNTIF('Vehicle numbers'!$A$5:$A$162,J2573),4),
    MATCH(L$8,'Vehicle numbers'!$B$4:$D$4,0))*1000</f>
        <v>1240212</v>
      </c>
      <c r="M2573" s="184">
        <f>VLOOKUP(F2573,'Annual distance covered (GB)'!$A$8:$H$33,MATCH(J2573,'Annual distance covered (GB)'!$A$7:$H$7,0))</f>
        <v>4.7</v>
      </c>
      <c r="N2573" s="2">
        <f t="shared" ca="1" si="94"/>
        <v>2239.2524043388744</v>
      </c>
      <c r="O2573" s="180">
        <f t="shared" ca="1" si="95"/>
        <v>1.8055400240756213E-3</v>
      </c>
      <c r="P2573" s="180"/>
      <c r="Q2573" s="180"/>
      <c r="R2573" s="180"/>
      <c r="S2573" s="180"/>
      <c r="T2573" s="180"/>
    </row>
    <row r="2574" spans="1:20" x14ac:dyDescent="0.25">
      <c r="A2574" t="s">
        <v>236</v>
      </c>
      <c r="B2574" t="s">
        <v>237</v>
      </c>
      <c r="C2574" t="s">
        <v>238</v>
      </c>
      <c r="D2574" t="s">
        <v>261</v>
      </c>
      <c r="E2574" t="s">
        <v>228</v>
      </c>
      <c r="F2574">
        <v>2014</v>
      </c>
      <c r="G2574">
        <v>3.7569999999999999E-3</v>
      </c>
      <c r="H2574" t="s">
        <v>240</v>
      </c>
      <c r="I2574" t="s">
        <v>241</v>
      </c>
      <c r="J2574" t="s">
        <v>3</v>
      </c>
      <c r="K2574" s="183">
        <f ca="1">VLOOKUP(F2574,
    OFFSET(INDIRECT(ADDRESS(MATCH(J2574,'Vehicle numbers'!$A$5:$A$162,0),1,1,1,$L$6)),4,1,COUNTIF('Vehicle numbers'!$A$5:$A$162,J2574),4),
    MATCH(K$8,'Vehicle numbers'!$B$4:$D$4,0))*1000</f>
        <v>1216168</v>
      </c>
      <c r="L2574" s="183">
        <f ca="1">VLOOKUP(F2574,
    OFFSET(INDIRECT(ADDRESS(MATCH(J2574,'Vehicle numbers'!$A$5:$A$162,0),1,1,1,$L$6)),4,1,COUNTIF('Vehicle numbers'!$A$5:$A$162,J2574),4),
    MATCH(L$8,'Vehicle numbers'!$B$4:$D$4,0))*1000</f>
        <v>1240212</v>
      </c>
      <c r="M2574" s="184">
        <f>VLOOKUP(F2574,'Annual distance covered (GB)'!$A$8:$H$33,MATCH(J2574,'Annual distance covered (GB)'!$A$7:$H$7,0))</f>
        <v>4.7</v>
      </c>
      <c r="N2574" s="2">
        <f t="shared" ca="1" si="94"/>
        <v>18007.001890199379</v>
      </c>
      <c r="O2574" s="180">
        <f t="shared" ca="1" si="95"/>
        <v>1.4519293387097834E-2</v>
      </c>
      <c r="P2574" s="180"/>
      <c r="Q2574" s="180"/>
      <c r="R2574" s="180"/>
      <c r="S2574" s="180"/>
      <c r="T2574" s="180"/>
    </row>
    <row r="2575" spans="1:20" x14ac:dyDescent="0.25">
      <c r="A2575" t="s">
        <v>243</v>
      </c>
      <c r="B2575" t="s">
        <v>237</v>
      </c>
      <c r="C2575" t="s">
        <v>238</v>
      </c>
      <c r="D2575" t="s">
        <v>261</v>
      </c>
      <c r="E2575" t="s">
        <v>228</v>
      </c>
      <c r="F2575">
        <v>2014</v>
      </c>
      <c r="G2575">
        <v>2.6299000000000001E-3</v>
      </c>
      <c r="H2575" t="s">
        <v>240</v>
      </c>
      <c r="I2575" t="s">
        <v>241</v>
      </c>
      <c r="J2575" t="s">
        <v>3</v>
      </c>
      <c r="K2575" s="183">
        <f ca="1">VLOOKUP(F2575,
    OFFSET(INDIRECT(ADDRESS(MATCH(J2575,'Vehicle numbers'!$A$5:$A$162,0),1,1,1,$L$6)),4,1,COUNTIF('Vehicle numbers'!$A$5:$A$162,J2575),4),
    MATCH(K$8,'Vehicle numbers'!$B$4:$D$4,0))*1000</f>
        <v>1216168</v>
      </c>
      <c r="L2575" s="183">
        <f ca="1">VLOOKUP(F2575,
    OFFSET(INDIRECT(ADDRESS(MATCH(J2575,'Vehicle numbers'!$A$5:$A$162,0),1,1,1,$L$6)),4,1,COUNTIF('Vehicle numbers'!$A$5:$A$162,J2575),4),
    MATCH(L$8,'Vehicle numbers'!$B$4:$D$4,0))*1000</f>
        <v>1240212</v>
      </c>
      <c r="M2575" s="184">
        <f>VLOOKUP(F2575,'Annual distance covered (GB)'!$A$8:$H$33,MATCH(J2575,'Annual distance covered (GB)'!$A$7:$H$7,0))</f>
        <v>4.7</v>
      </c>
      <c r="N2575" s="2">
        <f t="shared" ca="1" si="94"/>
        <v>12604.901323139566</v>
      </c>
      <c r="O2575" s="180">
        <f t="shared" ca="1" si="95"/>
        <v>1.0163505370968485E-2</v>
      </c>
      <c r="P2575" s="180"/>
      <c r="Q2575" s="180"/>
      <c r="R2575" s="180"/>
      <c r="S2575" s="180"/>
      <c r="T2575" s="180"/>
    </row>
    <row r="2576" spans="1:20" x14ac:dyDescent="0.25">
      <c r="A2576" t="s">
        <v>244</v>
      </c>
      <c r="B2576" t="s">
        <v>237</v>
      </c>
      <c r="C2576" t="s">
        <v>238</v>
      </c>
      <c r="D2576" t="s">
        <v>261</v>
      </c>
      <c r="E2576" t="s">
        <v>228</v>
      </c>
      <c r="F2576">
        <v>2014</v>
      </c>
      <c r="G2576">
        <v>3.7040845070422499E-4</v>
      </c>
      <c r="H2576" t="s">
        <v>240</v>
      </c>
      <c r="I2576" t="s">
        <v>241</v>
      </c>
      <c r="J2576" t="s">
        <v>3</v>
      </c>
      <c r="K2576" s="183">
        <f ca="1">VLOOKUP(F2576,
    OFFSET(INDIRECT(ADDRESS(MATCH(J2576,'Vehicle numbers'!$A$5:$A$162,0),1,1,1,$L$6)),4,1,COUNTIF('Vehicle numbers'!$A$5:$A$162,J2576),4),
    MATCH(K$8,'Vehicle numbers'!$B$4:$D$4,0))*1000</f>
        <v>1216168</v>
      </c>
      <c r="L2576" s="183">
        <f ca="1">VLOOKUP(F2576,
    OFFSET(INDIRECT(ADDRESS(MATCH(J2576,'Vehicle numbers'!$A$5:$A$162,0),1,1,1,$L$6)),4,1,COUNTIF('Vehicle numbers'!$A$5:$A$162,J2576),4),
    MATCH(L$8,'Vehicle numbers'!$B$4:$D$4,0))*1000</f>
        <v>1240212</v>
      </c>
      <c r="M2576" s="184">
        <f>VLOOKUP(F2576,'Annual distance covered (GB)'!$A$8:$H$33,MATCH(J2576,'Annual distance covered (GB)'!$A$7:$H$7,0))</f>
        <v>4.7</v>
      </c>
      <c r="N2576" s="2">
        <f t="shared" ca="1" si="94"/>
        <v>1775.3382145266978</v>
      </c>
      <c r="O2576" s="180">
        <f t="shared" ca="1" si="95"/>
        <v>1.4314796297138696E-3</v>
      </c>
      <c r="P2576" s="180"/>
      <c r="Q2576" s="180"/>
      <c r="R2576" s="180"/>
      <c r="S2576" s="180"/>
      <c r="T2576" s="180"/>
    </row>
    <row r="2577" spans="1:20" x14ac:dyDescent="0.25">
      <c r="A2577" t="s">
        <v>246</v>
      </c>
      <c r="B2577" t="s">
        <v>237</v>
      </c>
      <c r="C2577" t="s">
        <v>238</v>
      </c>
      <c r="D2577" t="s">
        <v>261</v>
      </c>
      <c r="E2577" t="s">
        <v>228</v>
      </c>
      <c r="F2577">
        <v>2014</v>
      </c>
      <c r="G2577">
        <v>2.9632676056337998E-4</v>
      </c>
      <c r="H2577" t="s">
        <v>240</v>
      </c>
      <c r="I2577" t="s">
        <v>241</v>
      </c>
      <c r="J2577" t="s">
        <v>3</v>
      </c>
      <c r="K2577" s="183">
        <f ca="1">VLOOKUP(F2577,
    OFFSET(INDIRECT(ADDRESS(MATCH(J2577,'Vehicle numbers'!$A$5:$A$162,0),1,1,1,$L$6)),4,1,COUNTIF('Vehicle numbers'!$A$5:$A$162,J2577),4),
    MATCH(K$8,'Vehicle numbers'!$B$4:$D$4,0))*1000</f>
        <v>1216168</v>
      </c>
      <c r="L2577" s="183">
        <f ca="1">VLOOKUP(F2577,
    OFFSET(INDIRECT(ADDRESS(MATCH(J2577,'Vehicle numbers'!$A$5:$A$162,0),1,1,1,$L$6)),4,1,COUNTIF('Vehicle numbers'!$A$5:$A$162,J2577),4),
    MATCH(L$8,'Vehicle numbers'!$B$4:$D$4,0))*1000</f>
        <v>1240212</v>
      </c>
      <c r="M2577" s="184">
        <f>VLOOKUP(F2577,'Annual distance covered (GB)'!$A$8:$H$33,MATCH(J2577,'Annual distance covered (GB)'!$A$7:$H$7,0))</f>
        <v>4.7</v>
      </c>
      <c r="N2577" s="2">
        <f t="shared" ca="1" si="94"/>
        <v>1420.2705716213582</v>
      </c>
      <c r="O2577" s="180">
        <f t="shared" ca="1" si="95"/>
        <v>1.1451837037710958E-3</v>
      </c>
      <c r="P2577" s="180"/>
      <c r="Q2577" s="180"/>
      <c r="R2577" s="180"/>
      <c r="S2577" s="180"/>
      <c r="T2577" s="180"/>
    </row>
    <row r="2578" spans="1:20" x14ac:dyDescent="0.25">
      <c r="A2578" t="s">
        <v>236</v>
      </c>
      <c r="B2578" t="s">
        <v>237</v>
      </c>
      <c r="C2578" t="s">
        <v>238</v>
      </c>
      <c r="D2578" t="s">
        <v>262</v>
      </c>
      <c r="E2578" t="s">
        <v>229</v>
      </c>
      <c r="F2578">
        <v>2014</v>
      </c>
      <c r="G2578">
        <v>6.8000000000000102E-4</v>
      </c>
      <c r="H2578" t="s">
        <v>240</v>
      </c>
      <c r="I2578" t="s">
        <v>241</v>
      </c>
      <c r="J2578" t="s">
        <v>3</v>
      </c>
      <c r="K2578" s="183">
        <f ca="1">VLOOKUP(F2578,
    OFFSET(INDIRECT(ADDRESS(MATCH(J2578,'Vehicle numbers'!$A$5:$A$162,0),1,1,1,$L$6)),4,1,COUNTIF('Vehicle numbers'!$A$5:$A$162,J2578),4),
    MATCH(K$8,'Vehicle numbers'!$B$4:$D$4,0))*1000</f>
        <v>1216168</v>
      </c>
      <c r="L2578" s="183">
        <f ca="1">VLOOKUP(F2578,
    OFFSET(INDIRECT(ADDRESS(MATCH(J2578,'Vehicle numbers'!$A$5:$A$162,0),1,1,1,$L$6)),4,1,COUNTIF('Vehicle numbers'!$A$5:$A$162,J2578),4),
    MATCH(L$8,'Vehicle numbers'!$B$4:$D$4,0))*1000</f>
        <v>1240212</v>
      </c>
      <c r="M2578" s="184">
        <f>VLOOKUP(F2578,'Annual distance covered (GB)'!$A$8:$H$33,MATCH(J2578,'Annual distance covered (GB)'!$A$7:$H$7,0))</f>
        <v>4.7</v>
      </c>
      <c r="N2578" s="2">
        <f t="shared" ca="1" si="94"/>
        <v>3259.1858624795309</v>
      </c>
      <c r="O2578" s="180">
        <f t="shared" ca="1" si="95"/>
        <v>2.6279264049045895E-3</v>
      </c>
      <c r="P2578" s="180"/>
      <c r="Q2578" s="180"/>
      <c r="R2578" s="180"/>
      <c r="S2578" s="180"/>
      <c r="T2578" s="180"/>
    </row>
    <row r="2579" spans="1:20" x14ac:dyDescent="0.25">
      <c r="A2579" t="s">
        <v>243</v>
      </c>
      <c r="B2579" t="s">
        <v>237</v>
      </c>
      <c r="C2579" t="s">
        <v>238</v>
      </c>
      <c r="D2579" t="s">
        <v>262</v>
      </c>
      <c r="E2579" t="s">
        <v>229</v>
      </c>
      <c r="F2579">
        <v>2014</v>
      </c>
      <c r="G2579">
        <v>2.72E-4</v>
      </c>
      <c r="H2579" t="s">
        <v>240</v>
      </c>
      <c r="I2579" t="s">
        <v>241</v>
      </c>
      <c r="J2579" t="s">
        <v>3</v>
      </c>
      <c r="K2579" s="183">
        <f ca="1">VLOOKUP(F2579,
    OFFSET(INDIRECT(ADDRESS(MATCH(J2579,'Vehicle numbers'!$A$5:$A$162,0),1,1,1,$L$6)),4,1,COUNTIF('Vehicle numbers'!$A$5:$A$162,J2579),4),
    MATCH(K$8,'Vehicle numbers'!$B$4:$D$4,0))*1000</f>
        <v>1216168</v>
      </c>
      <c r="L2579" s="183">
        <f ca="1">VLOOKUP(F2579,
    OFFSET(INDIRECT(ADDRESS(MATCH(J2579,'Vehicle numbers'!$A$5:$A$162,0),1,1,1,$L$6)),4,1,COUNTIF('Vehicle numbers'!$A$5:$A$162,J2579),4),
    MATCH(L$8,'Vehicle numbers'!$B$4:$D$4,0))*1000</f>
        <v>1240212</v>
      </c>
      <c r="M2579" s="184">
        <f>VLOOKUP(F2579,'Annual distance covered (GB)'!$A$8:$H$33,MATCH(J2579,'Annual distance covered (GB)'!$A$7:$H$7,0))</f>
        <v>4.7</v>
      </c>
      <c r="N2579" s="2">
        <f t="shared" ca="1" si="94"/>
        <v>1303.6743449918104</v>
      </c>
      <c r="O2579" s="180">
        <f t="shared" ca="1" si="95"/>
        <v>1.0511705619618342E-3</v>
      </c>
      <c r="P2579" s="180"/>
      <c r="Q2579" s="180"/>
      <c r="R2579" s="180"/>
      <c r="S2579" s="180"/>
      <c r="T2579" s="180"/>
    </row>
    <row r="2580" spans="1:20" x14ac:dyDescent="0.25">
      <c r="A2580" t="s">
        <v>244</v>
      </c>
      <c r="B2580" t="s">
        <v>237</v>
      </c>
      <c r="C2580" t="s">
        <v>238</v>
      </c>
      <c r="D2580" t="s">
        <v>262</v>
      </c>
      <c r="E2580" t="s">
        <v>229</v>
      </c>
      <c r="F2580">
        <v>2014</v>
      </c>
      <c r="G2580" s="189">
        <v>6.7999999999999999E-5</v>
      </c>
      <c r="H2580" t="s">
        <v>240</v>
      </c>
      <c r="I2580" t="s">
        <v>241</v>
      </c>
      <c r="J2580" t="s">
        <v>3</v>
      </c>
      <c r="K2580" s="183">
        <f ca="1">VLOOKUP(F2580,
    OFFSET(INDIRECT(ADDRESS(MATCH(J2580,'Vehicle numbers'!$A$5:$A$162,0),1,1,1,$L$6)),4,1,COUNTIF('Vehicle numbers'!$A$5:$A$162,J2580),4),
    MATCH(K$8,'Vehicle numbers'!$B$4:$D$4,0))*1000</f>
        <v>1216168</v>
      </c>
      <c r="L2580" s="183">
        <f ca="1">VLOOKUP(F2580,
    OFFSET(INDIRECT(ADDRESS(MATCH(J2580,'Vehicle numbers'!$A$5:$A$162,0),1,1,1,$L$6)),4,1,COUNTIF('Vehicle numbers'!$A$5:$A$162,J2580),4),
    MATCH(L$8,'Vehicle numbers'!$B$4:$D$4,0))*1000</f>
        <v>1240212</v>
      </c>
      <c r="M2580" s="184">
        <f>VLOOKUP(F2580,'Annual distance covered (GB)'!$A$8:$H$33,MATCH(J2580,'Annual distance covered (GB)'!$A$7:$H$7,0))</f>
        <v>4.7</v>
      </c>
      <c r="N2580" s="2">
        <f t="shared" ca="1" si="94"/>
        <v>325.91858624795259</v>
      </c>
      <c r="O2580" s="180">
        <f t="shared" ca="1" si="95"/>
        <v>2.6279264049045855E-4</v>
      </c>
      <c r="P2580" s="180"/>
      <c r="Q2580" s="180"/>
      <c r="R2580" s="180"/>
      <c r="S2580" s="180"/>
      <c r="T2580" s="180"/>
    </row>
    <row r="2581" spans="1:20" x14ac:dyDescent="0.25">
      <c r="A2581" t="s">
        <v>246</v>
      </c>
      <c r="B2581" t="s">
        <v>237</v>
      </c>
      <c r="C2581" t="s">
        <v>238</v>
      </c>
      <c r="D2581" t="s">
        <v>262</v>
      </c>
      <c r="E2581" t="s">
        <v>229</v>
      </c>
      <c r="F2581">
        <v>2014</v>
      </c>
      <c r="G2581" s="189">
        <v>5.4400000000000001E-5</v>
      </c>
      <c r="H2581" t="s">
        <v>240</v>
      </c>
      <c r="I2581" t="s">
        <v>241</v>
      </c>
      <c r="J2581" t="s">
        <v>3</v>
      </c>
      <c r="K2581" s="183">
        <f ca="1">VLOOKUP(F2581,
    OFFSET(INDIRECT(ADDRESS(MATCH(J2581,'Vehicle numbers'!$A$5:$A$162,0),1,1,1,$L$6)),4,1,COUNTIF('Vehicle numbers'!$A$5:$A$162,J2581),4),
    MATCH(K$8,'Vehicle numbers'!$B$4:$D$4,0))*1000</f>
        <v>1216168</v>
      </c>
      <c r="L2581" s="183">
        <f ca="1">VLOOKUP(F2581,
    OFFSET(INDIRECT(ADDRESS(MATCH(J2581,'Vehicle numbers'!$A$5:$A$162,0),1,1,1,$L$6)),4,1,COUNTIF('Vehicle numbers'!$A$5:$A$162,J2581),4),
    MATCH(L$8,'Vehicle numbers'!$B$4:$D$4,0))*1000</f>
        <v>1240212</v>
      </c>
      <c r="M2581" s="184">
        <f>VLOOKUP(F2581,'Annual distance covered (GB)'!$A$8:$H$33,MATCH(J2581,'Annual distance covered (GB)'!$A$7:$H$7,0))</f>
        <v>4.7</v>
      </c>
      <c r="N2581" s="2">
        <f t="shared" ca="1" si="94"/>
        <v>260.734868998362</v>
      </c>
      <c r="O2581" s="180">
        <f t="shared" ca="1" si="95"/>
        <v>2.102341123923668E-4</v>
      </c>
      <c r="P2581" s="180"/>
      <c r="Q2581" s="180"/>
      <c r="R2581" s="180"/>
      <c r="S2581" s="180"/>
      <c r="T2581" s="180"/>
    </row>
    <row r="2582" spans="1:20" x14ac:dyDescent="0.25">
      <c r="A2582" t="s">
        <v>236</v>
      </c>
      <c r="B2582" t="s">
        <v>237</v>
      </c>
      <c r="C2582" t="s">
        <v>238</v>
      </c>
      <c r="D2582" t="s">
        <v>262</v>
      </c>
      <c r="E2582" t="s">
        <v>228</v>
      </c>
      <c r="F2582">
        <v>2014</v>
      </c>
      <c r="G2582">
        <v>2.49E-3</v>
      </c>
      <c r="H2582" t="s">
        <v>240</v>
      </c>
      <c r="I2582" t="s">
        <v>241</v>
      </c>
      <c r="J2582" t="s">
        <v>3</v>
      </c>
      <c r="K2582" s="183">
        <f ca="1">VLOOKUP(F2582,
    OFFSET(INDIRECT(ADDRESS(MATCH(J2582,'Vehicle numbers'!$A$5:$A$162,0),1,1,1,$L$6)),4,1,COUNTIF('Vehicle numbers'!$A$5:$A$162,J2582),4),
    MATCH(K$8,'Vehicle numbers'!$B$4:$D$4,0))*1000</f>
        <v>1216168</v>
      </c>
      <c r="L2582" s="183">
        <f ca="1">VLOOKUP(F2582,
    OFFSET(INDIRECT(ADDRESS(MATCH(J2582,'Vehicle numbers'!$A$5:$A$162,0),1,1,1,$L$6)),4,1,COUNTIF('Vehicle numbers'!$A$5:$A$162,J2582),4),
    MATCH(L$8,'Vehicle numbers'!$B$4:$D$4,0))*1000</f>
        <v>1240212</v>
      </c>
      <c r="M2582" s="184">
        <f>VLOOKUP(F2582,'Annual distance covered (GB)'!$A$8:$H$33,MATCH(J2582,'Annual distance covered (GB)'!$A$7:$H$7,0))</f>
        <v>4.7</v>
      </c>
      <c r="N2582" s="2">
        <f t="shared" ca="1" si="94"/>
        <v>11934.371761138264</v>
      </c>
      <c r="O2582" s="180">
        <f t="shared" ca="1" si="95"/>
        <v>9.6228481591359091E-3</v>
      </c>
      <c r="P2582" s="180"/>
      <c r="Q2582" s="180"/>
      <c r="R2582" s="180"/>
      <c r="S2582" s="180"/>
      <c r="T2582" s="180"/>
    </row>
    <row r="2583" spans="1:20" x14ac:dyDescent="0.25">
      <c r="A2583" t="s">
        <v>243</v>
      </c>
      <c r="B2583" t="s">
        <v>237</v>
      </c>
      <c r="C2583" t="s">
        <v>238</v>
      </c>
      <c r="D2583" t="s">
        <v>262</v>
      </c>
      <c r="E2583" t="s">
        <v>228</v>
      </c>
      <c r="F2583">
        <v>2014</v>
      </c>
      <c r="G2583">
        <v>1.743E-3</v>
      </c>
      <c r="H2583" t="s">
        <v>240</v>
      </c>
      <c r="I2583" t="s">
        <v>241</v>
      </c>
      <c r="J2583" t="s">
        <v>3</v>
      </c>
      <c r="K2583" s="183">
        <f ca="1">VLOOKUP(F2583,
    OFFSET(INDIRECT(ADDRESS(MATCH(J2583,'Vehicle numbers'!$A$5:$A$162,0),1,1,1,$L$6)),4,1,COUNTIF('Vehicle numbers'!$A$5:$A$162,J2583),4),
    MATCH(K$8,'Vehicle numbers'!$B$4:$D$4,0))*1000</f>
        <v>1216168</v>
      </c>
      <c r="L2583" s="183">
        <f ca="1">VLOOKUP(F2583,
    OFFSET(INDIRECT(ADDRESS(MATCH(J2583,'Vehicle numbers'!$A$5:$A$162,0),1,1,1,$L$6)),4,1,COUNTIF('Vehicle numbers'!$A$5:$A$162,J2583),4),
    MATCH(L$8,'Vehicle numbers'!$B$4:$D$4,0))*1000</f>
        <v>1240212</v>
      </c>
      <c r="M2583" s="184">
        <f>VLOOKUP(F2583,'Annual distance covered (GB)'!$A$8:$H$33,MATCH(J2583,'Annual distance covered (GB)'!$A$7:$H$7,0))</f>
        <v>4.7</v>
      </c>
      <c r="N2583" s="2">
        <f t="shared" ca="1" si="94"/>
        <v>8354.0602327967845</v>
      </c>
      <c r="O2583" s="180">
        <f t="shared" ca="1" si="95"/>
        <v>6.7359937113951364E-3</v>
      </c>
      <c r="P2583" s="180"/>
      <c r="Q2583" s="180"/>
      <c r="R2583" s="180"/>
      <c r="S2583" s="180"/>
      <c r="T2583" s="180"/>
    </row>
    <row r="2584" spans="1:20" x14ac:dyDescent="0.25">
      <c r="A2584" t="s">
        <v>244</v>
      </c>
      <c r="B2584" t="s">
        <v>237</v>
      </c>
      <c r="C2584" t="s">
        <v>238</v>
      </c>
      <c r="D2584" t="s">
        <v>262</v>
      </c>
      <c r="E2584" t="s">
        <v>228</v>
      </c>
      <c r="F2584">
        <v>2014</v>
      </c>
      <c r="G2584">
        <v>2.4549295774647798E-4</v>
      </c>
      <c r="H2584" t="s">
        <v>240</v>
      </c>
      <c r="I2584" t="s">
        <v>241</v>
      </c>
      <c r="J2584" t="s">
        <v>3</v>
      </c>
      <c r="K2584" s="183">
        <f ca="1">VLOOKUP(F2584,
    OFFSET(INDIRECT(ADDRESS(MATCH(J2584,'Vehicle numbers'!$A$5:$A$162,0),1,1,1,$L$6)),4,1,COUNTIF('Vehicle numbers'!$A$5:$A$162,J2584),4),
    MATCH(K$8,'Vehicle numbers'!$B$4:$D$4,0))*1000</f>
        <v>1216168</v>
      </c>
      <c r="L2584" s="183">
        <f ca="1">VLOOKUP(F2584,
    OFFSET(INDIRECT(ADDRESS(MATCH(J2584,'Vehicle numbers'!$A$5:$A$162,0),1,1,1,$L$6)),4,1,COUNTIF('Vehicle numbers'!$A$5:$A$162,J2584),4),
    MATCH(L$8,'Vehicle numbers'!$B$4:$D$4,0))*1000</f>
        <v>1240212</v>
      </c>
      <c r="M2584" s="184">
        <f>VLOOKUP(F2584,'Annual distance covered (GB)'!$A$8:$H$33,MATCH(J2584,'Annual distance covered (GB)'!$A$7:$H$7,0))</f>
        <v>4.7</v>
      </c>
      <c r="N2584" s="2">
        <f t="shared" ca="1" si="94"/>
        <v>1176.6282018023596</v>
      </c>
      <c r="O2584" s="180">
        <f t="shared" ca="1" si="95"/>
        <v>9.4873150864719876E-4</v>
      </c>
      <c r="P2584" s="180"/>
      <c r="Q2584" s="180"/>
      <c r="R2584" s="180"/>
      <c r="S2584" s="180"/>
      <c r="T2584" s="180"/>
    </row>
    <row r="2585" spans="1:20" x14ac:dyDescent="0.25">
      <c r="A2585" t="s">
        <v>246</v>
      </c>
      <c r="B2585" t="s">
        <v>237</v>
      </c>
      <c r="C2585" t="s">
        <v>238</v>
      </c>
      <c r="D2585" t="s">
        <v>262</v>
      </c>
      <c r="E2585" t="s">
        <v>228</v>
      </c>
      <c r="F2585">
        <v>2014</v>
      </c>
      <c r="G2585">
        <v>1.96394366197183E-4</v>
      </c>
      <c r="H2585" t="s">
        <v>240</v>
      </c>
      <c r="I2585" t="s">
        <v>241</v>
      </c>
      <c r="J2585" t="s">
        <v>3</v>
      </c>
      <c r="K2585" s="183">
        <f ca="1">VLOOKUP(F2585,
    OFFSET(INDIRECT(ADDRESS(MATCH(J2585,'Vehicle numbers'!$A$5:$A$162,0),1,1,1,$L$6)),4,1,COUNTIF('Vehicle numbers'!$A$5:$A$162,J2585),4),
    MATCH(K$8,'Vehicle numbers'!$B$4:$D$4,0))*1000</f>
        <v>1216168</v>
      </c>
      <c r="L2585" s="183">
        <f ca="1">VLOOKUP(F2585,
    OFFSET(INDIRECT(ADDRESS(MATCH(J2585,'Vehicle numbers'!$A$5:$A$162,0),1,1,1,$L$6)),4,1,COUNTIF('Vehicle numbers'!$A$5:$A$162,J2585),4),
    MATCH(L$8,'Vehicle numbers'!$B$4:$D$4,0))*1000</f>
        <v>1240212</v>
      </c>
      <c r="M2585" s="184">
        <f>VLOOKUP(F2585,'Annual distance covered (GB)'!$A$8:$H$33,MATCH(J2585,'Annual distance covered (GB)'!$A$7:$H$7,0))</f>
        <v>4.7</v>
      </c>
      <c r="N2585" s="2">
        <f t="shared" ca="1" si="94"/>
        <v>941.3025614418907</v>
      </c>
      <c r="O2585" s="180">
        <f t="shared" ca="1" si="95"/>
        <v>7.5898520691776135E-4</v>
      </c>
      <c r="P2585" s="180"/>
      <c r="Q2585" s="180"/>
      <c r="R2585" s="180"/>
      <c r="S2585" s="180"/>
      <c r="T2585" s="180"/>
    </row>
    <row r="2586" spans="1:20" x14ac:dyDescent="0.25">
      <c r="A2586" t="s">
        <v>236</v>
      </c>
      <c r="B2586" t="s">
        <v>237</v>
      </c>
      <c r="C2586" t="s">
        <v>238</v>
      </c>
      <c r="D2586" t="s">
        <v>263</v>
      </c>
      <c r="E2586" t="s">
        <v>229</v>
      </c>
      <c r="F2586">
        <v>2014</v>
      </c>
      <c r="G2586">
        <v>2.76399999999999E-3</v>
      </c>
      <c r="H2586" t="s">
        <v>240</v>
      </c>
      <c r="I2586" t="s">
        <v>241</v>
      </c>
      <c r="J2586" t="s">
        <v>3</v>
      </c>
      <c r="K2586" s="183">
        <f ca="1">VLOOKUP(F2586,
    OFFSET(INDIRECT(ADDRESS(MATCH(J2586,'Vehicle numbers'!$A$5:$A$162,0),1,1,1,$L$6)),4,1,COUNTIF('Vehicle numbers'!$A$5:$A$162,J2586),4),
    MATCH(K$8,'Vehicle numbers'!$B$4:$D$4,0))*1000</f>
        <v>1216168</v>
      </c>
      <c r="L2586" s="183">
        <f ca="1">VLOOKUP(F2586,
    OFFSET(INDIRECT(ADDRESS(MATCH(J2586,'Vehicle numbers'!$A$5:$A$162,0),1,1,1,$L$6)),4,1,COUNTIF('Vehicle numbers'!$A$5:$A$162,J2586),4),
    MATCH(L$8,'Vehicle numbers'!$B$4:$D$4,0))*1000</f>
        <v>1240212</v>
      </c>
      <c r="M2586" s="184">
        <f>VLOOKUP(F2586,'Annual distance covered (GB)'!$A$8:$H$33,MATCH(J2586,'Annual distance covered (GB)'!$A$7:$H$7,0))</f>
        <v>4.7</v>
      </c>
      <c r="N2586" s="2">
        <f t="shared" ca="1" si="94"/>
        <v>13247.631946902025</v>
      </c>
      <c r="O2586" s="180">
        <f t="shared" ca="1" si="95"/>
        <v>1.0681747916406248E-2</v>
      </c>
      <c r="P2586" s="180"/>
      <c r="Q2586" s="180"/>
      <c r="R2586" s="180"/>
      <c r="S2586" s="180"/>
      <c r="T2586" s="180"/>
    </row>
    <row r="2587" spans="1:20" x14ac:dyDescent="0.25">
      <c r="A2587" t="s">
        <v>243</v>
      </c>
      <c r="B2587" t="s">
        <v>237</v>
      </c>
      <c r="C2587" t="s">
        <v>238</v>
      </c>
      <c r="D2587" t="s">
        <v>263</v>
      </c>
      <c r="E2587" t="s">
        <v>229</v>
      </c>
      <c r="F2587">
        <v>2014</v>
      </c>
      <c r="G2587">
        <v>1.1056E-3</v>
      </c>
      <c r="H2587" t="s">
        <v>240</v>
      </c>
      <c r="I2587" t="s">
        <v>241</v>
      </c>
      <c r="J2587" t="s">
        <v>3</v>
      </c>
      <c r="K2587" s="183">
        <f ca="1">VLOOKUP(F2587,
    OFFSET(INDIRECT(ADDRESS(MATCH(J2587,'Vehicle numbers'!$A$5:$A$162,0),1,1,1,$L$6)),4,1,COUNTIF('Vehicle numbers'!$A$5:$A$162,J2587),4),
    MATCH(K$8,'Vehicle numbers'!$B$4:$D$4,0))*1000</f>
        <v>1216168</v>
      </c>
      <c r="L2587" s="183">
        <f ca="1">VLOOKUP(F2587,
    OFFSET(INDIRECT(ADDRESS(MATCH(J2587,'Vehicle numbers'!$A$5:$A$162,0),1,1,1,$L$6)),4,1,COUNTIF('Vehicle numbers'!$A$5:$A$162,J2587),4),
    MATCH(L$8,'Vehicle numbers'!$B$4:$D$4,0))*1000</f>
        <v>1240212</v>
      </c>
      <c r="M2587" s="184">
        <f>VLOOKUP(F2587,'Annual distance covered (GB)'!$A$8:$H$33,MATCH(J2587,'Annual distance covered (GB)'!$A$7:$H$7,0))</f>
        <v>4.7</v>
      </c>
      <c r="N2587" s="2">
        <f t="shared" ca="1" si="94"/>
        <v>5299.052778760828</v>
      </c>
      <c r="O2587" s="180">
        <f t="shared" ca="1" si="95"/>
        <v>4.2726991665625134E-3</v>
      </c>
      <c r="P2587" s="180"/>
      <c r="Q2587" s="180"/>
      <c r="R2587" s="180"/>
      <c r="S2587" s="180"/>
      <c r="T2587" s="180"/>
    </row>
    <row r="2588" spans="1:20" x14ac:dyDescent="0.25">
      <c r="A2588" t="s">
        <v>244</v>
      </c>
      <c r="B2588" t="s">
        <v>237</v>
      </c>
      <c r="C2588" t="s">
        <v>238</v>
      </c>
      <c r="D2588" t="s">
        <v>263</v>
      </c>
      <c r="E2588" t="s">
        <v>229</v>
      </c>
      <c r="F2588">
        <v>2014</v>
      </c>
      <c r="G2588">
        <v>2.764E-4</v>
      </c>
      <c r="H2588" t="s">
        <v>240</v>
      </c>
      <c r="I2588" t="s">
        <v>241</v>
      </c>
      <c r="J2588" t="s">
        <v>3</v>
      </c>
      <c r="K2588" s="183">
        <f ca="1">VLOOKUP(F2588,
    OFFSET(INDIRECT(ADDRESS(MATCH(J2588,'Vehicle numbers'!$A$5:$A$162,0),1,1,1,$L$6)),4,1,COUNTIF('Vehicle numbers'!$A$5:$A$162,J2588),4),
    MATCH(K$8,'Vehicle numbers'!$B$4:$D$4,0))*1000</f>
        <v>1216168</v>
      </c>
      <c r="L2588" s="183">
        <f ca="1">VLOOKUP(F2588,
    OFFSET(INDIRECT(ADDRESS(MATCH(J2588,'Vehicle numbers'!$A$5:$A$162,0),1,1,1,$L$6)),4,1,COUNTIF('Vehicle numbers'!$A$5:$A$162,J2588),4),
    MATCH(L$8,'Vehicle numbers'!$B$4:$D$4,0))*1000</f>
        <v>1240212</v>
      </c>
      <c r="M2588" s="184">
        <f>VLOOKUP(F2588,'Annual distance covered (GB)'!$A$8:$H$33,MATCH(J2588,'Annual distance covered (GB)'!$A$7:$H$7,0))</f>
        <v>4.7</v>
      </c>
      <c r="N2588" s="2">
        <f t="shared" ca="1" si="94"/>
        <v>1324.763194690207</v>
      </c>
      <c r="O2588" s="180">
        <f t="shared" ca="1" si="95"/>
        <v>1.0681747916406283E-3</v>
      </c>
      <c r="P2588" s="180"/>
      <c r="Q2588" s="180"/>
      <c r="R2588" s="180"/>
      <c r="S2588" s="180"/>
      <c r="T2588" s="180"/>
    </row>
    <row r="2589" spans="1:20" x14ac:dyDescent="0.25">
      <c r="A2589" t="s">
        <v>246</v>
      </c>
      <c r="B2589" t="s">
        <v>237</v>
      </c>
      <c r="C2589" t="s">
        <v>238</v>
      </c>
      <c r="D2589" t="s">
        <v>263</v>
      </c>
      <c r="E2589" t="s">
        <v>229</v>
      </c>
      <c r="F2589">
        <v>2014</v>
      </c>
      <c r="G2589">
        <v>2.2112E-4</v>
      </c>
      <c r="H2589" t="s">
        <v>240</v>
      </c>
      <c r="I2589" t="s">
        <v>241</v>
      </c>
      <c r="J2589" t="s">
        <v>3</v>
      </c>
      <c r="K2589" s="183">
        <f ca="1">VLOOKUP(F2589,
    OFFSET(INDIRECT(ADDRESS(MATCH(J2589,'Vehicle numbers'!$A$5:$A$162,0),1,1,1,$L$6)),4,1,COUNTIF('Vehicle numbers'!$A$5:$A$162,J2589),4),
    MATCH(K$8,'Vehicle numbers'!$B$4:$D$4,0))*1000</f>
        <v>1216168</v>
      </c>
      <c r="L2589" s="183">
        <f ca="1">VLOOKUP(F2589,
    OFFSET(INDIRECT(ADDRESS(MATCH(J2589,'Vehicle numbers'!$A$5:$A$162,0),1,1,1,$L$6)),4,1,COUNTIF('Vehicle numbers'!$A$5:$A$162,J2589),4),
    MATCH(L$8,'Vehicle numbers'!$B$4:$D$4,0))*1000</f>
        <v>1240212</v>
      </c>
      <c r="M2589" s="184">
        <f>VLOOKUP(F2589,'Annual distance covered (GB)'!$A$8:$H$33,MATCH(J2589,'Annual distance covered (GB)'!$A$7:$H$7,0))</f>
        <v>4.7</v>
      </c>
      <c r="N2589" s="2">
        <f t="shared" ca="1" si="94"/>
        <v>1059.8105557521658</v>
      </c>
      <c r="O2589" s="180">
        <f t="shared" ca="1" si="95"/>
        <v>8.5453983331250285E-4</v>
      </c>
      <c r="P2589" s="180"/>
      <c r="Q2589" s="180"/>
      <c r="R2589" s="180"/>
      <c r="S2589" s="180"/>
      <c r="T2589" s="180"/>
    </row>
    <row r="2590" spans="1:20" x14ac:dyDescent="0.25">
      <c r="A2590" t="s">
        <v>236</v>
      </c>
      <c r="B2590" t="s">
        <v>237</v>
      </c>
      <c r="C2590" t="s">
        <v>238</v>
      </c>
      <c r="D2590" t="s">
        <v>263</v>
      </c>
      <c r="E2590" t="s">
        <v>228</v>
      </c>
      <c r="F2590">
        <v>2014</v>
      </c>
      <c r="G2590">
        <v>2.92399999999999E-3</v>
      </c>
      <c r="H2590" t="s">
        <v>240</v>
      </c>
      <c r="I2590" t="s">
        <v>241</v>
      </c>
      <c r="J2590" t="s">
        <v>3</v>
      </c>
      <c r="K2590" s="183">
        <f ca="1">VLOOKUP(F2590,
    OFFSET(INDIRECT(ADDRESS(MATCH(J2590,'Vehicle numbers'!$A$5:$A$162,0),1,1,1,$L$6)),4,1,COUNTIF('Vehicle numbers'!$A$5:$A$162,J2590),4),
    MATCH(K$8,'Vehicle numbers'!$B$4:$D$4,0))*1000</f>
        <v>1216168</v>
      </c>
      <c r="L2590" s="183">
        <f ca="1">VLOOKUP(F2590,
    OFFSET(INDIRECT(ADDRESS(MATCH(J2590,'Vehicle numbers'!$A$5:$A$162,0),1,1,1,$L$6)),4,1,COUNTIF('Vehicle numbers'!$A$5:$A$162,J2590),4),
    MATCH(L$8,'Vehicle numbers'!$B$4:$D$4,0))*1000</f>
        <v>1240212</v>
      </c>
      <c r="M2590" s="184">
        <f>VLOOKUP(F2590,'Annual distance covered (GB)'!$A$8:$H$33,MATCH(J2590,'Annual distance covered (GB)'!$A$7:$H$7,0))</f>
        <v>4.7</v>
      </c>
      <c r="N2590" s="2">
        <f t="shared" ca="1" si="94"/>
        <v>14014.499208661911</v>
      </c>
      <c r="O2590" s="180">
        <f t="shared" ca="1" si="95"/>
        <v>1.1300083541089677E-2</v>
      </c>
      <c r="P2590" s="180"/>
      <c r="Q2590" s="180"/>
      <c r="R2590" s="180"/>
      <c r="S2590" s="180"/>
      <c r="T2590" s="180"/>
    </row>
    <row r="2591" spans="1:20" x14ac:dyDescent="0.25">
      <c r="A2591" t="s">
        <v>243</v>
      </c>
      <c r="B2591" t="s">
        <v>237</v>
      </c>
      <c r="C2591" t="s">
        <v>238</v>
      </c>
      <c r="D2591" t="s">
        <v>263</v>
      </c>
      <c r="E2591" t="s">
        <v>228</v>
      </c>
      <c r="F2591">
        <v>2014</v>
      </c>
      <c r="G2591">
        <v>2.0467999999999901E-3</v>
      </c>
      <c r="H2591" t="s">
        <v>240</v>
      </c>
      <c r="I2591" t="s">
        <v>241</v>
      </c>
      <c r="J2591" t="s">
        <v>3</v>
      </c>
      <c r="K2591" s="183">
        <f ca="1">VLOOKUP(F2591,
    OFFSET(INDIRECT(ADDRESS(MATCH(J2591,'Vehicle numbers'!$A$5:$A$162,0),1,1,1,$L$6)),4,1,COUNTIF('Vehicle numbers'!$A$5:$A$162,J2591),4),
    MATCH(K$8,'Vehicle numbers'!$B$4:$D$4,0))*1000</f>
        <v>1216168</v>
      </c>
      <c r="L2591" s="183">
        <f ca="1">VLOOKUP(F2591,
    OFFSET(INDIRECT(ADDRESS(MATCH(J2591,'Vehicle numbers'!$A$5:$A$162,0),1,1,1,$L$6)),4,1,COUNTIF('Vehicle numbers'!$A$5:$A$162,J2591),4),
    MATCH(L$8,'Vehicle numbers'!$B$4:$D$4,0))*1000</f>
        <v>1240212</v>
      </c>
      <c r="M2591" s="184">
        <f>VLOOKUP(F2591,'Annual distance covered (GB)'!$A$8:$H$33,MATCH(J2591,'Annual distance covered (GB)'!$A$7:$H$7,0))</f>
        <v>4.7</v>
      </c>
      <c r="N2591" s="2">
        <f t="shared" ca="1" si="94"/>
        <v>9810.1494460633257</v>
      </c>
      <c r="O2591" s="180">
        <f t="shared" ca="1" si="95"/>
        <v>7.9100584787627649E-3</v>
      </c>
      <c r="P2591" s="180"/>
      <c r="Q2591" s="180"/>
      <c r="R2591" s="180"/>
      <c r="S2591" s="180"/>
      <c r="T2591" s="180"/>
    </row>
    <row r="2592" spans="1:20" x14ac:dyDescent="0.25">
      <c r="A2592" t="s">
        <v>244</v>
      </c>
      <c r="B2592" t="s">
        <v>237</v>
      </c>
      <c r="C2592" t="s">
        <v>238</v>
      </c>
      <c r="D2592" t="s">
        <v>263</v>
      </c>
      <c r="E2592" t="s">
        <v>228</v>
      </c>
      <c r="F2592">
        <v>2014</v>
      </c>
      <c r="G2592">
        <v>2.8828169014084301E-4</v>
      </c>
      <c r="H2592" t="s">
        <v>240</v>
      </c>
      <c r="I2592" t="s">
        <v>241</v>
      </c>
      <c r="J2592" t="s">
        <v>3</v>
      </c>
      <c r="K2592" s="183">
        <f ca="1">VLOOKUP(F2592,
    OFFSET(INDIRECT(ADDRESS(MATCH(J2592,'Vehicle numbers'!$A$5:$A$162,0),1,1,1,$L$6)),4,1,COUNTIF('Vehicle numbers'!$A$5:$A$162,J2592),4),
    MATCH(K$8,'Vehicle numbers'!$B$4:$D$4,0))*1000</f>
        <v>1216168</v>
      </c>
      <c r="L2592" s="183">
        <f ca="1">VLOOKUP(F2592,
    OFFSET(INDIRECT(ADDRESS(MATCH(J2592,'Vehicle numbers'!$A$5:$A$162,0),1,1,1,$L$6)),4,1,COUNTIF('Vehicle numbers'!$A$5:$A$162,J2592),4),
    MATCH(L$8,'Vehicle numbers'!$B$4:$D$4,0))*1000</f>
        <v>1240212</v>
      </c>
      <c r="M2592" s="184">
        <f>VLOOKUP(F2592,'Annual distance covered (GB)'!$A$8:$H$33,MATCH(J2592,'Annual distance covered (GB)'!$A$7:$H$7,0))</f>
        <v>4.7</v>
      </c>
      <c r="N2592" s="2">
        <f t="shared" ca="1" si="94"/>
        <v>1381.7111895863807</v>
      </c>
      <c r="O2592" s="180">
        <f t="shared" ca="1" si="95"/>
        <v>1.1140927434877108E-3</v>
      </c>
      <c r="P2592" s="180"/>
      <c r="Q2592" s="180"/>
      <c r="R2592" s="180"/>
      <c r="S2592" s="180"/>
      <c r="T2592" s="180"/>
    </row>
    <row r="2593" spans="1:20" x14ac:dyDescent="0.25">
      <c r="A2593" t="s">
        <v>246</v>
      </c>
      <c r="B2593" t="s">
        <v>237</v>
      </c>
      <c r="C2593" t="s">
        <v>238</v>
      </c>
      <c r="D2593" t="s">
        <v>263</v>
      </c>
      <c r="E2593" t="s">
        <v>228</v>
      </c>
      <c r="F2593">
        <v>2014</v>
      </c>
      <c r="G2593">
        <v>2.3062535211267499E-4</v>
      </c>
      <c r="H2593" t="s">
        <v>240</v>
      </c>
      <c r="I2593" t="s">
        <v>241</v>
      </c>
      <c r="J2593" t="s">
        <v>3</v>
      </c>
      <c r="K2593" s="183">
        <f ca="1">VLOOKUP(F2593,
    OFFSET(INDIRECT(ADDRESS(MATCH(J2593,'Vehicle numbers'!$A$5:$A$162,0),1,1,1,$L$6)),4,1,COUNTIF('Vehicle numbers'!$A$5:$A$162,J2593),4),
    MATCH(K$8,'Vehicle numbers'!$B$4:$D$4,0))*1000</f>
        <v>1216168</v>
      </c>
      <c r="L2593" s="183">
        <f ca="1">VLOOKUP(F2593,
    OFFSET(INDIRECT(ADDRESS(MATCH(J2593,'Vehicle numbers'!$A$5:$A$162,0),1,1,1,$L$6)),4,1,COUNTIF('Vehicle numbers'!$A$5:$A$162,J2593),4),
    MATCH(L$8,'Vehicle numbers'!$B$4:$D$4,0))*1000</f>
        <v>1240212</v>
      </c>
      <c r="M2593" s="184">
        <f>VLOOKUP(F2593,'Annual distance covered (GB)'!$A$8:$H$33,MATCH(J2593,'Annual distance covered (GB)'!$A$7:$H$7,0))</f>
        <v>4.7</v>
      </c>
      <c r="N2593" s="2">
        <f t="shared" ca="1" si="94"/>
        <v>1105.3689516691074</v>
      </c>
      <c r="O2593" s="180">
        <f t="shared" ca="1" si="95"/>
        <v>8.9127419479017092E-4</v>
      </c>
      <c r="P2593" s="180"/>
      <c r="Q2593" s="180"/>
      <c r="R2593" s="180"/>
      <c r="S2593" s="180"/>
      <c r="T2593" s="180"/>
    </row>
    <row r="2594" spans="1:20" x14ac:dyDescent="0.25">
      <c r="A2594" t="s">
        <v>236</v>
      </c>
      <c r="B2594" t="s">
        <v>237</v>
      </c>
      <c r="C2594" t="s">
        <v>238</v>
      </c>
      <c r="D2594" t="s">
        <v>264</v>
      </c>
      <c r="E2594" t="s">
        <v>229</v>
      </c>
      <c r="F2594">
        <v>2014</v>
      </c>
      <c r="G2594">
        <v>5.8400000000000101E-3</v>
      </c>
      <c r="H2594" t="s">
        <v>240</v>
      </c>
      <c r="I2594" t="s">
        <v>241</v>
      </c>
      <c r="J2594" t="s">
        <v>3</v>
      </c>
      <c r="K2594" s="183">
        <f ca="1">VLOOKUP(F2594,
    OFFSET(INDIRECT(ADDRESS(MATCH(J2594,'Vehicle numbers'!$A$5:$A$162,0),1,1,1,$L$6)),4,1,COUNTIF('Vehicle numbers'!$A$5:$A$162,J2594),4),
    MATCH(K$8,'Vehicle numbers'!$B$4:$D$4,0))*1000</f>
        <v>1216168</v>
      </c>
      <c r="L2594" s="183">
        <f ca="1">VLOOKUP(F2594,
    OFFSET(INDIRECT(ADDRESS(MATCH(J2594,'Vehicle numbers'!$A$5:$A$162,0),1,1,1,$L$6)),4,1,COUNTIF('Vehicle numbers'!$A$5:$A$162,J2594),4),
    MATCH(L$8,'Vehicle numbers'!$B$4:$D$4,0))*1000</f>
        <v>1240212</v>
      </c>
      <c r="M2594" s="184">
        <f>VLOOKUP(F2594,'Annual distance covered (GB)'!$A$8:$H$33,MATCH(J2594,'Annual distance covered (GB)'!$A$7:$H$7,0))</f>
        <v>4.7</v>
      </c>
      <c r="N2594" s="2">
        <f t="shared" ca="1" si="94"/>
        <v>27990.655054235973</v>
      </c>
      <c r="O2594" s="180">
        <f t="shared" ca="1" si="95"/>
        <v>2.2569250300945299E-2</v>
      </c>
      <c r="P2594" s="180"/>
      <c r="Q2594" s="180"/>
      <c r="R2594" s="180"/>
      <c r="S2594" s="180"/>
      <c r="T2594" s="180"/>
    </row>
    <row r="2595" spans="1:20" x14ac:dyDescent="0.25">
      <c r="A2595" t="s">
        <v>243</v>
      </c>
      <c r="B2595" t="s">
        <v>237</v>
      </c>
      <c r="C2595" t="s">
        <v>238</v>
      </c>
      <c r="D2595" t="s">
        <v>264</v>
      </c>
      <c r="E2595" t="s">
        <v>229</v>
      </c>
      <c r="F2595">
        <v>2014</v>
      </c>
      <c r="G2595">
        <v>2.336E-3</v>
      </c>
      <c r="H2595" t="s">
        <v>240</v>
      </c>
      <c r="I2595" t="s">
        <v>241</v>
      </c>
      <c r="J2595" t="s">
        <v>3</v>
      </c>
      <c r="K2595" s="183">
        <f ca="1">VLOOKUP(F2595,
    OFFSET(INDIRECT(ADDRESS(MATCH(J2595,'Vehicle numbers'!$A$5:$A$162,0),1,1,1,$L$6)),4,1,COUNTIF('Vehicle numbers'!$A$5:$A$162,J2595),4),
    MATCH(K$8,'Vehicle numbers'!$B$4:$D$4,0))*1000</f>
        <v>1216168</v>
      </c>
      <c r="L2595" s="183">
        <f ca="1">VLOOKUP(F2595,
    OFFSET(INDIRECT(ADDRESS(MATCH(J2595,'Vehicle numbers'!$A$5:$A$162,0),1,1,1,$L$6)),4,1,COUNTIF('Vehicle numbers'!$A$5:$A$162,J2595),4),
    MATCH(L$8,'Vehicle numbers'!$B$4:$D$4,0))*1000</f>
        <v>1240212</v>
      </c>
      <c r="M2595" s="184">
        <f>VLOOKUP(F2595,'Annual distance covered (GB)'!$A$8:$H$33,MATCH(J2595,'Annual distance covered (GB)'!$A$7:$H$7,0))</f>
        <v>4.7</v>
      </c>
      <c r="N2595" s="2">
        <f t="shared" ca="1" si="94"/>
        <v>11196.262021694369</v>
      </c>
      <c r="O2595" s="180">
        <f t="shared" ca="1" si="95"/>
        <v>9.0277001203781029E-3</v>
      </c>
      <c r="P2595" s="180"/>
      <c r="Q2595" s="180"/>
      <c r="R2595" s="180"/>
      <c r="S2595" s="180"/>
      <c r="T2595" s="180"/>
    </row>
    <row r="2596" spans="1:20" x14ac:dyDescent="0.25">
      <c r="A2596" t="s">
        <v>244</v>
      </c>
      <c r="B2596" t="s">
        <v>237</v>
      </c>
      <c r="C2596" t="s">
        <v>238</v>
      </c>
      <c r="D2596" t="s">
        <v>264</v>
      </c>
      <c r="E2596" t="s">
        <v>229</v>
      </c>
      <c r="F2596">
        <v>2014</v>
      </c>
      <c r="G2596">
        <v>5.8399999999999999E-4</v>
      </c>
      <c r="H2596" t="s">
        <v>240</v>
      </c>
      <c r="I2596" t="s">
        <v>241</v>
      </c>
      <c r="J2596" t="s">
        <v>3</v>
      </c>
      <c r="K2596" s="183">
        <f ca="1">VLOOKUP(F2596,
    OFFSET(INDIRECT(ADDRESS(MATCH(J2596,'Vehicle numbers'!$A$5:$A$162,0),1,1,1,$L$6)),4,1,COUNTIF('Vehicle numbers'!$A$5:$A$162,J2596),4),
    MATCH(K$8,'Vehicle numbers'!$B$4:$D$4,0))*1000</f>
        <v>1216168</v>
      </c>
      <c r="L2596" s="183">
        <f ca="1">VLOOKUP(F2596,
    OFFSET(INDIRECT(ADDRESS(MATCH(J2596,'Vehicle numbers'!$A$5:$A$162,0),1,1,1,$L$6)),4,1,COUNTIF('Vehicle numbers'!$A$5:$A$162,J2596),4),
    MATCH(L$8,'Vehicle numbers'!$B$4:$D$4,0))*1000</f>
        <v>1240212</v>
      </c>
      <c r="M2596" s="184">
        <f>VLOOKUP(F2596,'Annual distance covered (GB)'!$A$8:$H$33,MATCH(J2596,'Annual distance covered (GB)'!$A$7:$H$7,0))</f>
        <v>4.7</v>
      </c>
      <c r="N2596" s="2">
        <f t="shared" ca="1" si="94"/>
        <v>2799.0655054235922</v>
      </c>
      <c r="O2596" s="180">
        <f t="shared" ca="1" si="95"/>
        <v>2.2569250300945257E-3</v>
      </c>
      <c r="P2596" s="180"/>
      <c r="Q2596" s="180"/>
      <c r="R2596" s="180"/>
      <c r="S2596" s="180"/>
      <c r="T2596" s="180"/>
    </row>
    <row r="2597" spans="1:20" x14ac:dyDescent="0.25">
      <c r="A2597" t="s">
        <v>246</v>
      </c>
      <c r="B2597" t="s">
        <v>237</v>
      </c>
      <c r="C2597" t="s">
        <v>238</v>
      </c>
      <c r="D2597" t="s">
        <v>264</v>
      </c>
      <c r="E2597" t="s">
        <v>229</v>
      </c>
      <c r="F2597">
        <v>2014</v>
      </c>
      <c r="G2597">
        <v>4.6720000000000003E-4</v>
      </c>
      <c r="H2597" t="s">
        <v>240</v>
      </c>
      <c r="I2597" t="s">
        <v>241</v>
      </c>
      <c r="J2597" t="s">
        <v>3</v>
      </c>
      <c r="K2597" s="183">
        <f ca="1">VLOOKUP(F2597,
    OFFSET(INDIRECT(ADDRESS(MATCH(J2597,'Vehicle numbers'!$A$5:$A$162,0),1,1,1,$L$6)),4,1,COUNTIF('Vehicle numbers'!$A$5:$A$162,J2597),4),
    MATCH(K$8,'Vehicle numbers'!$B$4:$D$4,0))*1000</f>
        <v>1216168</v>
      </c>
      <c r="L2597" s="183">
        <f ca="1">VLOOKUP(F2597,
    OFFSET(INDIRECT(ADDRESS(MATCH(J2597,'Vehicle numbers'!$A$5:$A$162,0),1,1,1,$L$6)),4,1,COUNTIF('Vehicle numbers'!$A$5:$A$162,J2597),4),
    MATCH(L$8,'Vehicle numbers'!$B$4:$D$4,0))*1000</f>
        <v>1240212</v>
      </c>
      <c r="M2597" s="184">
        <f>VLOOKUP(F2597,'Annual distance covered (GB)'!$A$8:$H$33,MATCH(J2597,'Annual distance covered (GB)'!$A$7:$H$7,0))</f>
        <v>4.7</v>
      </c>
      <c r="N2597" s="2">
        <f t="shared" ca="1" si="94"/>
        <v>2239.2524043388744</v>
      </c>
      <c r="O2597" s="180">
        <f t="shared" ca="1" si="95"/>
        <v>1.8055400240756213E-3</v>
      </c>
      <c r="P2597" s="180"/>
      <c r="Q2597" s="180"/>
      <c r="R2597" s="180"/>
      <c r="S2597" s="180"/>
      <c r="T2597" s="180"/>
    </row>
    <row r="2598" spans="1:20" x14ac:dyDescent="0.25">
      <c r="A2598" t="s">
        <v>236</v>
      </c>
      <c r="B2598" t="s">
        <v>237</v>
      </c>
      <c r="C2598" t="s">
        <v>238</v>
      </c>
      <c r="D2598" t="s">
        <v>264</v>
      </c>
      <c r="E2598" t="s">
        <v>228</v>
      </c>
      <c r="F2598">
        <v>2014</v>
      </c>
      <c r="G2598">
        <v>3.7570000000000099E-3</v>
      </c>
      <c r="H2598" t="s">
        <v>240</v>
      </c>
      <c r="I2598" t="s">
        <v>241</v>
      </c>
      <c r="J2598" t="s">
        <v>3</v>
      </c>
      <c r="K2598" s="183">
        <f ca="1">VLOOKUP(F2598,
    OFFSET(INDIRECT(ADDRESS(MATCH(J2598,'Vehicle numbers'!$A$5:$A$162,0),1,1,1,$L$6)),4,1,COUNTIF('Vehicle numbers'!$A$5:$A$162,J2598),4),
    MATCH(K$8,'Vehicle numbers'!$B$4:$D$4,0))*1000</f>
        <v>1216168</v>
      </c>
      <c r="L2598" s="183">
        <f ca="1">VLOOKUP(F2598,
    OFFSET(INDIRECT(ADDRESS(MATCH(J2598,'Vehicle numbers'!$A$5:$A$162,0),1,1,1,$L$6)),4,1,COUNTIF('Vehicle numbers'!$A$5:$A$162,J2598),4),
    MATCH(L$8,'Vehicle numbers'!$B$4:$D$4,0))*1000</f>
        <v>1240212</v>
      </c>
      <c r="M2598" s="184">
        <f>VLOOKUP(F2598,'Annual distance covered (GB)'!$A$8:$H$33,MATCH(J2598,'Annual distance covered (GB)'!$A$7:$H$7,0))</f>
        <v>4.7</v>
      </c>
      <c r="N2598" s="2">
        <f t="shared" ca="1" si="94"/>
        <v>18007.001890199426</v>
      </c>
      <c r="O2598" s="180">
        <f t="shared" ca="1" si="95"/>
        <v>1.4519293387097872E-2</v>
      </c>
      <c r="P2598" s="180"/>
      <c r="Q2598" s="180"/>
      <c r="R2598" s="180"/>
      <c r="S2598" s="180"/>
      <c r="T2598" s="180"/>
    </row>
    <row r="2599" spans="1:20" x14ac:dyDescent="0.25">
      <c r="A2599" t="s">
        <v>243</v>
      </c>
      <c r="B2599" t="s">
        <v>237</v>
      </c>
      <c r="C2599" t="s">
        <v>238</v>
      </c>
      <c r="D2599" t="s">
        <v>264</v>
      </c>
      <c r="E2599" t="s">
        <v>228</v>
      </c>
      <c r="F2599">
        <v>2014</v>
      </c>
      <c r="G2599">
        <v>2.6299000000000101E-3</v>
      </c>
      <c r="H2599" t="s">
        <v>240</v>
      </c>
      <c r="I2599" t="s">
        <v>241</v>
      </c>
      <c r="J2599" t="s">
        <v>3</v>
      </c>
      <c r="K2599" s="183">
        <f ca="1">VLOOKUP(F2599,
    OFFSET(INDIRECT(ADDRESS(MATCH(J2599,'Vehicle numbers'!$A$5:$A$162,0),1,1,1,$L$6)),4,1,COUNTIF('Vehicle numbers'!$A$5:$A$162,J2599),4),
    MATCH(K$8,'Vehicle numbers'!$B$4:$D$4,0))*1000</f>
        <v>1216168</v>
      </c>
      <c r="L2599" s="183">
        <f ca="1">VLOOKUP(F2599,
    OFFSET(INDIRECT(ADDRESS(MATCH(J2599,'Vehicle numbers'!$A$5:$A$162,0),1,1,1,$L$6)),4,1,COUNTIF('Vehicle numbers'!$A$5:$A$162,J2599),4),
    MATCH(L$8,'Vehicle numbers'!$B$4:$D$4,0))*1000</f>
        <v>1240212</v>
      </c>
      <c r="M2599" s="184">
        <f>VLOOKUP(F2599,'Annual distance covered (GB)'!$A$8:$H$33,MATCH(J2599,'Annual distance covered (GB)'!$A$7:$H$7,0))</f>
        <v>4.7</v>
      </c>
      <c r="N2599" s="2">
        <f t="shared" ca="1" si="94"/>
        <v>12604.901323139615</v>
      </c>
      <c r="O2599" s="180">
        <f t="shared" ca="1" si="95"/>
        <v>1.0163505370968523E-2</v>
      </c>
      <c r="P2599" s="180"/>
      <c r="Q2599" s="180"/>
      <c r="R2599" s="180"/>
      <c r="S2599" s="180"/>
      <c r="T2599" s="180"/>
    </row>
    <row r="2600" spans="1:20" x14ac:dyDescent="0.25">
      <c r="A2600" t="s">
        <v>244</v>
      </c>
      <c r="B2600" t="s">
        <v>237</v>
      </c>
      <c r="C2600" t="s">
        <v>238</v>
      </c>
      <c r="D2600" t="s">
        <v>264</v>
      </c>
      <c r="E2600" t="s">
        <v>228</v>
      </c>
      <c r="F2600">
        <v>2014</v>
      </c>
      <c r="G2600">
        <v>3.7040845070422602E-4</v>
      </c>
      <c r="H2600" t="s">
        <v>240</v>
      </c>
      <c r="I2600" t="s">
        <v>241</v>
      </c>
      <c r="J2600" t="s">
        <v>3</v>
      </c>
      <c r="K2600" s="183">
        <f ca="1">VLOOKUP(F2600,
    OFFSET(INDIRECT(ADDRESS(MATCH(J2600,'Vehicle numbers'!$A$5:$A$162,0),1,1,1,$L$6)),4,1,COUNTIF('Vehicle numbers'!$A$5:$A$162,J2600),4),
    MATCH(K$8,'Vehicle numbers'!$B$4:$D$4,0))*1000</f>
        <v>1216168</v>
      </c>
      <c r="L2600" s="183">
        <f ca="1">VLOOKUP(F2600,
    OFFSET(INDIRECT(ADDRESS(MATCH(J2600,'Vehicle numbers'!$A$5:$A$162,0),1,1,1,$L$6)),4,1,COUNTIF('Vehicle numbers'!$A$5:$A$162,J2600),4),
    MATCH(L$8,'Vehicle numbers'!$B$4:$D$4,0))*1000</f>
        <v>1240212</v>
      </c>
      <c r="M2600" s="184">
        <f>VLOOKUP(F2600,'Annual distance covered (GB)'!$A$8:$H$33,MATCH(J2600,'Annual distance covered (GB)'!$A$7:$H$7,0))</f>
        <v>4.7</v>
      </c>
      <c r="N2600" s="2">
        <f t="shared" ca="1" si="94"/>
        <v>1775.3382145267028</v>
      </c>
      <c r="O2600" s="180">
        <f t="shared" ca="1" si="95"/>
        <v>1.4314796297138738E-3</v>
      </c>
      <c r="P2600" s="180"/>
      <c r="Q2600" s="180"/>
      <c r="R2600" s="180"/>
      <c r="S2600" s="180"/>
      <c r="T2600" s="180"/>
    </row>
    <row r="2601" spans="1:20" x14ac:dyDescent="0.25">
      <c r="A2601" t="s">
        <v>246</v>
      </c>
      <c r="B2601" t="s">
        <v>237</v>
      </c>
      <c r="C2601" t="s">
        <v>238</v>
      </c>
      <c r="D2601" t="s">
        <v>264</v>
      </c>
      <c r="E2601" t="s">
        <v>228</v>
      </c>
      <c r="F2601">
        <v>2014</v>
      </c>
      <c r="G2601">
        <v>2.9632676056338101E-4</v>
      </c>
      <c r="H2601" t="s">
        <v>240</v>
      </c>
      <c r="I2601" t="s">
        <v>241</v>
      </c>
      <c r="J2601" t="s">
        <v>3</v>
      </c>
      <c r="K2601" s="183">
        <f ca="1">VLOOKUP(F2601,
    OFFSET(INDIRECT(ADDRESS(MATCH(J2601,'Vehicle numbers'!$A$5:$A$162,0),1,1,1,$L$6)),4,1,COUNTIF('Vehicle numbers'!$A$5:$A$162,J2601),4),
    MATCH(K$8,'Vehicle numbers'!$B$4:$D$4,0))*1000</f>
        <v>1216168</v>
      </c>
      <c r="L2601" s="183">
        <f ca="1">VLOOKUP(F2601,
    OFFSET(INDIRECT(ADDRESS(MATCH(J2601,'Vehicle numbers'!$A$5:$A$162,0),1,1,1,$L$6)),4,1,COUNTIF('Vehicle numbers'!$A$5:$A$162,J2601),4),
    MATCH(L$8,'Vehicle numbers'!$B$4:$D$4,0))*1000</f>
        <v>1240212</v>
      </c>
      <c r="M2601" s="184">
        <f>VLOOKUP(F2601,'Annual distance covered (GB)'!$A$8:$H$33,MATCH(J2601,'Annual distance covered (GB)'!$A$7:$H$7,0))</f>
        <v>4.7</v>
      </c>
      <c r="N2601" s="2">
        <f t="shared" ca="1" si="94"/>
        <v>1420.2705716213632</v>
      </c>
      <c r="O2601" s="180">
        <f t="shared" ca="1" si="95"/>
        <v>1.1451837037710997E-3</v>
      </c>
      <c r="P2601" s="180"/>
      <c r="Q2601" s="180"/>
      <c r="R2601" s="180"/>
      <c r="S2601" s="180"/>
      <c r="T2601" s="180"/>
    </row>
    <row r="2602" spans="1:20" x14ac:dyDescent="0.25">
      <c r="A2602" t="s">
        <v>236</v>
      </c>
      <c r="B2602" t="s">
        <v>237</v>
      </c>
      <c r="C2602" t="s">
        <v>238</v>
      </c>
      <c r="D2602" t="s">
        <v>239</v>
      </c>
      <c r="E2602" t="s">
        <v>229</v>
      </c>
      <c r="F2602">
        <v>2015</v>
      </c>
      <c r="G2602">
        <v>8.4409999999999902E-3</v>
      </c>
      <c r="H2602" t="s">
        <v>240</v>
      </c>
      <c r="I2602" t="s">
        <v>241</v>
      </c>
      <c r="J2602" t="s">
        <v>242</v>
      </c>
      <c r="K2602" s="183">
        <f ca="1">VLOOKUP(F2602,
    OFFSET(INDIRECT(ADDRESS(MATCH(J2602,'Vehicle numbers'!$A$5:$A$162,0),1,1,1,$L$6)),4,1,COUNTIF('Vehicle numbers'!$A$5:$A$162,J2602),4),
    MATCH(K$8,'Vehicle numbers'!$B$4:$D$4,0))*1000</f>
        <v>162696</v>
      </c>
      <c r="L2602" s="183">
        <f ca="1">VLOOKUP(F2602,
    OFFSET(INDIRECT(ADDRESS(MATCH(J2602,'Vehicle numbers'!$A$5:$A$162,0),1,1,1,$L$6)),4,1,COUNTIF('Vehicle numbers'!$A$5:$A$162,J2602),4),
    MATCH(L$8,'Vehicle numbers'!$B$4:$D$4,0))*1000</f>
        <v>168220</v>
      </c>
      <c r="M2602" s="184">
        <f>VLOOKUP(F2602,'Annual distance covered (GB)'!$A$8:$H$33,MATCH(J2602,'Annual distance covered (GB)'!$A$7:$H$7,0))</f>
        <v>4.5</v>
      </c>
      <c r="N2602" s="2">
        <f t="shared" ca="1" si="94"/>
        <v>39274.183692284947</v>
      </c>
      <c r="O2602" s="180">
        <f t="shared" ca="1" si="95"/>
        <v>0.23346916949402535</v>
      </c>
      <c r="P2602" s="180"/>
      <c r="Q2602" s="180"/>
      <c r="R2602" s="180"/>
      <c r="S2602" s="180"/>
      <c r="T2602" s="180"/>
    </row>
    <row r="2603" spans="1:20" x14ac:dyDescent="0.25">
      <c r="A2603" t="s">
        <v>243</v>
      </c>
      <c r="B2603" t="s">
        <v>237</v>
      </c>
      <c r="C2603" t="s">
        <v>238</v>
      </c>
      <c r="D2603" t="s">
        <v>239</v>
      </c>
      <c r="E2603" t="s">
        <v>229</v>
      </c>
      <c r="F2603">
        <v>2015</v>
      </c>
      <c r="G2603">
        <v>3.3763999999999999E-3</v>
      </c>
      <c r="H2603" t="s">
        <v>240</v>
      </c>
      <c r="I2603" t="s">
        <v>241</v>
      </c>
      <c r="J2603" t="s">
        <v>242</v>
      </c>
      <c r="K2603" s="183">
        <f ca="1">VLOOKUP(F2603,
    OFFSET(INDIRECT(ADDRESS(MATCH(J2603,'Vehicle numbers'!$A$5:$A$162,0),1,1,1,$L$6)),4,1,COUNTIF('Vehicle numbers'!$A$5:$A$162,J2603),4),
    MATCH(K$8,'Vehicle numbers'!$B$4:$D$4,0))*1000</f>
        <v>162696</v>
      </c>
      <c r="L2603" s="183">
        <f ca="1">VLOOKUP(F2603,
    OFFSET(INDIRECT(ADDRESS(MATCH(J2603,'Vehicle numbers'!$A$5:$A$162,0),1,1,1,$L$6)),4,1,COUNTIF('Vehicle numbers'!$A$5:$A$162,J2603),4),
    MATCH(L$8,'Vehicle numbers'!$B$4:$D$4,0))*1000</f>
        <v>168220</v>
      </c>
      <c r="M2603" s="184">
        <f>VLOOKUP(F2603,'Annual distance covered (GB)'!$A$8:$H$33,MATCH(J2603,'Annual distance covered (GB)'!$A$7:$H$7,0))</f>
        <v>4.5</v>
      </c>
      <c r="N2603" s="2">
        <f t="shared" ca="1" si="94"/>
        <v>15709.673476913998</v>
      </c>
      <c r="O2603" s="180">
        <f t="shared" ca="1" si="95"/>
        <v>9.3387667797610263E-2</v>
      </c>
      <c r="P2603" s="180"/>
      <c r="Q2603" s="180"/>
      <c r="R2603" s="180"/>
      <c r="S2603" s="180"/>
      <c r="T2603" s="180"/>
    </row>
    <row r="2604" spans="1:20" x14ac:dyDescent="0.25">
      <c r="A2604" t="s">
        <v>244</v>
      </c>
      <c r="B2604" t="s">
        <v>237</v>
      </c>
      <c r="C2604" t="s">
        <v>238</v>
      </c>
      <c r="D2604" t="s">
        <v>239</v>
      </c>
      <c r="E2604" t="s">
        <v>229</v>
      </c>
      <c r="F2604">
        <v>2015</v>
      </c>
      <c r="G2604">
        <v>8.4409999999999997E-4</v>
      </c>
      <c r="H2604" t="s">
        <v>240</v>
      </c>
      <c r="I2604" t="s">
        <v>241</v>
      </c>
      <c r="J2604" t="s">
        <v>242</v>
      </c>
      <c r="K2604" s="183">
        <f ca="1">VLOOKUP(F2604,
    OFFSET(INDIRECT(ADDRESS(MATCH(J2604,'Vehicle numbers'!$A$5:$A$162,0),1,1,1,$L$6)),4,1,COUNTIF('Vehicle numbers'!$A$5:$A$162,J2604),4),
    MATCH(K$8,'Vehicle numbers'!$B$4:$D$4,0))*1000</f>
        <v>162696</v>
      </c>
      <c r="L2604" s="183">
        <f ca="1">VLOOKUP(F2604,
    OFFSET(INDIRECT(ADDRESS(MATCH(J2604,'Vehicle numbers'!$A$5:$A$162,0),1,1,1,$L$6)),4,1,COUNTIF('Vehicle numbers'!$A$5:$A$162,J2604),4),
    MATCH(L$8,'Vehicle numbers'!$B$4:$D$4,0))*1000</f>
        <v>168220</v>
      </c>
      <c r="M2604" s="184">
        <f>VLOOKUP(F2604,'Annual distance covered (GB)'!$A$8:$H$33,MATCH(J2604,'Annual distance covered (GB)'!$A$7:$H$7,0))</f>
        <v>4.5</v>
      </c>
      <c r="N2604" s="2">
        <f t="shared" ca="1" si="94"/>
        <v>3927.4183692284996</v>
      </c>
      <c r="O2604" s="180">
        <f t="shared" ca="1" si="95"/>
        <v>2.3346916949402566E-2</v>
      </c>
      <c r="P2604" s="180"/>
      <c r="Q2604" s="180"/>
      <c r="R2604" s="180"/>
      <c r="S2604" s="180"/>
      <c r="T2604" s="180"/>
    </row>
    <row r="2605" spans="1:20" x14ac:dyDescent="0.25">
      <c r="A2605" t="s">
        <v>246</v>
      </c>
      <c r="B2605" t="s">
        <v>237</v>
      </c>
      <c r="C2605" t="s">
        <v>238</v>
      </c>
      <c r="D2605" t="s">
        <v>239</v>
      </c>
      <c r="E2605" t="s">
        <v>229</v>
      </c>
      <c r="F2605">
        <v>2015</v>
      </c>
      <c r="G2605">
        <v>6.7528E-4</v>
      </c>
      <c r="H2605" t="s">
        <v>240</v>
      </c>
      <c r="I2605" t="s">
        <v>241</v>
      </c>
      <c r="J2605" t="s">
        <v>242</v>
      </c>
      <c r="K2605" s="183">
        <f ca="1">VLOOKUP(F2605,
    OFFSET(INDIRECT(ADDRESS(MATCH(J2605,'Vehicle numbers'!$A$5:$A$162,0),1,1,1,$L$6)),4,1,COUNTIF('Vehicle numbers'!$A$5:$A$162,J2605),4),
    MATCH(K$8,'Vehicle numbers'!$B$4:$D$4,0))*1000</f>
        <v>162696</v>
      </c>
      <c r="L2605" s="183">
        <f ca="1">VLOOKUP(F2605,
    OFFSET(INDIRECT(ADDRESS(MATCH(J2605,'Vehicle numbers'!$A$5:$A$162,0),1,1,1,$L$6)),4,1,COUNTIF('Vehicle numbers'!$A$5:$A$162,J2605),4),
    MATCH(L$8,'Vehicle numbers'!$B$4:$D$4,0))*1000</f>
        <v>168220</v>
      </c>
      <c r="M2605" s="184">
        <f>VLOOKUP(F2605,'Annual distance covered (GB)'!$A$8:$H$33,MATCH(J2605,'Annual distance covered (GB)'!$A$7:$H$7,0))</f>
        <v>4.5</v>
      </c>
      <c r="N2605" s="2">
        <f t="shared" ca="1" si="94"/>
        <v>3141.9346953827999</v>
      </c>
      <c r="O2605" s="180">
        <f t="shared" ca="1" si="95"/>
        <v>1.8677533559522053E-2</v>
      </c>
      <c r="P2605" s="180"/>
      <c r="Q2605" s="180"/>
      <c r="R2605" s="180"/>
      <c r="S2605" s="180"/>
      <c r="T2605" s="180"/>
    </row>
    <row r="2606" spans="1:20" x14ac:dyDescent="0.25">
      <c r="A2606" t="s">
        <v>236</v>
      </c>
      <c r="B2606" t="s">
        <v>237</v>
      </c>
      <c r="C2606" t="s">
        <v>238</v>
      </c>
      <c r="D2606" t="s">
        <v>239</v>
      </c>
      <c r="E2606" t="s">
        <v>228</v>
      </c>
      <c r="F2606">
        <v>2015</v>
      </c>
      <c r="G2606">
        <v>1.3984E-2</v>
      </c>
      <c r="H2606" t="s">
        <v>240</v>
      </c>
      <c r="I2606" t="s">
        <v>241</v>
      </c>
      <c r="J2606" t="s">
        <v>242</v>
      </c>
      <c r="K2606" s="183">
        <f ca="1">VLOOKUP(F2606,
    OFFSET(INDIRECT(ADDRESS(MATCH(J2606,'Vehicle numbers'!$A$5:$A$162,0),1,1,1,$L$6)),4,1,COUNTIF('Vehicle numbers'!$A$5:$A$162,J2606),4),
    MATCH(K$8,'Vehicle numbers'!$B$4:$D$4,0))*1000</f>
        <v>162696</v>
      </c>
      <c r="L2606" s="183">
        <f ca="1">VLOOKUP(F2606,
    OFFSET(INDIRECT(ADDRESS(MATCH(J2606,'Vehicle numbers'!$A$5:$A$162,0),1,1,1,$L$6)),4,1,COUNTIF('Vehicle numbers'!$A$5:$A$162,J2606),4),
    MATCH(L$8,'Vehicle numbers'!$B$4:$D$4,0))*1000</f>
        <v>168220</v>
      </c>
      <c r="M2606" s="184">
        <f>VLOOKUP(F2606,'Annual distance covered (GB)'!$A$8:$H$33,MATCH(J2606,'Annual distance covered (GB)'!$A$7:$H$7,0))</f>
        <v>4.5</v>
      </c>
      <c r="N2606" s="2">
        <f t="shared" ca="1" si="94"/>
        <v>65064.587697300478</v>
      </c>
      <c r="O2606" s="180">
        <f t="shared" ca="1" si="95"/>
        <v>0.3867827113143531</v>
      </c>
      <c r="P2606" s="180"/>
      <c r="Q2606" s="180"/>
      <c r="R2606" s="180"/>
      <c r="S2606" s="180"/>
      <c r="T2606" s="180"/>
    </row>
    <row r="2607" spans="1:20" x14ac:dyDescent="0.25">
      <c r="A2607" t="s">
        <v>243</v>
      </c>
      <c r="B2607" t="s">
        <v>237</v>
      </c>
      <c r="C2607" t="s">
        <v>238</v>
      </c>
      <c r="D2607" t="s">
        <v>239</v>
      </c>
      <c r="E2607" t="s">
        <v>228</v>
      </c>
      <c r="F2607">
        <v>2015</v>
      </c>
      <c r="G2607">
        <v>9.7888000000000003E-3</v>
      </c>
      <c r="H2607" t="s">
        <v>240</v>
      </c>
      <c r="I2607" t="s">
        <v>241</v>
      </c>
      <c r="J2607" t="s">
        <v>242</v>
      </c>
      <c r="K2607" s="183">
        <f ca="1">VLOOKUP(F2607,
    OFFSET(INDIRECT(ADDRESS(MATCH(J2607,'Vehicle numbers'!$A$5:$A$162,0),1,1,1,$L$6)),4,1,COUNTIF('Vehicle numbers'!$A$5:$A$162,J2607),4),
    MATCH(K$8,'Vehicle numbers'!$B$4:$D$4,0))*1000</f>
        <v>162696</v>
      </c>
      <c r="L2607" s="183">
        <f ca="1">VLOOKUP(F2607,
    OFFSET(INDIRECT(ADDRESS(MATCH(J2607,'Vehicle numbers'!$A$5:$A$162,0),1,1,1,$L$6)),4,1,COUNTIF('Vehicle numbers'!$A$5:$A$162,J2607),4),
    MATCH(L$8,'Vehicle numbers'!$B$4:$D$4,0))*1000</f>
        <v>168220</v>
      </c>
      <c r="M2607" s="184">
        <f>VLOOKUP(F2607,'Annual distance covered (GB)'!$A$8:$H$33,MATCH(J2607,'Annual distance covered (GB)'!$A$7:$H$7,0))</f>
        <v>4.5</v>
      </c>
      <c r="N2607" s="2">
        <f t="shared" ca="1" si="94"/>
        <v>45545.211388110336</v>
      </c>
      <c r="O2607" s="180">
        <f t="shared" ca="1" si="95"/>
        <v>0.27074789792004716</v>
      </c>
      <c r="P2607" s="180"/>
      <c r="Q2607" s="180"/>
      <c r="R2607" s="180"/>
      <c r="S2607" s="180"/>
      <c r="T2607" s="180"/>
    </row>
    <row r="2608" spans="1:20" x14ac:dyDescent="0.25">
      <c r="A2608" t="s">
        <v>244</v>
      </c>
      <c r="B2608" t="s">
        <v>237</v>
      </c>
      <c r="C2608" t="s">
        <v>238</v>
      </c>
      <c r="D2608" t="s">
        <v>239</v>
      </c>
      <c r="E2608" t="s">
        <v>228</v>
      </c>
      <c r="F2608">
        <v>2015</v>
      </c>
      <c r="G2608">
        <v>1.3787042253521099E-3</v>
      </c>
      <c r="H2608" t="s">
        <v>240</v>
      </c>
      <c r="I2608" t="s">
        <v>241</v>
      </c>
      <c r="J2608" t="s">
        <v>242</v>
      </c>
      <c r="K2608" s="183">
        <f ca="1">VLOOKUP(F2608,
    OFFSET(INDIRECT(ADDRESS(MATCH(J2608,'Vehicle numbers'!$A$5:$A$162,0),1,1,1,$L$6)),4,1,COUNTIF('Vehicle numbers'!$A$5:$A$162,J2608),4),
    MATCH(K$8,'Vehicle numbers'!$B$4:$D$4,0))*1000</f>
        <v>162696</v>
      </c>
      <c r="L2608" s="183">
        <f ca="1">VLOOKUP(F2608,
    OFFSET(INDIRECT(ADDRESS(MATCH(J2608,'Vehicle numbers'!$A$5:$A$162,0),1,1,1,$L$6)),4,1,COUNTIF('Vehicle numbers'!$A$5:$A$162,J2608),4),
    MATCH(L$8,'Vehicle numbers'!$B$4:$D$4,0))*1000</f>
        <v>168220</v>
      </c>
      <c r="M2608" s="184">
        <f>VLOOKUP(F2608,'Annual distance covered (GB)'!$A$8:$H$33,MATCH(J2608,'Annual distance covered (GB)'!$A$7:$H$7,0))</f>
        <v>4.5</v>
      </c>
      <c r="N2608" s="2">
        <f t="shared" ca="1" si="94"/>
        <v>6414.8185053676407</v>
      </c>
      <c r="O2608" s="180">
        <f t="shared" ca="1" si="95"/>
        <v>3.8133506749302347E-2</v>
      </c>
      <c r="P2608" s="180"/>
      <c r="Q2608" s="180"/>
      <c r="R2608" s="180"/>
      <c r="S2608" s="180"/>
      <c r="T2608" s="180"/>
    </row>
    <row r="2609" spans="1:20" x14ac:dyDescent="0.25">
      <c r="A2609" t="s">
        <v>246</v>
      </c>
      <c r="B2609" t="s">
        <v>237</v>
      </c>
      <c r="C2609" t="s">
        <v>238</v>
      </c>
      <c r="D2609" t="s">
        <v>239</v>
      </c>
      <c r="E2609" t="s">
        <v>228</v>
      </c>
      <c r="F2609">
        <v>2015</v>
      </c>
      <c r="G2609">
        <v>1.10296338028169E-3</v>
      </c>
      <c r="H2609" t="s">
        <v>240</v>
      </c>
      <c r="I2609" t="s">
        <v>241</v>
      </c>
      <c r="J2609" t="s">
        <v>242</v>
      </c>
      <c r="K2609" s="183">
        <f ca="1">VLOOKUP(F2609,
    OFFSET(INDIRECT(ADDRESS(MATCH(J2609,'Vehicle numbers'!$A$5:$A$162,0),1,1,1,$L$6)),4,1,COUNTIF('Vehicle numbers'!$A$5:$A$162,J2609),4),
    MATCH(K$8,'Vehicle numbers'!$B$4:$D$4,0))*1000</f>
        <v>162696</v>
      </c>
      <c r="L2609" s="183">
        <f ca="1">VLOOKUP(F2609,
    OFFSET(INDIRECT(ADDRESS(MATCH(J2609,'Vehicle numbers'!$A$5:$A$162,0),1,1,1,$L$6)),4,1,COUNTIF('Vehicle numbers'!$A$5:$A$162,J2609),4),
    MATCH(L$8,'Vehicle numbers'!$B$4:$D$4,0))*1000</f>
        <v>168220</v>
      </c>
      <c r="M2609" s="184">
        <f>VLOOKUP(F2609,'Annual distance covered (GB)'!$A$8:$H$33,MATCH(J2609,'Annual distance covered (GB)'!$A$7:$H$7,0))</f>
        <v>4.5</v>
      </c>
      <c r="N2609" s="2">
        <f t="shared" ca="1" si="94"/>
        <v>5131.854804294122</v>
      </c>
      <c r="O2609" s="180">
        <f t="shared" ca="1" si="95"/>
        <v>3.0506805399441932E-2</v>
      </c>
      <c r="P2609" s="180"/>
      <c r="Q2609" s="180"/>
      <c r="R2609" s="180"/>
      <c r="S2609" s="180"/>
      <c r="T2609" s="180"/>
    </row>
    <row r="2610" spans="1:20" x14ac:dyDescent="0.25">
      <c r="A2610" t="s">
        <v>236</v>
      </c>
      <c r="B2610" t="s">
        <v>237</v>
      </c>
      <c r="C2610" t="s">
        <v>238</v>
      </c>
      <c r="D2610" t="s">
        <v>248</v>
      </c>
      <c r="E2610" t="s">
        <v>229</v>
      </c>
      <c r="F2610">
        <v>2015</v>
      </c>
      <c r="G2610">
        <v>2.7143000000000101E-2</v>
      </c>
      <c r="H2610" t="s">
        <v>240</v>
      </c>
      <c r="I2610" t="s">
        <v>241</v>
      </c>
      <c r="J2610" t="s">
        <v>242</v>
      </c>
      <c r="K2610" s="183">
        <f ca="1">VLOOKUP(F2610,
    OFFSET(INDIRECT(ADDRESS(MATCH(J2610,'Vehicle numbers'!$A$5:$A$162,0),1,1,1,$L$6)),4,1,COUNTIF('Vehicle numbers'!$A$5:$A$162,J2610),4),
    MATCH(K$8,'Vehicle numbers'!$B$4:$D$4,0))*1000</f>
        <v>162696</v>
      </c>
      <c r="L2610" s="183">
        <f ca="1">VLOOKUP(F2610,
    OFFSET(INDIRECT(ADDRESS(MATCH(J2610,'Vehicle numbers'!$A$5:$A$162,0),1,1,1,$L$6)),4,1,COUNTIF('Vehicle numbers'!$A$5:$A$162,J2610),4),
    MATCH(L$8,'Vehicle numbers'!$B$4:$D$4,0))*1000</f>
        <v>168220</v>
      </c>
      <c r="M2610" s="184">
        <f>VLOOKUP(F2610,'Annual distance covered (GB)'!$A$8:$H$33,MATCH(J2610,'Annual distance covered (GB)'!$A$7:$H$7,0))</f>
        <v>4.5</v>
      </c>
      <c r="N2610" s="2">
        <f t="shared" ca="1" si="94"/>
        <v>126290.62527658994</v>
      </c>
      <c r="O2610" s="180">
        <f t="shared" ca="1" si="95"/>
        <v>0.75074679156218016</v>
      </c>
      <c r="P2610" s="180"/>
      <c r="Q2610" s="180"/>
      <c r="R2610" s="180"/>
      <c r="S2610" s="180"/>
      <c r="T2610" s="180"/>
    </row>
    <row r="2611" spans="1:20" x14ac:dyDescent="0.25">
      <c r="A2611" t="s">
        <v>243</v>
      </c>
      <c r="B2611" t="s">
        <v>237</v>
      </c>
      <c r="C2611" t="s">
        <v>238</v>
      </c>
      <c r="D2611" t="s">
        <v>248</v>
      </c>
      <c r="E2611" t="s">
        <v>229</v>
      </c>
      <c r="F2611">
        <v>2015</v>
      </c>
      <c r="G2611">
        <v>1.0857199999999999E-2</v>
      </c>
      <c r="H2611" t="s">
        <v>240</v>
      </c>
      <c r="I2611" t="s">
        <v>241</v>
      </c>
      <c r="J2611" t="s">
        <v>242</v>
      </c>
      <c r="K2611" s="183">
        <f ca="1">VLOOKUP(F2611,
    OFFSET(INDIRECT(ADDRESS(MATCH(J2611,'Vehicle numbers'!$A$5:$A$162,0),1,1,1,$L$6)),4,1,COUNTIF('Vehicle numbers'!$A$5:$A$162,J2611),4),
    MATCH(K$8,'Vehicle numbers'!$B$4:$D$4,0))*1000</f>
        <v>162696</v>
      </c>
      <c r="L2611" s="183">
        <f ca="1">VLOOKUP(F2611,
    OFFSET(INDIRECT(ADDRESS(MATCH(J2611,'Vehicle numbers'!$A$5:$A$162,0),1,1,1,$L$6)),4,1,COUNTIF('Vehicle numbers'!$A$5:$A$162,J2611),4),
    MATCH(L$8,'Vehicle numbers'!$B$4:$D$4,0))*1000</f>
        <v>168220</v>
      </c>
      <c r="M2611" s="184">
        <f>VLOOKUP(F2611,'Annual distance covered (GB)'!$A$8:$H$33,MATCH(J2611,'Annual distance covered (GB)'!$A$7:$H$7,0))</f>
        <v>4.5</v>
      </c>
      <c r="N2611" s="2">
        <f t="shared" ca="1" si="94"/>
        <v>50516.250110635774</v>
      </c>
      <c r="O2611" s="180">
        <f t="shared" ca="1" si="95"/>
        <v>0.30029871662487084</v>
      </c>
      <c r="P2611" s="180"/>
      <c r="Q2611" s="180"/>
      <c r="R2611" s="180"/>
      <c r="S2611" s="180"/>
      <c r="T2611" s="180"/>
    </row>
    <row r="2612" spans="1:20" x14ac:dyDescent="0.25">
      <c r="A2612" t="s">
        <v>244</v>
      </c>
      <c r="B2612" t="s">
        <v>237</v>
      </c>
      <c r="C2612" t="s">
        <v>238</v>
      </c>
      <c r="D2612" t="s">
        <v>248</v>
      </c>
      <c r="E2612" t="s">
        <v>229</v>
      </c>
      <c r="F2612">
        <v>2015</v>
      </c>
      <c r="G2612">
        <v>2.7142999999999998E-3</v>
      </c>
      <c r="H2612" t="s">
        <v>240</v>
      </c>
      <c r="I2612" t="s">
        <v>241</v>
      </c>
      <c r="J2612" t="s">
        <v>242</v>
      </c>
      <c r="K2612" s="183">
        <f ca="1">VLOOKUP(F2612,
    OFFSET(INDIRECT(ADDRESS(MATCH(J2612,'Vehicle numbers'!$A$5:$A$162,0),1,1,1,$L$6)),4,1,COUNTIF('Vehicle numbers'!$A$5:$A$162,J2612),4),
    MATCH(K$8,'Vehicle numbers'!$B$4:$D$4,0))*1000</f>
        <v>162696</v>
      </c>
      <c r="L2612" s="183">
        <f ca="1">VLOOKUP(F2612,
    OFFSET(INDIRECT(ADDRESS(MATCH(J2612,'Vehicle numbers'!$A$5:$A$162,0),1,1,1,$L$6)),4,1,COUNTIF('Vehicle numbers'!$A$5:$A$162,J2612),4),
    MATCH(L$8,'Vehicle numbers'!$B$4:$D$4,0))*1000</f>
        <v>168220</v>
      </c>
      <c r="M2612" s="184">
        <f>VLOOKUP(F2612,'Annual distance covered (GB)'!$A$8:$H$33,MATCH(J2612,'Annual distance covered (GB)'!$A$7:$H$7,0))</f>
        <v>4.5</v>
      </c>
      <c r="N2612" s="2">
        <f t="shared" ca="1" si="94"/>
        <v>12629.062527658944</v>
      </c>
      <c r="O2612" s="180">
        <f t="shared" ca="1" si="95"/>
        <v>7.5074679156217711E-2</v>
      </c>
      <c r="P2612" s="180"/>
      <c r="Q2612" s="180"/>
      <c r="R2612" s="180"/>
      <c r="S2612" s="180"/>
      <c r="T2612" s="180"/>
    </row>
    <row r="2613" spans="1:20" x14ac:dyDescent="0.25">
      <c r="A2613" t="s">
        <v>246</v>
      </c>
      <c r="B2613" t="s">
        <v>237</v>
      </c>
      <c r="C2613" t="s">
        <v>238</v>
      </c>
      <c r="D2613" t="s">
        <v>248</v>
      </c>
      <c r="E2613" t="s">
        <v>229</v>
      </c>
      <c r="F2613">
        <v>2015</v>
      </c>
      <c r="G2613">
        <v>2.1714400000000002E-3</v>
      </c>
      <c r="H2613" t="s">
        <v>240</v>
      </c>
      <c r="I2613" t="s">
        <v>241</v>
      </c>
      <c r="J2613" t="s">
        <v>242</v>
      </c>
      <c r="K2613" s="183">
        <f ca="1">VLOOKUP(F2613,
    OFFSET(INDIRECT(ADDRESS(MATCH(J2613,'Vehicle numbers'!$A$5:$A$162,0),1,1,1,$L$6)),4,1,COUNTIF('Vehicle numbers'!$A$5:$A$162,J2613),4),
    MATCH(K$8,'Vehicle numbers'!$B$4:$D$4,0))*1000</f>
        <v>162696</v>
      </c>
      <c r="L2613" s="183">
        <f ca="1">VLOOKUP(F2613,
    OFFSET(INDIRECT(ADDRESS(MATCH(J2613,'Vehicle numbers'!$A$5:$A$162,0),1,1,1,$L$6)),4,1,COUNTIF('Vehicle numbers'!$A$5:$A$162,J2613),4),
    MATCH(L$8,'Vehicle numbers'!$B$4:$D$4,0))*1000</f>
        <v>168220</v>
      </c>
      <c r="M2613" s="184">
        <f>VLOOKUP(F2613,'Annual distance covered (GB)'!$A$8:$H$33,MATCH(J2613,'Annual distance covered (GB)'!$A$7:$H$7,0))</f>
        <v>4.5</v>
      </c>
      <c r="N2613" s="2">
        <f t="shared" ca="1" si="94"/>
        <v>10103.250022127158</v>
      </c>
      <c r="O2613" s="180">
        <f t="shared" ca="1" si="95"/>
        <v>6.0059743324974192E-2</v>
      </c>
      <c r="P2613" s="180"/>
      <c r="Q2613" s="180"/>
      <c r="R2613" s="180"/>
      <c r="S2613" s="180"/>
      <c r="T2613" s="180"/>
    </row>
    <row r="2614" spans="1:20" x14ac:dyDescent="0.25">
      <c r="A2614" t="s">
        <v>236</v>
      </c>
      <c r="B2614" t="s">
        <v>237</v>
      </c>
      <c r="C2614" t="s">
        <v>238</v>
      </c>
      <c r="D2614" t="s">
        <v>248</v>
      </c>
      <c r="E2614" t="s">
        <v>228</v>
      </c>
      <c r="F2614">
        <v>2015</v>
      </c>
      <c r="G2614">
        <v>1.68578987779569E-2</v>
      </c>
      <c r="H2614" t="s">
        <v>240</v>
      </c>
      <c r="I2614" t="s">
        <v>241</v>
      </c>
      <c r="J2614" t="s">
        <v>242</v>
      </c>
      <c r="K2614" s="183">
        <f ca="1">VLOOKUP(F2614,
    OFFSET(INDIRECT(ADDRESS(MATCH(J2614,'Vehicle numbers'!$A$5:$A$162,0),1,1,1,$L$6)),4,1,COUNTIF('Vehicle numbers'!$A$5:$A$162,J2614),4),
    MATCH(K$8,'Vehicle numbers'!$B$4:$D$4,0))*1000</f>
        <v>162696</v>
      </c>
      <c r="L2614" s="183">
        <f ca="1">VLOOKUP(F2614,
    OFFSET(INDIRECT(ADDRESS(MATCH(J2614,'Vehicle numbers'!$A$5:$A$162,0),1,1,1,$L$6)),4,1,COUNTIF('Vehicle numbers'!$A$5:$A$162,J2614),4),
    MATCH(L$8,'Vehicle numbers'!$B$4:$D$4,0))*1000</f>
        <v>168220</v>
      </c>
      <c r="M2614" s="184">
        <f>VLOOKUP(F2614,'Annual distance covered (GB)'!$A$8:$H$33,MATCH(J2614,'Annual distance covered (GB)'!$A$7:$H$7,0))</f>
        <v>4.5</v>
      </c>
      <c r="N2614" s="2">
        <f t="shared" ca="1" si="94"/>
        <v>78436.229507336335</v>
      </c>
      <c r="O2614" s="180">
        <f t="shared" ca="1" si="95"/>
        <v>0.46627172457101612</v>
      </c>
      <c r="P2614" s="180"/>
      <c r="Q2614" s="180"/>
      <c r="R2614" s="180"/>
      <c r="S2614" s="180"/>
      <c r="T2614" s="180"/>
    </row>
    <row r="2615" spans="1:20" x14ac:dyDescent="0.25">
      <c r="A2615" t="s">
        <v>243</v>
      </c>
      <c r="B2615" t="s">
        <v>237</v>
      </c>
      <c r="C2615" t="s">
        <v>238</v>
      </c>
      <c r="D2615" t="s">
        <v>248</v>
      </c>
      <c r="E2615" t="s">
        <v>228</v>
      </c>
      <c r="F2615">
        <v>2015</v>
      </c>
      <c r="G2615">
        <v>1.1800529144569799E-2</v>
      </c>
      <c r="H2615" t="s">
        <v>240</v>
      </c>
      <c r="I2615" t="s">
        <v>241</v>
      </c>
      <c r="J2615" t="s">
        <v>242</v>
      </c>
      <c r="K2615" s="183">
        <f ca="1">VLOOKUP(F2615,
    OFFSET(INDIRECT(ADDRESS(MATCH(J2615,'Vehicle numbers'!$A$5:$A$162,0),1,1,1,$L$6)),4,1,COUNTIF('Vehicle numbers'!$A$5:$A$162,J2615),4),
    MATCH(K$8,'Vehicle numbers'!$B$4:$D$4,0))*1000</f>
        <v>162696</v>
      </c>
      <c r="L2615" s="183">
        <f ca="1">VLOOKUP(F2615,
    OFFSET(INDIRECT(ADDRESS(MATCH(J2615,'Vehicle numbers'!$A$5:$A$162,0),1,1,1,$L$6)),4,1,COUNTIF('Vehicle numbers'!$A$5:$A$162,J2615),4),
    MATCH(L$8,'Vehicle numbers'!$B$4:$D$4,0))*1000</f>
        <v>168220</v>
      </c>
      <c r="M2615" s="184">
        <f>VLOOKUP(F2615,'Annual distance covered (GB)'!$A$8:$H$33,MATCH(J2615,'Annual distance covered (GB)'!$A$7:$H$7,0))</f>
        <v>4.5</v>
      </c>
      <c r="N2615" s="2">
        <f t="shared" ca="1" si="94"/>
        <v>54905.360655135293</v>
      </c>
      <c r="O2615" s="180">
        <f t="shared" ca="1" si="95"/>
        <v>0.32639020719971046</v>
      </c>
      <c r="P2615" s="180"/>
      <c r="Q2615" s="180"/>
      <c r="R2615" s="180"/>
      <c r="S2615" s="180"/>
      <c r="T2615" s="180"/>
    </row>
    <row r="2616" spans="1:20" x14ac:dyDescent="0.25">
      <c r="A2616" t="s">
        <v>244</v>
      </c>
      <c r="B2616" t="s">
        <v>237</v>
      </c>
      <c r="C2616" t="s">
        <v>238</v>
      </c>
      <c r="D2616" t="s">
        <v>248</v>
      </c>
      <c r="E2616" t="s">
        <v>228</v>
      </c>
      <c r="F2616">
        <v>2015</v>
      </c>
      <c r="G2616">
        <v>1.66204635839011E-3</v>
      </c>
      <c r="H2616" t="s">
        <v>240</v>
      </c>
      <c r="I2616" t="s">
        <v>241</v>
      </c>
      <c r="J2616" t="s">
        <v>242</v>
      </c>
      <c r="K2616" s="183">
        <f ca="1">VLOOKUP(F2616,
    OFFSET(INDIRECT(ADDRESS(MATCH(J2616,'Vehicle numbers'!$A$5:$A$162,0),1,1,1,$L$6)),4,1,COUNTIF('Vehicle numbers'!$A$5:$A$162,J2616),4),
    MATCH(K$8,'Vehicle numbers'!$B$4:$D$4,0))*1000</f>
        <v>162696</v>
      </c>
      <c r="L2616" s="183">
        <f ca="1">VLOOKUP(F2616,
    OFFSET(INDIRECT(ADDRESS(MATCH(J2616,'Vehicle numbers'!$A$5:$A$162,0),1,1,1,$L$6)),4,1,COUNTIF('Vehicle numbers'!$A$5:$A$162,J2616),4),
    MATCH(L$8,'Vehicle numbers'!$B$4:$D$4,0))*1000</f>
        <v>168220</v>
      </c>
      <c r="M2616" s="184">
        <f>VLOOKUP(F2616,'Annual distance covered (GB)'!$A$8:$H$33,MATCH(J2616,'Annual distance covered (GB)'!$A$7:$H$7,0))</f>
        <v>4.5</v>
      </c>
      <c r="N2616" s="2">
        <f t="shared" ca="1" si="94"/>
        <v>7733.1493880472126</v>
      </c>
      <c r="O2616" s="180">
        <f t="shared" ca="1" si="95"/>
        <v>4.5970451718269009E-2</v>
      </c>
      <c r="P2616" s="180"/>
      <c r="Q2616" s="180"/>
      <c r="R2616" s="180"/>
      <c r="S2616" s="180"/>
      <c r="T2616" s="180"/>
    </row>
    <row r="2617" spans="1:20" x14ac:dyDescent="0.25">
      <c r="A2617" t="s">
        <v>246</v>
      </c>
      <c r="B2617" t="s">
        <v>237</v>
      </c>
      <c r="C2617" t="s">
        <v>238</v>
      </c>
      <c r="D2617" t="s">
        <v>248</v>
      </c>
      <c r="E2617" t="s">
        <v>228</v>
      </c>
      <c r="F2617">
        <v>2015</v>
      </c>
      <c r="G2617">
        <v>1.32963708671209E-3</v>
      </c>
      <c r="H2617" t="s">
        <v>240</v>
      </c>
      <c r="I2617" t="s">
        <v>241</v>
      </c>
      <c r="J2617" t="s">
        <v>242</v>
      </c>
      <c r="K2617" s="183">
        <f ca="1">VLOOKUP(F2617,
    OFFSET(INDIRECT(ADDRESS(MATCH(J2617,'Vehicle numbers'!$A$5:$A$162,0),1,1,1,$L$6)),4,1,COUNTIF('Vehicle numbers'!$A$5:$A$162,J2617),4),
    MATCH(K$8,'Vehicle numbers'!$B$4:$D$4,0))*1000</f>
        <v>162696</v>
      </c>
      <c r="L2617" s="183">
        <f ca="1">VLOOKUP(F2617,
    OFFSET(INDIRECT(ADDRESS(MATCH(J2617,'Vehicle numbers'!$A$5:$A$162,0),1,1,1,$L$6)),4,1,COUNTIF('Vehicle numbers'!$A$5:$A$162,J2617),4),
    MATCH(L$8,'Vehicle numbers'!$B$4:$D$4,0))*1000</f>
        <v>168220</v>
      </c>
      <c r="M2617" s="184">
        <f>VLOOKUP(F2617,'Annual distance covered (GB)'!$A$8:$H$33,MATCH(J2617,'Annual distance covered (GB)'!$A$7:$H$7,0))</f>
        <v>4.5</v>
      </c>
      <c r="N2617" s="2">
        <f t="shared" ca="1" si="94"/>
        <v>6186.5195104377799</v>
      </c>
      <c r="O2617" s="180">
        <f t="shared" ca="1" si="95"/>
        <v>3.6776361374615263E-2</v>
      </c>
      <c r="P2617" s="180"/>
      <c r="Q2617" s="180"/>
      <c r="R2617" s="180"/>
      <c r="S2617" s="180"/>
      <c r="T2617" s="180"/>
    </row>
    <row r="2618" spans="1:20" x14ac:dyDescent="0.25">
      <c r="A2618" t="s">
        <v>236</v>
      </c>
      <c r="B2618" t="s">
        <v>237</v>
      </c>
      <c r="C2618" t="s">
        <v>238</v>
      </c>
      <c r="D2618" t="s">
        <v>249</v>
      </c>
      <c r="E2618" t="s">
        <v>229</v>
      </c>
      <c r="F2618">
        <v>2015</v>
      </c>
      <c r="G2618">
        <v>5.3594999999999997E-2</v>
      </c>
      <c r="H2618" t="s">
        <v>240</v>
      </c>
      <c r="I2618" t="s">
        <v>241</v>
      </c>
      <c r="J2618" t="s">
        <v>242</v>
      </c>
      <c r="K2618" s="183">
        <f ca="1">VLOOKUP(F2618,
    OFFSET(INDIRECT(ADDRESS(MATCH(J2618,'Vehicle numbers'!$A$5:$A$162,0),1,1,1,$L$6)),4,1,COUNTIF('Vehicle numbers'!$A$5:$A$162,J2618),4),
    MATCH(K$8,'Vehicle numbers'!$B$4:$D$4,0))*1000</f>
        <v>162696</v>
      </c>
      <c r="L2618" s="183">
        <f ca="1">VLOOKUP(F2618,
    OFFSET(INDIRECT(ADDRESS(MATCH(J2618,'Vehicle numbers'!$A$5:$A$162,0),1,1,1,$L$6)),4,1,COUNTIF('Vehicle numbers'!$A$5:$A$162,J2618),4),
    MATCH(L$8,'Vehicle numbers'!$B$4:$D$4,0))*1000</f>
        <v>168220</v>
      </c>
      <c r="M2618" s="184">
        <f>VLOOKUP(F2618,'Annual distance covered (GB)'!$A$8:$H$33,MATCH(J2618,'Annual distance covered (GB)'!$A$7:$H$7,0))</f>
        <v>4.5</v>
      </c>
      <c r="N2618" s="2">
        <f t="shared" ca="1" si="94"/>
        <v>249366.17403009292</v>
      </c>
      <c r="O2618" s="180">
        <f t="shared" ca="1" si="95"/>
        <v>1.4823812509219649</v>
      </c>
      <c r="P2618" s="180"/>
      <c r="Q2618" s="180"/>
      <c r="R2618" s="180"/>
      <c r="S2618" s="180"/>
      <c r="T2618" s="180"/>
    </row>
    <row r="2619" spans="1:20" x14ac:dyDescent="0.25">
      <c r="A2619" t="s">
        <v>243</v>
      </c>
      <c r="B2619" t="s">
        <v>237</v>
      </c>
      <c r="C2619" t="s">
        <v>238</v>
      </c>
      <c r="D2619" t="s">
        <v>249</v>
      </c>
      <c r="E2619" t="s">
        <v>229</v>
      </c>
      <c r="F2619">
        <v>2015</v>
      </c>
      <c r="G2619">
        <v>2.1437999999999999E-2</v>
      </c>
      <c r="H2619" t="s">
        <v>240</v>
      </c>
      <c r="I2619" t="s">
        <v>241</v>
      </c>
      <c r="J2619" t="s">
        <v>242</v>
      </c>
      <c r="K2619" s="183">
        <f ca="1">VLOOKUP(F2619,
    OFFSET(INDIRECT(ADDRESS(MATCH(J2619,'Vehicle numbers'!$A$5:$A$162,0),1,1,1,$L$6)),4,1,COUNTIF('Vehicle numbers'!$A$5:$A$162,J2619),4),
    MATCH(K$8,'Vehicle numbers'!$B$4:$D$4,0))*1000</f>
        <v>162696</v>
      </c>
      <c r="L2619" s="183">
        <f ca="1">VLOOKUP(F2619,
    OFFSET(INDIRECT(ADDRESS(MATCH(J2619,'Vehicle numbers'!$A$5:$A$162,0),1,1,1,$L$6)),4,1,COUNTIF('Vehicle numbers'!$A$5:$A$162,J2619),4),
    MATCH(L$8,'Vehicle numbers'!$B$4:$D$4,0))*1000</f>
        <v>168220</v>
      </c>
      <c r="M2619" s="184">
        <f>VLOOKUP(F2619,'Annual distance covered (GB)'!$A$8:$H$33,MATCH(J2619,'Annual distance covered (GB)'!$A$7:$H$7,0))</f>
        <v>4.5</v>
      </c>
      <c r="N2619" s="2">
        <f t="shared" ca="1" si="94"/>
        <v>99746.469612037166</v>
      </c>
      <c r="O2619" s="180">
        <f t="shared" ca="1" si="95"/>
        <v>0.59295250036878588</v>
      </c>
      <c r="P2619" s="180"/>
      <c r="Q2619" s="180"/>
      <c r="R2619" s="180"/>
      <c r="S2619" s="180"/>
      <c r="T2619" s="180"/>
    </row>
    <row r="2620" spans="1:20" x14ac:dyDescent="0.25">
      <c r="A2620" t="s">
        <v>244</v>
      </c>
      <c r="B2620" t="s">
        <v>237</v>
      </c>
      <c r="C2620" t="s">
        <v>238</v>
      </c>
      <c r="D2620" t="s">
        <v>249</v>
      </c>
      <c r="E2620" t="s">
        <v>229</v>
      </c>
      <c r="F2620">
        <v>2015</v>
      </c>
      <c r="G2620">
        <v>5.3594999999999997E-3</v>
      </c>
      <c r="H2620" t="s">
        <v>240</v>
      </c>
      <c r="I2620" t="s">
        <v>241</v>
      </c>
      <c r="J2620" t="s">
        <v>242</v>
      </c>
      <c r="K2620" s="183">
        <f ca="1">VLOOKUP(F2620,
    OFFSET(INDIRECT(ADDRESS(MATCH(J2620,'Vehicle numbers'!$A$5:$A$162,0),1,1,1,$L$6)),4,1,COUNTIF('Vehicle numbers'!$A$5:$A$162,J2620),4),
    MATCH(K$8,'Vehicle numbers'!$B$4:$D$4,0))*1000</f>
        <v>162696</v>
      </c>
      <c r="L2620" s="183">
        <f ca="1">VLOOKUP(F2620,
    OFFSET(INDIRECT(ADDRESS(MATCH(J2620,'Vehicle numbers'!$A$5:$A$162,0),1,1,1,$L$6)),4,1,COUNTIF('Vehicle numbers'!$A$5:$A$162,J2620),4),
    MATCH(L$8,'Vehicle numbers'!$B$4:$D$4,0))*1000</f>
        <v>168220</v>
      </c>
      <c r="M2620" s="184">
        <f>VLOOKUP(F2620,'Annual distance covered (GB)'!$A$8:$H$33,MATCH(J2620,'Annual distance covered (GB)'!$A$7:$H$7,0))</f>
        <v>4.5</v>
      </c>
      <c r="N2620" s="2">
        <f t="shared" ca="1" si="94"/>
        <v>24936.617403009292</v>
      </c>
      <c r="O2620" s="180">
        <f t="shared" ca="1" si="95"/>
        <v>0.14823812509219647</v>
      </c>
      <c r="P2620" s="180"/>
      <c r="Q2620" s="180"/>
      <c r="R2620" s="180"/>
      <c r="S2620" s="180"/>
      <c r="T2620" s="180"/>
    </row>
    <row r="2621" spans="1:20" x14ac:dyDescent="0.25">
      <c r="A2621" t="s">
        <v>246</v>
      </c>
      <c r="B2621" t="s">
        <v>237</v>
      </c>
      <c r="C2621" t="s">
        <v>238</v>
      </c>
      <c r="D2621" t="s">
        <v>249</v>
      </c>
      <c r="E2621" t="s">
        <v>229</v>
      </c>
      <c r="F2621">
        <v>2015</v>
      </c>
      <c r="G2621">
        <v>4.2875999999999999E-3</v>
      </c>
      <c r="H2621" t="s">
        <v>240</v>
      </c>
      <c r="I2621" t="s">
        <v>241</v>
      </c>
      <c r="J2621" t="s">
        <v>242</v>
      </c>
      <c r="K2621" s="183">
        <f ca="1">VLOOKUP(F2621,
    OFFSET(INDIRECT(ADDRESS(MATCH(J2621,'Vehicle numbers'!$A$5:$A$162,0),1,1,1,$L$6)),4,1,COUNTIF('Vehicle numbers'!$A$5:$A$162,J2621),4),
    MATCH(K$8,'Vehicle numbers'!$B$4:$D$4,0))*1000</f>
        <v>162696</v>
      </c>
      <c r="L2621" s="183">
        <f ca="1">VLOOKUP(F2621,
    OFFSET(INDIRECT(ADDRESS(MATCH(J2621,'Vehicle numbers'!$A$5:$A$162,0),1,1,1,$L$6)),4,1,COUNTIF('Vehicle numbers'!$A$5:$A$162,J2621),4),
    MATCH(L$8,'Vehicle numbers'!$B$4:$D$4,0))*1000</f>
        <v>168220</v>
      </c>
      <c r="M2621" s="184">
        <f>VLOOKUP(F2621,'Annual distance covered (GB)'!$A$8:$H$33,MATCH(J2621,'Annual distance covered (GB)'!$A$7:$H$7,0))</f>
        <v>4.5</v>
      </c>
      <c r="N2621" s="2">
        <f t="shared" ca="1" si="94"/>
        <v>19949.293922407433</v>
      </c>
      <c r="O2621" s="180">
        <f t="shared" ca="1" si="95"/>
        <v>0.11859050007375718</v>
      </c>
      <c r="P2621" s="180"/>
      <c r="Q2621" s="180"/>
      <c r="R2621" s="180"/>
      <c r="S2621" s="180"/>
      <c r="T2621" s="180"/>
    </row>
    <row r="2622" spans="1:20" x14ac:dyDescent="0.25">
      <c r="A2622" t="s">
        <v>236</v>
      </c>
      <c r="B2622" t="s">
        <v>237</v>
      </c>
      <c r="C2622" t="s">
        <v>238</v>
      </c>
      <c r="D2622" t="s">
        <v>249</v>
      </c>
      <c r="E2622" t="s">
        <v>228</v>
      </c>
      <c r="F2622">
        <v>2015</v>
      </c>
      <c r="G2622">
        <v>2.1388168805883699E-2</v>
      </c>
      <c r="H2622" t="s">
        <v>240</v>
      </c>
      <c r="I2622" t="s">
        <v>241</v>
      </c>
      <c r="J2622" t="s">
        <v>242</v>
      </c>
      <c r="K2622" s="183">
        <f ca="1">VLOOKUP(F2622,
    OFFSET(INDIRECT(ADDRESS(MATCH(J2622,'Vehicle numbers'!$A$5:$A$162,0),1,1,1,$L$6)),4,1,COUNTIF('Vehicle numbers'!$A$5:$A$162,J2622),4),
    MATCH(K$8,'Vehicle numbers'!$B$4:$D$4,0))*1000</f>
        <v>162696</v>
      </c>
      <c r="L2622" s="183">
        <f ca="1">VLOOKUP(F2622,
    OFFSET(INDIRECT(ADDRESS(MATCH(J2622,'Vehicle numbers'!$A$5:$A$162,0),1,1,1,$L$6)),4,1,COUNTIF('Vehicle numbers'!$A$5:$A$162,J2622),4),
    MATCH(L$8,'Vehicle numbers'!$B$4:$D$4,0))*1000</f>
        <v>168220</v>
      </c>
      <c r="M2622" s="184">
        <f>VLOOKUP(F2622,'Annual distance covered (GB)'!$A$8:$H$33,MATCH(J2622,'Annual distance covered (GB)'!$A$7:$H$7,0))</f>
        <v>4.5</v>
      </c>
      <c r="N2622" s="2">
        <f t="shared" ca="1" si="94"/>
        <v>99514.615628939253</v>
      </c>
      <c r="O2622" s="180">
        <f t="shared" ca="1" si="95"/>
        <v>0.59157422202436838</v>
      </c>
      <c r="P2622" s="180"/>
      <c r="Q2622" s="180"/>
      <c r="R2622" s="180"/>
      <c r="S2622" s="180"/>
      <c r="T2622" s="180"/>
    </row>
    <row r="2623" spans="1:20" x14ac:dyDescent="0.25">
      <c r="A2623" t="s">
        <v>243</v>
      </c>
      <c r="B2623" t="s">
        <v>237</v>
      </c>
      <c r="C2623" t="s">
        <v>238</v>
      </c>
      <c r="D2623" t="s">
        <v>249</v>
      </c>
      <c r="E2623" t="s">
        <v>228</v>
      </c>
      <c r="F2623">
        <v>2015</v>
      </c>
      <c r="G2623">
        <v>1.4971718164118601E-2</v>
      </c>
      <c r="H2623" t="s">
        <v>240</v>
      </c>
      <c r="I2623" t="s">
        <v>241</v>
      </c>
      <c r="J2623" t="s">
        <v>242</v>
      </c>
      <c r="K2623" s="183">
        <f ca="1">VLOOKUP(F2623,
    OFFSET(INDIRECT(ADDRESS(MATCH(J2623,'Vehicle numbers'!$A$5:$A$162,0),1,1,1,$L$6)),4,1,COUNTIF('Vehicle numbers'!$A$5:$A$162,J2623),4),
    MATCH(K$8,'Vehicle numbers'!$B$4:$D$4,0))*1000</f>
        <v>162696</v>
      </c>
      <c r="L2623" s="183">
        <f ca="1">VLOOKUP(F2623,
    OFFSET(INDIRECT(ADDRESS(MATCH(J2623,'Vehicle numbers'!$A$5:$A$162,0),1,1,1,$L$6)),4,1,COUNTIF('Vehicle numbers'!$A$5:$A$162,J2623),4),
    MATCH(L$8,'Vehicle numbers'!$B$4:$D$4,0))*1000</f>
        <v>168220</v>
      </c>
      <c r="M2623" s="184">
        <f>VLOOKUP(F2623,'Annual distance covered (GB)'!$A$8:$H$33,MATCH(J2623,'Annual distance covered (GB)'!$A$7:$H$7,0))</f>
        <v>4.5</v>
      </c>
      <c r="N2623" s="2">
        <f t="shared" ca="1" si="94"/>
        <v>69660.230940257519</v>
      </c>
      <c r="O2623" s="180">
        <f t="shared" ca="1" si="95"/>
        <v>0.41410195541705813</v>
      </c>
      <c r="P2623" s="180"/>
      <c r="Q2623" s="180"/>
      <c r="R2623" s="180"/>
      <c r="S2623" s="180"/>
      <c r="T2623" s="180"/>
    </row>
    <row r="2624" spans="1:20" x14ac:dyDescent="0.25">
      <c r="A2624" t="s">
        <v>244</v>
      </c>
      <c r="B2624" t="s">
        <v>237</v>
      </c>
      <c r="C2624" t="s">
        <v>238</v>
      </c>
      <c r="D2624" t="s">
        <v>249</v>
      </c>
      <c r="E2624" t="s">
        <v>228</v>
      </c>
      <c r="F2624">
        <v>2015</v>
      </c>
      <c r="G2624">
        <v>2.10869269917163E-3</v>
      </c>
      <c r="H2624" t="s">
        <v>240</v>
      </c>
      <c r="I2624" t="s">
        <v>241</v>
      </c>
      <c r="J2624" t="s">
        <v>242</v>
      </c>
      <c r="K2624" s="183">
        <f ca="1">VLOOKUP(F2624,
    OFFSET(INDIRECT(ADDRESS(MATCH(J2624,'Vehicle numbers'!$A$5:$A$162,0),1,1,1,$L$6)),4,1,COUNTIF('Vehicle numbers'!$A$5:$A$162,J2624),4),
    MATCH(K$8,'Vehicle numbers'!$B$4:$D$4,0))*1000</f>
        <v>162696</v>
      </c>
      <c r="L2624" s="183">
        <f ca="1">VLOOKUP(F2624,
    OFFSET(INDIRECT(ADDRESS(MATCH(J2624,'Vehicle numbers'!$A$5:$A$162,0),1,1,1,$L$6)),4,1,COUNTIF('Vehicle numbers'!$A$5:$A$162,J2624),4),
    MATCH(L$8,'Vehicle numbers'!$B$4:$D$4,0))*1000</f>
        <v>168220</v>
      </c>
      <c r="M2624" s="184">
        <f>VLOOKUP(F2624,'Annual distance covered (GB)'!$A$8:$H$33,MATCH(J2624,'Annual distance covered (GB)'!$A$7:$H$7,0))</f>
        <v>4.5</v>
      </c>
      <c r="N2624" s="2">
        <f t="shared" ca="1" si="94"/>
        <v>9811.3001324306188</v>
      </c>
      <c r="O2624" s="180">
        <f t="shared" ca="1" si="95"/>
        <v>5.8324219072824986E-2</v>
      </c>
      <c r="P2624" s="180"/>
      <c r="Q2624" s="180"/>
      <c r="R2624" s="180"/>
      <c r="S2624" s="180"/>
      <c r="T2624" s="180"/>
    </row>
    <row r="2625" spans="1:20" x14ac:dyDescent="0.25">
      <c r="A2625" t="s">
        <v>246</v>
      </c>
      <c r="B2625" t="s">
        <v>237</v>
      </c>
      <c r="C2625" t="s">
        <v>238</v>
      </c>
      <c r="D2625" t="s">
        <v>249</v>
      </c>
      <c r="E2625" t="s">
        <v>228</v>
      </c>
      <c r="F2625">
        <v>2015</v>
      </c>
      <c r="G2625">
        <v>1.6869541593372999E-3</v>
      </c>
      <c r="H2625" t="s">
        <v>240</v>
      </c>
      <c r="I2625" t="s">
        <v>241</v>
      </c>
      <c r="J2625" t="s">
        <v>242</v>
      </c>
      <c r="K2625" s="183">
        <f ca="1">VLOOKUP(F2625,
    OFFSET(INDIRECT(ADDRESS(MATCH(J2625,'Vehicle numbers'!$A$5:$A$162,0),1,1,1,$L$6)),4,1,COUNTIF('Vehicle numbers'!$A$5:$A$162,J2625),4),
    MATCH(K$8,'Vehicle numbers'!$B$4:$D$4,0))*1000</f>
        <v>162696</v>
      </c>
      <c r="L2625" s="183">
        <f ca="1">VLOOKUP(F2625,
    OFFSET(INDIRECT(ADDRESS(MATCH(J2625,'Vehicle numbers'!$A$5:$A$162,0),1,1,1,$L$6)),4,1,COUNTIF('Vehicle numbers'!$A$5:$A$162,J2625),4),
    MATCH(L$8,'Vehicle numbers'!$B$4:$D$4,0))*1000</f>
        <v>168220</v>
      </c>
      <c r="M2625" s="184">
        <f>VLOOKUP(F2625,'Annual distance covered (GB)'!$A$8:$H$33,MATCH(J2625,'Annual distance covered (GB)'!$A$7:$H$7,0))</f>
        <v>4.5</v>
      </c>
      <c r="N2625" s="2">
        <f t="shared" ca="1" si="94"/>
        <v>7849.0401059444766</v>
      </c>
      <c r="O2625" s="180">
        <f t="shared" ca="1" si="95"/>
        <v>4.6659375258259875E-2</v>
      </c>
      <c r="P2625" s="180"/>
      <c r="Q2625" s="180"/>
      <c r="R2625" s="180"/>
      <c r="S2625" s="180"/>
      <c r="T2625" s="180"/>
    </row>
    <row r="2626" spans="1:20" x14ac:dyDescent="0.25">
      <c r="A2626" t="s">
        <v>236</v>
      </c>
      <c r="B2626" t="s">
        <v>237</v>
      </c>
      <c r="C2626" t="s">
        <v>238</v>
      </c>
      <c r="D2626" t="s">
        <v>250</v>
      </c>
      <c r="E2626" t="s">
        <v>229</v>
      </c>
      <c r="F2626">
        <v>2015</v>
      </c>
      <c r="G2626">
        <v>1.3600000000000001E-3</v>
      </c>
      <c r="H2626" t="s">
        <v>240</v>
      </c>
      <c r="I2626" t="s">
        <v>241</v>
      </c>
      <c r="J2626" t="s">
        <v>2</v>
      </c>
      <c r="K2626" s="183">
        <f ca="1">VLOOKUP(F2626,
    OFFSET(INDIRECT(ADDRESS(MATCH(J2626,'Vehicle numbers'!$A$5:$A$162,0),1,1,1,$L$6)),4,1,COUNTIF('Vehicle numbers'!$A$5:$A$162,J2626),4),
    MATCH(K$8,'Vehicle numbers'!$B$4:$D$4,0))*1000</f>
        <v>30250294</v>
      </c>
      <c r="L2626" s="183">
        <f ca="1">VLOOKUP(F2626,
    OFFSET(INDIRECT(ADDRESS(MATCH(J2626,'Vehicle numbers'!$A$5:$A$162,0),1,1,1,$L$6)),4,1,COUNTIF('Vehicle numbers'!$A$5:$A$162,J2626),4),
    MATCH(L$8,'Vehicle numbers'!$B$4:$D$4,0))*1000</f>
        <v>31170701</v>
      </c>
      <c r="M2626" s="184">
        <f>VLOOKUP(F2626,'Annual distance covered (GB)'!$A$8:$H$33,MATCH(J2626,'Annual distance covered (GB)'!$A$7:$H$7,0))</f>
        <v>415.4</v>
      </c>
      <c r="N2626" s="2">
        <f t="shared" ca="1" si="94"/>
        <v>582133.20193661586</v>
      </c>
      <c r="O2626" s="180">
        <f t="shared" ca="1" si="95"/>
        <v>1.8675653201915988E-2</v>
      </c>
      <c r="P2626" s="180"/>
      <c r="Q2626" s="180"/>
      <c r="R2626" s="180"/>
      <c r="S2626" s="180"/>
      <c r="T2626" s="180"/>
    </row>
    <row r="2627" spans="1:20" x14ac:dyDescent="0.25">
      <c r="A2627" t="s">
        <v>243</v>
      </c>
      <c r="B2627" t="s">
        <v>237</v>
      </c>
      <c r="C2627" t="s">
        <v>238</v>
      </c>
      <c r="D2627" t="s">
        <v>250</v>
      </c>
      <c r="E2627" t="s">
        <v>229</v>
      </c>
      <c r="F2627">
        <v>2015</v>
      </c>
      <c r="G2627">
        <v>5.44E-4</v>
      </c>
      <c r="H2627" t="s">
        <v>240</v>
      </c>
      <c r="I2627" t="s">
        <v>241</v>
      </c>
      <c r="J2627" t="s">
        <v>2</v>
      </c>
      <c r="K2627" s="183">
        <f ca="1">VLOOKUP(F2627,
    OFFSET(INDIRECT(ADDRESS(MATCH(J2627,'Vehicle numbers'!$A$5:$A$162,0),1,1,1,$L$6)),4,1,COUNTIF('Vehicle numbers'!$A$5:$A$162,J2627),4),
    MATCH(K$8,'Vehicle numbers'!$B$4:$D$4,0))*1000</f>
        <v>30250294</v>
      </c>
      <c r="L2627" s="183">
        <f ca="1">VLOOKUP(F2627,
    OFFSET(INDIRECT(ADDRESS(MATCH(J2627,'Vehicle numbers'!$A$5:$A$162,0),1,1,1,$L$6)),4,1,COUNTIF('Vehicle numbers'!$A$5:$A$162,J2627),4),
    MATCH(L$8,'Vehicle numbers'!$B$4:$D$4,0))*1000</f>
        <v>31170701</v>
      </c>
      <c r="M2627" s="184">
        <f>VLOOKUP(F2627,'Annual distance covered (GB)'!$A$8:$H$33,MATCH(J2627,'Annual distance covered (GB)'!$A$7:$H$7,0))</f>
        <v>415.4</v>
      </c>
      <c r="N2627" s="2">
        <f t="shared" ca="1" si="94"/>
        <v>232853.28077464632</v>
      </c>
      <c r="O2627" s="180">
        <f t="shared" ca="1" si="95"/>
        <v>7.4702612807663943E-3</v>
      </c>
      <c r="P2627" s="180"/>
      <c r="Q2627" s="180"/>
      <c r="R2627" s="180"/>
      <c r="S2627" s="180"/>
      <c r="T2627" s="180"/>
    </row>
    <row r="2628" spans="1:20" x14ac:dyDescent="0.25">
      <c r="A2628" t="s">
        <v>244</v>
      </c>
      <c r="B2628" t="s">
        <v>237</v>
      </c>
      <c r="C2628" t="s">
        <v>238</v>
      </c>
      <c r="D2628" t="s">
        <v>250</v>
      </c>
      <c r="E2628" t="s">
        <v>229</v>
      </c>
      <c r="F2628">
        <v>2015</v>
      </c>
      <c r="G2628">
        <v>1.36E-4</v>
      </c>
      <c r="H2628" t="s">
        <v>240</v>
      </c>
      <c r="I2628" t="s">
        <v>241</v>
      </c>
      <c r="J2628" t="s">
        <v>2</v>
      </c>
      <c r="K2628" s="183">
        <f ca="1">VLOOKUP(F2628,
    OFFSET(INDIRECT(ADDRESS(MATCH(J2628,'Vehicle numbers'!$A$5:$A$162,0),1,1,1,$L$6)),4,1,COUNTIF('Vehicle numbers'!$A$5:$A$162,J2628),4),
    MATCH(K$8,'Vehicle numbers'!$B$4:$D$4,0))*1000</f>
        <v>30250294</v>
      </c>
      <c r="L2628" s="183">
        <f ca="1">VLOOKUP(F2628,
    OFFSET(INDIRECT(ADDRESS(MATCH(J2628,'Vehicle numbers'!$A$5:$A$162,0),1,1,1,$L$6)),4,1,COUNTIF('Vehicle numbers'!$A$5:$A$162,J2628),4),
    MATCH(L$8,'Vehicle numbers'!$B$4:$D$4,0))*1000</f>
        <v>31170701</v>
      </c>
      <c r="M2628" s="184">
        <f>VLOOKUP(F2628,'Annual distance covered (GB)'!$A$8:$H$33,MATCH(J2628,'Annual distance covered (GB)'!$A$7:$H$7,0))</f>
        <v>415.4</v>
      </c>
      <c r="N2628" s="2">
        <f t="shared" ca="1" si="94"/>
        <v>58213.320193661581</v>
      </c>
      <c r="O2628" s="180">
        <f t="shared" ca="1" si="95"/>
        <v>1.8675653201915986E-3</v>
      </c>
      <c r="P2628" s="180"/>
      <c r="Q2628" s="180"/>
      <c r="R2628" s="180"/>
      <c r="S2628" s="180"/>
      <c r="T2628" s="180"/>
    </row>
    <row r="2629" spans="1:20" x14ac:dyDescent="0.25">
      <c r="A2629" t="s">
        <v>246</v>
      </c>
      <c r="B2629" t="s">
        <v>237</v>
      </c>
      <c r="C2629" t="s">
        <v>238</v>
      </c>
      <c r="D2629" t="s">
        <v>250</v>
      </c>
      <c r="E2629" t="s">
        <v>229</v>
      </c>
      <c r="F2629">
        <v>2015</v>
      </c>
      <c r="G2629">
        <v>1.088E-4</v>
      </c>
      <c r="H2629" t="s">
        <v>240</v>
      </c>
      <c r="I2629" t="s">
        <v>241</v>
      </c>
      <c r="J2629" t="s">
        <v>2</v>
      </c>
      <c r="K2629" s="183">
        <f ca="1">VLOOKUP(F2629,
    OFFSET(INDIRECT(ADDRESS(MATCH(J2629,'Vehicle numbers'!$A$5:$A$162,0),1,1,1,$L$6)),4,1,COUNTIF('Vehicle numbers'!$A$5:$A$162,J2629),4),
    MATCH(K$8,'Vehicle numbers'!$B$4:$D$4,0))*1000</f>
        <v>30250294</v>
      </c>
      <c r="L2629" s="183">
        <f ca="1">VLOOKUP(F2629,
    OFFSET(INDIRECT(ADDRESS(MATCH(J2629,'Vehicle numbers'!$A$5:$A$162,0),1,1,1,$L$6)),4,1,COUNTIF('Vehicle numbers'!$A$5:$A$162,J2629),4),
    MATCH(L$8,'Vehicle numbers'!$B$4:$D$4,0))*1000</f>
        <v>31170701</v>
      </c>
      <c r="M2629" s="184">
        <f>VLOOKUP(F2629,'Annual distance covered (GB)'!$A$8:$H$33,MATCH(J2629,'Annual distance covered (GB)'!$A$7:$H$7,0))</f>
        <v>415.4</v>
      </c>
      <c r="N2629" s="2">
        <f t="shared" ca="1" si="94"/>
        <v>46570.656154929267</v>
      </c>
      <c r="O2629" s="180">
        <f t="shared" ca="1" si="95"/>
        <v>1.494052256153279E-3</v>
      </c>
      <c r="P2629" s="180"/>
      <c r="Q2629" s="180"/>
      <c r="R2629" s="180"/>
      <c r="S2629" s="180"/>
      <c r="T2629" s="180"/>
    </row>
    <row r="2630" spans="1:20" x14ac:dyDescent="0.25">
      <c r="A2630" t="s">
        <v>236</v>
      </c>
      <c r="B2630" t="s">
        <v>237</v>
      </c>
      <c r="C2630" t="s">
        <v>238</v>
      </c>
      <c r="D2630" t="s">
        <v>250</v>
      </c>
      <c r="E2630" t="s">
        <v>228</v>
      </c>
      <c r="F2630">
        <v>2015</v>
      </c>
      <c r="G2630">
        <v>5.7910000000000001E-3</v>
      </c>
      <c r="H2630" t="s">
        <v>240</v>
      </c>
      <c r="I2630" t="s">
        <v>241</v>
      </c>
      <c r="J2630" t="s">
        <v>2</v>
      </c>
      <c r="K2630" s="183">
        <f ca="1">VLOOKUP(F2630,
    OFFSET(INDIRECT(ADDRESS(MATCH(J2630,'Vehicle numbers'!$A$5:$A$162,0),1,1,1,$L$6)),4,1,COUNTIF('Vehicle numbers'!$A$5:$A$162,J2630),4),
    MATCH(K$8,'Vehicle numbers'!$B$4:$D$4,0))*1000</f>
        <v>30250294</v>
      </c>
      <c r="L2630" s="183">
        <f ca="1">VLOOKUP(F2630,
    OFFSET(INDIRECT(ADDRESS(MATCH(J2630,'Vehicle numbers'!$A$5:$A$162,0),1,1,1,$L$6)),4,1,COUNTIF('Vehicle numbers'!$A$5:$A$162,J2630),4),
    MATCH(L$8,'Vehicle numbers'!$B$4:$D$4,0))*1000</f>
        <v>31170701</v>
      </c>
      <c r="M2630" s="184">
        <f>VLOOKUP(F2630,'Annual distance covered (GB)'!$A$8:$H$33,MATCH(J2630,'Annual distance covered (GB)'!$A$7:$H$7,0))</f>
        <v>415.4</v>
      </c>
      <c r="N2630" s="2">
        <f t="shared" ca="1" si="94"/>
        <v>2478774.5385403987</v>
      </c>
      <c r="O2630" s="180">
        <f t="shared" ca="1" si="95"/>
        <v>7.952257918551138E-2</v>
      </c>
      <c r="P2630" s="180"/>
      <c r="Q2630" s="180"/>
      <c r="R2630" s="180"/>
      <c r="S2630" s="180"/>
      <c r="T2630" s="180"/>
    </row>
    <row r="2631" spans="1:20" x14ac:dyDescent="0.25">
      <c r="A2631" t="s">
        <v>243</v>
      </c>
      <c r="B2631" t="s">
        <v>237</v>
      </c>
      <c r="C2631" t="s">
        <v>238</v>
      </c>
      <c r="D2631" t="s">
        <v>250</v>
      </c>
      <c r="E2631" t="s">
        <v>228</v>
      </c>
      <c r="F2631">
        <v>2015</v>
      </c>
      <c r="G2631">
        <v>4.0537000000000004E-3</v>
      </c>
      <c r="H2631" t="s">
        <v>240</v>
      </c>
      <c r="I2631" t="s">
        <v>241</v>
      </c>
      <c r="J2631" t="s">
        <v>2</v>
      </c>
      <c r="K2631" s="183">
        <f ca="1">VLOOKUP(F2631,
    OFFSET(INDIRECT(ADDRESS(MATCH(J2631,'Vehicle numbers'!$A$5:$A$162,0),1,1,1,$L$6)),4,1,COUNTIF('Vehicle numbers'!$A$5:$A$162,J2631),4),
    MATCH(K$8,'Vehicle numbers'!$B$4:$D$4,0))*1000</f>
        <v>30250294</v>
      </c>
      <c r="L2631" s="183">
        <f ca="1">VLOOKUP(F2631,
    OFFSET(INDIRECT(ADDRESS(MATCH(J2631,'Vehicle numbers'!$A$5:$A$162,0),1,1,1,$L$6)),4,1,COUNTIF('Vehicle numbers'!$A$5:$A$162,J2631),4),
    MATCH(L$8,'Vehicle numbers'!$B$4:$D$4,0))*1000</f>
        <v>31170701</v>
      </c>
      <c r="M2631" s="184">
        <f>VLOOKUP(F2631,'Annual distance covered (GB)'!$A$8:$H$33,MATCH(J2631,'Annual distance covered (GB)'!$A$7:$H$7,0))</f>
        <v>415.4</v>
      </c>
      <c r="N2631" s="2">
        <f t="shared" ca="1" si="94"/>
        <v>1735142.1769782796</v>
      </c>
      <c r="O2631" s="180">
        <f t="shared" ca="1" si="95"/>
        <v>5.5665805429857981E-2</v>
      </c>
      <c r="P2631" s="180"/>
      <c r="Q2631" s="180"/>
      <c r="R2631" s="180"/>
      <c r="S2631" s="180"/>
      <c r="T2631" s="180"/>
    </row>
    <row r="2632" spans="1:20" x14ac:dyDescent="0.25">
      <c r="A2632" t="s">
        <v>244</v>
      </c>
      <c r="B2632" t="s">
        <v>237</v>
      </c>
      <c r="C2632" t="s">
        <v>238</v>
      </c>
      <c r="D2632" t="s">
        <v>250</v>
      </c>
      <c r="E2632" t="s">
        <v>228</v>
      </c>
      <c r="F2632">
        <v>2015</v>
      </c>
      <c r="G2632">
        <v>5.7094366197182997E-4</v>
      </c>
      <c r="H2632" t="s">
        <v>240</v>
      </c>
      <c r="I2632" t="s">
        <v>241</v>
      </c>
      <c r="J2632" t="s">
        <v>2</v>
      </c>
      <c r="K2632" s="183">
        <f ca="1">VLOOKUP(F2632,
    OFFSET(INDIRECT(ADDRESS(MATCH(J2632,'Vehicle numbers'!$A$5:$A$162,0),1,1,1,$L$6)),4,1,COUNTIF('Vehicle numbers'!$A$5:$A$162,J2632),4),
    MATCH(K$8,'Vehicle numbers'!$B$4:$D$4,0))*1000</f>
        <v>30250294</v>
      </c>
      <c r="L2632" s="183">
        <f ca="1">VLOOKUP(F2632,
    OFFSET(INDIRECT(ADDRESS(MATCH(J2632,'Vehicle numbers'!$A$5:$A$162,0),1,1,1,$L$6)),4,1,COUNTIF('Vehicle numbers'!$A$5:$A$162,J2632),4),
    MATCH(L$8,'Vehicle numbers'!$B$4:$D$4,0))*1000</f>
        <v>31170701</v>
      </c>
      <c r="M2632" s="184">
        <f>VLOOKUP(F2632,'Annual distance covered (GB)'!$A$8:$H$33,MATCH(J2632,'Annual distance covered (GB)'!$A$7:$H$7,0))</f>
        <v>415.4</v>
      </c>
      <c r="N2632" s="2">
        <f t="shared" ca="1" si="94"/>
        <v>244386.22210961636</v>
      </c>
      <c r="O2632" s="180">
        <f t="shared" ca="1" si="95"/>
        <v>7.8402542858954753E-3</v>
      </c>
      <c r="P2632" s="180"/>
      <c r="Q2632" s="180"/>
      <c r="R2632" s="180"/>
      <c r="S2632" s="180"/>
      <c r="T2632" s="180"/>
    </row>
    <row r="2633" spans="1:20" x14ac:dyDescent="0.25">
      <c r="A2633" t="s">
        <v>246</v>
      </c>
      <c r="B2633" t="s">
        <v>237</v>
      </c>
      <c r="C2633" t="s">
        <v>238</v>
      </c>
      <c r="D2633" t="s">
        <v>250</v>
      </c>
      <c r="E2633" t="s">
        <v>228</v>
      </c>
      <c r="F2633">
        <v>2015</v>
      </c>
      <c r="G2633">
        <v>4.5675492957746402E-4</v>
      </c>
      <c r="H2633" t="s">
        <v>240</v>
      </c>
      <c r="I2633" t="s">
        <v>241</v>
      </c>
      <c r="J2633" t="s">
        <v>2</v>
      </c>
      <c r="K2633" s="183">
        <f ca="1">VLOOKUP(F2633,
    OFFSET(INDIRECT(ADDRESS(MATCH(J2633,'Vehicle numbers'!$A$5:$A$162,0),1,1,1,$L$6)),4,1,COUNTIF('Vehicle numbers'!$A$5:$A$162,J2633),4),
    MATCH(K$8,'Vehicle numbers'!$B$4:$D$4,0))*1000</f>
        <v>30250294</v>
      </c>
      <c r="L2633" s="183">
        <f ca="1">VLOOKUP(F2633,
    OFFSET(INDIRECT(ADDRESS(MATCH(J2633,'Vehicle numbers'!$A$5:$A$162,0),1,1,1,$L$6)),4,1,COUNTIF('Vehicle numbers'!$A$5:$A$162,J2633),4),
    MATCH(L$8,'Vehicle numbers'!$B$4:$D$4,0))*1000</f>
        <v>31170701</v>
      </c>
      <c r="M2633" s="184">
        <f>VLOOKUP(F2633,'Annual distance covered (GB)'!$A$8:$H$33,MATCH(J2633,'Annual distance covered (GB)'!$A$7:$H$7,0))</f>
        <v>415.4</v>
      </c>
      <c r="N2633" s="2">
        <f t="shared" ca="1" si="94"/>
        <v>195508.97768769308</v>
      </c>
      <c r="O2633" s="180">
        <f t="shared" ca="1" si="95"/>
        <v>6.2722034287163797E-3</v>
      </c>
      <c r="P2633" s="180"/>
      <c r="Q2633" s="180"/>
      <c r="R2633" s="180"/>
      <c r="S2633" s="180"/>
      <c r="T2633" s="180"/>
    </row>
    <row r="2634" spans="1:20" x14ac:dyDescent="0.25">
      <c r="A2634" t="s">
        <v>236</v>
      </c>
      <c r="B2634" t="s">
        <v>237</v>
      </c>
      <c r="C2634" t="s">
        <v>238</v>
      </c>
      <c r="D2634" t="s">
        <v>255</v>
      </c>
      <c r="E2634" t="s">
        <v>229</v>
      </c>
      <c r="F2634">
        <v>2015</v>
      </c>
      <c r="G2634">
        <v>5.5269999999999998E-3</v>
      </c>
      <c r="H2634" t="s">
        <v>240</v>
      </c>
      <c r="I2634" t="s">
        <v>241</v>
      </c>
      <c r="J2634" t="s">
        <v>2</v>
      </c>
      <c r="K2634" s="183">
        <f ca="1">VLOOKUP(F2634,
    OFFSET(INDIRECT(ADDRESS(MATCH(J2634,'Vehicle numbers'!$A$5:$A$162,0),1,1,1,$L$6)),4,1,COUNTIF('Vehicle numbers'!$A$5:$A$162,J2634),4),
    MATCH(K$8,'Vehicle numbers'!$B$4:$D$4,0))*1000</f>
        <v>30250294</v>
      </c>
      <c r="L2634" s="183">
        <f ca="1">VLOOKUP(F2634,
    OFFSET(INDIRECT(ADDRESS(MATCH(J2634,'Vehicle numbers'!$A$5:$A$162,0),1,1,1,$L$6)),4,1,COUNTIF('Vehicle numbers'!$A$5:$A$162,J2634),4),
    MATCH(L$8,'Vehicle numbers'!$B$4:$D$4,0))*1000</f>
        <v>31170701</v>
      </c>
      <c r="M2634" s="184">
        <f>VLOOKUP(F2634,'Annual distance covered (GB)'!$A$8:$H$33,MATCH(J2634,'Annual distance covered (GB)'!$A$7:$H$7,0))</f>
        <v>415.4</v>
      </c>
      <c r="N2634" s="2">
        <f t="shared" ca="1" si="94"/>
        <v>2365772.2111056438</v>
      </c>
      <c r="O2634" s="180">
        <f t="shared" ca="1" si="95"/>
        <v>7.5897305328668854E-2</v>
      </c>
      <c r="P2634" s="180"/>
      <c r="Q2634" s="180"/>
      <c r="R2634" s="180"/>
      <c r="S2634" s="180"/>
      <c r="T2634" s="180"/>
    </row>
    <row r="2635" spans="1:20" x14ac:dyDescent="0.25">
      <c r="A2635" t="s">
        <v>243</v>
      </c>
      <c r="B2635" t="s">
        <v>237</v>
      </c>
      <c r="C2635" t="s">
        <v>238</v>
      </c>
      <c r="D2635" t="s">
        <v>255</v>
      </c>
      <c r="E2635" t="s">
        <v>229</v>
      </c>
      <c r="F2635">
        <v>2015</v>
      </c>
      <c r="G2635">
        <v>2.2108000000000002E-3</v>
      </c>
      <c r="H2635" t="s">
        <v>240</v>
      </c>
      <c r="I2635" t="s">
        <v>241</v>
      </c>
      <c r="J2635" t="s">
        <v>2</v>
      </c>
      <c r="K2635" s="183">
        <f ca="1">VLOOKUP(F2635,
    OFFSET(INDIRECT(ADDRESS(MATCH(J2635,'Vehicle numbers'!$A$5:$A$162,0),1,1,1,$L$6)),4,1,COUNTIF('Vehicle numbers'!$A$5:$A$162,J2635),4),
    MATCH(K$8,'Vehicle numbers'!$B$4:$D$4,0))*1000</f>
        <v>30250294</v>
      </c>
      <c r="L2635" s="183">
        <f ca="1">VLOOKUP(F2635,
    OFFSET(INDIRECT(ADDRESS(MATCH(J2635,'Vehicle numbers'!$A$5:$A$162,0),1,1,1,$L$6)),4,1,COUNTIF('Vehicle numbers'!$A$5:$A$162,J2635),4),
    MATCH(L$8,'Vehicle numbers'!$B$4:$D$4,0))*1000</f>
        <v>31170701</v>
      </c>
      <c r="M2635" s="184">
        <f>VLOOKUP(F2635,'Annual distance covered (GB)'!$A$8:$H$33,MATCH(J2635,'Annual distance covered (GB)'!$A$7:$H$7,0))</f>
        <v>415.4</v>
      </c>
      <c r="N2635" s="2">
        <f t="shared" ref="N2635:N2698" ca="1" si="96">M2635*G2635*1000000*(L2635/K2635)</f>
        <v>946308.88444225769</v>
      </c>
      <c r="O2635" s="180">
        <f t="shared" ref="O2635:O2698" ca="1" si="97">N2635/L2635</f>
        <v>3.0358922131467549E-2</v>
      </c>
      <c r="P2635" s="180"/>
      <c r="Q2635" s="180"/>
      <c r="R2635" s="180"/>
      <c r="S2635" s="180"/>
      <c r="T2635" s="180"/>
    </row>
    <row r="2636" spans="1:20" x14ac:dyDescent="0.25">
      <c r="A2636" t="s">
        <v>244</v>
      </c>
      <c r="B2636" t="s">
        <v>237</v>
      </c>
      <c r="C2636" t="s">
        <v>238</v>
      </c>
      <c r="D2636" t="s">
        <v>255</v>
      </c>
      <c r="E2636" t="s">
        <v>229</v>
      </c>
      <c r="F2636">
        <v>2015</v>
      </c>
      <c r="G2636">
        <v>5.5270000000000004E-4</v>
      </c>
      <c r="H2636" t="s">
        <v>240</v>
      </c>
      <c r="I2636" t="s">
        <v>241</v>
      </c>
      <c r="J2636" t="s">
        <v>2</v>
      </c>
      <c r="K2636" s="183">
        <f ca="1">VLOOKUP(F2636,
    OFFSET(INDIRECT(ADDRESS(MATCH(J2636,'Vehicle numbers'!$A$5:$A$162,0),1,1,1,$L$6)),4,1,COUNTIF('Vehicle numbers'!$A$5:$A$162,J2636),4),
    MATCH(K$8,'Vehicle numbers'!$B$4:$D$4,0))*1000</f>
        <v>30250294</v>
      </c>
      <c r="L2636" s="183">
        <f ca="1">VLOOKUP(F2636,
    OFFSET(INDIRECT(ADDRESS(MATCH(J2636,'Vehicle numbers'!$A$5:$A$162,0),1,1,1,$L$6)),4,1,COUNTIF('Vehicle numbers'!$A$5:$A$162,J2636),4),
    MATCH(L$8,'Vehicle numbers'!$B$4:$D$4,0))*1000</f>
        <v>31170701</v>
      </c>
      <c r="M2636" s="184">
        <f>VLOOKUP(F2636,'Annual distance covered (GB)'!$A$8:$H$33,MATCH(J2636,'Annual distance covered (GB)'!$A$7:$H$7,0))</f>
        <v>415.4</v>
      </c>
      <c r="N2636" s="2">
        <f t="shared" ca="1" si="96"/>
        <v>236577.22111056442</v>
      </c>
      <c r="O2636" s="180">
        <f t="shared" ca="1" si="97"/>
        <v>7.5897305328668872E-3</v>
      </c>
      <c r="P2636" s="180"/>
      <c r="Q2636" s="180"/>
      <c r="R2636" s="180"/>
      <c r="S2636" s="180"/>
      <c r="T2636" s="180"/>
    </row>
    <row r="2637" spans="1:20" x14ac:dyDescent="0.25">
      <c r="A2637" t="s">
        <v>246</v>
      </c>
      <c r="B2637" t="s">
        <v>237</v>
      </c>
      <c r="C2637" t="s">
        <v>238</v>
      </c>
      <c r="D2637" t="s">
        <v>255</v>
      </c>
      <c r="E2637" t="s">
        <v>229</v>
      </c>
      <c r="F2637">
        <v>2015</v>
      </c>
      <c r="G2637">
        <v>4.4215999999999998E-4</v>
      </c>
      <c r="H2637" t="s">
        <v>240</v>
      </c>
      <c r="I2637" t="s">
        <v>241</v>
      </c>
      <c r="J2637" t="s">
        <v>2</v>
      </c>
      <c r="K2637" s="183">
        <f ca="1">VLOOKUP(F2637,
    OFFSET(INDIRECT(ADDRESS(MATCH(J2637,'Vehicle numbers'!$A$5:$A$162,0),1,1,1,$L$6)),4,1,COUNTIF('Vehicle numbers'!$A$5:$A$162,J2637),4),
    MATCH(K$8,'Vehicle numbers'!$B$4:$D$4,0))*1000</f>
        <v>30250294</v>
      </c>
      <c r="L2637" s="183">
        <f ca="1">VLOOKUP(F2637,
    OFFSET(INDIRECT(ADDRESS(MATCH(J2637,'Vehicle numbers'!$A$5:$A$162,0),1,1,1,$L$6)),4,1,COUNTIF('Vehicle numbers'!$A$5:$A$162,J2637),4),
    MATCH(L$8,'Vehicle numbers'!$B$4:$D$4,0))*1000</f>
        <v>31170701</v>
      </c>
      <c r="M2637" s="184">
        <f>VLOOKUP(F2637,'Annual distance covered (GB)'!$A$8:$H$33,MATCH(J2637,'Annual distance covered (GB)'!$A$7:$H$7,0))</f>
        <v>415.4</v>
      </c>
      <c r="N2637" s="2">
        <f t="shared" ca="1" si="96"/>
        <v>189261.77688845148</v>
      </c>
      <c r="O2637" s="180">
        <f t="shared" ca="1" si="97"/>
        <v>6.0717844262935085E-3</v>
      </c>
      <c r="P2637" s="180"/>
      <c r="Q2637" s="180"/>
      <c r="R2637" s="180"/>
      <c r="S2637" s="180"/>
      <c r="T2637" s="180"/>
    </row>
    <row r="2638" spans="1:20" x14ac:dyDescent="0.25">
      <c r="A2638" t="s">
        <v>236</v>
      </c>
      <c r="B2638" t="s">
        <v>237</v>
      </c>
      <c r="C2638" t="s">
        <v>238</v>
      </c>
      <c r="D2638" t="s">
        <v>255</v>
      </c>
      <c r="E2638" t="s">
        <v>228</v>
      </c>
      <c r="F2638">
        <v>2015</v>
      </c>
      <c r="G2638">
        <v>6.7999999999999996E-3</v>
      </c>
      <c r="H2638" t="s">
        <v>240</v>
      </c>
      <c r="I2638" t="s">
        <v>241</v>
      </c>
      <c r="J2638" t="s">
        <v>2</v>
      </c>
      <c r="K2638" s="183">
        <f ca="1">VLOOKUP(F2638,
    OFFSET(INDIRECT(ADDRESS(MATCH(J2638,'Vehicle numbers'!$A$5:$A$162,0),1,1,1,$L$6)),4,1,COUNTIF('Vehicle numbers'!$A$5:$A$162,J2638),4),
    MATCH(K$8,'Vehicle numbers'!$B$4:$D$4,0))*1000</f>
        <v>30250294</v>
      </c>
      <c r="L2638" s="183">
        <f ca="1">VLOOKUP(F2638,
    OFFSET(INDIRECT(ADDRESS(MATCH(J2638,'Vehicle numbers'!$A$5:$A$162,0),1,1,1,$L$6)),4,1,COUNTIF('Vehicle numbers'!$A$5:$A$162,J2638),4),
    MATCH(L$8,'Vehicle numbers'!$B$4:$D$4,0))*1000</f>
        <v>31170701</v>
      </c>
      <c r="M2638" s="184">
        <f>VLOOKUP(F2638,'Annual distance covered (GB)'!$A$8:$H$33,MATCH(J2638,'Annual distance covered (GB)'!$A$7:$H$7,0))</f>
        <v>415.4</v>
      </c>
      <c r="N2638" s="2">
        <f t="shared" ca="1" si="96"/>
        <v>2910666.0096830791</v>
      </c>
      <c r="O2638" s="180">
        <f t="shared" ca="1" si="97"/>
        <v>9.3378266009579922E-2</v>
      </c>
      <c r="P2638" s="180"/>
      <c r="Q2638" s="180"/>
      <c r="R2638" s="180"/>
      <c r="S2638" s="180"/>
      <c r="T2638" s="180"/>
    </row>
    <row r="2639" spans="1:20" x14ac:dyDescent="0.25">
      <c r="A2639" t="s">
        <v>243</v>
      </c>
      <c r="B2639" t="s">
        <v>237</v>
      </c>
      <c r="C2639" t="s">
        <v>238</v>
      </c>
      <c r="D2639" t="s">
        <v>255</v>
      </c>
      <c r="E2639" t="s">
        <v>228</v>
      </c>
      <c r="F2639">
        <v>2015</v>
      </c>
      <c r="G2639">
        <v>4.7600000000000003E-3</v>
      </c>
      <c r="H2639" t="s">
        <v>240</v>
      </c>
      <c r="I2639" t="s">
        <v>241</v>
      </c>
      <c r="J2639" t="s">
        <v>2</v>
      </c>
      <c r="K2639" s="183">
        <f ca="1">VLOOKUP(F2639,
    OFFSET(INDIRECT(ADDRESS(MATCH(J2639,'Vehicle numbers'!$A$5:$A$162,0),1,1,1,$L$6)),4,1,COUNTIF('Vehicle numbers'!$A$5:$A$162,J2639),4),
    MATCH(K$8,'Vehicle numbers'!$B$4:$D$4,0))*1000</f>
        <v>30250294</v>
      </c>
      <c r="L2639" s="183">
        <f ca="1">VLOOKUP(F2639,
    OFFSET(INDIRECT(ADDRESS(MATCH(J2639,'Vehicle numbers'!$A$5:$A$162,0),1,1,1,$L$6)),4,1,COUNTIF('Vehicle numbers'!$A$5:$A$162,J2639),4),
    MATCH(L$8,'Vehicle numbers'!$B$4:$D$4,0))*1000</f>
        <v>31170701</v>
      </c>
      <c r="M2639" s="184">
        <f>VLOOKUP(F2639,'Annual distance covered (GB)'!$A$8:$H$33,MATCH(J2639,'Annual distance covered (GB)'!$A$7:$H$7,0))</f>
        <v>415.4</v>
      </c>
      <c r="N2639" s="2">
        <f t="shared" ca="1" si="96"/>
        <v>2037466.2067781556</v>
      </c>
      <c r="O2639" s="180">
        <f t="shared" ca="1" si="97"/>
        <v>6.5364786206705952E-2</v>
      </c>
      <c r="P2639" s="180"/>
      <c r="Q2639" s="180"/>
      <c r="R2639" s="180"/>
      <c r="S2639" s="180"/>
      <c r="T2639" s="180"/>
    </row>
    <row r="2640" spans="1:20" x14ac:dyDescent="0.25">
      <c r="A2640" t="s">
        <v>244</v>
      </c>
      <c r="B2640" t="s">
        <v>237</v>
      </c>
      <c r="C2640" t="s">
        <v>238</v>
      </c>
      <c r="D2640" t="s">
        <v>255</v>
      </c>
      <c r="E2640" t="s">
        <v>228</v>
      </c>
      <c r="F2640">
        <v>2015</v>
      </c>
      <c r="G2640">
        <v>6.7042253521126696E-4</v>
      </c>
      <c r="H2640" t="s">
        <v>240</v>
      </c>
      <c r="I2640" t="s">
        <v>241</v>
      </c>
      <c r="J2640" t="s">
        <v>2</v>
      </c>
      <c r="K2640" s="183">
        <f ca="1">VLOOKUP(F2640,
    OFFSET(INDIRECT(ADDRESS(MATCH(J2640,'Vehicle numbers'!$A$5:$A$162,0),1,1,1,$L$6)),4,1,COUNTIF('Vehicle numbers'!$A$5:$A$162,J2640),4),
    MATCH(K$8,'Vehicle numbers'!$B$4:$D$4,0))*1000</f>
        <v>30250294</v>
      </c>
      <c r="L2640" s="183">
        <f ca="1">VLOOKUP(F2640,
    OFFSET(INDIRECT(ADDRESS(MATCH(J2640,'Vehicle numbers'!$A$5:$A$162,0),1,1,1,$L$6)),4,1,COUNTIF('Vehicle numbers'!$A$5:$A$162,J2640),4),
    MATCH(L$8,'Vehicle numbers'!$B$4:$D$4,0))*1000</f>
        <v>31170701</v>
      </c>
      <c r="M2640" s="184">
        <f>VLOOKUP(F2640,'Annual distance covered (GB)'!$A$8:$H$33,MATCH(J2640,'Annual distance covered (GB)'!$A$7:$H$7,0))</f>
        <v>415.4</v>
      </c>
      <c r="N2640" s="2">
        <f t="shared" ca="1" si="96"/>
        <v>286967.07137720473</v>
      </c>
      <c r="O2640" s="180">
        <f t="shared" ca="1" si="97"/>
        <v>9.2063079164374489E-3</v>
      </c>
      <c r="P2640" s="180"/>
      <c r="Q2640" s="180"/>
      <c r="R2640" s="180"/>
      <c r="S2640" s="180"/>
      <c r="T2640" s="180"/>
    </row>
    <row r="2641" spans="1:20" x14ac:dyDescent="0.25">
      <c r="A2641" t="s">
        <v>246</v>
      </c>
      <c r="B2641" t="s">
        <v>237</v>
      </c>
      <c r="C2641" t="s">
        <v>238</v>
      </c>
      <c r="D2641" t="s">
        <v>255</v>
      </c>
      <c r="E2641" t="s">
        <v>228</v>
      </c>
      <c r="F2641">
        <v>2015</v>
      </c>
      <c r="G2641">
        <v>5.3633802816901305E-4</v>
      </c>
      <c r="H2641" t="s">
        <v>240</v>
      </c>
      <c r="I2641" t="s">
        <v>241</v>
      </c>
      <c r="J2641" t="s">
        <v>2</v>
      </c>
      <c r="K2641" s="183">
        <f ca="1">VLOOKUP(F2641,
    OFFSET(INDIRECT(ADDRESS(MATCH(J2641,'Vehicle numbers'!$A$5:$A$162,0),1,1,1,$L$6)),4,1,COUNTIF('Vehicle numbers'!$A$5:$A$162,J2641),4),
    MATCH(K$8,'Vehicle numbers'!$B$4:$D$4,0))*1000</f>
        <v>30250294</v>
      </c>
      <c r="L2641" s="183">
        <f ca="1">VLOOKUP(F2641,
    OFFSET(INDIRECT(ADDRESS(MATCH(J2641,'Vehicle numbers'!$A$5:$A$162,0),1,1,1,$L$6)),4,1,COUNTIF('Vehicle numbers'!$A$5:$A$162,J2641),4),
    MATCH(L$8,'Vehicle numbers'!$B$4:$D$4,0))*1000</f>
        <v>31170701</v>
      </c>
      <c r="M2641" s="184">
        <f>VLOOKUP(F2641,'Annual distance covered (GB)'!$A$8:$H$33,MATCH(J2641,'Annual distance covered (GB)'!$A$7:$H$7,0))</f>
        <v>415.4</v>
      </c>
      <c r="N2641" s="2">
        <f t="shared" ca="1" si="96"/>
        <v>229573.65710176356</v>
      </c>
      <c r="O2641" s="180">
        <f t="shared" ca="1" si="97"/>
        <v>7.3650463331499522E-3</v>
      </c>
      <c r="P2641" s="180"/>
      <c r="Q2641" s="180"/>
      <c r="R2641" s="180"/>
      <c r="S2641" s="180"/>
      <c r="T2641" s="180"/>
    </row>
    <row r="2642" spans="1:20" x14ac:dyDescent="0.25">
      <c r="A2642" t="s">
        <v>236</v>
      </c>
      <c r="B2642" t="s">
        <v>237</v>
      </c>
      <c r="C2642" t="s">
        <v>238</v>
      </c>
      <c r="D2642" t="s">
        <v>256</v>
      </c>
      <c r="E2642" t="s">
        <v>229</v>
      </c>
      <c r="F2642">
        <v>2015</v>
      </c>
      <c r="G2642">
        <v>1.17226012516195E-2</v>
      </c>
      <c r="H2642" t="s">
        <v>240</v>
      </c>
      <c r="I2642" t="s">
        <v>241</v>
      </c>
      <c r="J2642" t="s">
        <v>2</v>
      </c>
      <c r="K2642" s="183">
        <f ca="1">VLOOKUP(F2642,
    OFFSET(INDIRECT(ADDRESS(MATCH(J2642,'Vehicle numbers'!$A$5:$A$162,0),1,1,1,$L$6)),4,1,COUNTIF('Vehicle numbers'!$A$5:$A$162,J2642),4),
    MATCH(K$8,'Vehicle numbers'!$B$4:$D$4,0))*1000</f>
        <v>30250294</v>
      </c>
      <c r="L2642" s="183">
        <f ca="1">VLOOKUP(F2642,
    OFFSET(INDIRECT(ADDRESS(MATCH(J2642,'Vehicle numbers'!$A$5:$A$162,0),1,1,1,$L$6)),4,1,COUNTIF('Vehicle numbers'!$A$5:$A$162,J2642),4),
    MATCH(L$8,'Vehicle numbers'!$B$4:$D$4,0))*1000</f>
        <v>31170701</v>
      </c>
      <c r="M2642" s="184">
        <f>VLOOKUP(F2642,'Annual distance covered (GB)'!$A$8:$H$33,MATCH(J2642,'Annual distance covered (GB)'!$A$7:$H$7,0))</f>
        <v>415.4</v>
      </c>
      <c r="N2642" s="2">
        <f t="shared" ca="1" si="96"/>
        <v>5017731.9129642937</v>
      </c>
      <c r="O2642" s="180">
        <f t="shared" ca="1" si="97"/>
        <v>0.16097590852911181</v>
      </c>
      <c r="P2642" s="180"/>
      <c r="Q2642" s="180"/>
      <c r="R2642" s="180"/>
      <c r="S2642" s="180"/>
      <c r="T2642" s="180"/>
    </row>
    <row r="2643" spans="1:20" x14ac:dyDescent="0.25">
      <c r="A2643" t="s">
        <v>243</v>
      </c>
      <c r="B2643" t="s">
        <v>237</v>
      </c>
      <c r="C2643" t="s">
        <v>238</v>
      </c>
      <c r="D2643" t="s">
        <v>256</v>
      </c>
      <c r="E2643" t="s">
        <v>229</v>
      </c>
      <c r="F2643">
        <v>2015</v>
      </c>
      <c r="G2643">
        <v>4.6890405006478003E-3</v>
      </c>
      <c r="H2643" t="s">
        <v>240</v>
      </c>
      <c r="I2643" t="s">
        <v>241</v>
      </c>
      <c r="J2643" t="s">
        <v>2</v>
      </c>
      <c r="K2643" s="183">
        <f ca="1">VLOOKUP(F2643,
    OFFSET(INDIRECT(ADDRESS(MATCH(J2643,'Vehicle numbers'!$A$5:$A$162,0),1,1,1,$L$6)),4,1,COUNTIF('Vehicle numbers'!$A$5:$A$162,J2643),4),
    MATCH(K$8,'Vehicle numbers'!$B$4:$D$4,0))*1000</f>
        <v>30250294</v>
      </c>
      <c r="L2643" s="183">
        <f ca="1">VLOOKUP(F2643,
    OFFSET(INDIRECT(ADDRESS(MATCH(J2643,'Vehicle numbers'!$A$5:$A$162,0),1,1,1,$L$6)),4,1,COUNTIF('Vehicle numbers'!$A$5:$A$162,J2643),4),
    MATCH(L$8,'Vehicle numbers'!$B$4:$D$4,0))*1000</f>
        <v>31170701</v>
      </c>
      <c r="M2643" s="184">
        <f>VLOOKUP(F2643,'Annual distance covered (GB)'!$A$8:$H$33,MATCH(J2643,'Annual distance covered (GB)'!$A$7:$H$7,0))</f>
        <v>415.4</v>
      </c>
      <c r="N2643" s="2">
        <f t="shared" ca="1" si="96"/>
        <v>2007092.765185718</v>
      </c>
      <c r="O2643" s="180">
        <f t="shared" ca="1" si="97"/>
        <v>6.4390363411644738E-2</v>
      </c>
      <c r="P2643" s="180"/>
      <c r="Q2643" s="180"/>
      <c r="R2643" s="180"/>
      <c r="S2643" s="180"/>
      <c r="T2643" s="180"/>
    </row>
    <row r="2644" spans="1:20" x14ac:dyDescent="0.25">
      <c r="A2644" t="s">
        <v>244</v>
      </c>
      <c r="B2644" t="s">
        <v>237</v>
      </c>
      <c r="C2644" t="s">
        <v>238</v>
      </c>
      <c r="D2644" t="s">
        <v>256</v>
      </c>
      <c r="E2644" t="s">
        <v>229</v>
      </c>
      <c r="F2644">
        <v>2015</v>
      </c>
      <c r="G2644">
        <v>1.1722601251619501E-3</v>
      </c>
      <c r="H2644" t="s">
        <v>240</v>
      </c>
      <c r="I2644" t="s">
        <v>241</v>
      </c>
      <c r="J2644" t="s">
        <v>2</v>
      </c>
      <c r="K2644" s="183">
        <f ca="1">VLOOKUP(F2644,
    OFFSET(INDIRECT(ADDRESS(MATCH(J2644,'Vehicle numbers'!$A$5:$A$162,0),1,1,1,$L$6)),4,1,COUNTIF('Vehicle numbers'!$A$5:$A$162,J2644),4),
    MATCH(K$8,'Vehicle numbers'!$B$4:$D$4,0))*1000</f>
        <v>30250294</v>
      </c>
      <c r="L2644" s="183">
        <f ca="1">VLOOKUP(F2644,
    OFFSET(INDIRECT(ADDRESS(MATCH(J2644,'Vehicle numbers'!$A$5:$A$162,0),1,1,1,$L$6)),4,1,COUNTIF('Vehicle numbers'!$A$5:$A$162,J2644),4),
    MATCH(L$8,'Vehicle numbers'!$B$4:$D$4,0))*1000</f>
        <v>31170701</v>
      </c>
      <c r="M2644" s="184">
        <f>VLOOKUP(F2644,'Annual distance covered (GB)'!$A$8:$H$33,MATCH(J2644,'Annual distance covered (GB)'!$A$7:$H$7,0))</f>
        <v>415.4</v>
      </c>
      <c r="N2644" s="2">
        <f t="shared" ca="1" si="96"/>
        <v>501773.19129642949</v>
      </c>
      <c r="O2644" s="180">
        <f t="shared" ca="1" si="97"/>
        <v>1.6097590852911185E-2</v>
      </c>
      <c r="P2644" s="180"/>
      <c r="Q2644" s="180"/>
      <c r="R2644" s="180"/>
      <c r="S2644" s="180"/>
      <c r="T2644" s="180"/>
    </row>
    <row r="2645" spans="1:20" x14ac:dyDescent="0.25">
      <c r="A2645" t="s">
        <v>246</v>
      </c>
      <c r="B2645" t="s">
        <v>237</v>
      </c>
      <c r="C2645" t="s">
        <v>238</v>
      </c>
      <c r="D2645" t="s">
        <v>256</v>
      </c>
      <c r="E2645" t="s">
        <v>229</v>
      </c>
      <c r="F2645">
        <v>2015</v>
      </c>
      <c r="G2645">
        <v>9.3780810012955996E-4</v>
      </c>
      <c r="H2645" t="s">
        <v>240</v>
      </c>
      <c r="I2645" t="s">
        <v>241</v>
      </c>
      <c r="J2645" t="s">
        <v>2</v>
      </c>
      <c r="K2645" s="183">
        <f ca="1">VLOOKUP(F2645,
    OFFSET(INDIRECT(ADDRESS(MATCH(J2645,'Vehicle numbers'!$A$5:$A$162,0),1,1,1,$L$6)),4,1,COUNTIF('Vehicle numbers'!$A$5:$A$162,J2645),4),
    MATCH(K$8,'Vehicle numbers'!$B$4:$D$4,0))*1000</f>
        <v>30250294</v>
      </c>
      <c r="L2645" s="183">
        <f ca="1">VLOOKUP(F2645,
    OFFSET(INDIRECT(ADDRESS(MATCH(J2645,'Vehicle numbers'!$A$5:$A$162,0),1,1,1,$L$6)),4,1,COUNTIF('Vehicle numbers'!$A$5:$A$162,J2645),4),
    MATCH(L$8,'Vehicle numbers'!$B$4:$D$4,0))*1000</f>
        <v>31170701</v>
      </c>
      <c r="M2645" s="184">
        <f>VLOOKUP(F2645,'Annual distance covered (GB)'!$A$8:$H$33,MATCH(J2645,'Annual distance covered (GB)'!$A$7:$H$7,0))</f>
        <v>415.4</v>
      </c>
      <c r="N2645" s="2">
        <f t="shared" ca="1" si="96"/>
        <v>401418.55303714355</v>
      </c>
      <c r="O2645" s="180">
        <f t="shared" ca="1" si="97"/>
        <v>1.2878072682328946E-2</v>
      </c>
      <c r="P2645" s="180"/>
      <c r="Q2645" s="180"/>
      <c r="R2645" s="180"/>
      <c r="S2645" s="180"/>
      <c r="T2645" s="180"/>
    </row>
    <row r="2646" spans="1:20" x14ac:dyDescent="0.25">
      <c r="A2646" t="s">
        <v>236</v>
      </c>
      <c r="B2646" t="s">
        <v>237</v>
      </c>
      <c r="C2646" t="s">
        <v>238</v>
      </c>
      <c r="D2646" t="s">
        <v>256</v>
      </c>
      <c r="E2646" t="s">
        <v>228</v>
      </c>
      <c r="F2646">
        <v>2015</v>
      </c>
      <c r="G2646">
        <v>8.7727543022858394E-3</v>
      </c>
      <c r="H2646" t="s">
        <v>240</v>
      </c>
      <c r="I2646" t="s">
        <v>241</v>
      </c>
      <c r="J2646" t="s">
        <v>2</v>
      </c>
      <c r="K2646" s="183">
        <f ca="1">VLOOKUP(F2646,
    OFFSET(INDIRECT(ADDRESS(MATCH(J2646,'Vehicle numbers'!$A$5:$A$162,0),1,1,1,$L$6)),4,1,COUNTIF('Vehicle numbers'!$A$5:$A$162,J2646),4),
    MATCH(K$8,'Vehicle numbers'!$B$4:$D$4,0))*1000</f>
        <v>30250294</v>
      </c>
      <c r="L2646" s="183">
        <f ca="1">VLOOKUP(F2646,
    OFFSET(INDIRECT(ADDRESS(MATCH(J2646,'Vehicle numbers'!$A$5:$A$162,0),1,1,1,$L$6)),4,1,COUNTIF('Vehicle numbers'!$A$5:$A$162,J2646),4),
    MATCH(L$8,'Vehicle numbers'!$B$4:$D$4,0))*1000</f>
        <v>31170701</v>
      </c>
      <c r="M2646" s="184">
        <f>VLOOKUP(F2646,'Annual distance covered (GB)'!$A$8:$H$33,MATCH(J2646,'Annual distance covered (GB)'!$A$7:$H$7,0))</f>
        <v>415.4</v>
      </c>
      <c r="N2646" s="2">
        <f t="shared" ca="1" si="96"/>
        <v>3755082.0233771163</v>
      </c>
      <c r="O2646" s="180">
        <f t="shared" ca="1" si="97"/>
        <v>0.12046832130522558</v>
      </c>
      <c r="P2646" s="180"/>
      <c r="Q2646" s="180"/>
      <c r="R2646" s="180"/>
      <c r="S2646" s="180"/>
      <c r="T2646" s="180"/>
    </row>
    <row r="2647" spans="1:20" x14ac:dyDescent="0.25">
      <c r="A2647" t="s">
        <v>243</v>
      </c>
      <c r="B2647" t="s">
        <v>237</v>
      </c>
      <c r="C2647" t="s">
        <v>238</v>
      </c>
      <c r="D2647" t="s">
        <v>256</v>
      </c>
      <c r="E2647" t="s">
        <v>228</v>
      </c>
      <c r="F2647">
        <v>2015</v>
      </c>
      <c r="G2647">
        <v>6.1409280116000902E-3</v>
      </c>
      <c r="H2647" t="s">
        <v>240</v>
      </c>
      <c r="I2647" t="s">
        <v>241</v>
      </c>
      <c r="J2647" t="s">
        <v>2</v>
      </c>
      <c r="K2647" s="183">
        <f ca="1">VLOOKUP(F2647,
    OFFSET(INDIRECT(ADDRESS(MATCH(J2647,'Vehicle numbers'!$A$5:$A$162,0),1,1,1,$L$6)),4,1,COUNTIF('Vehicle numbers'!$A$5:$A$162,J2647),4),
    MATCH(K$8,'Vehicle numbers'!$B$4:$D$4,0))*1000</f>
        <v>30250294</v>
      </c>
      <c r="L2647" s="183">
        <f ca="1">VLOOKUP(F2647,
    OFFSET(INDIRECT(ADDRESS(MATCH(J2647,'Vehicle numbers'!$A$5:$A$162,0),1,1,1,$L$6)),4,1,COUNTIF('Vehicle numbers'!$A$5:$A$162,J2647),4),
    MATCH(L$8,'Vehicle numbers'!$B$4:$D$4,0))*1000</f>
        <v>31170701</v>
      </c>
      <c r="M2647" s="184">
        <f>VLOOKUP(F2647,'Annual distance covered (GB)'!$A$8:$H$33,MATCH(J2647,'Annual distance covered (GB)'!$A$7:$H$7,0))</f>
        <v>415.4</v>
      </c>
      <c r="N2647" s="2">
        <f t="shared" ca="1" si="96"/>
        <v>2628557.416363982</v>
      </c>
      <c r="O2647" s="180">
        <f t="shared" ca="1" si="97"/>
        <v>8.4327824913657923E-2</v>
      </c>
      <c r="P2647" s="180"/>
      <c r="Q2647" s="180"/>
      <c r="R2647" s="180"/>
      <c r="S2647" s="180"/>
      <c r="T2647" s="180"/>
    </row>
    <row r="2648" spans="1:20" x14ac:dyDescent="0.25">
      <c r="A2648" t="s">
        <v>244</v>
      </c>
      <c r="B2648" t="s">
        <v>237</v>
      </c>
      <c r="C2648" t="s">
        <v>238</v>
      </c>
      <c r="D2648" t="s">
        <v>256</v>
      </c>
      <c r="E2648" t="s">
        <v>228</v>
      </c>
      <c r="F2648">
        <v>2015</v>
      </c>
      <c r="G2648">
        <v>8.6491943825353201E-4</v>
      </c>
      <c r="H2648" t="s">
        <v>240</v>
      </c>
      <c r="I2648" t="s">
        <v>241</v>
      </c>
      <c r="J2648" t="s">
        <v>2</v>
      </c>
      <c r="K2648" s="183">
        <f ca="1">VLOOKUP(F2648,
    OFFSET(INDIRECT(ADDRESS(MATCH(J2648,'Vehicle numbers'!$A$5:$A$162,0),1,1,1,$L$6)),4,1,COUNTIF('Vehicle numbers'!$A$5:$A$162,J2648),4),
    MATCH(K$8,'Vehicle numbers'!$B$4:$D$4,0))*1000</f>
        <v>30250294</v>
      </c>
      <c r="L2648" s="183">
        <f ca="1">VLOOKUP(F2648,
    OFFSET(INDIRECT(ADDRESS(MATCH(J2648,'Vehicle numbers'!$A$5:$A$162,0),1,1,1,$L$6)),4,1,COUNTIF('Vehicle numbers'!$A$5:$A$162,J2648),4),
    MATCH(L$8,'Vehicle numbers'!$B$4:$D$4,0))*1000</f>
        <v>31170701</v>
      </c>
      <c r="M2648" s="184">
        <f>VLOOKUP(F2648,'Annual distance covered (GB)'!$A$8:$H$33,MATCH(J2648,'Annual distance covered (GB)'!$A$7:$H$7,0))</f>
        <v>415.4</v>
      </c>
      <c r="N2648" s="2">
        <f t="shared" ca="1" si="96"/>
        <v>370219.35441746155</v>
      </c>
      <c r="O2648" s="180">
        <f t="shared" ca="1" si="97"/>
        <v>1.1877158438543348E-2</v>
      </c>
      <c r="P2648" s="180"/>
      <c r="Q2648" s="180"/>
      <c r="R2648" s="180"/>
      <c r="S2648" s="180"/>
      <c r="T2648" s="180"/>
    </row>
    <row r="2649" spans="1:20" x14ac:dyDescent="0.25">
      <c r="A2649" t="s">
        <v>246</v>
      </c>
      <c r="B2649" t="s">
        <v>237</v>
      </c>
      <c r="C2649" t="s">
        <v>238</v>
      </c>
      <c r="D2649" t="s">
        <v>256</v>
      </c>
      <c r="E2649" t="s">
        <v>228</v>
      </c>
      <c r="F2649">
        <v>2015</v>
      </c>
      <c r="G2649">
        <v>6.91935550602826E-4</v>
      </c>
      <c r="H2649" t="s">
        <v>240</v>
      </c>
      <c r="I2649" t="s">
        <v>241</v>
      </c>
      <c r="J2649" t="s">
        <v>2</v>
      </c>
      <c r="K2649" s="183">
        <f ca="1">VLOOKUP(F2649,
    OFFSET(INDIRECT(ADDRESS(MATCH(J2649,'Vehicle numbers'!$A$5:$A$162,0),1,1,1,$L$6)),4,1,COUNTIF('Vehicle numbers'!$A$5:$A$162,J2649),4),
    MATCH(K$8,'Vehicle numbers'!$B$4:$D$4,0))*1000</f>
        <v>30250294</v>
      </c>
      <c r="L2649" s="183">
        <f ca="1">VLOOKUP(F2649,
    OFFSET(INDIRECT(ADDRESS(MATCH(J2649,'Vehicle numbers'!$A$5:$A$162,0),1,1,1,$L$6)),4,1,COUNTIF('Vehicle numbers'!$A$5:$A$162,J2649),4),
    MATCH(L$8,'Vehicle numbers'!$B$4:$D$4,0))*1000</f>
        <v>31170701</v>
      </c>
      <c r="M2649" s="184">
        <f>VLOOKUP(F2649,'Annual distance covered (GB)'!$A$8:$H$33,MATCH(J2649,'Annual distance covered (GB)'!$A$7:$H$7,0))</f>
        <v>415.4</v>
      </c>
      <c r="N2649" s="2">
        <f t="shared" ca="1" si="96"/>
        <v>296175.48353396944</v>
      </c>
      <c r="O2649" s="180">
        <f t="shared" ca="1" si="97"/>
        <v>9.5017267508346846E-3</v>
      </c>
      <c r="P2649" s="180"/>
      <c r="Q2649" s="180"/>
      <c r="R2649" s="180"/>
      <c r="S2649" s="180"/>
      <c r="T2649" s="180"/>
    </row>
    <row r="2650" spans="1:20" x14ac:dyDescent="0.25">
      <c r="A2650" t="s">
        <v>236</v>
      </c>
      <c r="B2650" t="s">
        <v>237</v>
      </c>
      <c r="C2650" t="s">
        <v>238</v>
      </c>
      <c r="D2650" t="s">
        <v>265</v>
      </c>
      <c r="E2650" t="s">
        <v>229</v>
      </c>
      <c r="F2650">
        <v>2015</v>
      </c>
      <c r="G2650">
        <v>8.4410000000000006E-3</v>
      </c>
      <c r="H2650" t="s">
        <v>240</v>
      </c>
      <c r="I2650" t="s">
        <v>241</v>
      </c>
      <c r="J2650" t="s">
        <v>247</v>
      </c>
      <c r="K2650" s="183">
        <f ca="1">VLOOKUP(F2650,
    OFFSET(INDIRECT(ADDRESS(MATCH(J2650,'Vehicle numbers'!$A$5:$A$162,0),1,1,1,$L$6)),4,1,COUNTIF('Vehicle numbers'!$A$5:$A$162,J2650),4),
    MATCH(K$8,'Vehicle numbers'!$B$4:$D$4,0))*1000</f>
        <v>120532</v>
      </c>
      <c r="L2650" s="183">
        <f ca="1">VLOOKUP(F2650,
    OFFSET(INDIRECT(ADDRESS(MATCH(J2650,'Vehicle numbers'!$A$5:$A$162,0),1,1,1,$L$6)),4,1,COUNTIF('Vehicle numbers'!$A$5:$A$162,J2650),4),
    MATCH(L$8,'Vehicle numbers'!$B$4:$D$4,0))*1000</f>
        <v>126781</v>
      </c>
      <c r="M2650" s="184">
        <f ca="1">VLOOKUP(F2650,'Annual distance covered (GB)'!$A$8:$H$33,MATCH(J2650,'Annual distance covered (GB)'!$A$7:$H$7,0))</f>
        <v>14.3</v>
      </c>
      <c r="N2650" s="2">
        <f t="shared" ca="1" si="96"/>
        <v>126964.33661019483</v>
      </c>
      <c r="O2650" s="180">
        <f t="shared" ca="1" si="97"/>
        <v>1.0014460890054095</v>
      </c>
      <c r="P2650" s="180"/>
      <c r="Q2650" s="180"/>
      <c r="R2650" s="180"/>
      <c r="S2650" s="180"/>
      <c r="T2650" s="180"/>
    </row>
    <row r="2651" spans="1:20" x14ac:dyDescent="0.25">
      <c r="A2651" t="s">
        <v>243</v>
      </c>
      <c r="B2651" t="s">
        <v>237</v>
      </c>
      <c r="C2651" t="s">
        <v>238</v>
      </c>
      <c r="D2651" t="s">
        <v>265</v>
      </c>
      <c r="E2651" t="s">
        <v>229</v>
      </c>
      <c r="F2651">
        <v>2015</v>
      </c>
      <c r="G2651">
        <v>3.3763999999999999E-3</v>
      </c>
      <c r="H2651" t="s">
        <v>240</v>
      </c>
      <c r="I2651" t="s">
        <v>241</v>
      </c>
      <c r="J2651" t="s">
        <v>247</v>
      </c>
      <c r="K2651" s="183">
        <f ca="1">VLOOKUP(F2651,
    OFFSET(INDIRECT(ADDRESS(MATCH(J2651,'Vehicle numbers'!$A$5:$A$162,0),1,1,1,$L$6)),4,1,COUNTIF('Vehicle numbers'!$A$5:$A$162,J2651),4),
    MATCH(K$8,'Vehicle numbers'!$B$4:$D$4,0))*1000</f>
        <v>120532</v>
      </c>
      <c r="L2651" s="183">
        <f ca="1">VLOOKUP(F2651,
    OFFSET(INDIRECT(ADDRESS(MATCH(J2651,'Vehicle numbers'!$A$5:$A$162,0),1,1,1,$L$6)),4,1,COUNTIF('Vehicle numbers'!$A$5:$A$162,J2651),4),
    MATCH(L$8,'Vehicle numbers'!$B$4:$D$4,0))*1000</f>
        <v>126781</v>
      </c>
      <c r="M2651" s="184">
        <f ca="1">VLOOKUP(F2651,'Annual distance covered (GB)'!$A$8:$H$33,MATCH(J2651,'Annual distance covered (GB)'!$A$7:$H$7,0))</f>
        <v>14.3</v>
      </c>
      <c r="N2651" s="2">
        <f t="shared" ca="1" si="96"/>
        <v>50785.734644077929</v>
      </c>
      <c r="O2651" s="180">
        <f t="shared" ca="1" si="97"/>
        <v>0.40057843560216383</v>
      </c>
      <c r="P2651" s="180"/>
      <c r="Q2651" s="180"/>
      <c r="R2651" s="180"/>
      <c r="S2651" s="180"/>
      <c r="T2651" s="180"/>
    </row>
    <row r="2652" spans="1:20" x14ac:dyDescent="0.25">
      <c r="A2652" t="s">
        <v>244</v>
      </c>
      <c r="B2652" t="s">
        <v>237</v>
      </c>
      <c r="C2652" t="s">
        <v>238</v>
      </c>
      <c r="D2652" t="s">
        <v>265</v>
      </c>
      <c r="E2652" t="s">
        <v>229</v>
      </c>
      <c r="F2652">
        <v>2015</v>
      </c>
      <c r="G2652">
        <v>8.4409999999999997E-4</v>
      </c>
      <c r="H2652" t="s">
        <v>240</v>
      </c>
      <c r="I2652" t="s">
        <v>241</v>
      </c>
      <c r="J2652" t="s">
        <v>247</v>
      </c>
      <c r="K2652" s="183">
        <f ca="1">VLOOKUP(F2652,
    OFFSET(INDIRECT(ADDRESS(MATCH(J2652,'Vehicle numbers'!$A$5:$A$162,0),1,1,1,$L$6)),4,1,COUNTIF('Vehicle numbers'!$A$5:$A$162,J2652),4),
    MATCH(K$8,'Vehicle numbers'!$B$4:$D$4,0))*1000</f>
        <v>120532</v>
      </c>
      <c r="L2652" s="183">
        <f ca="1">VLOOKUP(F2652,
    OFFSET(INDIRECT(ADDRESS(MATCH(J2652,'Vehicle numbers'!$A$5:$A$162,0),1,1,1,$L$6)),4,1,COUNTIF('Vehicle numbers'!$A$5:$A$162,J2652),4),
    MATCH(L$8,'Vehicle numbers'!$B$4:$D$4,0))*1000</f>
        <v>126781</v>
      </c>
      <c r="M2652" s="184">
        <f ca="1">VLOOKUP(F2652,'Annual distance covered (GB)'!$A$8:$H$33,MATCH(J2652,'Annual distance covered (GB)'!$A$7:$H$7,0))</f>
        <v>14.3</v>
      </c>
      <c r="N2652" s="2">
        <f t="shared" ca="1" si="96"/>
        <v>12696.433661019482</v>
      </c>
      <c r="O2652" s="180">
        <f t="shared" ca="1" si="97"/>
        <v>0.10014460890054096</v>
      </c>
      <c r="P2652" s="180"/>
      <c r="Q2652" s="180"/>
      <c r="R2652" s="180"/>
      <c r="S2652" s="180"/>
      <c r="T2652" s="180"/>
    </row>
    <row r="2653" spans="1:20" x14ac:dyDescent="0.25">
      <c r="A2653" t="s">
        <v>246</v>
      </c>
      <c r="B2653" t="s">
        <v>237</v>
      </c>
      <c r="C2653" t="s">
        <v>238</v>
      </c>
      <c r="D2653" t="s">
        <v>265</v>
      </c>
      <c r="E2653" t="s">
        <v>229</v>
      </c>
      <c r="F2653">
        <v>2015</v>
      </c>
      <c r="G2653">
        <v>6.7528E-4</v>
      </c>
      <c r="H2653" t="s">
        <v>240</v>
      </c>
      <c r="I2653" t="s">
        <v>241</v>
      </c>
      <c r="J2653" t="s">
        <v>247</v>
      </c>
      <c r="K2653" s="183">
        <f ca="1">VLOOKUP(F2653,
    OFFSET(INDIRECT(ADDRESS(MATCH(J2653,'Vehicle numbers'!$A$5:$A$162,0),1,1,1,$L$6)),4,1,COUNTIF('Vehicle numbers'!$A$5:$A$162,J2653),4),
    MATCH(K$8,'Vehicle numbers'!$B$4:$D$4,0))*1000</f>
        <v>120532</v>
      </c>
      <c r="L2653" s="183">
        <f ca="1">VLOOKUP(F2653,
    OFFSET(INDIRECT(ADDRESS(MATCH(J2653,'Vehicle numbers'!$A$5:$A$162,0),1,1,1,$L$6)),4,1,COUNTIF('Vehicle numbers'!$A$5:$A$162,J2653),4),
    MATCH(L$8,'Vehicle numbers'!$B$4:$D$4,0))*1000</f>
        <v>126781</v>
      </c>
      <c r="M2653" s="184">
        <f ca="1">VLOOKUP(F2653,'Annual distance covered (GB)'!$A$8:$H$33,MATCH(J2653,'Annual distance covered (GB)'!$A$7:$H$7,0))</f>
        <v>14.3</v>
      </c>
      <c r="N2653" s="2">
        <f t="shared" ca="1" si="96"/>
        <v>10157.146928815584</v>
      </c>
      <c r="O2653" s="180">
        <f t="shared" ca="1" si="97"/>
        <v>8.0115687120432752E-2</v>
      </c>
      <c r="P2653" s="180"/>
      <c r="Q2653" s="180"/>
      <c r="R2653" s="180"/>
      <c r="S2653" s="180"/>
      <c r="T2653" s="180"/>
    </row>
    <row r="2654" spans="1:20" x14ac:dyDescent="0.25">
      <c r="A2654" t="s">
        <v>236</v>
      </c>
      <c r="B2654" t="s">
        <v>237</v>
      </c>
      <c r="C2654" t="s">
        <v>238</v>
      </c>
      <c r="D2654" t="s">
        <v>265</v>
      </c>
      <c r="E2654" t="s">
        <v>228</v>
      </c>
      <c r="F2654">
        <v>2015</v>
      </c>
      <c r="G2654">
        <v>3.1494399999999999E-2</v>
      </c>
      <c r="H2654" t="s">
        <v>240</v>
      </c>
      <c r="I2654" t="s">
        <v>241</v>
      </c>
      <c r="J2654" t="s">
        <v>247</v>
      </c>
      <c r="K2654" s="183">
        <f ca="1">VLOOKUP(F2654,
    OFFSET(INDIRECT(ADDRESS(MATCH(J2654,'Vehicle numbers'!$A$5:$A$162,0),1,1,1,$L$6)),4,1,COUNTIF('Vehicle numbers'!$A$5:$A$162,J2654),4),
    MATCH(K$8,'Vehicle numbers'!$B$4:$D$4,0))*1000</f>
        <v>120532</v>
      </c>
      <c r="L2654" s="183">
        <f ca="1">VLOOKUP(F2654,
    OFFSET(INDIRECT(ADDRESS(MATCH(J2654,'Vehicle numbers'!$A$5:$A$162,0),1,1,1,$L$6)),4,1,COUNTIF('Vehicle numbers'!$A$5:$A$162,J2654),4),
    MATCH(L$8,'Vehicle numbers'!$B$4:$D$4,0))*1000</f>
        <v>126781</v>
      </c>
      <c r="M2654" s="184">
        <f ca="1">VLOOKUP(F2654,'Annual distance covered (GB)'!$A$8:$H$33,MATCH(J2654,'Annual distance covered (GB)'!$A$7:$H$7,0))</f>
        <v>14.3</v>
      </c>
      <c r="N2654" s="2">
        <f t="shared" ca="1" si="96"/>
        <v>473719.41747851192</v>
      </c>
      <c r="O2654" s="180">
        <f t="shared" ca="1" si="97"/>
        <v>3.7365174393522054</v>
      </c>
      <c r="P2654" s="180"/>
      <c r="Q2654" s="180"/>
      <c r="R2654" s="180"/>
      <c r="S2654" s="180"/>
      <c r="T2654" s="180"/>
    </row>
    <row r="2655" spans="1:20" x14ac:dyDescent="0.25">
      <c r="A2655" t="s">
        <v>243</v>
      </c>
      <c r="B2655" t="s">
        <v>237</v>
      </c>
      <c r="C2655" t="s">
        <v>238</v>
      </c>
      <c r="D2655" t="s">
        <v>265</v>
      </c>
      <c r="E2655" t="s">
        <v>228</v>
      </c>
      <c r="F2655">
        <v>2015</v>
      </c>
      <c r="G2655">
        <v>2.2046079999999999E-2</v>
      </c>
      <c r="H2655" t="s">
        <v>240</v>
      </c>
      <c r="I2655" t="s">
        <v>241</v>
      </c>
      <c r="J2655" t="s">
        <v>247</v>
      </c>
      <c r="K2655" s="183">
        <f ca="1">VLOOKUP(F2655,
    OFFSET(INDIRECT(ADDRESS(MATCH(J2655,'Vehicle numbers'!$A$5:$A$162,0),1,1,1,$L$6)),4,1,COUNTIF('Vehicle numbers'!$A$5:$A$162,J2655),4),
    MATCH(K$8,'Vehicle numbers'!$B$4:$D$4,0))*1000</f>
        <v>120532</v>
      </c>
      <c r="L2655" s="183">
        <f ca="1">VLOOKUP(F2655,
    OFFSET(INDIRECT(ADDRESS(MATCH(J2655,'Vehicle numbers'!$A$5:$A$162,0),1,1,1,$L$6)),4,1,COUNTIF('Vehicle numbers'!$A$5:$A$162,J2655),4),
    MATCH(L$8,'Vehicle numbers'!$B$4:$D$4,0))*1000</f>
        <v>126781</v>
      </c>
      <c r="M2655" s="184">
        <f ca="1">VLOOKUP(F2655,'Annual distance covered (GB)'!$A$8:$H$33,MATCH(J2655,'Annual distance covered (GB)'!$A$7:$H$7,0))</f>
        <v>14.3</v>
      </c>
      <c r="N2655" s="2">
        <f t="shared" ca="1" si="96"/>
        <v>331603.59223495831</v>
      </c>
      <c r="O2655" s="180">
        <f t="shared" ca="1" si="97"/>
        <v>2.6155622075465432</v>
      </c>
      <c r="P2655" s="180"/>
      <c r="Q2655" s="180"/>
      <c r="R2655" s="180"/>
      <c r="S2655" s="180"/>
      <c r="T2655" s="180"/>
    </row>
    <row r="2656" spans="1:20" x14ac:dyDescent="0.25">
      <c r="A2656" t="s">
        <v>244</v>
      </c>
      <c r="B2656" t="s">
        <v>237</v>
      </c>
      <c r="C2656" t="s">
        <v>238</v>
      </c>
      <c r="D2656" t="s">
        <v>265</v>
      </c>
      <c r="E2656" t="s">
        <v>228</v>
      </c>
      <c r="F2656">
        <v>2015</v>
      </c>
      <c r="G2656">
        <v>3.1050816901408399E-3</v>
      </c>
      <c r="H2656" t="s">
        <v>240</v>
      </c>
      <c r="I2656" t="s">
        <v>241</v>
      </c>
      <c r="J2656" t="s">
        <v>247</v>
      </c>
      <c r="K2656" s="183">
        <f ca="1">VLOOKUP(F2656,
    OFFSET(INDIRECT(ADDRESS(MATCH(J2656,'Vehicle numbers'!$A$5:$A$162,0),1,1,1,$L$6)),4,1,COUNTIF('Vehicle numbers'!$A$5:$A$162,J2656),4),
    MATCH(K$8,'Vehicle numbers'!$B$4:$D$4,0))*1000</f>
        <v>120532</v>
      </c>
      <c r="L2656" s="183">
        <f ca="1">VLOOKUP(F2656,
    OFFSET(INDIRECT(ADDRESS(MATCH(J2656,'Vehicle numbers'!$A$5:$A$162,0),1,1,1,$L$6)),4,1,COUNTIF('Vehicle numbers'!$A$5:$A$162,J2656),4),
    MATCH(L$8,'Vehicle numbers'!$B$4:$D$4,0))*1000</f>
        <v>126781</v>
      </c>
      <c r="M2656" s="184">
        <f ca="1">VLOOKUP(F2656,'Annual distance covered (GB)'!$A$8:$H$33,MATCH(J2656,'Annual distance covered (GB)'!$A$7:$H$7,0))</f>
        <v>14.3</v>
      </c>
      <c r="N2656" s="2">
        <f t="shared" ca="1" si="96"/>
        <v>46704.731300698288</v>
      </c>
      <c r="O2656" s="180">
        <f t="shared" ca="1" si="97"/>
        <v>0.36838904331641403</v>
      </c>
      <c r="P2656" s="180"/>
      <c r="Q2656" s="180"/>
      <c r="R2656" s="180"/>
      <c r="S2656" s="180"/>
      <c r="T2656" s="180"/>
    </row>
    <row r="2657" spans="1:20" x14ac:dyDescent="0.25">
      <c r="A2657" t="s">
        <v>246</v>
      </c>
      <c r="B2657" t="s">
        <v>237</v>
      </c>
      <c r="C2657" t="s">
        <v>238</v>
      </c>
      <c r="D2657" t="s">
        <v>265</v>
      </c>
      <c r="E2657" t="s">
        <v>228</v>
      </c>
      <c r="F2657">
        <v>2015</v>
      </c>
      <c r="G2657">
        <v>2.4840653521126699E-3</v>
      </c>
      <c r="H2657" t="s">
        <v>240</v>
      </c>
      <c r="I2657" t="s">
        <v>241</v>
      </c>
      <c r="J2657" t="s">
        <v>247</v>
      </c>
      <c r="K2657" s="183">
        <f ca="1">VLOOKUP(F2657,
    OFFSET(INDIRECT(ADDRESS(MATCH(J2657,'Vehicle numbers'!$A$5:$A$162,0),1,1,1,$L$6)),4,1,COUNTIF('Vehicle numbers'!$A$5:$A$162,J2657),4),
    MATCH(K$8,'Vehicle numbers'!$B$4:$D$4,0))*1000</f>
        <v>120532</v>
      </c>
      <c r="L2657" s="183">
        <f ca="1">VLOOKUP(F2657,
    OFFSET(INDIRECT(ADDRESS(MATCH(J2657,'Vehicle numbers'!$A$5:$A$162,0),1,1,1,$L$6)),4,1,COUNTIF('Vehicle numbers'!$A$5:$A$162,J2657),4),
    MATCH(L$8,'Vehicle numbers'!$B$4:$D$4,0))*1000</f>
        <v>126781</v>
      </c>
      <c r="M2657" s="184">
        <f ca="1">VLOOKUP(F2657,'Annual distance covered (GB)'!$A$8:$H$33,MATCH(J2657,'Annual distance covered (GB)'!$A$7:$H$7,0))</f>
        <v>14.3</v>
      </c>
      <c r="N2657" s="2">
        <f t="shared" ca="1" si="96"/>
        <v>37363.785040558592</v>
      </c>
      <c r="O2657" s="180">
        <f t="shared" ca="1" si="97"/>
        <v>0.29471123465313093</v>
      </c>
      <c r="P2657" s="180"/>
      <c r="Q2657" s="180"/>
      <c r="R2657" s="180"/>
      <c r="S2657" s="180"/>
      <c r="T2657" s="180"/>
    </row>
    <row r="2658" spans="1:20" x14ac:dyDescent="0.25">
      <c r="A2658" t="s">
        <v>236</v>
      </c>
      <c r="B2658" t="s">
        <v>237</v>
      </c>
      <c r="C2658" t="s">
        <v>238</v>
      </c>
      <c r="D2658" t="s">
        <v>266</v>
      </c>
      <c r="E2658" t="s">
        <v>229</v>
      </c>
      <c r="F2658">
        <v>2015</v>
      </c>
      <c r="G2658">
        <v>2.7143E-2</v>
      </c>
      <c r="H2658" t="s">
        <v>240</v>
      </c>
      <c r="I2658" t="s">
        <v>241</v>
      </c>
      <c r="J2658" t="s">
        <v>247</v>
      </c>
      <c r="K2658" s="183">
        <f ca="1">VLOOKUP(F2658,
    OFFSET(INDIRECT(ADDRESS(MATCH(J2658,'Vehicle numbers'!$A$5:$A$162,0),1,1,1,$L$6)),4,1,COUNTIF('Vehicle numbers'!$A$5:$A$162,J2658),4),
    MATCH(K$8,'Vehicle numbers'!$B$4:$D$4,0))*1000</f>
        <v>120532</v>
      </c>
      <c r="L2658" s="183">
        <f ca="1">VLOOKUP(F2658,
    OFFSET(INDIRECT(ADDRESS(MATCH(J2658,'Vehicle numbers'!$A$5:$A$162,0),1,1,1,$L$6)),4,1,COUNTIF('Vehicle numbers'!$A$5:$A$162,J2658),4),
    MATCH(L$8,'Vehicle numbers'!$B$4:$D$4,0))*1000</f>
        <v>126781</v>
      </c>
      <c r="M2658" s="184">
        <f ca="1">VLOOKUP(F2658,'Annual distance covered (GB)'!$A$8:$H$33,MATCH(J2658,'Annual distance covered (GB)'!$A$7:$H$7,0))</f>
        <v>14.3</v>
      </c>
      <c r="N2658" s="2">
        <f t="shared" ca="1" si="96"/>
        <v>408268.33178657957</v>
      </c>
      <c r="O2658" s="180">
        <f t="shared" ca="1" si="97"/>
        <v>3.2202643281452232</v>
      </c>
      <c r="P2658" s="180"/>
      <c r="Q2658" s="180"/>
      <c r="R2658" s="180"/>
      <c r="S2658" s="180"/>
      <c r="T2658" s="180"/>
    </row>
    <row r="2659" spans="1:20" x14ac:dyDescent="0.25">
      <c r="A2659" t="s">
        <v>243</v>
      </c>
      <c r="B2659" t="s">
        <v>237</v>
      </c>
      <c r="C2659" t="s">
        <v>238</v>
      </c>
      <c r="D2659" t="s">
        <v>266</v>
      </c>
      <c r="E2659" t="s">
        <v>229</v>
      </c>
      <c r="F2659">
        <v>2015</v>
      </c>
      <c r="G2659">
        <v>1.0857199999999999E-2</v>
      </c>
      <c r="H2659" t="s">
        <v>240</v>
      </c>
      <c r="I2659" t="s">
        <v>241</v>
      </c>
      <c r="J2659" t="s">
        <v>247</v>
      </c>
      <c r="K2659" s="183">
        <f ca="1">VLOOKUP(F2659,
    OFFSET(INDIRECT(ADDRESS(MATCH(J2659,'Vehicle numbers'!$A$5:$A$162,0),1,1,1,$L$6)),4,1,COUNTIF('Vehicle numbers'!$A$5:$A$162,J2659),4),
    MATCH(K$8,'Vehicle numbers'!$B$4:$D$4,0))*1000</f>
        <v>120532</v>
      </c>
      <c r="L2659" s="183">
        <f ca="1">VLOOKUP(F2659,
    OFFSET(INDIRECT(ADDRESS(MATCH(J2659,'Vehicle numbers'!$A$5:$A$162,0),1,1,1,$L$6)),4,1,COUNTIF('Vehicle numbers'!$A$5:$A$162,J2659),4),
    MATCH(L$8,'Vehicle numbers'!$B$4:$D$4,0))*1000</f>
        <v>126781</v>
      </c>
      <c r="M2659" s="184">
        <f ca="1">VLOOKUP(F2659,'Annual distance covered (GB)'!$A$8:$H$33,MATCH(J2659,'Annual distance covered (GB)'!$A$7:$H$7,0))</f>
        <v>14.3</v>
      </c>
      <c r="N2659" s="2">
        <f t="shared" ca="1" si="96"/>
        <v>163307.3327146318</v>
      </c>
      <c r="O2659" s="180">
        <f t="shared" ca="1" si="97"/>
        <v>1.2881057312580892</v>
      </c>
      <c r="P2659" s="180"/>
      <c r="Q2659" s="180"/>
      <c r="R2659" s="180"/>
      <c r="S2659" s="180"/>
      <c r="T2659" s="180"/>
    </row>
    <row r="2660" spans="1:20" x14ac:dyDescent="0.25">
      <c r="A2660" t="s">
        <v>244</v>
      </c>
      <c r="B2660" t="s">
        <v>237</v>
      </c>
      <c r="C2660" t="s">
        <v>238</v>
      </c>
      <c r="D2660" t="s">
        <v>266</v>
      </c>
      <c r="E2660" t="s">
        <v>229</v>
      </c>
      <c r="F2660">
        <v>2015</v>
      </c>
      <c r="G2660">
        <v>2.7142999999999998E-3</v>
      </c>
      <c r="H2660" t="s">
        <v>240</v>
      </c>
      <c r="I2660" t="s">
        <v>241</v>
      </c>
      <c r="J2660" t="s">
        <v>247</v>
      </c>
      <c r="K2660" s="183">
        <f ca="1">VLOOKUP(F2660,
    OFFSET(INDIRECT(ADDRESS(MATCH(J2660,'Vehicle numbers'!$A$5:$A$162,0),1,1,1,$L$6)),4,1,COUNTIF('Vehicle numbers'!$A$5:$A$162,J2660),4),
    MATCH(K$8,'Vehicle numbers'!$B$4:$D$4,0))*1000</f>
        <v>120532</v>
      </c>
      <c r="L2660" s="183">
        <f ca="1">VLOOKUP(F2660,
    OFFSET(INDIRECT(ADDRESS(MATCH(J2660,'Vehicle numbers'!$A$5:$A$162,0),1,1,1,$L$6)),4,1,COUNTIF('Vehicle numbers'!$A$5:$A$162,J2660),4),
    MATCH(L$8,'Vehicle numbers'!$B$4:$D$4,0))*1000</f>
        <v>126781</v>
      </c>
      <c r="M2660" s="184">
        <f ca="1">VLOOKUP(F2660,'Annual distance covered (GB)'!$A$8:$H$33,MATCH(J2660,'Annual distance covered (GB)'!$A$7:$H$7,0))</f>
        <v>14.3</v>
      </c>
      <c r="N2660" s="2">
        <f t="shared" ca="1" si="96"/>
        <v>40826.833178657951</v>
      </c>
      <c r="O2660" s="180">
        <f t="shared" ca="1" si="97"/>
        <v>0.32202643281452231</v>
      </c>
      <c r="P2660" s="180"/>
      <c r="Q2660" s="180"/>
      <c r="R2660" s="180"/>
      <c r="S2660" s="180"/>
      <c r="T2660" s="180"/>
    </row>
    <row r="2661" spans="1:20" x14ac:dyDescent="0.25">
      <c r="A2661" t="s">
        <v>246</v>
      </c>
      <c r="B2661" t="s">
        <v>237</v>
      </c>
      <c r="C2661" t="s">
        <v>238</v>
      </c>
      <c r="D2661" t="s">
        <v>266</v>
      </c>
      <c r="E2661" t="s">
        <v>229</v>
      </c>
      <c r="F2661">
        <v>2015</v>
      </c>
      <c r="G2661">
        <v>2.1714400000000002E-3</v>
      </c>
      <c r="H2661" t="s">
        <v>240</v>
      </c>
      <c r="I2661" t="s">
        <v>241</v>
      </c>
      <c r="J2661" t="s">
        <v>247</v>
      </c>
      <c r="K2661" s="183">
        <f ca="1">VLOOKUP(F2661,
    OFFSET(INDIRECT(ADDRESS(MATCH(J2661,'Vehicle numbers'!$A$5:$A$162,0),1,1,1,$L$6)),4,1,COUNTIF('Vehicle numbers'!$A$5:$A$162,J2661),4),
    MATCH(K$8,'Vehicle numbers'!$B$4:$D$4,0))*1000</f>
        <v>120532</v>
      </c>
      <c r="L2661" s="183">
        <f ca="1">VLOOKUP(F2661,
    OFFSET(INDIRECT(ADDRESS(MATCH(J2661,'Vehicle numbers'!$A$5:$A$162,0),1,1,1,$L$6)),4,1,COUNTIF('Vehicle numbers'!$A$5:$A$162,J2661),4),
    MATCH(L$8,'Vehicle numbers'!$B$4:$D$4,0))*1000</f>
        <v>126781</v>
      </c>
      <c r="M2661" s="184">
        <f ca="1">VLOOKUP(F2661,'Annual distance covered (GB)'!$A$8:$H$33,MATCH(J2661,'Annual distance covered (GB)'!$A$7:$H$7,0))</f>
        <v>14.3</v>
      </c>
      <c r="N2661" s="2">
        <f t="shared" ca="1" si="96"/>
        <v>32661.466542926366</v>
      </c>
      <c r="O2661" s="180">
        <f t="shared" ca="1" si="97"/>
        <v>0.25762114625161786</v>
      </c>
      <c r="P2661" s="180"/>
      <c r="Q2661" s="180"/>
      <c r="R2661" s="180"/>
      <c r="S2661" s="180"/>
      <c r="T2661" s="180"/>
    </row>
    <row r="2662" spans="1:20" x14ac:dyDescent="0.25">
      <c r="A2662" t="s">
        <v>236</v>
      </c>
      <c r="B2662" t="s">
        <v>237</v>
      </c>
      <c r="C2662" t="s">
        <v>238</v>
      </c>
      <c r="D2662" t="s">
        <v>266</v>
      </c>
      <c r="E2662" t="s">
        <v>228</v>
      </c>
      <c r="F2662">
        <v>2015</v>
      </c>
      <c r="G2662">
        <v>3.8239919999999997E-2</v>
      </c>
      <c r="H2662" t="s">
        <v>240</v>
      </c>
      <c r="I2662" t="s">
        <v>241</v>
      </c>
      <c r="J2662" t="s">
        <v>247</v>
      </c>
      <c r="K2662" s="183">
        <f ca="1">VLOOKUP(F2662,
    OFFSET(INDIRECT(ADDRESS(MATCH(J2662,'Vehicle numbers'!$A$5:$A$162,0),1,1,1,$L$6)),4,1,COUNTIF('Vehicle numbers'!$A$5:$A$162,J2662),4),
    MATCH(K$8,'Vehicle numbers'!$B$4:$D$4,0))*1000</f>
        <v>120532</v>
      </c>
      <c r="L2662" s="183">
        <f ca="1">VLOOKUP(F2662,
    OFFSET(INDIRECT(ADDRESS(MATCH(J2662,'Vehicle numbers'!$A$5:$A$162,0),1,1,1,$L$6)),4,1,COUNTIF('Vehicle numbers'!$A$5:$A$162,J2662),4),
    MATCH(L$8,'Vehicle numbers'!$B$4:$D$4,0))*1000</f>
        <v>126781</v>
      </c>
      <c r="M2662" s="184">
        <f ca="1">VLOOKUP(F2662,'Annual distance covered (GB)'!$A$8:$H$33,MATCH(J2662,'Annual distance covered (GB)'!$A$7:$H$7,0))</f>
        <v>14.3</v>
      </c>
      <c r="N2662" s="2">
        <f t="shared" ca="1" si="96"/>
        <v>575181.38547884382</v>
      </c>
      <c r="O2662" s="180">
        <f t="shared" ca="1" si="97"/>
        <v>4.5368106063120166</v>
      </c>
      <c r="P2662" s="180"/>
      <c r="Q2662" s="180"/>
      <c r="R2662" s="180"/>
      <c r="S2662" s="180"/>
      <c r="T2662" s="180"/>
    </row>
    <row r="2663" spans="1:20" x14ac:dyDescent="0.25">
      <c r="A2663" t="s">
        <v>243</v>
      </c>
      <c r="B2663" t="s">
        <v>237</v>
      </c>
      <c r="C2663" t="s">
        <v>238</v>
      </c>
      <c r="D2663" t="s">
        <v>266</v>
      </c>
      <c r="E2663" t="s">
        <v>228</v>
      </c>
      <c r="F2663">
        <v>2015</v>
      </c>
      <c r="G2663">
        <v>2.6767943999999998E-2</v>
      </c>
      <c r="H2663" t="s">
        <v>240</v>
      </c>
      <c r="I2663" t="s">
        <v>241</v>
      </c>
      <c r="J2663" t="s">
        <v>247</v>
      </c>
      <c r="K2663" s="183">
        <f ca="1">VLOOKUP(F2663,
    OFFSET(INDIRECT(ADDRESS(MATCH(J2663,'Vehicle numbers'!$A$5:$A$162,0),1,1,1,$L$6)),4,1,COUNTIF('Vehicle numbers'!$A$5:$A$162,J2663),4),
    MATCH(K$8,'Vehicle numbers'!$B$4:$D$4,0))*1000</f>
        <v>120532</v>
      </c>
      <c r="L2663" s="183">
        <f ca="1">VLOOKUP(F2663,
    OFFSET(INDIRECT(ADDRESS(MATCH(J2663,'Vehicle numbers'!$A$5:$A$162,0),1,1,1,$L$6)),4,1,COUNTIF('Vehicle numbers'!$A$5:$A$162,J2663),4),
    MATCH(L$8,'Vehicle numbers'!$B$4:$D$4,0))*1000</f>
        <v>126781</v>
      </c>
      <c r="M2663" s="184">
        <f ca="1">VLOOKUP(F2663,'Annual distance covered (GB)'!$A$8:$H$33,MATCH(J2663,'Annual distance covered (GB)'!$A$7:$H$7,0))</f>
        <v>14.3</v>
      </c>
      <c r="N2663" s="2">
        <f t="shared" ca="1" si="96"/>
        <v>402626.96983519068</v>
      </c>
      <c r="O2663" s="180">
        <f t="shared" ca="1" si="97"/>
        <v>3.175767424418412</v>
      </c>
      <c r="P2663" s="180"/>
      <c r="Q2663" s="180"/>
      <c r="R2663" s="180"/>
      <c r="S2663" s="180"/>
      <c r="T2663" s="180"/>
    </row>
    <row r="2664" spans="1:20" x14ac:dyDescent="0.25">
      <c r="A2664" t="s">
        <v>244</v>
      </c>
      <c r="B2664" t="s">
        <v>237</v>
      </c>
      <c r="C2664" t="s">
        <v>238</v>
      </c>
      <c r="D2664" t="s">
        <v>266</v>
      </c>
      <c r="E2664" t="s">
        <v>228</v>
      </c>
      <c r="F2664">
        <v>2015</v>
      </c>
      <c r="G2664">
        <v>3.7701329577464701E-3</v>
      </c>
      <c r="H2664" t="s">
        <v>240</v>
      </c>
      <c r="I2664" t="s">
        <v>241</v>
      </c>
      <c r="J2664" t="s">
        <v>247</v>
      </c>
      <c r="K2664" s="183">
        <f ca="1">VLOOKUP(F2664,
    OFFSET(INDIRECT(ADDRESS(MATCH(J2664,'Vehicle numbers'!$A$5:$A$162,0),1,1,1,$L$6)),4,1,COUNTIF('Vehicle numbers'!$A$5:$A$162,J2664),4),
    MATCH(K$8,'Vehicle numbers'!$B$4:$D$4,0))*1000</f>
        <v>120532</v>
      </c>
      <c r="L2664" s="183">
        <f ca="1">VLOOKUP(F2664,
    OFFSET(INDIRECT(ADDRESS(MATCH(J2664,'Vehicle numbers'!$A$5:$A$162,0),1,1,1,$L$6)),4,1,COUNTIF('Vehicle numbers'!$A$5:$A$162,J2664),4),
    MATCH(L$8,'Vehicle numbers'!$B$4:$D$4,0))*1000</f>
        <v>126781</v>
      </c>
      <c r="M2664" s="184">
        <f ca="1">VLOOKUP(F2664,'Annual distance covered (GB)'!$A$8:$H$33,MATCH(J2664,'Annual distance covered (GB)'!$A$7:$H$7,0))</f>
        <v>14.3</v>
      </c>
      <c r="N2664" s="2">
        <f t="shared" ca="1" si="96"/>
        <v>56708.023920449261</v>
      </c>
      <c r="O2664" s="180">
        <f t="shared" ca="1" si="97"/>
        <v>0.44729118653780348</v>
      </c>
      <c r="P2664" s="180"/>
      <c r="Q2664" s="180"/>
      <c r="R2664" s="180"/>
      <c r="S2664" s="180"/>
      <c r="T2664" s="180"/>
    </row>
    <row r="2665" spans="1:20" x14ac:dyDescent="0.25">
      <c r="A2665" t="s">
        <v>246</v>
      </c>
      <c r="B2665" t="s">
        <v>237</v>
      </c>
      <c r="C2665" t="s">
        <v>238</v>
      </c>
      <c r="D2665" t="s">
        <v>266</v>
      </c>
      <c r="E2665" t="s">
        <v>228</v>
      </c>
      <c r="F2665">
        <v>2015</v>
      </c>
      <c r="G2665">
        <v>3.01610636619718E-3</v>
      </c>
      <c r="H2665" t="s">
        <v>240</v>
      </c>
      <c r="I2665" t="s">
        <v>241</v>
      </c>
      <c r="J2665" t="s">
        <v>247</v>
      </c>
      <c r="K2665" s="183">
        <f ca="1">VLOOKUP(F2665,
    OFFSET(INDIRECT(ADDRESS(MATCH(J2665,'Vehicle numbers'!$A$5:$A$162,0),1,1,1,$L$6)),4,1,COUNTIF('Vehicle numbers'!$A$5:$A$162,J2665),4),
    MATCH(K$8,'Vehicle numbers'!$B$4:$D$4,0))*1000</f>
        <v>120532</v>
      </c>
      <c r="L2665" s="183">
        <f ca="1">VLOOKUP(F2665,
    OFFSET(INDIRECT(ADDRESS(MATCH(J2665,'Vehicle numbers'!$A$5:$A$162,0),1,1,1,$L$6)),4,1,COUNTIF('Vehicle numbers'!$A$5:$A$162,J2665),4),
    MATCH(L$8,'Vehicle numbers'!$B$4:$D$4,0))*1000</f>
        <v>126781</v>
      </c>
      <c r="M2665" s="184">
        <f ca="1">VLOOKUP(F2665,'Annual distance covered (GB)'!$A$8:$H$33,MATCH(J2665,'Annual distance covered (GB)'!$A$7:$H$7,0))</f>
        <v>14.3</v>
      </c>
      <c r="N2665" s="2">
        <f t="shared" ca="1" si="96"/>
        <v>45366.419136359473</v>
      </c>
      <c r="O2665" s="180">
        <f t="shared" ca="1" si="97"/>
        <v>0.35783294923024328</v>
      </c>
      <c r="P2665" s="180"/>
      <c r="Q2665" s="180"/>
      <c r="R2665" s="180"/>
      <c r="S2665" s="180"/>
      <c r="T2665" s="180"/>
    </row>
    <row r="2666" spans="1:20" x14ac:dyDescent="0.25">
      <c r="A2666" t="s">
        <v>236</v>
      </c>
      <c r="B2666" t="s">
        <v>237</v>
      </c>
      <c r="C2666" t="s">
        <v>238</v>
      </c>
      <c r="D2666" t="s">
        <v>267</v>
      </c>
      <c r="E2666" t="s">
        <v>229</v>
      </c>
      <c r="F2666">
        <v>2015</v>
      </c>
      <c r="G2666">
        <v>5.0994999999999999E-2</v>
      </c>
      <c r="H2666" t="s">
        <v>240</v>
      </c>
      <c r="I2666" t="s">
        <v>241</v>
      </c>
      <c r="J2666" t="s">
        <v>247</v>
      </c>
      <c r="K2666" s="183">
        <f ca="1">VLOOKUP(F2666,
    OFFSET(INDIRECT(ADDRESS(MATCH(J2666,'Vehicle numbers'!$A$5:$A$162,0),1,1,1,$L$6)),4,1,COUNTIF('Vehicle numbers'!$A$5:$A$162,J2666),4),
    MATCH(K$8,'Vehicle numbers'!$B$4:$D$4,0))*1000</f>
        <v>120532</v>
      </c>
      <c r="L2666" s="183">
        <f ca="1">VLOOKUP(F2666,
    OFFSET(INDIRECT(ADDRESS(MATCH(J2666,'Vehicle numbers'!$A$5:$A$162,0),1,1,1,$L$6)),4,1,COUNTIF('Vehicle numbers'!$A$5:$A$162,J2666),4),
    MATCH(L$8,'Vehicle numbers'!$B$4:$D$4,0))*1000</f>
        <v>126781</v>
      </c>
      <c r="M2666" s="184">
        <f ca="1">VLOOKUP(F2666,'Annual distance covered (GB)'!$A$8:$H$33,MATCH(J2666,'Annual distance covered (GB)'!$A$7:$H$7,0))</f>
        <v>14.3</v>
      </c>
      <c r="N2666" s="2">
        <f t="shared" ca="1" si="96"/>
        <v>767035.46326701622</v>
      </c>
      <c r="O2666" s="180">
        <f t="shared" ca="1" si="97"/>
        <v>6.0500821358643346</v>
      </c>
      <c r="P2666" s="180"/>
      <c r="Q2666" s="180"/>
      <c r="R2666" s="180"/>
      <c r="S2666" s="180"/>
      <c r="T2666" s="180"/>
    </row>
    <row r="2667" spans="1:20" x14ac:dyDescent="0.25">
      <c r="A2667" t="s">
        <v>243</v>
      </c>
      <c r="B2667" t="s">
        <v>237</v>
      </c>
      <c r="C2667" t="s">
        <v>238</v>
      </c>
      <c r="D2667" t="s">
        <v>267</v>
      </c>
      <c r="E2667" t="s">
        <v>229</v>
      </c>
      <c r="F2667">
        <v>2015</v>
      </c>
      <c r="G2667">
        <v>2.0397999999999999E-2</v>
      </c>
      <c r="H2667" t="s">
        <v>240</v>
      </c>
      <c r="I2667" t="s">
        <v>241</v>
      </c>
      <c r="J2667" t="s">
        <v>247</v>
      </c>
      <c r="K2667" s="183">
        <f ca="1">VLOOKUP(F2667,
    OFFSET(INDIRECT(ADDRESS(MATCH(J2667,'Vehicle numbers'!$A$5:$A$162,0),1,1,1,$L$6)),4,1,COUNTIF('Vehicle numbers'!$A$5:$A$162,J2667),4),
    MATCH(K$8,'Vehicle numbers'!$B$4:$D$4,0))*1000</f>
        <v>120532</v>
      </c>
      <c r="L2667" s="183">
        <f ca="1">VLOOKUP(F2667,
    OFFSET(INDIRECT(ADDRESS(MATCH(J2667,'Vehicle numbers'!$A$5:$A$162,0),1,1,1,$L$6)),4,1,COUNTIF('Vehicle numbers'!$A$5:$A$162,J2667),4),
    MATCH(L$8,'Vehicle numbers'!$B$4:$D$4,0))*1000</f>
        <v>126781</v>
      </c>
      <c r="M2667" s="184">
        <f ca="1">VLOOKUP(F2667,'Annual distance covered (GB)'!$A$8:$H$33,MATCH(J2667,'Annual distance covered (GB)'!$A$7:$H$7,0))</f>
        <v>14.3</v>
      </c>
      <c r="N2667" s="2">
        <f t="shared" ca="1" si="96"/>
        <v>306814.18530680647</v>
      </c>
      <c r="O2667" s="180">
        <f t="shared" ca="1" si="97"/>
        <v>2.4200328543457337</v>
      </c>
      <c r="P2667" s="180"/>
      <c r="Q2667" s="180"/>
      <c r="R2667" s="180"/>
      <c r="S2667" s="180"/>
      <c r="T2667" s="180"/>
    </row>
    <row r="2668" spans="1:20" x14ac:dyDescent="0.25">
      <c r="A2668" t="s">
        <v>244</v>
      </c>
      <c r="B2668" t="s">
        <v>237</v>
      </c>
      <c r="C2668" t="s">
        <v>238</v>
      </c>
      <c r="D2668" t="s">
        <v>267</v>
      </c>
      <c r="E2668" t="s">
        <v>229</v>
      </c>
      <c r="F2668">
        <v>2015</v>
      </c>
      <c r="G2668">
        <v>5.0994999999999999E-3</v>
      </c>
      <c r="H2668" t="s">
        <v>240</v>
      </c>
      <c r="I2668" t="s">
        <v>241</v>
      </c>
      <c r="J2668" t="s">
        <v>247</v>
      </c>
      <c r="K2668" s="183">
        <f ca="1">VLOOKUP(F2668,
    OFFSET(INDIRECT(ADDRESS(MATCH(J2668,'Vehicle numbers'!$A$5:$A$162,0),1,1,1,$L$6)),4,1,COUNTIF('Vehicle numbers'!$A$5:$A$162,J2668),4),
    MATCH(K$8,'Vehicle numbers'!$B$4:$D$4,0))*1000</f>
        <v>120532</v>
      </c>
      <c r="L2668" s="183">
        <f ca="1">VLOOKUP(F2668,
    OFFSET(INDIRECT(ADDRESS(MATCH(J2668,'Vehicle numbers'!$A$5:$A$162,0),1,1,1,$L$6)),4,1,COUNTIF('Vehicle numbers'!$A$5:$A$162,J2668),4),
    MATCH(L$8,'Vehicle numbers'!$B$4:$D$4,0))*1000</f>
        <v>126781</v>
      </c>
      <c r="M2668" s="184">
        <f ca="1">VLOOKUP(F2668,'Annual distance covered (GB)'!$A$8:$H$33,MATCH(J2668,'Annual distance covered (GB)'!$A$7:$H$7,0))</f>
        <v>14.3</v>
      </c>
      <c r="N2668" s="2">
        <f t="shared" ca="1" si="96"/>
        <v>76703.546326701617</v>
      </c>
      <c r="O2668" s="180">
        <f t="shared" ca="1" si="97"/>
        <v>0.60500821358643342</v>
      </c>
      <c r="P2668" s="180"/>
      <c r="Q2668" s="180"/>
      <c r="R2668" s="180"/>
      <c r="S2668" s="180"/>
      <c r="T2668" s="180"/>
    </row>
    <row r="2669" spans="1:20" x14ac:dyDescent="0.25">
      <c r="A2669" t="s">
        <v>246</v>
      </c>
      <c r="B2669" t="s">
        <v>237</v>
      </c>
      <c r="C2669" t="s">
        <v>238</v>
      </c>
      <c r="D2669" t="s">
        <v>267</v>
      </c>
      <c r="E2669" t="s">
        <v>229</v>
      </c>
      <c r="F2669">
        <v>2015</v>
      </c>
      <c r="G2669">
        <v>4.0796000000000001E-3</v>
      </c>
      <c r="H2669" t="s">
        <v>240</v>
      </c>
      <c r="I2669" t="s">
        <v>241</v>
      </c>
      <c r="J2669" t="s">
        <v>247</v>
      </c>
      <c r="K2669" s="183">
        <f ca="1">VLOOKUP(F2669,
    OFFSET(INDIRECT(ADDRESS(MATCH(J2669,'Vehicle numbers'!$A$5:$A$162,0),1,1,1,$L$6)),4,1,COUNTIF('Vehicle numbers'!$A$5:$A$162,J2669),4),
    MATCH(K$8,'Vehicle numbers'!$B$4:$D$4,0))*1000</f>
        <v>120532</v>
      </c>
      <c r="L2669" s="183">
        <f ca="1">VLOOKUP(F2669,
    OFFSET(INDIRECT(ADDRESS(MATCH(J2669,'Vehicle numbers'!$A$5:$A$162,0),1,1,1,$L$6)),4,1,COUNTIF('Vehicle numbers'!$A$5:$A$162,J2669),4),
    MATCH(L$8,'Vehicle numbers'!$B$4:$D$4,0))*1000</f>
        <v>126781</v>
      </c>
      <c r="M2669" s="184">
        <f ca="1">VLOOKUP(F2669,'Annual distance covered (GB)'!$A$8:$H$33,MATCH(J2669,'Annual distance covered (GB)'!$A$7:$H$7,0))</f>
        <v>14.3</v>
      </c>
      <c r="N2669" s="2">
        <f t="shared" ca="1" si="96"/>
        <v>61362.837061361308</v>
      </c>
      <c r="O2669" s="180">
        <f t="shared" ca="1" si="97"/>
        <v>0.48400657086914683</v>
      </c>
      <c r="P2669" s="180"/>
      <c r="Q2669" s="180"/>
      <c r="R2669" s="180"/>
      <c r="S2669" s="180"/>
      <c r="T2669" s="180"/>
    </row>
    <row r="2670" spans="1:20" x14ac:dyDescent="0.25">
      <c r="A2670" t="s">
        <v>236</v>
      </c>
      <c r="B2670" t="s">
        <v>237</v>
      </c>
      <c r="C2670" t="s">
        <v>238</v>
      </c>
      <c r="D2670" t="s">
        <v>267</v>
      </c>
      <c r="E2670" t="s">
        <v>228</v>
      </c>
      <c r="F2670">
        <v>2015</v>
      </c>
      <c r="G2670">
        <v>4.7072879999999998E-2</v>
      </c>
      <c r="H2670" t="s">
        <v>240</v>
      </c>
      <c r="I2670" t="s">
        <v>241</v>
      </c>
      <c r="J2670" t="s">
        <v>247</v>
      </c>
      <c r="K2670" s="183">
        <f ca="1">VLOOKUP(F2670,
    OFFSET(INDIRECT(ADDRESS(MATCH(J2670,'Vehicle numbers'!$A$5:$A$162,0),1,1,1,$L$6)),4,1,COUNTIF('Vehicle numbers'!$A$5:$A$162,J2670),4),
    MATCH(K$8,'Vehicle numbers'!$B$4:$D$4,0))*1000</f>
        <v>120532</v>
      </c>
      <c r="L2670" s="183">
        <f ca="1">VLOOKUP(F2670,
    OFFSET(INDIRECT(ADDRESS(MATCH(J2670,'Vehicle numbers'!$A$5:$A$162,0),1,1,1,$L$6)),4,1,COUNTIF('Vehicle numbers'!$A$5:$A$162,J2670),4),
    MATCH(L$8,'Vehicle numbers'!$B$4:$D$4,0))*1000</f>
        <v>126781</v>
      </c>
      <c r="M2670" s="184">
        <f ca="1">VLOOKUP(F2670,'Annual distance covered (GB)'!$A$8:$H$33,MATCH(J2670,'Annual distance covered (GB)'!$A$7:$H$7,0))</f>
        <v>14.3</v>
      </c>
      <c r="N2670" s="2">
        <f t="shared" ca="1" si="96"/>
        <v>708041.34362413303</v>
      </c>
      <c r="O2670" s="180">
        <f t="shared" ca="1" si="97"/>
        <v>5.5847591013174922</v>
      </c>
      <c r="P2670" s="180"/>
      <c r="Q2670" s="180"/>
      <c r="R2670" s="180"/>
      <c r="S2670" s="180"/>
      <c r="T2670" s="180"/>
    </row>
    <row r="2671" spans="1:20" x14ac:dyDescent="0.25">
      <c r="A2671" t="s">
        <v>243</v>
      </c>
      <c r="B2671" t="s">
        <v>237</v>
      </c>
      <c r="C2671" t="s">
        <v>238</v>
      </c>
      <c r="D2671" t="s">
        <v>267</v>
      </c>
      <c r="E2671" t="s">
        <v>228</v>
      </c>
      <c r="F2671">
        <v>2015</v>
      </c>
      <c r="G2671">
        <v>3.2951016E-2</v>
      </c>
      <c r="H2671" t="s">
        <v>240</v>
      </c>
      <c r="I2671" t="s">
        <v>241</v>
      </c>
      <c r="J2671" t="s">
        <v>247</v>
      </c>
      <c r="K2671" s="183">
        <f ca="1">VLOOKUP(F2671,
    OFFSET(INDIRECT(ADDRESS(MATCH(J2671,'Vehicle numbers'!$A$5:$A$162,0),1,1,1,$L$6)),4,1,COUNTIF('Vehicle numbers'!$A$5:$A$162,J2671),4),
    MATCH(K$8,'Vehicle numbers'!$B$4:$D$4,0))*1000</f>
        <v>120532</v>
      </c>
      <c r="L2671" s="183">
        <f ca="1">VLOOKUP(F2671,
    OFFSET(INDIRECT(ADDRESS(MATCH(J2671,'Vehicle numbers'!$A$5:$A$162,0),1,1,1,$L$6)),4,1,COUNTIF('Vehicle numbers'!$A$5:$A$162,J2671),4),
    MATCH(L$8,'Vehicle numbers'!$B$4:$D$4,0))*1000</f>
        <v>126781</v>
      </c>
      <c r="M2671" s="184">
        <f ca="1">VLOOKUP(F2671,'Annual distance covered (GB)'!$A$8:$H$33,MATCH(J2671,'Annual distance covered (GB)'!$A$7:$H$7,0))</f>
        <v>14.3</v>
      </c>
      <c r="N2671" s="2">
        <f t="shared" ca="1" si="96"/>
        <v>495628.94053689315</v>
      </c>
      <c r="O2671" s="180">
        <f t="shared" ca="1" si="97"/>
        <v>3.9093313709222453</v>
      </c>
      <c r="P2671" s="180"/>
      <c r="Q2671" s="180"/>
      <c r="R2671" s="180"/>
      <c r="S2671" s="180"/>
      <c r="T2671" s="180"/>
    </row>
    <row r="2672" spans="1:20" x14ac:dyDescent="0.25">
      <c r="A2672" t="s">
        <v>244</v>
      </c>
      <c r="B2672" t="s">
        <v>237</v>
      </c>
      <c r="C2672" t="s">
        <v>238</v>
      </c>
      <c r="D2672" t="s">
        <v>267</v>
      </c>
      <c r="E2672" t="s">
        <v>228</v>
      </c>
      <c r="F2672">
        <v>2015</v>
      </c>
      <c r="G2672">
        <v>4.64098816901408E-3</v>
      </c>
      <c r="H2672" t="s">
        <v>240</v>
      </c>
      <c r="I2672" t="s">
        <v>241</v>
      </c>
      <c r="J2672" t="s">
        <v>247</v>
      </c>
      <c r="K2672" s="183">
        <f ca="1">VLOOKUP(F2672,
    OFFSET(INDIRECT(ADDRESS(MATCH(J2672,'Vehicle numbers'!$A$5:$A$162,0),1,1,1,$L$6)),4,1,COUNTIF('Vehicle numbers'!$A$5:$A$162,J2672),4),
    MATCH(K$8,'Vehicle numbers'!$B$4:$D$4,0))*1000</f>
        <v>120532</v>
      </c>
      <c r="L2672" s="183">
        <f ca="1">VLOOKUP(F2672,
    OFFSET(INDIRECT(ADDRESS(MATCH(J2672,'Vehicle numbers'!$A$5:$A$162,0),1,1,1,$L$6)),4,1,COUNTIF('Vehicle numbers'!$A$5:$A$162,J2672),4),
    MATCH(L$8,'Vehicle numbers'!$B$4:$D$4,0))*1000</f>
        <v>126781</v>
      </c>
      <c r="M2672" s="184">
        <f ca="1">VLOOKUP(F2672,'Annual distance covered (GB)'!$A$8:$H$33,MATCH(J2672,'Annual distance covered (GB)'!$A$7:$H$7,0))</f>
        <v>14.3</v>
      </c>
      <c r="N2672" s="2">
        <f t="shared" ca="1" si="96"/>
        <v>69806.893033365166</v>
      </c>
      <c r="O2672" s="180">
        <f t="shared" ca="1" si="97"/>
        <v>0.5506100522425692</v>
      </c>
      <c r="P2672" s="180"/>
      <c r="Q2672" s="180"/>
      <c r="R2672" s="180"/>
      <c r="S2672" s="180"/>
      <c r="T2672" s="180"/>
    </row>
    <row r="2673" spans="1:20" x14ac:dyDescent="0.25">
      <c r="A2673" t="s">
        <v>246</v>
      </c>
      <c r="B2673" t="s">
        <v>237</v>
      </c>
      <c r="C2673" t="s">
        <v>238</v>
      </c>
      <c r="D2673" t="s">
        <v>267</v>
      </c>
      <c r="E2673" t="s">
        <v>228</v>
      </c>
      <c r="F2673">
        <v>2015</v>
      </c>
      <c r="G2673">
        <v>3.71279053521126E-3</v>
      </c>
      <c r="H2673" t="s">
        <v>240</v>
      </c>
      <c r="I2673" t="s">
        <v>241</v>
      </c>
      <c r="J2673" t="s">
        <v>247</v>
      </c>
      <c r="K2673" s="183">
        <f ca="1">VLOOKUP(F2673,
    OFFSET(INDIRECT(ADDRESS(MATCH(J2673,'Vehicle numbers'!$A$5:$A$162,0),1,1,1,$L$6)),4,1,COUNTIF('Vehicle numbers'!$A$5:$A$162,J2673),4),
    MATCH(K$8,'Vehicle numbers'!$B$4:$D$4,0))*1000</f>
        <v>120532</v>
      </c>
      <c r="L2673" s="183">
        <f ca="1">VLOOKUP(F2673,
    OFFSET(INDIRECT(ADDRESS(MATCH(J2673,'Vehicle numbers'!$A$5:$A$162,0),1,1,1,$L$6)),4,1,COUNTIF('Vehicle numbers'!$A$5:$A$162,J2673),4),
    MATCH(L$8,'Vehicle numbers'!$B$4:$D$4,0))*1000</f>
        <v>126781</v>
      </c>
      <c r="M2673" s="184">
        <f ca="1">VLOOKUP(F2673,'Annual distance covered (GB)'!$A$8:$H$33,MATCH(J2673,'Annual distance covered (GB)'!$A$7:$H$7,0))</f>
        <v>14.3</v>
      </c>
      <c r="N2673" s="2">
        <f t="shared" ca="1" si="96"/>
        <v>55845.514426692076</v>
      </c>
      <c r="O2673" s="180">
        <f t="shared" ca="1" si="97"/>
        <v>0.44048804179405493</v>
      </c>
      <c r="P2673" s="180"/>
      <c r="Q2673" s="180"/>
      <c r="R2673" s="180"/>
      <c r="S2673" s="180"/>
      <c r="T2673" s="180"/>
    </row>
    <row r="2674" spans="1:20" x14ac:dyDescent="0.25">
      <c r="A2674" t="s">
        <v>236</v>
      </c>
      <c r="B2674" t="s">
        <v>237</v>
      </c>
      <c r="C2674" t="s">
        <v>238</v>
      </c>
      <c r="D2674" t="s">
        <v>268</v>
      </c>
      <c r="E2674" t="s">
        <v>229</v>
      </c>
      <c r="F2674">
        <v>2015</v>
      </c>
      <c r="G2674">
        <v>8.4410000000000006E-3</v>
      </c>
      <c r="H2674" t="s">
        <v>240</v>
      </c>
      <c r="I2674" t="s">
        <v>241</v>
      </c>
      <c r="J2674" t="s">
        <v>245</v>
      </c>
      <c r="K2674" s="183">
        <f ca="1">VLOOKUP(F2674,
    OFFSET(INDIRECT(ADDRESS(MATCH(J2674,'Vehicle numbers'!$A$5:$A$162,0),1,1,1,$L$6)),4,1,COUNTIF('Vehicle numbers'!$A$5:$A$162,J2674),4),
    MATCH(K$8,'Vehicle numbers'!$B$4:$D$4,0))*1000</f>
        <v>276338</v>
      </c>
      <c r="L2674" s="183">
        <f ca="1">VLOOKUP(F2674,
    OFFSET(INDIRECT(ADDRESS(MATCH(J2674,'Vehicle numbers'!$A$5:$A$162,0),1,1,1,$L$6)),4,1,COUNTIF('Vehicle numbers'!$A$5:$A$162,J2674),4),
    MATCH(L$8,'Vehicle numbers'!$B$4:$D$4,0))*1000</f>
        <v>290154</v>
      </c>
      <c r="M2674" s="184">
        <f ca="1">VLOOKUP(F2674,'Annual distance covered (GB)'!$A$8:$H$33,MATCH(J2674,'Annual distance covered (GB)'!$A$7:$H$7,0))</f>
        <v>12.8</v>
      </c>
      <c r="N2674" s="2">
        <f t="shared" ca="1" si="96"/>
        <v>113446.68811093662</v>
      </c>
      <c r="O2674" s="180">
        <f t="shared" ca="1" si="97"/>
        <v>0.39098784821486737</v>
      </c>
      <c r="P2674" s="180"/>
      <c r="Q2674" s="180"/>
      <c r="R2674" s="180"/>
      <c r="S2674" s="180"/>
      <c r="T2674" s="180"/>
    </row>
    <row r="2675" spans="1:20" x14ac:dyDescent="0.25">
      <c r="A2675" t="s">
        <v>243</v>
      </c>
      <c r="B2675" t="s">
        <v>237</v>
      </c>
      <c r="C2675" t="s">
        <v>238</v>
      </c>
      <c r="D2675" t="s">
        <v>268</v>
      </c>
      <c r="E2675" t="s">
        <v>229</v>
      </c>
      <c r="F2675">
        <v>2015</v>
      </c>
      <c r="G2675">
        <v>3.3763999999999999E-3</v>
      </c>
      <c r="H2675" t="s">
        <v>240</v>
      </c>
      <c r="I2675" t="s">
        <v>241</v>
      </c>
      <c r="J2675" t="s">
        <v>245</v>
      </c>
      <c r="K2675" s="183">
        <f ca="1">VLOOKUP(F2675,
    OFFSET(INDIRECT(ADDRESS(MATCH(J2675,'Vehicle numbers'!$A$5:$A$162,0),1,1,1,$L$6)),4,1,COUNTIF('Vehicle numbers'!$A$5:$A$162,J2675),4),
    MATCH(K$8,'Vehicle numbers'!$B$4:$D$4,0))*1000</f>
        <v>276338</v>
      </c>
      <c r="L2675" s="183">
        <f ca="1">VLOOKUP(F2675,
    OFFSET(INDIRECT(ADDRESS(MATCH(J2675,'Vehicle numbers'!$A$5:$A$162,0),1,1,1,$L$6)),4,1,COUNTIF('Vehicle numbers'!$A$5:$A$162,J2675),4),
    MATCH(L$8,'Vehicle numbers'!$B$4:$D$4,0))*1000</f>
        <v>290154</v>
      </c>
      <c r="M2675" s="184">
        <f ca="1">VLOOKUP(F2675,'Annual distance covered (GB)'!$A$8:$H$33,MATCH(J2675,'Annual distance covered (GB)'!$A$7:$H$7,0))</f>
        <v>12.8</v>
      </c>
      <c r="N2675" s="2">
        <f t="shared" ca="1" si="96"/>
        <v>45378.675244374645</v>
      </c>
      <c r="O2675" s="180">
        <f t="shared" ca="1" si="97"/>
        <v>0.15639513928594692</v>
      </c>
      <c r="P2675" s="180"/>
      <c r="Q2675" s="180"/>
      <c r="R2675" s="180"/>
      <c r="S2675" s="180"/>
      <c r="T2675" s="180"/>
    </row>
    <row r="2676" spans="1:20" x14ac:dyDescent="0.25">
      <c r="A2676" t="s">
        <v>244</v>
      </c>
      <c r="B2676" t="s">
        <v>237</v>
      </c>
      <c r="C2676" t="s">
        <v>238</v>
      </c>
      <c r="D2676" t="s">
        <v>268</v>
      </c>
      <c r="E2676" t="s">
        <v>229</v>
      </c>
      <c r="F2676">
        <v>2015</v>
      </c>
      <c r="G2676">
        <v>8.4409999999999997E-4</v>
      </c>
      <c r="H2676" t="s">
        <v>240</v>
      </c>
      <c r="I2676" t="s">
        <v>241</v>
      </c>
      <c r="J2676" t="s">
        <v>245</v>
      </c>
      <c r="K2676" s="183">
        <f ca="1">VLOOKUP(F2676,
    OFFSET(INDIRECT(ADDRESS(MATCH(J2676,'Vehicle numbers'!$A$5:$A$162,0),1,1,1,$L$6)),4,1,COUNTIF('Vehicle numbers'!$A$5:$A$162,J2676),4),
    MATCH(K$8,'Vehicle numbers'!$B$4:$D$4,0))*1000</f>
        <v>276338</v>
      </c>
      <c r="L2676" s="183">
        <f ca="1">VLOOKUP(F2676,
    OFFSET(INDIRECT(ADDRESS(MATCH(J2676,'Vehicle numbers'!$A$5:$A$162,0),1,1,1,$L$6)),4,1,COUNTIF('Vehicle numbers'!$A$5:$A$162,J2676),4),
    MATCH(L$8,'Vehicle numbers'!$B$4:$D$4,0))*1000</f>
        <v>290154</v>
      </c>
      <c r="M2676" s="184">
        <f ca="1">VLOOKUP(F2676,'Annual distance covered (GB)'!$A$8:$H$33,MATCH(J2676,'Annual distance covered (GB)'!$A$7:$H$7,0))</f>
        <v>12.8</v>
      </c>
      <c r="N2676" s="2">
        <f t="shared" ca="1" si="96"/>
        <v>11344.668811093661</v>
      </c>
      <c r="O2676" s="180">
        <f t="shared" ca="1" si="97"/>
        <v>3.909878482148673E-2</v>
      </c>
      <c r="P2676" s="180"/>
      <c r="Q2676" s="180"/>
      <c r="R2676" s="180"/>
      <c r="S2676" s="180"/>
      <c r="T2676" s="180"/>
    </row>
    <row r="2677" spans="1:20" x14ac:dyDescent="0.25">
      <c r="A2677" t="s">
        <v>246</v>
      </c>
      <c r="B2677" t="s">
        <v>237</v>
      </c>
      <c r="C2677" t="s">
        <v>238</v>
      </c>
      <c r="D2677" t="s">
        <v>268</v>
      </c>
      <c r="E2677" t="s">
        <v>229</v>
      </c>
      <c r="F2677">
        <v>2015</v>
      </c>
      <c r="G2677">
        <v>6.7528E-4</v>
      </c>
      <c r="H2677" t="s">
        <v>240</v>
      </c>
      <c r="I2677" t="s">
        <v>241</v>
      </c>
      <c r="J2677" t="s">
        <v>245</v>
      </c>
      <c r="K2677" s="183">
        <f ca="1">VLOOKUP(F2677,
    OFFSET(INDIRECT(ADDRESS(MATCH(J2677,'Vehicle numbers'!$A$5:$A$162,0),1,1,1,$L$6)),4,1,COUNTIF('Vehicle numbers'!$A$5:$A$162,J2677),4),
    MATCH(K$8,'Vehicle numbers'!$B$4:$D$4,0))*1000</f>
        <v>276338</v>
      </c>
      <c r="L2677" s="183">
        <f ca="1">VLOOKUP(F2677,
    OFFSET(INDIRECT(ADDRESS(MATCH(J2677,'Vehicle numbers'!$A$5:$A$162,0),1,1,1,$L$6)),4,1,COUNTIF('Vehicle numbers'!$A$5:$A$162,J2677),4),
    MATCH(L$8,'Vehicle numbers'!$B$4:$D$4,0))*1000</f>
        <v>290154</v>
      </c>
      <c r="M2677" s="184">
        <f ca="1">VLOOKUP(F2677,'Annual distance covered (GB)'!$A$8:$H$33,MATCH(J2677,'Annual distance covered (GB)'!$A$7:$H$7,0))</f>
        <v>12.8</v>
      </c>
      <c r="N2677" s="2">
        <f t="shared" ca="1" si="96"/>
        <v>9075.7350488749289</v>
      </c>
      <c r="O2677" s="180">
        <f t="shared" ca="1" si="97"/>
        <v>3.1279027857189383E-2</v>
      </c>
      <c r="P2677" s="180"/>
      <c r="Q2677" s="180"/>
      <c r="R2677" s="180"/>
      <c r="S2677" s="180"/>
      <c r="T2677" s="180"/>
    </row>
    <row r="2678" spans="1:20" x14ac:dyDescent="0.25">
      <c r="A2678" t="s">
        <v>236</v>
      </c>
      <c r="B2678" t="s">
        <v>237</v>
      </c>
      <c r="C2678" t="s">
        <v>238</v>
      </c>
      <c r="D2678" t="s">
        <v>268</v>
      </c>
      <c r="E2678" t="s">
        <v>228</v>
      </c>
      <c r="F2678">
        <v>2015</v>
      </c>
      <c r="G2678">
        <v>1.3984E-2</v>
      </c>
      <c r="H2678" t="s">
        <v>240</v>
      </c>
      <c r="I2678" t="s">
        <v>241</v>
      </c>
      <c r="J2678" t="s">
        <v>245</v>
      </c>
      <c r="K2678" s="183">
        <f ca="1">VLOOKUP(F2678,
    OFFSET(INDIRECT(ADDRESS(MATCH(J2678,'Vehicle numbers'!$A$5:$A$162,0),1,1,1,$L$6)),4,1,COUNTIF('Vehicle numbers'!$A$5:$A$162,J2678),4),
    MATCH(K$8,'Vehicle numbers'!$B$4:$D$4,0))*1000</f>
        <v>276338</v>
      </c>
      <c r="L2678" s="183">
        <f ca="1">VLOOKUP(F2678,
    OFFSET(INDIRECT(ADDRESS(MATCH(J2678,'Vehicle numbers'!$A$5:$A$162,0),1,1,1,$L$6)),4,1,COUNTIF('Vehicle numbers'!$A$5:$A$162,J2678),4),
    MATCH(L$8,'Vehicle numbers'!$B$4:$D$4,0))*1000</f>
        <v>290154</v>
      </c>
      <c r="M2678" s="184">
        <f ca="1">VLOOKUP(F2678,'Annual distance covered (GB)'!$A$8:$H$33,MATCH(J2678,'Annual distance covered (GB)'!$A$7:$H$7,0))</f>
        <v>12.8</v>
      </c>
      <c r="N2678" s="2">
        <f t="shared" ca="1" si="96"/>
        <v>187944.37703392224</v>
      </c>
      <c r="O2678" s="180">
        <f t="shared" ca="1" si="97"/>
        <v>0.64774008641591097</v>
      </c>
      <c r="P2678" s="180"/>
      <c r="Q2678" s="180"/>
      <c r="R2678" s="180"/>
      <c r="S2678" s="180"/>
      <c r="T2678" s="180"/>
    </row>
    <row r="2679" spans="1:20" x14ac:dyDescent="0.25">
      <c r="A2679" t="s">
        <v>243</v>
      </c>
      <c r="B2679" t="s">
        <v>237</v>
      </c>
      <c r="C2679" t="s">
        <v>238</v>
      </c>
      <c r="D2679" t="s">
        <v>268</v>
      </c>
      <c r="E2679" t="s">
        <v>228</v>
      </c>
      <c r="F2679">
        <v>2015</v>
      </c>
      <c r="G2679">
        <v>9.7888000000000003E-3</v>
      </c>
      <c r="H2679" t="s">
        <v>240</v>
      </c>
      <c r="I2679" t="s">
        <v>241</v>
      </c>
      <c r="J2679" t="s">
        <v>245</v>
      </c>
      <c r="K2679" s="183">
        <f ca="1">VLOOKUP(F2679,
    OFFSET(INDIRECT(ADDRESS(MATCH(J2679,'Vehicle numbers'!$A$5:$A$162,0),1,1,1,$L$6)),4,1,COUNTIF('Vehicle numbers'!$A$5:$A$162,J2679),4),
    MATCH(K$8,'Vehicle numbers'!$B$4:$D$4,0))*1000</f>
        <v>276338</v>
      </c>
      <c r="L2679" s="183">
        <f ca="1">VLOOKUP(F2679,
    OFFSET(INDIRECT(ADDRESS(MATCH(J2679,'Vehicle numbers'!$A$5:$A$162,0),1,1,1,$L$6)),4,1,COUNTIF('Vehicle numbers'!$A$5:$A$162,J2679),4),
    MATCH(L$8,'Vehicle numbers'!$B$4:$D$4,0))*1000</f>
        <v>290154</v>
      </c>
      <c r="M2679" s="184">
        <f ca="1">VLOOKUP(F2679,'Annual distance covered (GB)'!$A$8:$H$33,MATCH(J2679,'Annual distance covered (GB)'!$A$7:$H$7,0))</f>
        <v>12.8</v>
      </c>
      <c r="N2679" s="2">
        <f t="shared" ca="1" si="96"/>
        <v>131561.06392374559</v>
      </c>
      <c r="O2679" s="180">
        <f t="shared" ca="1" si="97"/>
        <v>0.45341806049113775</v>
      </c>
      <c r="P2679" s="180"/>
      <c r="Q2679" s="180"/>
      <c r="R2679" s="180"/>
      <c r="S2679" s="180"/>
      <c r="T2679" s="180"/>
    </row>
    <row r="2680" spans="1:20" x14ac:dyDescent="0.25">
      <c r="A2680" t="s">
        <v>244</v>
      </c>
      <c r="B2680" t="s">
        <v>237</v>
      </c>
      <c r="C2680" t="s">
        <v>238</v>
      </c>
      <c r="D2680" t="s">
        <v>268</v>
      </c>
      <c r="E2680" t="s">
        <v>228</v>
      </c>
      <c r="F2680">
        <v>2015</v>
      </c>
      <c r="G2680">
        <v>1.3787042253521099E-3</v>
      </c>
      <c r="H2680" t="s">
        <v>240</v>
      </c>
      <c r="I2680" t="s">
        <v>241</v>
      </c>
      <c r="J2680" t="s">
        <v>245</v>
      </c>
      <c r="K2680" s="183">
        <f ca="1">VLOOKUP(F2680,
    OFFSET(INDIRECT(ADDRESS(MATCH(J2680,'Vehicle numbers'!$A$5:$A$162,0),1,1,1,$L$6)),4,1,COUNTIF('Vehicle numbers'!$A$5:$A$162,J2680),4),
    MATCH(K$8,'Vehicle numbers'!$B$4:$D$4,0))*1000</f>
        <v>276338</v>
      </c>
      <c r="L2680" s="183">
        <f ca="1">VLOOKUP(F2680,
    OFFSET(INDIRECT(ADDRESS(MATCH(J2680,'Vehicle numbers'!$A$5:$A$162,0),1,1,1,$L$6)),4,1,COUNTIF('Vehicle numbers'!$A$5:$A$162,J2680),4),
    MATCH(L$8,'Vehicle numbers'!$B$4:$D$4,0))*1000</f>
        <v>290154</v>
      </c>
      <c r="M2680" s="184">
        <f ca="1">VLOOKUP(F2680,'Annual distance covered (GB)'!$A$8:$H$33,MATCH(J2680,'Annual distance covered (GB)'!$A$7:$H$7,0))</f>
        <v>12.8</v>
      </c>
      <c r="N2680" s="2">
        <f t="shared" ca="1" si="96"/>
        <v>18529.727313203566</v>
      </c>
      <c r="O2680" s="180">
        <f t="shared" ca="1" si="97"/>
        <v>6.3861698660723498E-2</v>
      </c>
      <c r="P2680" s="180"/>
      <c r="Q2680" s="180"/>
      <c r="R2680" s="180"/>
      <c r="S2680" s="180"/>
      <c r="T2680" s="180"/>
    </row>
    <row r="2681" spans="1:20" x14ac:dyDescent="0.25">
      <c r="A2681" t="s">
        <v>246</v>
      </c>
      <c r="B2681" t="s">
        <v>237</v>
      </c>
      <c r="C2681" t="s">
        <v>238</v>
      </c>
      <c r="D2681" t="s">
        <v>268</v>
      </c>
      <c r="E2681" t="s">
        <v>228</v>
      </c>
      <c r="F2681">
        <v>2015</v>
      </c>
      <c r="G2681">
        <v>1.10296338028169E-3</v>
      </c>
      <c r="H2681" t="s">
        <v>240</v>
      </c>
      <c r="I2681" t="s">
        <v>241</v>
      </c>
      <c r="J2681" t="s">
        <v>245</v>
      </c>
      <c r="K2681" s="183">
        <f ca="1">VLOOKUP(F2681,
    OFFSET(INDIRECT(ADDRESS(MATCH(J2681,'Vehicle numbers'!$A$5:$A$162,0),1,1,1,$L$6)),4,1,COUNTIF('Vehicle numbers'!$A$5:$A$162,J2681),4),
    MATCH(K$8,'Vehicle numbers'!$B$4:$D$4,0))*1000</f>
        <v>276338</v>
      </c>
      <c r="L2681" s="183">
        <f ca="1">VLOOKUP(F2681,
    OFFSET(INDIRECT(ADDRESS(MATCH(J2681,'Vehicle numbers'!$A$5:$A$162,0),1,1,1,$L$6)),4,1,COUNTIF('Vehicle numbers'!$A$5:$A$162,J2681),4),
    MATCH(L$8,'Vehicle numbers'!$B$4:$D$4,0))*1000</f>
        <v>290154</v>
      </c>
      <c r="M2681" s="184">
        <f ca="1">VLOOKUP(F2681,'Annual distance covered (GB)'!$A$8:$H$33,MATCH(J2681,'Annual distance covered (GB)'!$A$7:$H$7,0))</f>
        <v>12.8</v>
      </c>
      <c r="N2681" s="2">
        <f t="shared" ca="1" si="96"/>
        <v>14823.781850562878</v>
      </c>
      <c r="O2681" s="180">
        <f t="shared" ca="1" si="97"/>
        <v>5.1089358928578889E-2</v>
      </c>
      <c r="P2681" s="180"/>
      <c r="Q2681" s="180"/>
      <c r="R2681" s="180"/>
      <c r="S2681" s="180"/>
      <c r="T2681" s="180"/>
    </row>
    <row r="2682" spans="1:20" x14ac:dyDescent="0.25">
      <c r="A2682" t="s">
        <v>236</v>
      </c>
      <c r="B2682" t="s">
        <v>237</v>
      </c>
      <c r="C2682" t="s">
        <v>238</v>
      </c>
      <c r="D2682" t="s">
        <v>269</v>
      </c>
      <c r="E2682" t="s">
        <v>229</v>
      </c>
      <c r="F2682">
        <v>2015</v>
      </c>
      <c r="G2682">
        <v>2.7143E-2</v>
      </c>
      <c r="H2682" t="s">
        <v>240</v>
      </c>
      <c r="I2682" t="s">
        <v>241</v>
      </c>
      <c r="J2682" t="s">
        <v>245</v>
      </c>
      <c r="K2682" s="183">
        <f ca="1">VLOOKUP(F2682,
    OFFSET(INDIRECT(ADDRESS(MATCH(J2682,'Vehicle numbers'!$A$5:$A$162,0),1,1,1,$L$6)),4,1,COUNTIF('Vehicle numbers'!$A$5:$A$162,J2682),4),
    MATCH(K$8,'Vehicle numbers'!$B$4:$D$4,0))*1000</f>
        <v>276338</v>
      </c>
      <c r="L2682" s="183">
        <f ca="1">VLOOKUP(F2682,
    OFFSET(INDIRECT(ADDRESS(MATCH(J2682,'Vehicle numbers'!$A$5:$A$162,0),1,1,1,$L$6)),4,1,COUNTIF('Vehicle numbers'!$A$5:$A$162,J2682),4),
    MATCH(L$8,'Vehicle numbers'!$B$4:$D$4,0))*1000</f>
        <v>290154</v>
      </c>
      <c r="M2682" s="184">
        <f ca="1">VLOOKUP(F2682,'Annual distance covered (GB)'!$A$8:$H$33,MATCH(J2682,'Annual distance covered (GB)'!$A$7:$H$7,0))</f>
        <v>12.8</v>
      </c>
      <c r="N2682" s="2">
        <f t="shared" ca="1" si="96"/>
        <v>364800.78846050857</v>
      </c>
      <c r="O2682" s="180">
        <f t="shared" ca="1" si="97"/>
        <v>1.2572661016581146</v>
      </c>
      <c r="P2682" s="180"/>
      <c r="Q2682" s="180"/>
      <c r="R2682" s="180"/>
      <c r="S2682" s="180"/>
      <c r="T2682" s="180"/>
    </row>
    <row r="2683" spans="1:20" x14ac:dyDescent="0.25">
      <c r="A2683" t="s">
        <v>243</v>
      </c>
      <c r="B2683" t="s">
        <v>237</v>
      </c>
      <c r="C2683" t="s">
        <v>238</v>
      </c>
      <c r="D2683" t="s">
        <v>269</v>
      </c>
      <c r="E2683" t="s">
        <v>229</v>
      </c>
      <c r="F2683">
        <v>2015</v>
      </c>
      <c r="G2683">
        <v>1.0857199999999999E-2</v>
      </c>
      <c r="H2683" t="s">
        <v>240</v>
      </c>
      <c r="I2683" t="s">
        <v>241</v>
      </c>
      <c r="J2683" t="s">
        <v>245</v>
      </c>
      <c r="K2683" s="183">
        <f ca="1">VLOOKUP(F2683,
    OFFSET(INDIRECT(ADDRESS(MATCH(J2683,'Vehicle numbers'!$A$5:$A$162,0),1,1,1,$L$6)),4,1,COUNTIF('Vehicle numbers'!$A$5:$A$162,J2683),4),
    MATCH(K$8,'Vehicle numbers'!$B$4:$D$4,0))*1000</f>
        <v>276338</v>
      </c>
      <c r="L2683" s="183">
        <f ca="1">VLOOKUP(F2683,
    OFFSET(INDIRECT(ADDRESS(MATCH(J2683,'Vehicle numbers'!$A$5:$A$162,0),1,1,1,$L$6)),4,1,COUNTIF('Vehicle numbers'!$A$5:$A$162,J2683),4),
    MATCH(L$8,'Vehicle numbers'!$B$4:$D$4,0))*1000</f>
        <v>290154</v>
      </c>
      <c r="M2683" s="184">
        <f ca="1">VLOOKUP(F2683,'Annual distance covered (GB)'!$A$8:$H$33,MATCH(J2683,'Annual distance covered (GB)'!$A$7:$H$7,0))</f>
        <v>12.8</v>
      </c>
      <c r="N2683" s="2">
        <f t="shared" ca="1" si="96"/>
        <v>145920.31538420339</v>
      </c>
      <c r="O2683" s="180">
        <f t="shared" ca="1" si="97"/>
        <v>0.50290644066324575</v>
      </c>
      <c r="P2683" s="180"/>
      <c r="Q2683" s="180"/>
      <c r="R2683" s="180"/>
      <c r="S2683" s="180"/>
      <c r="T2683" s="180"/>
    </row>
    <row r="2684" spans="1:20" x14ac:dyDescent="0.25">
      <c r="A2684" t="s">
        <v>244</v>
      </c>
      <c r="B2684" t="s">
        <v>237</v>
      </c>
      <c r="C2684" t="s">
        <v>238</v>
      </c>
      <c r="D2684" t="s">
        <v>269</v>
      </c>
      <c r="E2684" t="s">
        <v>229</v>
      </c>
      <c r="F2684">
        <v>2015</v>
      </c>
      <c r="G2684">
        <v>2.7142999999999998E-3</v>
      </c>
      <c r="H2684" t="s">
        <v>240</v>
      </c>
      <c r="I2684" t="s">
        <v>241</v>
      </c>
      <c r="J2684" t="s">
        <v>245</v>
      </c>
      <c r="K2684" s="183">
        <f ca="1">VLOOKUP(F2684,
    OFFSET(INDIRECT(ADDRESS(MATCH(J2684,'Vehicle numbers'!$A$5:$A$162,0),1,1,1,$L$6)),4,1,COUNTIF('Vehicle numbers'!$A$5:$A$162,J2684),4),
    MATCH(K$8,'Vehicle numbers'!$B$4:$D$4,0))*1000</f>
        <v>276338</v>
      </c>
      <c r="L2684" s="183">
        <f ca="1">VLOOKUP(F2684,
    OFFSET(INDIRECT(ADDRESS(MATCH(J2684,'Vehicle numbers'!$A$5:$A$162,0),1,1,1,$L$6)),4,1,COUNTIF('Vehicle numbers'!$A$5:$A$162,J2684),4),
    MATCH(L$8,'Vehicle numbers'!$B$4:$D$4,0))*1000</f>
        <v>290154</v>
      </c>
      <c r="M2684" s="184">
        <f ca="1">VLOOKUP(F2684,'Annual distance covered (GB)'!$A$8:$H$33,MATCH(J2684,'Annual distance covered (GB)'!$A$7:$H$7,0))</f>
        <v>12.8</v>
      </c>
      <c r="N2684" s="2">
        <f t="shared" ca="1" si="96"/>
        <v>36480.078846050848</v>
      </c>
      <c r="O2684" s="180">
        <f t="shared" ca="1" si="97"/>
        <v>0.12572661016581144</v>
      </c>
      <c r="P2684" s="180"/>
      <c r="Q2684" s="180"/>
      <c r="R2684" s="180"/>
      <c r="S2684" s="180"/>
      <c r="T2684" s="180"/>
    </row>
    <row r="2685" spans="1:20" x14ac:dyDescent="0.25">
      <c r="A2685" t="s">
        <v>246</v>
      </c>
      <c r="B2685" t="s">
        <v>237</v>
      </c>
      <c r="C2685" t="s">
        <v>238</v>
      </c>
      <c r="D2685" t="s">
        <v>269</v>
      </c>
      <c r="E2685" t="s">
        <v>229</v>
      </c>
      <c r="F2685">
        <v>2015</v>
      </c>
      <c r="G2685">
        <v>2.1714400000000002E-3</v>
      </c>
      <c r="H2685" t="s">
        <v>240</v>
      </c>
      <c r="I2685" t="s">
        <v>241</v>
      </c>
      <c r="J2685" t="s">
        <v>245</v>
      </c>
      <c r="K2685" s="183">
        <f ca="1">VLOOKUP(F2685,
    OFFSET(INDIRECT(ADDRESS(MATCH(J2685,'Vehicle numbers'!$A$5:$A$162,0),1,1,1,$L$6)),4,1,COUNTIF('Vehicle numbers'!$A$5:$A$162,J2685),4),
    MATCH(K$8,'Vehicle numbers'!$B$4:$D$4,0))*1000</f>
        <v>276338</v>
      </c>
      <c r="L2685" s="183">
        <f ca="1">VLOOKUP(F2685,
    OFFSET(INDIRECT(ADDRESS(MATCH(J2685,'Vehicle numbers'!$A$5:$A$162,0),1,1,1,$L$6)),4,1,COUNTIF('Vehicle numbers'!$A$5:$A$162,J2685),4),
    MATCH(L$8,'Vehicle numbers'!$B$4:$D$4,0))*1000</f>
        <v>290154</v>
      </c>
      <c r="M2685" s="184">
        <f ca="1">VLOOKUP(F2685,'Annual distance covered (GB)'!$A$8:$H$33,MATCH(J2685,'Annual distance covered (GB)'!$A$7:$H$7,0))</f>
        <v>12.8</v>
      </c>
      <c r="N2685" s="2">
        <f t="shared" ca="1" si="96"/>
        <v>29184.063076840685</v>
      </c>
      <c r="O2685" s="180">
        <f t="shared" ca="1" si="97"/>
        <v>0.10058128813264916</v>
      </c>
      <c r="P2685" s="180"/>
      <c r="Q2685" s="180"/>
      <c r="R2685" s="180"/>
      <c r="S2685" s="180"/>
      <c r="T2685" s="180"/>
    </row>
    <row r="2686" spans="1:20" x14ac:dyDescent="0.25">
      <c r="A2686" t="s">
        <v>236</v>
      </c>
      <c r="B2686" t="s">
        <v>237</v>
      </c>
      <c r="C2686" t="s">
        <v>238</v>
      </c>
      <c r="D2686" t="s">
        <v>269</v>
      </c>
      <c r="E2686" t="s">
        <v>228</v>
      </c>
      <c r="F2686">
        <v>2015</v>
      </c>
      <c r="G2686">
        <v>1.7388480000000001E-2</v>
      </c>
      <c r="H2686" t="s">
        <v>240</v>
      </c>
      <c r="I2686" t="s">
        <v>241</v>
      </c>
      <c r="J2686" t="s">
        <v>245</v>
      </c>
      <c r="K2686" s="183">
        <f ca="1">VLOOKUP(F2686,
    OFFSET(INDIRECT(ADDRESS(MATCH(J2686,'Vehicle numbers'!$A$5:$A$162,0),1,1,1,$L$6)),4,1,COUNTIF('Vehicle numbers'!$A$5:$A$162,J2686),4),
    MATCH(K$8,'Vehicle numbers'!$B$4:$D$4,0))*1000</f>
        <v>276338</v>
      </c>
      <c r="L2686" s="183">
        <f ca="1">VLOOKUP(F2686,
    OFFSET(INDIRECT(ADDRESS(MATCH(J2686,'Vehicle numbers'!$A$5:$A$162,0),1,1,1,$L$6)),4,1,COUNTIF('Vehicle numbers'!$A$5:$A$162,J2686),4),
    MATCH(L$8,'Vehicle numbers'!$B$4:$D$4,0))*1000</f>
        <v>290154</v>
      </c>
      <c r="M2686" s="184">
        <f ca="1">VLOOKUP(F2686,'Annual distance covered (GB)'!$A$8:$H$33,MATCH(J2686,'Annual distance covered (GB)'!$A$7:$H$7,0))</f>
        <v>12.8</v>
      </c>
      <c r="N2686" s="2">
        <f t="shared" ca="1" si="96"/>
        <v>233700.4463076957</v>
      </c>
      <c r="O2686" s="180">
        <f t="shared" ca="1" si="97"/>
        <v>0.8054358937243522</v>
      </c>
      <c r="P2686" s="180"/>
      <c r="Q2686" s="180"/>
      <c r="R2686" s="180"/>
      <c r="S2686" s="180"/>
      <c r="T2686" s="180"/>
    </row>
    <row r="2687" spans="1:20" x14ac:dyDescent="0.25">
      <c r="A2687" t="s">
        <v>243</v>
      </c>
      <c r="B2687" t="s">
        <v>237</v>
      </c>
      <c r="C2687" t="s">
        <v>238</v>
      </c>
      <c r="D2687" t="s">
        <v>269</v>
      </c>
      <c r="E2687" t="s">
        <v>228</v>
      </c>
      <c r="F2687">
        <v>2015</v>
      </c>
      <c r="G2687">
        <v>1.2171936E-2</v>
      </c>
      <c r="H2687" t="s">
        <v>240</v>
      </c>
      <c r="I2687" t="s">
        <v>241</v>
      </c>
      <c r="J2687" t="s">
        <v>245</v>
      </c>
      <c r="K2687" s="183">
        <f ca="1">VLOOKUP(F2687,
    OFFSET(INDIRECT(ADDRESS(MATCH(J2687,'Vehicle numbers'!$A$5:$A$162,0),1,1,1,$L$6)),4,1,COUNTIF('Vehicle numbers'!$A$5:$A$162,J2687),4),
    MATCH(K$8,'Vehicle numbers'!$B$4:$D$4,0))*1000</f>
        <v>276338</v>
      </c>
      <c r="L2687" s="183">
        <f ca="1">VLOOKUP(F2687,
    OFFSET(INDIRECT(ADDRESS(MATCH(J2687,'Vehicle numbers'!$A$5:$A$162,0),1,1,1,$L$6)),4,1,COUNTIF('Vehicle numbers'!$A$5:$A$162,J2687),4),
    MATCH(L$8,'Vehicle numbers'!$B$4:$D$4,0))*1000</f>
        <v>290154</v>
      </c>
      <c r="M2687" s="184">
        <f ca="1">VLOOKUP(F2687,'Annual distance covered (GB)'!$A$8:$H$33,MATCH(J2687,'Annual distance covered (GB)'!$A$7:$H$7,0))</f>
        <v>12.8</v>
      </c>
      <c r="N2687" s="2">
        <f t="shared" ca="1" si="96"/>
        <v>163590.31241538696</v>
      </c>
      <c r="O2687" s="180">
        <f t="shared" ca="1" si="97"/>
        <v>0.56380512560704643</v>
      </c>
      <c r="P2687" s="180"/>
      <c r="Q2687" s="180"/>
      <c r="R2687" s="180"/>
      <c r="S2687" s="180"/>
      <c r="T2687" s="180"/>
    </row>
    <row r="2688" spans="1:20" x14ac:dyDescent="0.25">
      <c r="A2688" t="s">
        <v>244</v>
      </c>
      <c r="B2688" t="s">
        <v>237</v>
      </c>
      <c r="C2688" t="s">
        <v>238</v>
      </c>
      <c r="D2688" t="s">
        <v>269</v>
      </c>
      <c r="E2688" t="s">
        <v>228</v>
      </c>
      <c r="F2688">
        <v>2015</v>
      </c>
      <c r="G2688">
        <v>1.71435718309859E-3</v>
      </c>
      <c r="H2688" t="s">
        <v>240</v>
      </c>
      <c r="I2688" t="s">
        <v>241</v>
      </c>
      <c r="J2688" t="s">
        <v>245</v>
      </c>
      <c r="K2688" s="183">
        <f ca="1">VLOOKUP(F2688,
    OFFSET(INDIRECT(ADDRESS(MATCH(J2688,'Vehicle numbers'!$A$5:$A$162,0),1,1,1,$L$6)),4,1,COUNTIF('Vehicle numbers'!$A$5:$A$162,J2688),4),
    MATCH(K$8,'Vehicle numbers'!$B$4:$D$4,0))*1000</f>
        <v>276338</v>
      </c>
      <c r="L2688" s="183">
        <f ca="1">VLOOKUP(F2688,
    OFFSET(INDIRECT(ADDRESS(MATCH(J2688,'Vehicle numbers'!$A$5:$A$162,0),1,1,1,$L$6)),4,1,COUNTIF('Vehicle numbers'!$A$5:$A$162,J2688),4),
    MATCH(L$8,'Vehicle numbers'!$B$4:$D$4,0))*1000</f>
        <v>290154</v>
      </c>
      <c r="M2688" s="184">
        <f ca="1">VLOOKUP(F2688,'Annual distance covered (GB)'!$A$8:$H$33,MATCH(J2688,'Annual distance covered (GB)'!$A$7:$H$7,0))</f>
        <v>12.8</v>
      </c>
      <c r="N2688" s="2">
        <f t="shared" ca="1" si="96"/>
        <v>23040.889072589696</v>
      </c>
      <c r="O2688" s="180">
        <f t="shared" ca="1" si="97"/>
        <v>7.9409172620710719E-2</v>
      </c>
      <c r="P2688" s="180"/>
      <c r="Q2688" s="180"/>
      <c r="R2688" s="180"/>
      <c r="S2688" s="180"/>
      <c r="T2688" s="180"/>
    </row>
    <row r="2689" spans="1:20" x14ac:dyDescent="0.25">
      <c r="A2689" t="s">
        <v>246</v>
      </c>
      <c r="B2689" t="s">
        <v>237</v>
      </c>
      <c r="C2689" t="s">
        <v>238</v>
      </c>
      <c r="D2689" t="s">
        <v>269</v>
      </c>
      <c r="E2689" t="s">
        <v>228</v>
      </c>
      <c r="F2689">
        <v>2015</v>
      </c>
      <c r="G2689">
        <v>1.37148574647887E-3</v>
      </c>
      <c r="H2689" t="s">
        <v>240</v>
      </c>
      <c r="I2689" t="s">
        <v>241</v>
      </c>
      <c r="J2689" t="s">
        <v>245</v>
      </c>
      <c r="K2689" s="183">
        <f ca="1">VLOOKUP(F2689,
    OFFSET(INDIRECT(ADDRESS(MATCH(J2689,'Vehicle numbers'!$A$5:$A$162,0),1,1,1,$L$6)),4,1,COUNTIF('Vehicle numbers'!$A$5:$A$162,J2689),4),
    MATCH(K$8,'Vehicle numbers'!$B$4:$D$4,0))*1000</f>
        <v>276338</v>
      </c>
      <c r="L2689" s="183">
        <f ca="1">VLOOKUP(F2689,
    OFFSET(INDIRECT(ADDRESS(MATCH(J2689,'Vehicle numbers'!$A$5:$A$162,0),1,1,1,$L$6)),4,1,COUNTIF('Vehicle numbers'!$A$5:$A$162,J2689),4),
    MATCH(L$8,'Vehicle numbers'!$B$4:$D$4,0))*1000</f>
        <v>290154</v>
      </c>
      <c r="M2689" s="184">
        <f ca="1">VLOOKUP(F2689,'Annual distance covered (GB)'!$A$8:$H$33,MATCH(J2689,'Annual distance covered (GB)'!$A$7:$H$7,0))</f>
        <v>12.8</v>
      </c>
      <c r="N2689" s="2">
        <f t="shared" ca="1" si="96"/>
        <v>18432.711258071726</v>
      </c>
      <c r="O2689" s="180">
        <f t="shared" ca="1" si="97"/>
        <v>6.3527338096568464E-2</v>
      </c>
      <c r="P2689" s="180"/>
      <c r="Q2689" s="180"/>
      <c r="R2689" s="180"/>
      <c r="S2689" s="180"/>
      <c r="T2689" s="180"/>
    </row>
    <row r="2690" spans="1:20" x14ac:dyDescent="0.25">
      <c r="A2690" t="s">
        <v>236</v>
      </c>
      <c r="B2690" t="s">
        <v>237</v>
      </c>
      <c r="C2690" t="s">
        <v>238</v>
      </c>
      <c r="D2690" t="s">
        <v>270</v>
      </c>
      <c r="E2690" t="s">
        <v>229</v>
      </c>
      <c r="F2690">
        <v>2015</v>
      </c>
      <c r="G2690">
        <v>5.0995000000000103E-2</v>
      </c>
      <c r="H2690" t="s">
        <v>240</v>
      </c>
      <c r="I2690" t="s">
        <v>241</v>
      </c>
      <c r="J2690" t="s">
        <v>245</v>
      </c>
      <c r="K2690" s="183">
        <f ca="1">VLOOKUP(F2690,
    OFFSET(INDIRECT(ADDRESS(MATCH(J2690,'Vehicle numbers'!$A$5:$A$162,0),1,1,1,$L$6)),4,1,COUNTIF('Vehicle numbers'!$A$5:$A$162,J2690),4),
    MATCH(K$8,'Vehicle numbers'!$B$4:$D$4,0))*1000</f>
        <v>276338</v>
      </c>
      <c r="L2690" s="183">
        <f ca="1">VLOOKUP(F2690,
    OFFSET(INDIRECT(ADDRESS(MATCH(J2690,'Vehicle numbers'!$A$5:$A$162,0),1,1,1,$L$6)),4,1,COUNTIF('Vehicle numbers'!$A$5:$A$162,J2690),4),
    MATCH(L$8,'Vehicle numbers'!$B$4:$D$4,0))*1000</f>
        <v>290154</v>
      </c>
      <c r="M2690" s="184">
        <f ca="1">VLOOKUP(F2690,'Annual distance covered (GB)'!$A$8:$H$33,MATCH(J2690,'Annual distance covered (GB)'!$A$7:$H$7,0))</f>
        <v>12.8</v>
      </c>
      <c r="N2690" s="2">
        <f t="shared" ca="1" si="96"/>
        <v>685370.67411648191</v>
      </c>
      <c r="O2690" s="180">
        <f t="shared" ca="1" si="97"/>
        <v>2.3620927993978436</v>
      </c>
      <c r="P2690" s="180"/>
      <c r="Q2690" s="180"/>
      <c r="R2690" s="180"/>
      <c r="S2690" s="180"/>
      <c r="T2690" s="180"/>
    </row>
    <row r="2691" spans="1:20" x14ac:dyDescent="0.25">
      <c r="A2691" t="s">
        <v>243</v>
      </c>
      <c r="B2691" t="s">
        <v>237</v>
      </c>
      <c r="C2691" t="s">
        <v>238</v>
      </c>
      <c r="D2691" t="s">
        <v>270</v>
      </c>
      <c r="E2691" t="s">
        <v>229</v>
      </c>
      <c r="F2691">
        <v>2015</v>
      </c>
      <c r="G2691">
        <v>2.0397999999999999E-2</v>
      </c>
      <c r="H2691" t="s">
        <v>240</v>
      </c>
      <c r="I2691" t="s">
        <v>241</v>
      </c>
      <c r="J2691" t="s">
        <v>245</v>
      </c>
      <c r="K2691" s="183">
        <f ca="1">VLOOKUP(F2691,
    OFFSET(INDIRECT(ADDRESS(MATCH(J2691,'Vehicle numbers'!$A$5:$A$162,0),1,1,1,$L$6)),4,1,COUNTIF('Vehicle numbers'!$A$5:$A$162,J2691),4),
    MATCH(K$8,'Vehicle numbers'!$B$4:$D$4,0))*1000</f>
        <v>276338</v>
      </c>
      <c r="L2691" s="183">
        <f ca="1">VLOOKUP(F2691,
    OFFSET(INDIRECT(ADDRESS(MATCH(J2691,'Vehicle numbers'!$A$5:$A$162,0),1,1,1,$L$6)),4,1,COUNTIF('Vehicle numbers'!$A$5:$A$162,J2691),4),
    MATCH(L$8,'Vehicle numbers'!$B$4:$D$4,0))*1000</f>
        <v>290154</v>
      </c>
      <c r="M2691" s="184">
        <f ca="1">VLOOKUP(F2691,'Annual distance covered (GB)'!$A$8:$H$33,MATCH(J2691,'Annual distance covered (GB)'!$A$7:$H$7,0))</f>
        <v>12.8</v>
      </c>
      <c r="N2691" s="2">
        <f t="shared" ca="1" si="96"/>
        <v>274148.26964659221</v>
      </c>
      <c r="O2691" s="180">
        <f t="shared" ca="1" si="97"/>
        <v>0.94483711975913554</v>
      </c>
      <c r="P2691" s="180"/>
      <c r="Q2691" s="180"/>
      <c r="R2691" s="180"/>
      <c r="S2691" s="180"/>
      <c r="T2691" s="180"/>
    </row>
    <row r="2692" spans="1:20" x14ac:dyDescent="0.25">
      <c r="A2692" t="s">
        <v>244</v>
      </c>
      <c r="B2692" t="s">
        <v>237</v>
      </c>
      <c r="C2692" t="s">
        <v>238</v>
      </c>
      <c r="D2692" t="s">
        <v>270</v>
      </c>
      <c r="E2692" t="s">
        <v>229</v>
      </c>
      <c r="F2692">
        <v>2015</v>
      </c>
      <c r="G2692">
        <v>5.0994999999999999E-3</v>
      </c>
      <c r="H2692" t="s">
        <v>240</v>
      </c>
      <c r="I2692" t="s">
        <v>241</v>
      </c>
      <c r="J2692" t="s">
        <v>245</v>
      </c>
      <c r="K2692" s="183">
        <f ca="1">VLOOKUP(F2692,
    OFFSET(INDIRECT(ADDRESS(MATCH(J2692,'Vehicle numbers'!$A$5:$A$162,0),1,1,1,$L$6)),4,1,COUNTIF('Vehicle numbers'!$A$5:$A$162,J2692),4),
    MATCH(K$8,'Vehicle numbers'!$B$4:$D$4,0))*1000</f>
        <v>276338</v>
      </c>
      <c r="L2692" s="183">
        <f ca="1">VLOOKUP(F2692,
    OFFSET(INDIRECT(ADDRESS(MATCH(J2692,'Vehicle numbers'!$A$5:$A$162,0),1,1,1,$L$6)),4,1,COUNTIF('Vehicle numbers'!$A$5:$A$162,J2692),4),
    MATCH(L$8,'Vehicle numbers'!$B$4:$D$4,0))*1000</f>
        <v>290154</v>
      </c>
      <c r="M2692" s="184">
        <f ca="1">VLOOKUP(F2692,'Annual distance covered (GB)'!$A$8:$H$33,MATCH(J2692,'Annual distance covered (GB)'!$A$7:$H$7,0))</f>
        <v>12.8</v>
      </c>
      <c r="N2692" s="2">
        <f t="shared" ca="1" si="96"/>
        <v>68537.067411648051</v>
      </c>
      <c r="O2692" s="180">
        <f t="shared" ca="1" si="97"/>
        <v>0.23620927993978388</v>
      </c>
      <c r="P2692" s="180"/>
      <c r="Q2692" s="180"/>
      <c r="R2692" s="180"/>
      <c r="S2692" s="180"/>
      <c r="T2692" s="180"/>
    </row>
    <row r="2693" spans="1:20" x14ac:dyDescent="0.25">
      <c r="A2693" t="s">
        <v>246</v>
      </c>
      <c r="B2693" t="s">
        <v>237</v>
      </c>
      <c r="C2693" t="s">
        <v>238</v>
      </c>
      <c r="D2693" t="s">
        <v>270</v>
      </c>
      <c r="E2693" t="s">
        <v>229</v>
      </c>
      <c r="F2693">
        <v>2015</v>
      </c>
      <c r="G2693">
        <v>4.0796000000000001E-3</v>
      </c>
      <c r="H2693" t="s">
        <v>240</v>
      </c>
      <c r="I2693" t="s">
        <v>241</v>
      </c>
      <c r="J2693" t="s">
        <v>245</v>
      </c>
      <c r="K2693" s="183">
        <f ca="1">VLOOKUP(F2693,
    OFFSET(INDIRECT(ADDRESS(MATCH(J2693,'Vehicle numbers'!$A$5:$A$162,0),1,1,1,$L$6)),4,1,COUNTIF('Vehicle numbers'!$A$5:$A$162,J2693),4),
    MATCH(K$8,'Vehicle numbers'!$B$4:$D$4,0))*1000</f>
        <v>276338</v>
      </c>
      <c r="L2693" s="183">
        <f ca="1">VLOOKUP(F2693,
    OFFSET(INDIRECT(ADDRESS(MATCH(J2693,'Vehicle numbers'!$A$5:$A$162,0),1,1,1,$L$6)),4,1,COUNTIF('Vehicle numbers'!$A$5:$A$162,J2693),4),
    MATCH(L$8,'Vehicle numbers'!$B$4:$D$4,0))*1000</f>
        <v>290154</v>
      </c>
      <c r="M2693" s="184">
        <f ca="1">VLOOKUP(F2693,'Annual distance covered (GB)'!$A$8:$H$33,MATCH(J2693,'Annual distance covered (GB)'!$A$7:$H$7,0))</f>
        <v>12.8</v>
      </c>
      <c r="N2693" s="2">
        <f t="shared" ca="1" si="96"/>
        <v>54829.653929318447</v>
      </c>
      <c r="O2693" s="180">
        <f t="shared" ca="1" si="97"/>
        <v>0.18896742395182711</v>
      </c>
      <c r="P2693" s="180"/>
      <c r="Q2693" s="180"/>
      <c r="R2693" s="180"/>
      <c r="S2693" s="180"/>
      <c r="T2693" s="180"/>
    </row>
    <row r="2694" spans="1:20" x14ac:dyDescent="0.25">
      <c r="A2694" t="s">
        <v>236</v>
      </c>
      <c r="B2694" t="s">
        <v>237</v>
      </c>
      <c r="C2694" t="s">
        <v>238</v>
      </c>
      <c r="D2694" t="s">
        <v>270</v>
      </c>
      <c r="E2694" t="s">
        <v>228</v>
      </c>
      <c r="F2694">
        <v>2015</v>
      </c>
      <c r="G2694">
        <v>2.0737760000000001E-2</v>
      </c>
      <c r="H2694" t="s">
        <v>240</v>
      </c>
      <c r="I2694" t="s">
        <v>241</v>
      </c>
      <c r="J2694" t="s">
        <v>245</v>
      </c>
      <c r="K2694" s="183">
        <f ca="1">VLOOKUP(F2694,
    OFFSET(INDIRECT(ADDRESS(MATCH(J2694,'Vehicle numbers'!$A$5:$A$162,0),1,1,1,$L$6)),4,1,COUNTIF('Vehicle numbers'!$A$5:$A$162,J2694),4),
    MATCH(K$8,'Vehicle numbers'!$B$4:$D$4,0))*1000</f>
        <v>276338</v>
      </c>
      <c r="L2694" s="183">
        <f ca="1">VLOOKUP(F2694,
    OFFSET(INDIRECT(ADDRESS(MATCH(J2694,'Vehicle numbers'!$A$5:$A$162,0),1,1,1,$L$6)),4,1,COUNTIF('Vehicle numbers'!$A$5:$A$162,J2694),4),
    MATCH(L$8,'Vehicle numbers'!$B$4:$D$4,0))*1000</f>
        <v>290154</v>
      </c>
      <c r="M2694" s="184">
        <f ca="1">VLOOKUP(F2694,'Annual distance covered (GB)'!$A$8:$H$33,MATCH(J2694,'Annual distance covered (GB)'!$A$7:$H$7,0))</f>
        <v>12.8</v>
      </c>
      <c r="N2694" s="2">
        <f t="shared" ca="1" si="96"/>
        <v>278714.62988265103</v>
      </c>
      <c r="O2694" s="180">
        <f t="shared" ca="1" si="97"/>
        <v>0.96057483227062535</v>
      </c>
      <c r="P2694" s="180"/>
      <c r="Q2694" s="180"/>
      <c r="R2694" s="180"/>
      <c r="S2694" s="180"/>
      <c r="T2694" s="180"/>
    </row>
    <row r="2695" spans="1:20" x14ac:dyDescent="0.25">
      <c r="A2695" t="s">
        <v>243</v>
      </c>
      <c r="B2695" t="s">
        <v>237</v>
      </c>
      <c r="C2695" t="s">
        <v>238</v>
      </c>
      <c r="D2695" t="s">
        <v>270</v>
      </c>
      <c r="E2695" t="s">
        <v>228</v>
      </c>
      <c r="F2695">
        <v>2015</v>
      </c>
      <c r="G2695">
        <v>1.4516431999999999E-2</v>
      </c>
      <c r="H2695" t="s">
        <v>240</v>
      </c>
      <c r="I2695" t="s">
        <v>241</v>
      </c>
      <c r="J2695" t="s">
        <v>245</v>
      </c>
      <c r="K2695" s="183">
        <f ca="1">VLOOKUP(F2695,
    OFFSET(INDIRECT(ADDRESS(MATCH(J2695,'Vehicle numbers'!$A$5:$A$162,0),1,1,1,$L$6)),4,1,COUNTIF('Vehicle numbers'!$A$5:$A$162,J2695),4),
    MATCH(K$8,'Vehicle numbers'!$B$4:$D$4,0))*1000</f>
        <v>276338</v>
      </c>
      <c r="L2695" s="183">
        <f ca="1">VLOOKUP(F2695,
    OFFSET(INDIRECT(ADDRESS(MATCH(J2695,'Vehicle numbers'!$A$5:$A$162,0),1,1,1,$L$6)),4,1,COUNTIF('Vehicle numbers'!$A$5:$A$162,J2695),4),
    MATCH(L$8,'Vehicle numbers'!$B$4:$D$4,0))*1000</f>
        <v>290154</v>
      </c>
      <c r="M2695" s="184">
        <f ca="1">VLOOKUP(F2695,'Annual distance covered (GB)'!$A$8:$H$33,MATCH(J2695,'Annual distance covered (GB)'!$A$7:$H$7,0))</f>
        <v>12.8</v>
      </c>
      <c r="N2695" s="2">
        <f t="shared" ca="1" si="96"/>
        <v>195100.24091785567</v>
      </c>
      <c r="O2695" s="180">
        <f t="shared" ca="1" si="97"/>
        <v>0.67240238258943752</v>
      </c>
      <c r="P2695" s="180"/>
      <c r="Q2695" s="180"/>
      <c r="R2695" s="180"/>
      <c r="S2695" s="180"/>
      <c r="T2695" s="180"/>
    </row>
    <row r="2696" spans="1:20" x14ac:dyDescent="0.25">
      <c r="A2696" t="s">
        <v>244</v>
      </c>
      <c r="B2696" t="s">
        <v>237</v>
      </c>
      <c r="C2696" t="s">
        <v>238</v>
      </c>
      <c r="D2696" t="s">
        <v>270</v>
      </c>
      <c r="E2696" t="s">
        <v>228</v>
      </c>
      <c r="F2696">
        <v>2015</v>
      </c>
      <c r="G2696">
        <v>2.0445678873239402E-3</v>
      </c>
      <c r="H2696" t="s">
        <v>240</v>
      </c>
      <c r="I2696" t="s">
        <v>241</v>
      </c>
      <c r="J2696" t="s">
        <v>245</v>
      </c>
      <c r="K2696" s="183">
        <f ca="1">VLOOKUP(F2696,
    OFFSET(INDIRECT(ADDRESS(MATCH(J2696,'Vehicle numbers'!$A$5:$A$162,0),1,1,1,$L$6)),4,1,COUNTIF('Vehicle numbers'!$A$5:$A$162,J2696),4),
    MATCH(K$8,'Vehicle numbers'!$B$4:$D$4,0))*1000</f>
        <v>276338</v>
      </c>
      <c r="L2696" s="183">
        <f ca="1">VLOOKUP(F2696,
    OFFSET(INDIRECT(ADDRESS(MATCH(J2696,'Vehicle numbers'!$A$5:$A$162,0),1,1,1,$L$6)),4,1,COUNTIF('Vehicle numbers'!$A$5:$A$162,J2696),4),
    MATCH(L$8,'Vehicle numbers'!$B$4:$D$4,0))*1000</f>
        <v>290154</v>
      </c>
      <c r="M2696" s="184">
        <f ca="1">VLOOKUP(F2696,'Annual distance covered (GB)'!$A$8:$H$33,MATCH(J2696,'Annual distance covered (GB)'!$A$7:$H$7,0))</f>
        <v>12.8</v>
      </c>
      <c r="N2696" s="2">
        <f t="shared" ca="1" si="96"/>
        <v>27478.907171528925</v>
      </c>
      <c r="O2696" s="180">
        <f t="shared" ca="1" si="97"/>
        <v>9.4704560928089654E-2</v>
      </c>
      <c r="P2696" s="180"/>
      <c r="Q2696" s="180"/>
      <c r="R2696" s="180"/>
      <c r="S2696" s="180"/>
      <c r="T2696" s="180"/>
    </row>
    <row r="2697" spans="1:20" x14ac:dyDescent="0.25">
      <c r="A2697" t="s">
        <v>246</v>
      </c>
      <c r="B2697" t="s">
        <v>237</v>
      </c>
      <c r="C2697" t="s">
        <v>238</v>
      </c>
      <c r="D2697" t="s">
        <v>270</v>
      </c>
      <c r="E2697" t="s">
        <v>228</v>
      </c>
      <c r="F2697">
        <v>2015</v>
      </c>
      <c r="G2697">
        <v>1.6356543098591499E-3</v>
      </c>
      <c r="H2697" t="s">
        <v>240</v>
      </c>
      <c r="I2697" t="s">
        <v>241</v>
      </c>
      <c r="J2697" t="s">
        <v>245</v>
      </c>
      <c r="K2697" s="183">
        <f ca="1">VLOOKUP(F2697,
    OFFSET(INDIRECT(ADDRESS(MATCH(J2697,'Vehicle numbers'!$A$5:$A$162,0),1,1,1,$L$6)),4,1,COUNTIF('Vehicle numbers'!$A$5:$A$162,J2697),4),
    MATCH(K$8,'Vehicle numbers'!$B$4:$D$4,0))*1000</f>
        <v>276338</v>
      </c>
      <c r="L2697" s="183">
        <f ca="1">VLOOKUP(F2697,
    OFFSET(INDIRECT(ADDRESS(MATCH(J2697,'Vehicle numbers'!$A$5:$A$162,0),1,1,1,$L$6)),4,1,COUNTIF('Vehicle numbers'!$A$5:$A$162,J2697),4),
    MATCH(L$8,'Vehicle numbers'!$B$4:$D$4,0))*1000</f>
        <v>290154</v>
      </c>
      <c r="M2697" s="184">
        <f ca="1">VLOOKUP(F2697,'Annual distance covered (GB)'!$A$8:$H$33,MATCH(J2697,'Annual distance covered (GB)'!$A$7:$H$7,0))</f>
        <v>12.8</v>
      </c>
      <c r="N2697" s="2">
        <f t="shared" ca="1" si="96"/>
        <v>21983.125737223108</v>
      </c>
      <c r="O2697" s="180">
        <f t="shared" ca="1" si="97"/>
        <v>7.5763648742471615E-2</v>
      </c>
      <c r="P2697" s="180"/>
      <c r="Q2697" s="180"/>
      <c r="R2697" s="180"/>
      <c r="S2697" s="180"/>
      <c r="T2697" s="180"/>
    </row>
    <row r="2698" spans="1:20" x14ac:dyDescent="0.25">
      <c r="A2698" t="s">
        <v>236</v>
      </c>
      <c r="B2698" t="s">
        <v>237</v>
      </c>
      <c r="C2698" t="s">
        <v>238</v>
      </c>
      <c r="D2698" t="s">
        <v>257</v>
      </c>
      <c r="E2698" t="s">
        <v>229</v>
      </c>
      <c r="F2698">
        <v>2015</v>
      </c>
      <c r="G2698">
        <v>2.1209999999999901E-3</v>
      </c>
      <c r="H2698" t="s">
        <v>240</v>
      </c>
      <c r="I2698" t="s">
        <v>241</v>
      </c>
      <c r="J2698" t="s">
        <v>188</v>
      </c>
      <c r="K2698" s="183">
        <f ca="1">VLOOKUP(F2698,
    OFFSET(INDIRECT(ADDRESS(MATCH(J2698,'Vehicle numbers'!$A$5:$A$162,0),1,1,1,$L$6)),4,1,COUNTIF('Vehicle numbers'!$A$5:$A$162,J2698),4),
    MATCH(K$8,'Vehicle numbers'!$B$4:$D$4,0))*1000</f>
        <v>3633578</v>
      </c>
      <c r="L2698" s="183">
        <f ca="1">VLOOKUP(F2698,
    OFFSET(INDIRECT(ADDRESS(MATCH(J2698,'Vehicle numbers'!$A$5:$A$162,0),1,1,1,$L$6)),4,1,COUNTIF('Vehicle numbers'!$A$5:$A$162,J2698),4),
    MATCH(L$8,'Vehicle numbers'!$B$4:$D$4,0))*1000</f>
        <v>3736036</v>
      </c>
      <c r="M2698" s="184">
        <f>VLOOKUP(F2698,'Annual distance covered (GB)'!$A$8:$H$33,MATCH(J2698,'Annual distance covered (GB)'!$A$7:$H$7,0))</f>
        <v>78.7</v>
      </c>
      <c r="N2698" s="2">
        <f t="shared" ca="1" si="96"/>
        <v>171629.51130186199</v>
      </c>
      <c r="O2698" s="180">
        <f t="shared" ca="1" si="97"/>
        <v>4.5938934020406115E-2</v>
      </c>
      <c r="P2698" s="180"/>
      <c r="Q2698" s="180"/>
      <c r="R2698" s="180"/>
      <c r="S2698" s="180"/>
      <c r="T2698" s="180"/>
    </row>
    <row r="2699" spans="1:20" x14ac:dyDescent="0.25">
      <c r="A2699" t="s">
        <v>243</v>
      </c>
      <c r="B2699" t="s">
        <v>237</v>
      </c>
      <c r="C2699" t="s">
        <v>238</v>
      </c>
      <c r="D2699" t="s">
        <v>257</v>
      </c>
      <c r="E2699" t="s">
        <v>229</v>
      </c>
      <c r="F2699">
        <v>2015</v>
      </c>
      <c r="G2699">
        <v>8.4839999999999601E-4</v>
      </c>
      <c r="H2699" t="s">
        <v>240</v>
      </c>
      <c r="I2699" t="s">
        <v>241</v>
      </c>
      <c r="J2699" t="s">
        <v>188</v>
      </c>
      <c r="K2699" s="183">
        <f ca="1">VLOOKUP(F2699,
    OFFSET(INDIRECT(ADDRESS(MATCH(J2699,'Vehicle numbers'!$A$5:$A$162,0),1,1,1,$L$6)),4,1,COUNTIF('Vehicle numbers'!$A$5:$A$162,J2699),4),
    MATCH(K$8,'Vehicle numbers'!$B$4:$D$4,0))*1000</f>
        <v>3633578</v>
      </c>
      <c r="L2699" s="183">
        <f ca="1">VLOOKUP(F2699,
    OFFSET(INDIRECT(ADDRESS(MATCH(J2699,'Vehicle numbers'!$A$5:$A$162,0),1,1,1,$L$6)),4,1,COUNTIF('Vehicle numbers'!$A$5:$A$162,J2699),4),
    MATCH(L$8,'Vehicle numbers'!$B$4:$D$4,0))*1000</f>
        <v>3736036</v>
      </c>
      <c r="M2699" s="184">
        <f>VLOOKUP(F2699,'Annual distance covered (GB)'!$A$8:$H$33,MATCH(J2699,'Annual distance covered (GB)'!$A$7:$H$7,0))</f>
        <v>78.7</v>
      </c>
      <c r="N2699" s="2">
        <f t="shared" ref="N2699:N2762" ca="1" si="98">M2699*G2699*1000000*(L2699/K2699)</f>
        <v>68651.804520744801</v>
      </c>
      <c r="O2699" s="180">
        <f t="shared" ref="O2699:O2762" ca="1" si="99">N2699/L2699</f>
        <v>1.837557360816245E-2</v>
      </c>
      <c r="P2699" s="180"/>
      <c r="Q2699" s="180"/>
      <c r="R2699" s="180"/>
      <c r="S2699" s="180"/>
      <c r="T2699" s="180"/>
    </row>
    <row r="2700" spans="1:20" x14ac:dyDescent="0.25">
      <c r="A2700" t="s">
        <v>244</v>
      </c>
      <c r="B2700" t="s">
        <v>237</v>
      </c>
      <c r="C2700" t="s">
        <v>238</v>
      </c>
      <c r="D2700" t="s">
        <v>257</v>
      </c>
      <c r="E2700" t="s">
        <v>229</v>
      </c>
      <c r="F2700">
        <v>2015</v>
      </c>
      <c r="G2700">
        <v>2.12099999999999E-4</v>
      </c>
      <c r="H2700" t="s">
        <v>240</v>
      </c>
      <c r="I2700" t="s">
        <v>241</v>
      </c>
      <c r="J2700" t="s">
        <v>188</v>
      </c>
      <c r="K2700" s="183">
        <f ca="1">VLOOKUP(F2700,
    OFFSET(INDIRECT(ADDRESS(MATCH(J2700,'Vehicle numbers'!$A$5:$A$162,0),1,1,1,$L$6)),4,1,COUNTIF('Vehicle numbers'!$A$5:$A$162,J2700),4),
    MATCH(K$8,'Vehicle numbers'!$B$4:$D$4,0))*1000</f>
        <v>3633578</v>
      </c>
      <c r="L2700" s="183">
        <f ca="1">VLOOKUP(F2700,
    OFFSET(INDIRECT(ADDRESS(MATCH(J2700,'Vehicle numbers'!$A$5:$A$162,0),1,1,1,$L$6)),4,1,COUNTIF('Vehicle numbers'!$A$5:$A$162,J2700),4),
    MATCH(L$8,'Vehicle numbers'!$B$4:$D$4,0))*1000</f>
        <v>3736036</v>
      </c>
      <c r="M2700" s="184">
        <f>VLOOKUP(F2700,'Annual distance covered (GB)'!$A$8:$H$33,MATCH(J2700,'Annual distance covered (GB)'!$A$7:$H$7,0))</f>
        <v>78.7</v>
      </c>
      <c r="N2700" s="2">
        <f t="shared" ca="1" si="98"/>
        <v>17162.9511301862</v>
      </c>
      <c r="O2700" s="180">
        <f t="shared" ca="1" si="99"/>
        <v>4.5938934020406125E-3</v>
      </c>
      <c r="P2700" s="180"/>
      <c r="Q2700" s="180"/>
      <c r="R2700" s="180"/>
      <c r="S2700" s="180"/>
      <c r="T2700" s="180"/>
    </row>
    <row r="2701" spans="1:20" x14ac:dyDescent="0.25">
      <c r="A2701" t="s">
        <v>246</v>
      </c>
      <c r="B2701" t="s">
        <v>237</v>
      </c>
      <c r="C2701" t="s">
        <v>238</v>
      </c>
      <c r="D2701" t="s">
        <v>257</v>
      </c>
      <c r="E2701" t="s">
        <v>229</v>
      </c>
      <c r="F2701">
        <v>2015</v>
      </c>
      <c r="G2701">
        <v>1.6967999999999901E-4</v>
      </c>
      <c r="H2701" t="s">
        <v>240</v>
      </c>
      <c r="I2701" t="s">
        <v>241</v>
      </c>
      <c r="J2701" t="s">
        <v>188</v>
      </c>
      <c r="K2701" s="183">
        <f ca="1">VLOOKUP(F2701,
    OFFSET(INDIRECT(ADDRESS(MATCH(J2701,'Vehicle numbers'!$A$5:$A$162,0),1,1,1,$L$6)),4,1,COUNTIF('Vehicle numbers'!$A$5:$A$162,J2701),4),
    MATCH(K$8,'Vehicle numbers'!$B$4:$D$4,0))*1000</f>
        <v>3633578</v>
      </c>
      <c r="L2701" s="183">
        <f ca="1">VLOOKUP(F2701,
    OFFSET(INDIRECT(ADDRESS(MATCH(J2701,'Vehicle numbers'!$A$5:$A$162,0),1,1,1,$L$6)),4,1,COUNTIF('Vehicle numbers'!$A$5:$A$162,J2701),4),
    MATCH(L$8,'Vehicle numbers'!$B$4:$D$4,0))*1000</f>
        <v>3736036</v>
      </c>
      <c r="M2701" s="184">
        <f>VLOOKUP(F2701,'Annual distance covered (GB)'!$A$8:$H$33,MATCH(J2701,'Annual distance covered (GB)'!$A$7:$H$7,0))</f>
        <v>78.7</v>
      </c>
      <c r="N2701" s="2">
        <f t="shared" ca="1" si="98"/>
        <v>13730.360904148944</v>
      </c>
      <c r="O2701" s="180">
        <f t="shared" ca="1" si="99"/>
        <v>3.6751147216324853E-3</v>
      </c>
      <c r="P2701" s="180"/>
      <c r="Q2701" s="180"/>
      <c r="R2701" s="180"/>
      <c r="S2701" s="180"/>
      <c r="T2701" s="180"/>
    </row>
    <row r="2702" spans="1:20" x14ac:dyDescent="0.25">
      <c r="A2702" t="s">
        <v>236</v>
      </c>
      <c r="B2702" t="s">
        <v>237</v>
      </c>
      <c r="C2702" t="s">
        <v>238</v>
      </c>
      <c r="D2702" t="s">
        <v>257</v>
      </c>
      <c r="E2702" t="s">
        <v>228</v>
      </c>
      <c r="F2702">
        <v>2015</v>
      </c>
      <c r="G2702">
        <v>9.1459999999999805E-3</v>
      </c>
      <c r="H2702" t="s">
        <v>240</v>
      </c>
      <c r="I2702" t="s">
        <v>241</v>
      </c>
      <c r="J2702" t="s">
        <v>188</v>
      </c>
      <c r="K2702" s="183">
        <f ca="1">VLOOKUP(F2702,
    OFFSET(INDIRECT(ADDRESS(MATCH(J2702,'Vehicle numbers'!$A$5:$A$162,0),1,1,1,$L$6)),4,1,COUNTIF('Vehicle numbers'!$A$5:$A$162,J2702),4),
    MATCH(K$8,'Vehicle numbers'!$B$4:$D$4,0))*1000</f>
        <v>3633578</v>
      </c>
      <c r="L2702" s="183">
        <f ca="1">VLOOKUP(F2702,
    OFFSET(INDIRECT(ADDRESS(MATCH(J2702,'Vehicle numbers'!$A$5:$A$162,0),1,1,1,$L$6)),4,1,COUNTIF('Vehicle numbers'!$A$5:$A$162,J2702),4),
    MATCH(L$8,'Vehicle numbers'!$B$4:$D$4,0))*1000</f>
        <v>3736036</v>
      </c>
      <c r="M2702" s="184">
        <f>VLOOKUP(F2702,'Annual distance covered (GB)'!$A$8:$H$33,MATCH(J2702,'Annual distance covered (GB)'!$A$7:$H$7,0))</f>
        <v>78.7</v>
      </c>
      <c r="N2702" s="2">
        <f t="shared" ca="1" si="98"/>
        <v>740086.52068214689</v>
      </c>
      <c r="O2702" s="180">
        <f t="shared" ca="1" si="99"/>
        <v>0.1980940549507946</v>
      </c>
      <c r="P2702" s="180"/>
      <c r="Q2702" s="180"/>
      <c r="R2702" s="180"/>
      <c r="S2702" s="180"/>
      <c r="T2702" s="180"/>
    </row>
    <row r="2703" spans="1:20" x14ac:dyDescent="0.25">
      <c r="A2703" t="s">
        <v>243</v>
      </c>
      <c r="B2703" t="s">
        <v>237</v>
      </c>
      <c r="C2703" t="s">
        <v>238</v>
      </c>
      <c r="D2703" t="s">
        <v>257</v>
      </c>
      <c r="E2703" t="s">
        <v>228</v>
      </c>
      <c r="F2703">
        <v>2015</v>
      </c>
      <c r="G2703">
        <v>6.4021999999999898E-3</v>
      </c>
      <c r="H2703" t="s">
        <v>240</v>
      </c>
      <c r="I2703" t="s">
        <v>241</v>
      </c>
      <c r="J2703" t="s">
        <v>188</v>
      </c>
      <c r="K2703" s="183">
        <f ca="1">VLOOKUP(F2703,
    OFFSET(INDIRECT(ADDRESS(MATCH(J2703,'Vehicle numbers'!$A$5:$A$162,0),1,1,1,$L$6)),4,1,COUNTIF('Vehicle numbers'!$A$5:$A$162,J2703),4),
    MATCH(K$8,'Vehicle numbers'!$B$4:$D$4,0))*1000</f>
        <v>3633578</v>
      </c>
      <c r="L2703" s="183">
        <f ca="1">VLOOKUP(F2703,
    OFFSET(INDIRECT(ADDRESS(MATCH(J2703,'Vehicle numbers'!$A$5:$A$162,0),1,1,1,$L$6)),4,1,COUNTIF('Vehicle numbers'!$A$5:$A$162,J2703),4),
    MATCH(L$8,'Vehicle numbers'!$B$4:$D$4,0))*1000</f>
        <v>3736036</v>
      </c>
      <c r="M2703" s="184">
        <f>VLOOKUP(F2703,'Annual distance covered (GB)'!$A$8:$H$33,MATCH(J2703,'Annual distance covered (GB)'!$A$7:$H$7,0))</f>
        <v>78.7</v>
      </c>
      <c r="N2703" s="2">
        <f t="shared" ca="1" si="98"/>
        <v>518060.56447750318</v>
      </c>
      <c r="O2703" s="180">
        <f t="shared" ca="1" si="99"/>
        <v>0.13866583846555633</v>
      </c>
      <c r="P2703" s="180"/>
      <c r="Q2703" s="180"/>
      <c r="R2703" s="180"/>
      <c r="S2703" s="180"/>
      <c r="T2703" s="180"/>
    </row>
    <row r="2704" spans="1:20" x14ac:dyDescent="0.25">
      <c r="A2704" t="s">
        <v>244</v>
      </c>
      <c r="B2704" t="s">
        <v>237</v>
      </c>
      <c r="C2704" t="s">
        <v>238</v>
      </c>
      <c r="D2704" t="s">
        <v>257</v>
      </c>
      <c r="E2704" t="s">
        <v>228</v>
      </c>
      <c r="F2704">
        <v>2015</v>
      </c>
      <c r="G2704">
        <v>9.0171830985915204E-4</v>
      </c>
      <c r="H2704" t="s">
        <v>240</v>
      </c>
      <c r="I2704" t="s">
        <v>241</v>
      </c>
      <c r="J2704" t="s">
        <v>188</v>
      </c>
      <c r="K2704" s="183">
        <f ca="1">VLOOKUP(F2704,
    OFFSET(INDIRECT(ADDRESS(MATCH(J2704,'Vehicle numbers'!$A$5:$A$162,0),1,1,1,$L$6)),4,1,COUNTIF('Vehicle numbers'!$A$5:$A$162,J2704),4),
    MATCH(K$8,'Vehicle numbers'!$B$4:$D$4,0))*1000</f>
        <v>3633578</v>
      </c>
      <c r="L2704" s="183">
        <f ca="1">VLOOKUP(F2704,
    OFFSET(INDIRECT(ADDRESS(MATCH(J2704,'Vehicle numbers'!$A$5:$A$162,0),1,1,1,$L$6)),4,1,COUNTIF('Vehicle numbers'!$A$5:$A$162,J2704),4),
    MATCH(L$8,'Vehicle numbers'!$B$4:$D$4,0))*1000</f>
        <v>3736036</v>
      </c>
      <c r="M2704" s="184">
        <f>VLOOKUP(F2704,'Annual distance covered (GB)'!$A$8:$H$33,MATCH(J2704,'Annual distance covered (GB)'!$A$7:$H$7,0))</f>
        <v>78.7</v>
      </c>
      <c r="N2704" s="2">
        <f t="shared" ca="1" si="98"/>
        <v>72966.276686972167</v>
      </c>
      <c r="O2704" s="180">
        <f t="shared" ca="1" si="99"/>
        <v>1.9530399783881141E-2</v>
      </c>
      <c r="P2704" s="180"/>
      <c r="Q2704" s="180"/>
      <c r="R2704" s="180"/>
      <c r="S2704" s="180"/>
      <c r="T2704" s="180"/>
    </row>
    <row r="2705" spans="1:20" x14ac:dyDescent="0.25">
      <c r="A2705" t="s">
        <v>246</v>
      </c>
      <c r="B2705" t="s">
        <v>237</v>
      </c>
      <c r="C2705" t="s">
        <v>238</v>
      </c>
      <c r="D2705" t="s">
        <v>257</v>
      </c>
      <c r="E2705" t="s">
        <v>228</v>
      </c>
      <c r="F2705">
        <v>2015</v>
      </c>
      <c r="G2705">
        <v>7.2137464788732202E-4</v>
      </c>
      <c r="H2705" t="s">
        <v>240</v>
      </c>
      <c r="I2705" t="s">
        <v>241</v>
      </c>
      <c r="J2705" t="s">
        <v>188</v>
      </c>
      <c r="K2705" s="183">
        <f ca="1">VLOOKUP(F2705,
    OFFSET(INDIRECT(ADDRESS(MATCH(J2705,'Vehicle numbers'!$A$5:$A$162,0),1,1,1,$L$6)),4,1,COUNTIF('Vehicle numbers'!$A$5:$A$162,J2705),4),
    MATCH(K$8,'Vehicle numbers'!$B$4:$D$4,0))*1000</f>
        <v>3633578</v>
      </c>
      <c r="L2705" s="183">
        <f ca="1">VLOOKUP(F2705,
    OFFSET(INDIRECT(ADDRESS(MATCH(J2705,'Vehicle numbers'!$A$5:$A$162,0),1,1,1,$L$6)),4,1,COUNTIF('Vehicle numbers'!$A$5:$A$162,J2705),4),
    MATCH(L$8,'Vehicle numbers'!$B$4:$D$4,0))*1000</f>
        <v>3736036</v>
      </c>
      <c r="M2705" s="184">
        <f>VLOOKUP(F2705,'Annual distance covered (GB)'!$A$8:$H$33,MATCH(J2705,'Annual distance covered (GB)'!$A$7:$H$7,0))</f>
        <v>78.7</v>
      </c>
      <c r="N2705" s="2">
        <f t="shared" ca="1" si="98"/>
        <v>58373.021349577757</v>
      </c>
      <c r="O2705" s="180">
        <f t="shared" ca="1" si="99"/>
        <v>1.562431982710492E-2</v>
      </c>
      <c r="P2705" s="180"/>
      <c r="Q2705" s="180"/>
      <c r="R2705" s="180"/>
      <c r="S2705" s="180"/>
      <c r="T2705" s="180"/>
    </row>
    <row r="2706" spans="1:20" x14ac:dyDescent="0.25">
      <c r="A2706" t="s">
        <v>236</v>
      </c>
      <c r="B2706" t="s">
        <v>237</v>
      </c>
      <c r="C2706" t="s">
        <v>238</v>
      </c>
      <c r="D2706" t="s">
        <v>258</v>
      </c>
      <c r="E2706" t="s">
        <v>229</v>
      </c>
      <c r="F2706">
        <v>2015</v>
      </c>
      <c r="G2706">
        <v>8.6220000000000099E-3</v>
      </c>
      <c r="H2706" t="s">
        <v>240</v>
      </c>
      <c r="I2706" t="s">
        <v>241</v>
      </c>
      <c r="J2706" t="s">
        <v>188</v>
      </c>
      <c r="K2706" s="183">
        <f ca="1">VLOOKUP(F2706,
    OFFSET(INDIRECT(ADDRESS(MATCH(J2706,'Vehicle numbers'!$A$5:$A$162,0),1,1,1,$L$6)),4,1,COUNTIF('Vehicle numbers'!$A$5:$A$162,J2706),4),
    MATCH(K$8,'Vehicle numbers'!$B$4:$D$4,0))*1000</f>
        <v>3633578</v>
      </c>
      <c r="L2706" s="183">
        <f ca="1">VLOOKUP(F2706,
    OFFSET(INDIRECT(ADDRESS(MATCH(J2706,'Vehicle numbers'!$A$5:$A$162,0),1,1,1,$L$6)),4,1,COUNTIF('Vehicle numbers'!$A$5:$A$162,J2706),4),
    MATCH(L$8,'Vehicle numbers'!$B$4:$D$4,0))*1000</f>
        <v>3736036</v>
      </c>
      <c r="M2706" s="184">
        <f>VLOOKUP(F2706,'Annual distance covered (GB)'!$A$8:$H$33,MATCH(J2706,'Annual distance covered (GB)'!$A$7:$H$7,0))</f>
        <v>78.7</v>
      </c>
      <c r="N2706" s="2">
        <f t="shared" ca="1" si="98"/>
        <v>697684.8875269508</v>
      </c>
      <c r="O2706" s="180">
        <f t="shared" ca="1" si="99"/>
        <v>0.18674469077036485</v>
      </c>
      <c r="P2706" s="180"/>
      <c r="Q2706" s="180"/>
      <c r="R2706" s="180"/>
      <c r="S2706" s="180"/>
      <c r="T2706" s="180"/>
    </row>
    <row r="2707" spans="1:20" x14ac:dyDescent="0.25">
      <c r="A2707" t="s">
        <v>243</v>
      </c>
      <c r="B2707" t="s">
        <v>237</v>
      </c>
      <c r="C2707" t="s">
        <v>238</v>
      </c>
      <c r="D2707" t="s">
        <v>258</v>
      </c>
      <c r="E2707" t="s">
        <v>229</v>
      </c>
      <c r="F2707">
        <v>2015</v>
      </c>
      <c r="G2707">
        <v>3.4488000000000001E-3</v>
      </c>
      <c r="H2707" t="s">
        <v>240</v>
      </c>
      <c r="I2707" t="s">
        <v>241</v>
      </c>
      <c r="J2707" t="s">
        <v>188</v>
      </c>
      <c r="K2707" s="183">
        <f ca="1">VLOOKUP(F2707,
    OFFSET(INDIRECT(ADDRESS(MATCH(J2707,'Vehicle numbers'!$A$5:$A$162,0),1,1,1,$L$6)),4,1,COUNTIF('Vehicle numbers'!$A$5:$A$162,J2707),4),
    MATCH(K$8,'Vehicle numbers'!$B$4:$D$4,0))*1000</f>
        <v>3633578</v>
      </c>
      <c r="L2707" s="183">
        <f ca="1">VLOOKUP(F2707,
    OFFSET(INDIRECT(ADDRESS(MATCH(J2707,'Vehicle numbers'!$A$5:$A$162,0),1,1,1,$L$6)),4,1,COUNTIF('Vehicle numbers'!$A$5:$A$162,J2707),4),
    MATCH(L$8,'Vehicle numbers'!$B$4:$D$4,0))*1000</f>
        <v>3736036</v>
      </c>
      <c r="M2707" s="184">
        <f>VLOOKUP(F2707,'Annual distance covered (GB)'!$A$8:$H$33,MATCH(J2707,'Annual distance covered (GB)'!$A$7:$H$7,0))</f>
        <v>78.7</v>
      </c>
      <c r="N2707" s="2">
        <f t="shared" ca="1" si="98"/>
        <v>279073.95501078008</v>
      </c>
      <c r="O2707" s="180">
        <f t="shared" ca="1" si="99"/>
        <v>7.4697876308145866E-2</v>
      </c>
      <c r="P2707" s="180"/>
      <c r="Q2707" s="180"/>
      <c r="R2707" s="180"/>
      <c r="S2707" s="180"/>
      <c r="T2707" s="180"/>
    </row>
    <row r="2708" spans="1:20" x14ac:dyDescent="0.25">
      <c r="A2708" t="s">
        <v>244</v>
      </c>
      <c r="B2708" t="s">
        <v>237</v>
      </c>
      <c r="C2708" t="s">
        <v>238</v>
      </c>
      <c r="D2708" t="s">
        <v>258</v>
      </c>
      <c r="E2708" t="s">
        <v>229</v>
      </c>
      <c r="F2708">
        <v>2015</v>
      </c>
      <c r="G2708">
        <v>8.6220000000000003E-4</v>
      </c>
      <c r="H2708" t="s">
        <v>240</v>
      </c>
      <c r="I2708" t="s">
        <v>241</v>
      </c>
      <c r="J2708" t="s">
        <v>188</v>
      </c>
      <c r="K2708" s="183">
        <f ca="1">VLOOKUP(F2708,
    OFFSET(INDIRECT(ADDRESS(MATCH(J2708,'Vehicle numbers'!$A$5:$A$162,0),1,1,1,$L$6)),4,1,COUNTIF('Vehicle numbers'!$A$5:$A$162,J2708),4),
    MATCH(K$8,'Vehicle numbers'!$B$4:$D$4,0))*1000</f>
        <v>3633578</v>
      </c>
      <c r="L2708" s="183">
        <f ca="1">VLOOKUP(F2708,
    OFFSET(INDIRECT(ADDRESS(MATCH(J2708,'Vehicle numbers'!$A$5:$A$162,0),1,1,1,$L$6)),4,1,COUNTIF('Vehicle numbers'!$A$5:$A$162,J2708),4),
    MATCH(L$8,'Vehicle numbers'!$B$4:$D$4,0))*1000</f>
        <v>3736036</v>
      </c>
      <c r="M2708" s="184">
        <f>VLOOKUP(F2708,'Annual distance covered (GB)'!$A$8:$H$33,MATCH(J2708,'Annual distance covered (GB)'!$A$7:$H$7,0))</f>
        <v>78.7</v>
      </c>
      <c r="N2708" s="2">
        <f t="shared" ca="1" si="98"/>
        <v>69768.488752695019</v>
      </c>
      <c r="O2708" s="180">
        <f t="shared" ca="1" si="99"/>
        <v>1.8674469077036467E-2</v>
      </c>
      <c r="P2708" s="180"/>
      <c r="Q2708" s="180"/>
      <c r="R2708" s="180"/>
      <c r="S2708" s="180"/>
      <c r="T2708" s="180"/>
    </row>
    <row r="2709" spans="1:20" x14ac:dyDescent="0.25">
      <c r="A2709" t="s">
        <v>246</v>
      </c>
      <c r="B2709" t="s">
        <v>237</v>
      </c>
      <c r="C2709" t="s">
        <v>238</v>
      </c>
      <c r="D2709" t="s">
        <v>258</v>
      </c>
      <c r="E2709" t="s">
        <v>229</v>
      </c>
      <c r="F2709">
        <v>2015</v>
      </c>
      <c r="G2709">
        <v>6.8975999999999998E-4</v>
      </c>
      <c r="H2709" t="s">
        <v>240</v>
      </c>
      <c r="I2709" t="s">
        <v>241</v>
      </c>
      <c r="J2709" t="s">
        <v>188</v>
      </c>
      <c r="K2709" s="183">
        <f ca="1">VLOOKUP(F2709,
    OFFSET(INDIRECT(ADDRESS(MATCH(J2709,'Vehicle numbers'!$A$5:$A$162,0),1,1,1,$L$6)),4,1,COUNTIF('Vehicle numbers'!$A$5:$A$162,J2709),4),
    MATCH(K$8,'Vehicle numbers'!$B$4:$D$4,0))*1000</f>
        <v>3633578</v>
      </c>
      <c r="L2709" s="183">
        <f ca="1">VLOOKUP(F2709,
    OFFSET(INDIRECT(ADDRESS(MATCH(J2709,'Vehicle numbers'!$A$5:$A$162,0),1,1,1,$L$6)),4,1,COUNTIF('Vehicle numbers'!$A$5:$A$162,J2709),4),
    MATCH(L$8,'Vehicle numbers'!$B$4:$D$4,0))*1000</f>
        <v>3736036</v>
      </c>
      <c r="M2709" s="184">
        <f>VLOOKUP(F2709,'Annual distance covered (GB)'!$A$8:$H$33,MATCH(J2709,'Annual distance covered (GB)'!$A$7:$H$7,0))</f>
        <v>78.7</v>
      </c>
      <c r="N2709" s="2">
        <f t="shared" ca="1" si="98"/>
        <v>55814.791002156002</v>
      </c>
      <c r="O2709" s="180">
        <f t="shared" ca="1" si="99"/>
        <v>1.4939575261629172E-2</v>
      </c>
      <c r="P2709" s="180"/>
      <c r="Q2709" s="180"/>
      <c r="R2709" s="180"/>
      <c r="S2709" s="180"/>
      <c r="T2709" s="180"/>
    </row>
    <row r="2710" spans="1:20" x14ac:dyDescent="0.25">
      <c r="A2710" t="s">
        <v>236</v>
      </c>
      <c r="B2710" t="s">
        <v>237</v>
      </c>
      <c r="C2710" t="s">
        <v>238</v>
      </c>
      <c r="D2710" t="s">
        <v>258</v>
      </c>
      <c r="E2710" t="s">
        <v>228</v>
      </c>
      <c r="F2710">
        <v>2015</v>
      </c>
      <c r="G2710">
        <v>1.0741000000000001E-2</v>
      </c>
      <c r="H2710" t="s">
        <v>240</v>
      </c>
      <c r="I2710" t="s">
        <v>241</v>
      </c>
      <c r="J2710" t="s">
        <v>188</v>
      </c>
      <c r="K2710" s="183">
        <f ca="1">VLOOKUP(F2710,
    OFFSET(INDIRECT(ADDRESS(MATCH(J2710,'Vehicle numbers'!$A$5:$A$162,0),1,1,1,$L$6)),4,1,COUNTIF('Vehicle numbers'!$A$5:$A$162,J2710),4),
    MATCH(K$8,'Vehicle numbers'!$B$4:$D$4,0))*1000</f>
        <v>3633578</v>
      </c>
      <c r="L2710" s="183">
        <f ca="1">VLOOKUP(F2710,
    OFFSET(INDIRECT(ADDRESS(MATCH(J2710,'Vehicle numbers'!$A$5:$A$162,0),1,1,1,$L$6)),4,1,COUNTIF('Vehicle numbers'!$A$5:$A$162,J2710),4),
    MATCH(L$8,'Vehicle numbers'!$B$4:$D$4,0))*1000</f>
        <v>3736036</v>
      </c>
      <c r="M2710" s="184">
        <f>VLOOKUP(F2710,'Annual distance covered (GB)'!$A$8:$H$33,MATCH(J2710,'Annual distance covered (GB)'!$A$7:$H$7,0))</f>
        <v>78.7</v>
      </c>
      <c r="N2710" s="2">
        <f t="shared" ca="1" si="98"/>
        <v>869152.56053432741</v>
      </c>
      <c r="O2710" s="180">
        <f t="shared" ca="1" si="99"/>
        <v>0.23264030660687621</v>
      </c>
      <c r="P2710" s="180"/>
      <c r="Q2710" s="180"/>
      <c r="R2710" s="180"/>
      <c r="S2710" s="180"/>
      <c r="T2710" s="180"/>
    </row>
    <row r="2711" spans="1:20" x14ac:dyDescent="0.25">
      <c r="A2711" t="s">
        <v>243</v>
      </c>
      <c r="B2711" t="s">
        <v>237</v>
      </c>
      <c r="C2711" t="s">
        <v>238</v>
      </c>
      <c r="D2711" t="s">
        <v>258</v>
      </c>
      <c r="E2711" t="s">
        <v>228</v>
      </c>
      <c r="F2711">
        <v>2015</v>
      </c>
      <c r="G2711">
        <v>7.5186999999999997E-3</v>
      </c>
      <c r="H2711" t="s">
        <v>240</v>
      </c>
      <c r="I2711" t="s">
        <v>241</v>
      </c>
      <c r="J2711" t="s">
        <v>188</v>
      </c>
      <c r="K2711" s="183">
        <f ca="1">VLOOKUP(F2711,
    OFFSET(INDIRECT(ADDRESS(MATCH(J2711,'Vehicle numbers'!$A$5:$A$162,0),1,1,1,$L$6)),4,1,COUNTIF('Vehicle numbers'!$A$5:$A$162,J2711),4),
    MATCH(K$8,'Vehicle numbers'!$B$4:$D$4,0))*1000</f>
        <v>3633578</v>
      </c>
      <c r="L2711" s="183">
        <f ca="1">VLOOKUP(F2711,
    OFFSET(INDIRECT(ADDRESS(MATCH(J2711,'Vehicle numbers'!$A$5:$A$162,0),1,1,1,$L$6)),4,1,COUNTIF('Vehicle numbers'!$A$5:$A$162,J2711),4),
    MATCH(L$8,'Vehicle numbers'!$B$4:$D$4,0))*1000</f>
        <v>3736036</v>
      </c>
      <c r="M2711" s="184">
        <f>VLOOKUP(F2711,'Annual distance covered (GB)'!$A$8:$H$33,MATCH(J2711,'Annual distance covered (GB)'!$A$7:$H$7,0))</f>
        <v>78.7</v>
      </c>
      <c r="N2711" s="2">
        <f t="shared" ca="1" si="98"/>
        <v>608406.79237402906</v>
      </c>
      <c r="O2711" s="180">
        <f t="shared" ca="1" si="99"/>
        <v>0.16284821462481333</v>
      </c>
      <c r="P2711" s="180"/>
      <c r="Q2711" s="180"/>
      <c r="R2711" s="180"/>
      <c r="S2711" s="180"/>
      <c r="T2711" s="180"/>
    </row>
    <row r="2712" spans="1:20" x14ac:dyDescent="0.25">
      <c r="A2712" t="s">
        <v>244</v>
      </c>
      <c r="B2712" t="s">
        <v>237</v>
      </c>
      <c r="C2712" t="s">
        <v>238</v>
      </c>
      <c r="D2712" t="s">
        <v>258</v>
      </c>
      <c r="E2712" t="s">
        <v>228</v>
      </c>
      <c r="F2712">
        <v>2015</v>
      </c>
      <c r="G2712">
        <v>1.05897183098591E-3</v>
      </c>
      <c r="H2712" t="s">
        <v>240</v>
      </c>
      <c r="I2712" t="s">
        <v>241</v>
      </c>
      <c r="J2712" t="s">
        <v>188</v>
      </c>
      <c r="K2712" s="183">
        <f ca="1">VLOOKUP(F2712,
    OFFSET(INDIRECT(ADDRESS(MATCH(J2712,'Vehicle numbers'!$A$5:$A$162,0),1,1,1,$L$6)),4,1,COUNTIF('Vehicle numbers'!$A$5:$A$162,J2712),4),
    MATCH(K$8,'Vehicle numbers'!$B$4:$D$4,0))*1000</f>
        <v>3633578</v>
      </c>
      <c r="L2712" s="183">
        <f ca="1">VLOOKUP(F2712,
    OFFSET(INDIRECT(ADDRESS(MATCH(J2712,'Vehicle numbers'!$A$5:$A$162,0),1,1,1,$L$6)),4,1,COUNTIF('Vehicle numbers'!$A$5:$A$162,J2712),4),
    MATCH(L$8,'Vehicle numbers'!$B$4:$D$4,0))*1000</f>
        <v>3736036</v>
      </c>
      <c r="M2712" s="184">
        <f>VLOOKUP(F2712,'Annual distance covered (GB)'!$A$8:$H$33,MATCH(J2712,'Annual distance covered (GB)'!$A$7:$H$7,0))</f>
        <v>78.7</v>
      </c>
      <c r="N2712" s="2">
        <f t="shared" ca="1" si="98"/>
        <v>85691.097517468443</v>
      </c>
      <c r="O2712" s="180">
        <f t="shared" ca="1" si="99"/>
        <v>2.2936368257015845E-2</v>
      </c>
      <c r="P2712" s="180"/>
      <c r="Q2712" s="180"/>
      <c r="R2712" s="180"/>
      <c r="S2712" s="180"/>
      <c r="T2712" s="180"/>
    </row>
    <row r="2713" spans="1:20" x14ac:dyDescent="0.25">
      <c r="A2713" t="s">
        <v>246</v>
      </c>
      <c r="B2713" t="s">
        <v>237</v>
      </c>
      <c r="C2713" t="s">
        <v>238</v>
      </c>
      <c r="D2713" t="s">
        <v>258</v>
      </c>
      <c r="E2713" t="s">
        <v>228</v>
      </c>
      <c r="F2713">
        <v>2015</v>
      </c>
      <c r="G2713">
        <v>8.47177464788731E-4</v>
      </c>
      <c r="H2713" t="s">
        <v>240</v>
      </c>
      <c r="I2713" t="s">
        <v>241</v>
      </c>
      <c r="J2713" t="s">
        <v>188</v>
      </c>
      <c r="K2713" s="183">
        <f ca="1">VLOOKUP(F2713,
    OFFSET(INDIRECT(ADDRESS(MATCH(J2713,'Vehicle numbers'!$A$5:$A$162,0),1,1,1,$L$6)),4,1,COUNTIF('Vehicle numbers'!$A$5:$A$162,J2713),4),
    MATCH(K$8,'Vehicle numbers'!$B$4:$D$4,0))*1000</f>
        <v>3633578</v>
      </c>
      <c r="L2713" s="183">
        <f ca="1">VLOOKUP(F2713,
    OFFSET(INDIRECT(ADDRESS(MATCH(J2713,'Vehicle numbers'!$A$5:$A$162,0),1,1,1,$L$6)),4,1,COUNTIF('Vehicle numbers'!$A$5:$A$162,J2713),4),
    MATCH(L$8,'Vehicle numbers'!$B$4:$D$4,0))*1000</f>
        <v>3736036</v>
      </c>
      <c r="M2713" s="184">
        <f>VLOOKUP(F2713,'Annual distance covered (GB)'!$A$8:$H$33,MATCH(J2713,'Annual distance covered (GB)'!$A$7:$H$7,0))</f>
        <v>78.7</v>
      </c>
      <c r="N2713" s="2">
        <f t="shared" ca="1" si="98"/>
        <v>68552.878013974987</v>
      </c>
      <c r="O2713" s="180">
        <f t="shared" ca="1" si="99"/>
        <v>1.8349094605612737E-2</v>
      </c>
      <c r="P2713" s="180"/>
      <c r="Q2713" s="180"/>
      <c r="R2713" s="180"/>
      <c r="S2713" s="180"/>
      <c r="T2713" s="180"/>
    </row>
    <row r="2714" spans="1:20" x14ac:dyDescent="0.25">
      <c r="A2714" t="s">
        <v>236</v>
      </c>
      <c r="B2714" t="s">
        <v>237</v>
      </c>
      <c r="C2714" t="s">
        <v>238</v>
      </c>
      <c r="D2714" t="s">
        <v>259</v>
      </c>
      <c r="E2714" t="s">
        <v>229</v>
      </c>
      <c r="F2714">
        <v>2015</v>
      </c>
      <c r="G2714">
        <v>1.8218999999999999E-2</v>
      </c>
      <c r="H2714" t="s">
        <v>240</v>
      </c>
      <c r="I2714" t="s">
        <v>241</v>
      </c>
      <c r="J2714" t="s">
        <v>188</v>
      </c>
      <c r="K2714" s="183">
        <f ca="1">VLOOKUP(F2714,
    OFFSET(INDIRECT(ADDRESS(MATCH(J2714,'Vehicle numbers'!$A$5:$A$162,0),1,1,1,$L$6)),4,1,COUNTIF('Vehicle numbers'!$A$5:$A$162,J2714),4),
    MATCH(K$8,'Vehicle numbers'!$B$4:$D$4,0))*1000</f>
        <v>3633578</v>
      </c>
      <c r="L2714" s="183">
        <f ca="1">VLOOKUP(F2714,
    OFFSET(INDIRECT(ADDRESS(MATCH(J2714,'Vehicle numbers'!$A$5:$A$162,0),1,1,1,$L$6)),4,1,COUNTIF('Vehicle numbers'!$A$5:$A$162,J2714),4),
    MATCH(L$8,'Vehicle numbers'!$B$4:$D$4,0))*1000</f>
        <v>3736036</v>
      </c>
      <c r="M2714" s="184">
        <f>VLOOKUP(F2714,'Annual distance covered (GB)'!$A$8:$H$33,MATCH(J2714,'Annual distance covered (GB)'!$A$7:$H$7,0))</f>
        <v>78.7</v>
      </c>
      <c r="N2714" s="2">
        <f t="shared" ca="1" si="98"/>
        <v>1474265.9436155765</v>
      </c>
      <c r="O2714" s="180">
        <f t="shared" ca="1" si="99"/>
        <v>0.39460699618943085</v>
      </c>
      <c r="P2714" s="180"/>
      <c r="Q2714" s="180"/>
      <c r="R2714" s="180"/>
      <c r="S2714" s="180"/>
      <c r="T2714" s="180"/>
    </row>
    <row r="2715" spans="1:20" x14ac:dyDescent="0.25">
      <c r="A2715" t="s">
        <v>243</v>
      </c>
      <c r="B2715" t="s">
        <v>237</v>
      </c>
      <c r="C2715" t="s">
        <v>238</v>
      </c>
      <c r="D2715" t="s">
        <v>259</v>
      </c>
      <c r="E2715" t="s">
        <v>229</v>
      </c>
      <c r="F2715">
        <v>2015</v>
      </c>
      <c r="G2715">
        <v>7.2876E-3</v>
      </c>
      <c r="H2715" t="s">
        <v>240</v>
      </c>
      <c r="I2715" t="s">
        <v>241</v>
      </c>
      <c r="J2715" t="s">
        <v>188</v>
      </c>
      <c r="K2715" s="183">
        <f ca="1">VLOOKUP(F2715,
    OFFSET(INDIRECT(ADDRESS(MATCH(J2715,'Vehicle numbers'!$A$5:$A$162,0),1,1,1,$L$6)),4,1,COUNTIF('Vehicle numbers'!$A$5:$A$162,J2715),4),
    MATCH(K$8,'Vehicle numbers'!$B$4:$D$4,0))*1000</f>
        <v>3633578</v>
      </c>
      <c r="L2715" s="183">
        <f ca="1">VLOOKUP(F2715,
    OFFSET(INDIRECT(ADDRESS(MATCH(J2715,'Vehicle numbers'!$A$5:$A$162,0),1,1,1,$L$6)),4,1,COUNTIF('Vehicle numbers'!$A$5:$A$162,J2715),4),
    MATCH(L$8,'Vehicle numbers'!$B$4:$D$4,0))*1000</f>
        <v>3736036</v>
      </c>
      <c r="M2715" s="184">
        <f>VLOOKUP(F2715,'Annual distance covered (GB)'!$A$8:$H$33,MATCH(J2715,'Annual distance covered (GB)'!$A$7:$H$7,0))</f>
        <v>78.7</v>
      </c>
      <c r="N2715" s="2">
        <f t="shared" ca="1" si="98"/>
        <v>589706.37744623062</v>
      </c>
      <c r="O2715" s="180">
        <f t="shared" ca="1" si="99"/>
        <v>0.15784279847577234</v>
      </c>
      <c r="P2715" s="180"/>
      <c r="Q2715" s="180"/>
      <c r="R2715" s="180"/>
      <c r="S2715" s="180"/>
      <c r="T2715" s="180"/>
    </row>
    <row r="2716" spans="1:20" x14ac:dyDescent="0.25">
      <c r="A2716" t="s">
        <v>244</v>
      </c>
      <c r="B2716" t="s">
        <v>237</v>
      </c>
      <c r="C2716" t="s">
        <v>238</v>
      </c>
      <c r="D2716" t="s">
        <v>259</v>
      </c>
      <c r="E2716" t="s">
        <v>229</v>
      </c>
      <c r="F2716">
        <v>2015</v>
      </c>
      <c r="G2716">
        <v>1.8219E-3</v>
      </c>
      <c r="H2716" t="s">
        <v>240</v>
      </c>
      <c r="I2716" t="s">
        <v>241</v>
      </c>
      <c r="J2716" t="s">
        <v>188</v>
      </c>
      <c r="K2716" s="183">
        <f ca="1">VLOOKUP(F2716,
    OFFSET(INDIRECT(ADDRESS(MATCH(J2716,'Vehicle numbers'!$A$5:$A$162,0),1,1,1,$L$6)),4,1,COUNTIF('Vehicle numbers'!$A$5:$A$162,J2716),4),
    MATCH(K$8,'Vehicle numbers'!$B$4:$D$4,0))*1000</f>
        <v>3633578</v>
      </c>
      <c r="L2716" s="183">
        <f ca="1">VLOOKUP(F2716,
    OFFSET(INDIRECT(ADDRESS(MATCH(J2716,'Vehicle numbers'!$A$5:$A$162,0),1,1,1,$L$6)),4,1,COUNTIF('Vehicle numbers'!$A$5:$A$162,J2716),4),
    MATCH(L$8,'Vehicle numbers'!$B$4:$D$4,0))*1000</f>
        <v>3736036</v>
      </c>
      <c r="M2716" s="184">
        <f>VLOOKUP(F2716,'Annual distance covered (GB)'!$A$8:$H$33,MATCH(J2716,'Annual distance covered (GB)'!$A$7:$H$7,0))</f>
        <v>78.7</v>
      </c>
      <c r="N2716" s="2">
        <f t="shared" ca="1" si="98"/>
        <v>147426.59436155765</v>
      </c>
      <c r="O2716" s="180">
        <f t="shared" ca="1" si="99"/>
        <v>3.9460699618943086E-2</v>
      </c>
      <c r="P2716" s="180"/>
      <c r="Q2716" s="180"/>
      <c r="R2716" s="180"/>
      <c r="S2716" s="180"/>
      <c r="T2716" s="180"/>
    </row>
    <row r="2717" spans="1:20" x14ac:dyDescent="0.25">
      <c r="A2717" t="s">
        <v>246</v>
      </c>
      <c r="B2717" t="s">
        <v>237</v>
      </c>
      <c r="C2717" t="s">
        <v>238</v>
      </c>
      <c r="D2717" t="s">
        <v>259</v>
      </c>
      <c r="E2717" t="s">
        <v>229</v>
      </c>
      <c r="F2717">
        <v>2015</v>
      </c>
      <c r="G2717">
        <v>1.4575199999999999E-3</v>
      </c>
      <c r="H2717" t="s">
        <v>240</v>
      </c>
      <c r="I2717" t="s">
        <v>241</v>
      </c>
      <c r="J2717" t="s">
        <v>188</v>
      </c>
      <c r="K2717" s="183">
        <f ca="1">VLOOKUP(F2717,
    OFFSET(INDIRECT(ADDRESS(MATCH(J2717,'Vehicle numbers'!$A$5:$A$162,0),1,1,1,$L$6)),4,1,COUNTIF('Vehicle numbers'!$A$5:$A$162,J2717),4),
    MATCH(K$8,'Vehicle numbers'!$B$4:$D$4,0))*1000</f>
        <v>3633578</v>
      </c>
      <c r="L2717" s="183">
        <f ca="1">VLOOKUP(F2717,
    OFFSET(INDIRECT(ADDRESS(MATCH(J2717,'Vehicle numbers'!$A$5:$A$162,0),1,1,1,$L$6)),4,1,COUNTIF('Vehicle numbers'!$A$5:$A$162,J2717),4),
    MATCH(L$8,'Vehicle numbers'!$B$4:$D$4,0))*1000</f>
        <v>3736036</v>
      </c>
      <c r="M2717" s="184">
        <f>VLOOKUP(F2717,'Annual distance covered (GB)'!$A$8:$H$33,MATCH(J2717,'Annual distance covered (GB)'!$A$7:$H$7,0))</f>
        <v>78.7</v>
      </c>
      <c r="N2717" s="2">
        <f t="shared" ca="1" si="98"/>
        <v>117941.27548924612</v>
      </c>
      <c r="O2717" s="180">
        <f t="shared" ca="1" si="99"/>
        <v>3.1568559695154472E-2</v>
      </c>
      <c r="P2717" s="180"/>
      <c r="Q2717" s="180"/>
      <c r="R2717" s="180"/>
      <c r="S2717" s="180"/>
      <c r="T2717" s="180"/>
    </row>
    <row r="2718" spans="1:20" x14ac:dyDescent="0.25">
      <c r="A2718" t="s">
        <v>236</v>
      </c>
      <c r="B2718" t="s">
        <v>237</v>
      </c>
      <c r="C2718" t="s">
        <v>238</v>
      </c>
      <c r="D2718" t="s">
        <v>259</v>
      </c>
      <c r="E2718" t="s">
        <v>228</v>
      </c>
      <c r="F2718">
        <v>2015</v>
      </c>
      <c r="G2718">
        <v>1.3802E-2</v>
      </c>
      <c r="H2718" t="s">
        <v>240</v>
      </c>
      <c r="I2718" t="s">
        <v>241</v>
      </c>
      <c r="J2718" t="s">
        <v>188</v>
      </c>
      <c r="K2718" s="183">
        <f ca="1">VLOOKUP(F2718,
    OFFSET(INDIRECT(ADDRESS(MATCH(J2718,'Vehicle numbers'!$A$5:$A$162,0),1,1,1,$L$6)),4,1,COUNTIF('Vehicle numbers'!$A$5:$A$162,J2718),4),
    MATCH(K$8,'Vehicle numbers'!$B$4:$D$4,0))*1000</f>
        <v>3633578</v>
      </c>
      <c r="L2718" s="183">
        <f ca="1">VLOOKUP(F2718,
    OFFSET(INDIRECT(ADDRESS(MATCH(J2718,'Vehicle numbers'!$A$5:$A$162,0),1,1,1,$L$6)),4,1,COUNTIF('Vehicle numbers'!$A$5:$A$162,J2718),4),
    MATCH(L$8,'Vehicle numbers'!$B$4:$D$4,0))*1000</f>
        <v>3736036</v>
      </c>
      <c r="M2718" s="184">
        <f>VLOOKUP(F2718,'Annual distance covered (GB)'!$A$8:$H$33,MATCH(J2718,'Annual distance covered (GB)'!$A$7:$H$7,0))</f>
        <v>78.7</v>
      </c>
      <c r="N2718" s="2">
        <f t="shared" ca="1" si="98"/>
        <v>1116846.0702443705</v>
      </c>
      <c r="O2718" s="180">
        <f t="shared" ca="1" si="99"/>
        <v>0.29893878705782562</v>
      </c>
      <c r="P2718" s="180"/>
      <c r="Q2718" s="180"/>
      <c r="R2718" s="180"/>
      <c r="S2718" s="180"/>
      <c r="T2718" s="180"/>
    </row>
    <row r="2719" spans="1:20" x14ac:dyDescent="0.25">
      <c r="A2719" t="s">
        <v>243</v>
      </c>
      <c r="B2719" t="s">
        <v>237</v>
      </c>
      <c r="C2719" t="s">
        <v>238</v>
      </c>
      <c r="D2719" t="s">
        <v>259</v>
      </c>
      <c r="E2719" t="s">
        <v>228</v>
      </c>
      <c r="F2719">
        <v>2015</v>
      </c>
      <c r="G2719">
        <v>9.6614000000000005E-3</v>
      </c>
      <c r="H2719" t="s">
        <v>240</v>
      </c>
      <c r="I2719" t="s">
        <v>241</v>
      </c>
      <c r="J2719" t="s">
        <v>188</v>
      </c>
      <c r="K2719" s="183">
        <f ca="1">VLOOKUP(F2719,
    OFFSET(INDIRECT(ADDRESS(MATCH(J2719,'Vehicle numbers'!$A$5:$A$162,0),1,1,1,$L$6)),4,1,COUNTIF('Vehicle numbers'!$A$5:$A$162,J2719),4),
    MATCH(K$8,'Vehicle numbers'!$B$4:$D$4,0))*1000</f>
        <v>3633578</v>
      </c>
      <c r="L2719" s="183">
        <f ca="1">VLOOKUP(F2719,
    OFFSET(INDIRECT(ADDRESS(MATCH(J2719,'Vehicle numbers'!$A$5:$A$162,0),1,1,1,$L$6)),4,1,COUNTIF('Vehicle numbers'!$A$5:$A$162,J2719),4),
    MATCH(L$8,'Vehicle numbers'!$B$4:$D$4,0))*1000</f>
        <v>3736036</v>
      </c>
      <c r="M2719" s="184">
        <f>VLOOKUP(F2719,'Annual distance covered (GB)'!$A$8:$H$33,MATCH(J2719,'Annual distance covered (GB)'!$A$7:$H$7,0))</f>
        <v>78.7</v>
      </c>
      <c r="N2719" s="2">
        <f t="shared" ca="1" si="98"/>
        <v>781792.24917105946</v>
      </c>
      <c r="O2719" s="180">
        <f t="shared" ca="1" si="99"/>
        <v>0.20925715094047795</v>
      </c>
      <c r="P2719" s="180"/>
      <c r="Q2719" s="180"/>
      <c r="R2719" s="180"/>
      <c r="S2719" s="180"/>
      <c r="T2719" s="180"/>
    </row>
    <row r="2720" spans="1:20" x14ac:dyDescent="0.25">
      <c r="A2720" t="s">
        <v>244</v>
      </c>
      <c r="B2720" t="s">
        <v>237</v>
      </c>
      <c r="C2720" t="s">
        <v>238</v>
      </c>
      <c r="D2720" t="s">
        <v>259</v>
      </c>
      <c r="E2720" t="s">
        <v>228</v>
      </c>
      <c r="F2720">
        <v>2015</v>
      </c>
      <c r="G2720">
        <v>1.3607605633802801E-3</v>
      </c>
      <c r="H2720" t="s">
        <v>240</v>
      </c>
      <c r="I2720" t="s">
        <v>241</v>
      </c>
      <c r="J2720" t="s">
        <v>188</v>
      </c>
      <c r="K2720" s="183">
        <f ca="1">VLOOKUP(F2720,
    OFFSET(INDIRECT(ADDRESS(MATCH(J2720,'Vehicle numbers'!$A$5:$A$162,0),1,1,1,$L$6)),4,1,COUNTIF('Vehicle numbers'!$A$5:$A$162,J2720),4),
    MATCH(K$8,'Vehicle numbers'!$B$4:$D$4,0))*1000</f>
        <v>3633578</v>
      </c>
      <c r="L2720" s="183">
        <f ca="1">VLOOKUP(F2720,
    OFFSET(INDIRECT(ADDRESS(MATCH(J2720,'Vehicle numbers'!$A$5:$A$162,0),1,1,1,$L$6)),4,1,COUNTIF('Vehicle numbers'!$A$5:$A$162,J2720),4),
    MATCH(L$8,'Vehicle numbers'!$B$4:$D$4,0))*1000</f>
        <v>3736036</v>
      </c>
      <c r="M2720" s="184">
        <f>VLOOKUP(F2720,'Annual distance covered (GB)'!$A$8:$H$33,MATCH(J2720,'Annual distance covered (GB)'!$A$7:$H$7,0))</f>
        <v>78.7</v>
      </c>
      <c r="N2720" s="2">
        <f t="shared" ca="1" si="98"/>
        <v>110111.58439028995</v>
      </c>
      <c r="O2720" s="180">
        <f t="shared" ca="1" si="99"/>
        <v>2.9472838160630666E-2</v>
      </c>
      <c r="P2720" s="180"/>
      <c r="Q2720" s="180"/>
      <c r="R2720" s="180"/>
      <c r="S2720" s="180"/>
      <c r="T2720" s="180"/>
    </row>
    <row r="2721" spans="1:20" x14ac:dyDescent="0.25">
      <c r="A2721" t="s">
        <v>246</v>
      </c>
      <c r="B2721" t="s">
        <v>237</v>
      </c>
      <c r="C2721" t="s">
        <v>238</v>
      </c>
      <c r="D2721" t="s">
        <v>259</v>
      </c>
      <c r="E2721" t="s">
        <v>228</v>
      </c>
      <c r="F2721">
        <v>2015</v>
      </c>
      <c r="G2721">
        <v>1.0886084507042201E-3</v>
      </c>
      <c r="H2721" t="s">
        <v>240</v>
      </c>
      <c r="I2721" t="s">
        <v>241</v>
      </c>
      <c r="J2721" t="s">
        <v>188</v>
      </c>
      <c r="K2721" s="183">
        <f ca="1">VLOOKUP(F2721,
    OFFSET(INDIRECT(ADDRESS(MATCH(J2721,'Vehicle numbers'!$A$5:$A$162,0),1,1,1,$L$6)),4,1,COUNTIF('Vehicle numbers'!$A$5:$A$162,J2721),4),
    MATCH(K$8,'Vehicle numbers'!$B$4:$D$4,0))*1000</f>
        <v>3633578</v>
      </c>
      <c r="L2721" s="183">
        <f ca="1">VLOOKUP(F2721,
    OFFSET(INDIRECT(ADDRESS(MATCH(J2721,'Vehicle numbers'!$A$5:$A$162,0),1,1,1,$L$6)),4,1,COUNTIF('Vehicle numbers'!$A$5:$A$162,J2721),4),
    MATCH(L$8,'Vehicle numbers'!$B$4:$D$4,0))*1000</f>
        <v>3736036</v>
      </c>
      <c r="M2721" s="184">
        <f>VLOOKUP(F2721,'Annual distance covered (GB)'!$A$8:$H$33,MATCH(J2721,'Annual distance covered (GB)'!$A$7:$H$7,0))</f>
        <v>78.7</v>
      </c>
      <c r="N2721" s="2">
        <f t="shared" ca="1" si="98"/>
        <v>88089.267512231614</v>
      </c>
      <c r="O2721" s="180">
        <f t="shared" ca="1" si="99"/>
        <v>2.357827052850444E-2</v>
      </c>
      <c r="P2721" s="180"/>
      <c r="Q2721" s="180"/>
      <c r="R2721" s="180"/>
      <c r="S2721" s="180"/>
      <c r="T2721" s="180"/>
    </row>
    <row r="2722" spans="1:20" x14ac:dyDescent="0.25">
      <c r="A2722" t="s">
        <v>236</v>
      </c>
      <c r="B2722" t="s">
        <v>237</v>
      </c>
      <c r="C2722" t="s">
        <v>238</v>
      </c>
      <c r="D2722" t="s">
        <v>260</v>
      </c>
      <c r="E2722" t="s">
        <v>229</v>
      </c>
      <c r="F2722">
        <v>2015</v>
      </c>
      <c r="G2722">
        <v>5.8400000000000101E-3</v>
      </c>
      <c r="H2722" t="s">
        <v>240</v>
      </c>
      <c r="I2722" t="s">
        <v>241</v>
      </c>
      <c r="J2722" t="s">
        <v>3</v>
      </c>
      <c r="K2722" s="183">
        <f ca="1">VLOOKUP(F2722,
    OFFSET(INDIRECT(ADDRESS(MATCH(J2722,'Vehicle numbers'!$A$5:$A$162,0),1,1,1,$L$6)),4,1,COUNTIF('Vehicle numbers'!$A$5:$A$162,J2722),4),
    MATCH(K$8,'Vehicle numbers'!$B$4:$D$4,0))*1000</f>
        <v>1230779</v>
      </c>
      <c r="L2722" s="183">
        <f ca="1">VLOOKUP(F2722,
    OFFSET(INDIRECT(ADDRESS(MATCH(J2722,'Vehicle numbers'!$A$5:$A$162,0),1,1,1,$L$6)),4,1,COUNTIF('Vehicle numbers'!$A$5:$A$162,J2722),4),
    MATCH(L$8,'Vehicle numbers'!$B$4:$D$4,0))*1000</f>
        <v>1253080</v>
      </c>
      <c r="M2722" s="184">
        <f>VLOOKUP(F2722,'Annual distance covered (GB)'!$A$8:$H$33,MATCH(J2722,'Annual distance covered (GB)'!$A$7:$H$7,0))</f>
        <v>4.7</v>
      </c>
      <c r="N2722" s="2">
        <f t="shared" ca="1" si="98"/>
        <v>27945.341803849482</v>
      </c>
      <c r="O2722" s="180">
        <f t="shared" ca="1" si="99"/>
        <v>2.2301322983248859E-2</v>
      </c>
      <c r="P2722" s="180"/>
      <c r="Q2722" s="180"/>
      <c r="R2722" s="180"/>
      <c r="S2722" s="180"/>
      <c r="T2722" s="180"/>
    </row>
    <row r="2723" spans="1:20" x14ac:dyDescent="0.25">
      <c r="A2723" t="s">
        <v>243</v>
      </c>
      <c r="B2723" t="s">
        <v>237</v>
      </c>
      <c r="C2723" t="s">
        <v>238</v>
      </c>
      <c r="D2723" t="s">
        <v>260</v>
      </c>
      <c r="E2723" t="s">
        <v>229</v>
      </c>
      <c r="F2723">
        <v>2015</v>
      </c>
      <c r="G2723">
        <v>2.336E-3</v>
      </c>
      <c r="H2723" t="s">
        <v>240</v>
      </c>
      <c r="I2723" t="s">
        <v>241</v>
      </c>
      <c r="J2723" t="s">
        <v>3</v>
      </c>
      <c r="K2723" s="183">
        <f ca="1">VLOOKUP(F2723,
    OFFSET(INDIRECT(ADDRESS(MATCH(J2723,'Vehicle numbers'!$A$5:$A$162,0),1,1,1,$L$6)),4,1,COUNTIF('Vehicle numbers'!$A$5:$A$162,J2723),4),
    MATCH(K$8,'Vehicle numbers'!$B$4:$D$4,0))*1000</f>
        <v>1230779</v>
      </c>
      <c r="L2723" s="183">
        <f ca="1">VLOOKUP(F2723,
    OFFSET(INDIRECT(ADDRESS(MATCH(J2723,'Vehicle numbers'!$A$5:$A$162,0),1,1,1,$L$6)),4,1,COUNTIF('Vehicle numbers'!$A$5:$A$162,J2723),4),
    MATCH(L$8,'Vehicle numbers'!$B$4:$D$4,0))*1000</f>
        <v>1253080</v>
      </c>
      <c r="M2723" s="184">
        <f>VLOOKUP(F2723,'Annual distance covered (GB)'!$A$8:$H$33,MATCH(J2723,'Annual distance covered (GB)'!$A$7:$H$7,0))</f>
        <v>4.7</v>
      </c>
      <c r="N2723" s="2">
        <f t="shared" ca="1" si="98"/>
        <v>11178.136721539773</v>
      </c>
      <c r="O2723" s="180">
        <f t="shared" ca="1" si="99"/>
        <v>8.9205291932995291E-3</v>
      </c>
      <c r="P2723" s="180"/>
      <c r="Q2723" s="180"/>
      <c r="R2723" s="180"/>
      <c r="S2723" s="180"/>
      <c r="T2723" s="180"/>
    </row>
    <row r="2724" spans="1:20" x14ac:dyDescent="0.25">
      <c r="A2724" t="s">
        <v>244</v>
      </c>
      <c r="B2724" t="s">
        <v>237</v>
      </c>
      <c r="C2724" t="s">
        <v>238</v>
      </c>
      <c r="D2724" t="s">
        <v>260</v>
      </c>
      <c r="E2724" t="s">
        <v>229</v>
      </c>
      <c r="F2724">
        <v>2015</v>
      </c>
      <c r="G2724">
        <v>5.8399999999999999E-4</v>
      </c>
      <c r="H2724" t="s">
        <v>240</v>
      </c>
      <c r="I2724" t="s">
        <v>241</v>
      </c>
      <c r="J2724" t="s">
        <v>3</v>
      </c>
      <c r="K2724" s="183">
        <f ca="1">VLOOKUP(F2724,
    OFFSET(INDIRECT(ADDRESS(MATCH(J2724,'Vehicle numbers'!$A$5:$A$162,0),1,1,1,$L$6)),4,1,COUNTIF('Vehicle numbers'!$A$5:$A$162,J2724),4),
    MATCH(K$8,'Vehicle numbers'!$B$4:$D$4,0))*1000</f>
        <v>1230779</v>
      </c>
      <c r="L2724" s="183">
        <f ca="1">VLOOKUP(F2724,
    OFFSET(INDIRECT(ADDRESS(MATCH(J2724,'Vehicle numbers'!$A$5:$A$162,0),1,1,1,$L$6)),4,1,COUNTIF('Vehicle numbers'!$A$5:$A$162,J2724),4),
    MATCH(L$8,'Vehicle numbers'!$B$4:$D$4,0))*1000</f>
        <v>1253080</v>
      </c>
      <c r="M2724" s="184">
        <f>VLOOKUP(F2724,'Annual distance covered (GB)'!$A$8:$H$33,MATCH(J2724,'Annual distance covered (GB)'!$A$7:$H$7,0))</f>
        <v>4.7</v>
      </c>
      <c r="N2724" s="2">
        <f t="shared" ca="1" si="98"/>
        <v>2794.5341803849433</v>
      </c>
      <c r="O2724" s="180">
        <f t="shared" ca="1" si="99"/>
        <v>2.2301322983248823E-3</v>
      </c>
      <c r="P2724" s="180"/>
      <c r="Q2724" s="180"/>
      <c r="R2724" s="180"/>
      <c r="S2724" s="180"/>
      <c r="T2724" s="180"/>
    </row>
    <row r="2725" spans="1:20" x14ac:dyDescent="0.25">
      <c r="A2725" t="s">
        <v>246</v>
      </c>
      <c r="B2725" t="s">
        <v>237</v>
      </c>
      <c r="C2725" t="s">
        <v>238</v>
      </c>
      <c r="D2725" t="s">
        <v>260</v>
      </c>
      <c r="E2725" t="s">
        <v>229</v>
      </c>
      <c r="F2725">
        <v>2015</v>
      </c>
      <c r="G2725">
        <v>4.6720000000000003E-4</v>
      </c>
      <c r="H2725" t="s">
        <v>240</v>
      </c>
      <c r="I2725" t="s">
        <v>241</v>
      </c>
      <c r="J2725" t="s">
        <v>3</v>
      </c>
      <c r="K2725" s="183">
        <f ca="1">VLOOKUP(F2725,
    OFFSET(INDIRECT(ADDRESS(MATCH(J2725,'Vehicle numbers'!$A$5:$A$162,0),1,1,1,$L$6)),4,1,COUNTIF('Vehicle numbers'!$A$5:$A$162,J2725),4),
    MATCH(K$8,'Vehicle numbers'!$B$4:$D$4,0))*1000</f>
        <v>1230779</v>
      </c>
      <c r="L2725" s="183">
        <f ca="1">VLOOKUP(F2725,
    OFFSET(INDIRECT(ADDRESS(MATCH(J2725,'Vehicle numbers'!$A$5:$A$162,0),1,1,1,$L$6)),4,1,COUNTIF('Vehicle numbers'!$A$5:$A$162,J2725),4),
    MATCH(L$8,'Vehicle numbers'!$B$4:$D$4,0))*1000</f>
        <v>1253080</v>
      </c>
      <c r="M2725" s="184">
        <f>VLOOKUP(F2725,'Annual distance covered (GB)'!$A$8:$H$33,MATCH(J2725,'Annual distance covered (GB)'!$A$7:$H$7,0))</f>
        <v>4.7</v>
      </c>
      <c r="N2725" s="2">
        <f t="shared" ca="1" si="98"/>
        <v>2235.6273443079549</v>
      </c>
      <c r="O2725" s="180">
        <f t="shared" ca="1" si="99"/>
        <v>1.7841058386599059E-3</v>
      </c>
      <c r="P2725" s="180"/>
      <c r="Q2725" s="180"/>
      <c r="R2725" s="180"/>
      <c r="S2725" s="180"/>
      <c r="T2725" s="180"/>
    </row>
    <row r="2726" spans="1:20" x14ac:dyDescent="0.25">
      <c r="A2726" t="s">
        <v>236</v>
      </c>
      <c r="B2726" t="s">
        <v>237</v>
      </c>
      <c r="C2726" t="s">
        <v>238</v>
      </c>
      <c r="D2726" t="s">
        <v>260</v>
      </c>
      <c r="E2726" t="s">
        <v>228</v>
      </c>
      <c r="F2726">
        <v>2015</v>
      </c>
      <c r="G2726">
        <v>3.7570000000000099E-3</v>
      </c>
      <c r="H2726" t="s">
        <v>240</v>
      </c>
      <c r="I2726" t="s">
        <v>241</v>
      </c>
      <c r="J2726" t="s">
        <v>3</v>
      </c>
      <c r="K2726" s="183">
        <f ca="1">VLOOKUP(F2726,
    OFFSET(INDIRECT(ADDRESS(MATCH(J2726,'Vehicle numbers'!$A$5:$A$162,0),1,1,1,$L$6)),4,1,COUNTIF('Vehicle numbers'!$A$5:$A$162,J2726),4),
    MATCH(K$8,'Vehicle numbers'!$B$4:$D$4,0))*1000</f>
        <v>1230779</v>
      </c>
      <c r="L2726" s="183">
        <f ca="1">VLOOKUP(F2726,
    OFFSET(INDIRECT(ADDRESS(MATCH(J2726,'Vehicle numbers'!$A$5:$A$162,0),1,1,1,$L$6)),4,1,COUNTIF('Vehicle numbers'!$A$5:$A$162,J2726),4),
    MATCH(L$8,'Vehicle numbers'!$B$4:$D$4,0))*1000</f>
        <v>1253080</v>
      </c>
      <c r="M2726" s="184">
        <f>VLOOKUP(F2726,'Annual distance covered (GB)'!$A$8:$H$33,MATCH(J2726,'Annual distance covered (GB)'!$A$7:$H$7,0))</f>
        <v>4.7</v>
      </c>
      <c r="N2726" s="2">
        <f t="shared" ca="1" si="98"/>
        <v>17977.850883058662</v>
      </c>
      <c r="O2726" s="180">
        <f t="shared" ca="1" si="99"/>
        <v>1.4346929871244184E-2</v>
      </c>
      <c r="P2726" s="180"/>
      <c r="Q2726" s="180"/>
      <c r="R2726" s="180"/>
      <c r="S2726" s="180"/>
      <c r="T2726" s="180"/>
    </row>
    <row r="2727" spans="1:20" x14ac:dyDescent="0.25">
      <c r="A2727" t="s">
        <v>243</v>
      </c>
      <c r="B2727" t="s">
        <v>237</v>
      </c>
      <c r="C2727" t="s">
        <v>238</v>
      </c>
      <c r="D2727" t="s">
        <v>260</v>
      </c>
      <c r="E2727" t="s">
        <v>228</v>
      </c>
      <c r="F2727">
        <v>2015</v>
      </c>
      <c r="G2727">
        <v>2.6299000000000101E-3</v>
      </c>
      <c r="H2727" t="s">
        <v>240</v>
      </c>
      <c r="I2727" t="s">
        <v>241</v>
      </c>
      <c r="J2727" t="s">
        <v>3</v>
      </c>
      <c r="K2727" s="183">
        <f ca="1">VLOOKUP(F2727,
    OFFSET(INDIRECT(ADDRESS(MATCH(J2727,'Vehicle numbers'!$A$5:$A$162,0),1,1,1,$L$6)),4,1,COUNTIF('Vehicle numbers'!$A$5:$A$162,J2727),4),
    MATCH(K$8,'Vehicle numbers'!$B$4:$D$4,0))*1000</f>
        <v>1230779</v>
      </c>
      <c r="L2727" s="183">
        <f ca="1">VLOOKUP(F2727,
    OFFSET(INDIRECT(ADDRESS(MATCH(J2727,'Vehicle numbers'!$A$5:$A$162,0),1,1,1,$L$6)),4,1,COUNTIF('Vehicle numbers'!$A$5:$A$162,J2727),4),
    MATCH(L$8,'Vehicle numbers'!$B$4:$D$4,0))*1000</f>
        <v>1253080</v>
      </c>
      <c r="M2727" s="184">
        <f>VLOOKUP(F2727,'Annual distance covered (GB)'!$A$8:$H$33,MATCH(J2727,'Annual distance covered (GB)'!$A$7:$H$7,0))</f>
        <v>4.7</v>
      </c>
      <c r="N2727" s="2">
        <f t="shared" ca="1" si="98"/>
        <v>12584.49561814108</v>
      </c>
      <c r="O2727" s="180">
        <f t="shared" ca="1" si="99"/>
        <v>1.0042850909870941E-2</v>
      </c>
      <c r="P2727" s="180"/>
      <c r="Q2727" s="180"/>
      <c r="R2727" s="180"/>
      <c r="S2727" s="180"/>
      <c r="T2727" s="180"/>
    </row>
    <row r="2728" spans="1:20" x14ac:dyDescent="0.25">
      <c r="A2728" t="s">
        <v>244</v>
      </c>
      <c r="B2728" t="s">
        <v>237</v>
      </c>
      <c r="C2728" t="s">
        <v>238</v>
      </c>
      <c r="D2728" t="s">
        <v>260</v>
      </c>
      <c r="E2728" t="s">
        <v>228</v>
      </c>
      <c r="F2728">
        <v>2015</v>
      </c>
      <c r="G2728">
        <v>3.7040845070422602E-4</v>
      </c>
      <c r="H2728" t="s">
        <v>240</v>
      </c>
      <c r="I2728" t="s">
        <v>241</v>
      </c>
      <c r="J2728" t="s">
        <v>3</v>
      </c>
      <c r="K2728" s="183">
        <f ca="1">VLOOKUP(F2728,
    OFFSET(INDIRECT(ADDRESS(MATCH(J2728,'Vehicle numbers'!$A$5:$A$162,0),1,1,1,$L$6)),4,1,COUNTIF('Vehicle numbers'!$A$5:$A$162,J2728),4),
    MATCH(K$8,'Vehicle numbers'!$B$4:$D$4,0))*1000</f>
        <v>1230779</v>
      </c>
      <c r="L2728" s="183">
        <f ca="1">VLOOKUP(F2728,
    OFFSET(INDIRECT(ADDRESS(MATCH(J2728,'Vehicle numbers'!$A$5:$A$162,0),1,1,1,$L$6)),4,1,COUNTIF('Vehicle numbers'!$A$5:$A$162,J2728),4),
    MATCH(L$8,'Vehicle numbers'!$B$4:$D$4,0))*1000</f>
        <v>1253080</v>
      </c>
      <c r="M2728" s="184">
        <f>VLOOKUP(F2728,'Annual distance covered (GB)'!$A$8:$H$33,MATCH(J2728,'Annual distance covered (GB)'!$A$7:$H$7,0))</f>
        <v>4.7</v>
      </c>
      <c r="N2728" s="2">
        <f t="shared" ca="1" si="98"/>
        <v>1772.4641715691628</v>
      </c>
      <c r="O2728" s="180">
        <f t="shared" ca="1" si="99"/>
        <v>1.4144860436437919E-3</v>
      </c>
      <c r="P2728" s="180"/>
      <c r="Q2728" s="180"/>
      <c r="R2728" s="180"/>
      <c r="S2728" s="180"/>
      <c r="T2728" s="180"/>
    </row>
    <row r="2729" spans="1:20" x14ac:dyDescent="0.25">
      <c r="A2729" t="s">
        <v>246</v>
      </c>
      <c r="B2729" t="s">
        <v>237</v>
      </c>
      <c r="C2729" t="s">
        <v>238</v>
      </c>
      <c r="D2729" t="s">
        <v>260</v>
      </c>
      <c r="E2729" t="s">
        <v>228</v>
      </c>
      <c r="F2729">
        <v>2015</v>
      </c>
      <c r="G2729">
        <v>2.9632676056338101E-4</v>
      </c>
      <c r="H2729" t="s">
        <v>240</v>
      </c>
      <c r="I2729" t="s">
        <v>241</v>
      </c>
      <c r="J2729" t="s">
        <v>3</v>
      </c>
      <c r="K2729" s="183">
        <f ca="1">VLOOKUP(F2729,
    OFFSET(INDIRECT(ADDRESS(MATCH(J2729,'Vehicle numbers'!$A$5:$A$162,0),1,1,1,$L$6)),4,1,COUNTIF('Vehicle numbers'!$A$5:$A$162,J2729),4),
    MATCH(K$8,'Vehicle numbers'!$B$4:$D$4,0))*1000</f>
        <v>1230779</v>
      </c>
      <c r="L2729" s="183">
        <f ca="1">VLOOKUP(F2729,
    OFFSET(INDIRECT(ADDRESS(MATCH(J2729,'Vehicle numbers'!$A$5:$A$162,0),1,1,1,$L$6)),4,1,COUNTIF('Vehicle numbers'!$A$5:$A$162,J2729),4),
    MATCH(L$8,'Vehicle numbers'!$B$4:$D$4,0))*1000</f>
        <v>1253080</v>
      </c>
      <c r="M2729" s="184">
        <f>VLOOKUP(F2729,'Annual distance covered (GB)'!$A$8:$H$33,MATCH(J2729,'Annual distance covered (GB)'!$A$7:$H$7,0))</f>
        <v>4.7</v>
      </c>
      <c r="N2729" s="2">
        <f t="shared" ca="1" si="98"/>
        <v>1417.971337255331</v>
      </c>
      <c r="O2729" s="180">
        <f t="shared" ca="1" si="99"/>
        <v>1.1315888349150342E-3</v>
      </c>
      <c r="P2729" s="180"/>
      <c r="Q2729" s="180"/>
      <c r="R2729" s="180"/>
      <c r="S2729" s="180"/>
      <c r="T2729" s="180"/>
    </row>
    <row r="2730" spans="1:20" x14ac:dyDescent="0.25">
      <c r="A2730" t="s">
        <v>236</v>
      </c>
      <c r="B2730" t="s">
        <v>237</v>
      </c>
      <c r="C2730" t="s">
        <v>238</v>
      </c>
      <c r="D2730" t="s">
        <v>261</v>
      </c>
      <c r="E2730" t="s">
        <v>229</v>
      </c>
      <c r="F2730">
        <v>2015</v>
      </c>
      <c r="G2730">
        <v>5.8399999999999997E-3</v>
      </c>
      <c r="H2730" t="s">
        <v>240</v>
      </c>
      <c r="I2730" t="s">
        <v>241</v>
      </c>
      <c r="J2730" t="s">
        <v>3</v>
      </c>
      <c r="K2730" s="183">
        <f ca="1">VLOOKUP(F2730,
    OFFSET(INDIRECT(ADDRESS(MATCH(J2730,'Vehicle numbers'!$A$5:$A$162,0),1,1,1,$L$6)),4,1,COUNTIF('Vehicle numbers'!$A$5:$A$162,J2730),4),
    MATCH(K$8,'Vehicle numbers'!$B$4:$D$4,0))*1000</f>
        <v>1230779</v>
      </c>
      <c r="L2730" s="183">
        <f ca="1">VLOOKUP(F2730,
    OFFSET(INDIRECT(ADDRESS(MATCH(J2730,'Vehicle numbers'!$A$5:$A$162,0),1,1,1,$L$6)),4,1,COUNTIF('Vehicle numbers'!$A$5:$A$162,J2730),4),
    MATCH(L$8,'Vehicle numbers'!$B$4:$D$4,0))*1000</f>
        <v>1253080</v>
      </c>
      <c r="M2730" s="184">
        <f>VLOOKUP(F2730,'Annual distance covered (GB)'!$A$8:$H$33,MATCH(J2730,'Annual distance covered (GB)'!$A$7:$H$7,0))</f>
        <v>4.7</v>
      </c>
      <c r="N2730" s="2">
        <f t="shared" ca="1" si="98"/>
        <v>27945.341803849435</v>
      </c>
      <c r="O2730" s="180">
        <f t="shared" ca="1" si="99"/>
        <v>2.2301322983248821E-2</v>
      </c>
      <c r="P2730" s="180"/>
      <c r="Q2730" s="180"/>
      <c r="R2730" s="180"/>
      <c r="S2730" s="180"/>
      <c r="T2730" s="180"/>
    </row>
    <row r="2731" spans="1:20" x14ac:dyDescent="0.25">
      <c r="A2731" t="s">
        <v>243</v>
      </c>
      <c r="B2731" t="s">
        <v>237</v>
      </c>
      <c r="C2731" t="s">
        <v>238</v>
      </c>
      <c r="D2731" t="s">
        <v>261</v>
      </c>
      <c r="E2731" t="s">
        <v>229</v>
      </c>
      <c r="F2731">
        <v>2015</v>
      </c>
      <c r="G2731">
        <v>2.336E-3</v>
      </c>
      <c r="H2731" t="s">
        <v>240</v>
      </c>
      <c r="I2731" t="s">
        <v>241</v>
      </c>
      <c r="J2731" t="s">
        <v>3</v>
      </c>
      <c r="K2731" s="183">
        <f ca="1">VLOOKUP(F2731,
    OFFSET(INDIRECT(ADDRESS(MATCH(J2731,'Vehicle numbers'!$A$5:$A$162,0),1,1,1,$L$6)),4,1,COUNTIF('Vehicle numbers'!$A$5:$A$162,J2731),4),
    MATCH(K$8,'Vehicle numbers'!$B$4:$D$4,0))*1000</f>
        <v>1230779</v>
      </c>
      <c r="L2731" s="183">
        <f ca="1">VLOOKUP(F2731,
    OFFSET(INDIRECT(ADDRESS(MATCH(J2731,'Vehicle numbers'!$A$5:$A$162,0),1,1,1,$L$6)),4,1,COUNTIF('Vehicle numbers'!$A$5:$A$162,J2731),4),
    MATCH(L$8,'Vehicle numbers'!$B$4:$D$4,0))*1000</f>
        <v>1253080</v>
      </c>
      <c r="M2731" s="184">
        <f>VLOOKUP(F2731,'Annual distance covered (GB)'!$A$8:$H$33,MATCH(J2731,'Annual distance covered (GB)'!$A$7:$H$7,0))</f>
        <v>4.7</v>
      </c>
      <c r="N2731" s="2">
        <f t="shared" ca="1" si="98"/>
        <v>11178.136721539773</v>
      </c>
      <c r="O2731" s="180">
        <f t="shared" ca="1" si="99"/>
        <v>8.9205291932995291E-3</v>
      </c>
      <c r="P2731" s="180"/>
      <c r="Q2731" s="180"/>
      <c r="R2731" s="180"/>
      <c r="S2731" s="180"/>
      <c r="T2731" s="180"/>
    </row>
    <row r="2732" spans="1:20" x14ac:dyDescent="0.25">
      <c r="A2732" t="s">
        <v>244</v>
      </c>
      <c r="B2732" t="s">
        <v>237</v>
      </c>
      <c r="C2732" t="s">
        <v>238</v>
      </c>
      <c r="D2732" t="s">
        <v>261</v>
      </c>
      <c r="E2732" t="s">
        <v>229</v>
      </c>
      <c r="F2732">
        <v>2015</v>
      </c>
      <c r="G2732">
        <v>5.8399999999999999E-4</v>
      </c>
      <c r="H2732" t="s">
        <v>240</v>
      </c>
      <c r="I2732" t="s">
        <v>241</v>
      </c>
      <c r="J2732" t="s">
        <v>3</v>
      </c>
      <c r="K2732" s="183">
        <f ca="1">VLOOKUP(F2732,
    OFFSET(INDIRECT(ADDRESS(MATCH(J2732,'Vehicle numbers'!$A$5:$A$162,0),1,1,1,$L$6)),4,1,COUNTIF('Vehicle numbers'!$A$5:$A$162,J2732),4),
    MATCH(K$8,'Vehicle numbers'!$B$4:$D$4,0))*1000</f>
        <v>1230779</v>
      </c>
      <c r="L2732" s="183">
        <f ca="1">VLOOKUP(F2732,
    OFFSET(INDIRECT(ADDRESS(MATCH(J2732,'Vehicle numbers'!$A$5:$A$162,0),1,1,1,$L$6)),4,1,COUNTIF('Vehicle numbers'!$A$5:$A$162,J2732),4),
    MATCH(L$8,'Vehicle numbers'!$B$4:$D$4,0))*1000</f>
        <v>1253080</v>
      </c>
      <c r="M2732" s="184">
        <f>VLOOKUP(F2732,'Annual distance covered (GB)'!$A$8:$H$33,MATCH(J2732,'Annual distance covered (GB)'!$A$7:$H$7,0))</f>
        <v>4.7</v>
      </c>
      <c r="N2732" s="2">
        <f t="shared" ca="1" si="98"/>
        <v>2794.5341803849433</v>
      </c>
      <c r="O2732" s="180">
        <f t="shared" ca="1" si="99"/>
        <v>2.2301322983248823E-3</v>
      </c>
      <c r="P2732" s="180"/>
      <c r="Q2732" s="180"/>
      <c r="R2732" s="180"/>
      <c r="S2732" s="180"/>
      <c r="T2732" s="180"/>
    </row>
    <row r="2733" spans="1:20" x14ac:dyDescent="0.25">
      <c r="A2733" t="s">
        <v>246</v>
      </c>
      <c r="B2733" t="s">
        <v>237</v>
      </c>
      <c r="C2733" t="s">
        <v>238</v>
      </c>
      <c r="D2733" t="s">
        <v>261</v>
      </c>
      <c r="E2733" t="s">
        <v>229</v>
      </c>
      <c r="F2733">
        <v>2015</v>
      </c>
      <c r="G2733">
        <v>4.6720000000000003E-4</v>
      </c>
      <c r="H2733" t="s">
        <v>240</v>
      </c>
      <c r="I2733" t="s">
        <v>241</v>
      </c>
      <c r="J2733" t="s">
        <v>3</v>
      </c>
      <c r="K2733" s="183">
        <f ca="1">VLOOKUP(F2733,
    OFFSET(INDIRECT(ADDRESS(MATCH(J2733,'Vehicle numbers'!$A$5:$A$162,0),1,1,1,$L$6)),4,1,COUNTIF('Vehicle numbers'!$A$5:$A$162,J2733),4),
    MATCH(K$8,'Vehicle numbers'!$B$4:$D$4,0))*1000</f>
        <v>1230779</v>
      </c>
      <c r="L2733" s="183">
        <f ca="1">VLOOKUP(F2733,
    OFFSET(INDIRECT(ADDRESS(MATCH(J2733,'Vehicle numbers'!$A$5:$A$162,0),1,1,1,$L$6)),4,1,COUNTIF('Vehicle numbers'!$A$5:$A$162,J2733),4),
    MATCH(L$8,'Vehicle numbers'!$B$4:$D$4,0))*1000</f>
        <v>1253080</v>
      </c>
      <c r="M2733" s="184">
        <f>VLOOKUP(F2733,'Annual distance covered (GB)'!$A$8:$H$33,MATCH(J2733,'Annual distance covered (GB)'!$A$7:$H$7,0))</f>
        <v>4.7</v>
      </c>
      <c r="N2733" s="2">
        <f t="shared" ca="1" si="98"/>
        <v>2235.6273443079549</v>
      </c>
      <c r="O2733" s="180">
        <f t="shared" ca="1" si="99"/>
        <v>1.7841058386599059E-3</v>
      </c>
      <c r="P2733" s="180"/>
      <c r="Q2733" s="180"/>
      <c r="R2733" s="180"/>
      <c r="S2733" s="180"/>
      <c r="T2733" s="180"/>
    </row>
    <row r="2734" spans="1:20" x14ac:dyDescent="0.25">
      <c r="A2734" t="s">
        <v>236</v>
      </c>
      <c r="B2734" t="s">
        <v>237</v>
      </c>
      <c r="C2734" t="s">
        <v>238</v>
      </c>
      <c r="D2734" t="s">
        <v>261</v>
      </c>
      <c r="E2734" t="s">
        <v>228</v>
      </c>
      <c r="F2734">
        <v>2015</v>
      </c>
      <c r="G2734">
        <v>3.7569999999999999E-3</v>
      </c>
      <c r="H2734" t="s">
        <v>240</v>
      </c>
      <c r="I2734" t="s">
        <v>241</v>
      </c>
      <c r="J2734" t="s">
        <v>3</v>
      </c>
      <c r="K2734" s="183">
        <f ca="1">VLOOKUP(F2734,
    OFFSET(INDIRECT(ADDRESS(MATCH(J2734,'Vehicle numbers'!$A$5:$A$162,0),1,1,1,$L$6)),4,1,COUNTIF('Vehicle numbers'!$A$5:$A$162,J2734),4),
    MATCH(K$8,'Vehicle numbers'!$B$4:$D$4,0))*1000</f>
        <v>1230779</v>
      </c>
      <c r="L2734" s="183">
        <f ca="1">VLOOKUP(F2734,
    OFFSET(INDIRECT(ADDRESS(MATCH(J2734,'Vehicle numbers'!$A$5:$A$162,0),1,1,1,$L$6)),4,1,COUNTIF('Vehicle numbers'!$A$5:$A$162,J2734),4),
    MATCH(L$8,'Vehicle numbers'!$B$4:$D$4,0))*1000</f>
        <v>1253080</v>
      </c>
      <c r="M2734" s="184">
        <f>VLOOKUP(F2734,'Annual distance covered (GB)'!$A$8:$H$33,MATCH(J2734,'Annual distance covered (GB)'!$A$7:$H$7,0))</f>
        <v>4.7</v>
      </c>
      <c r="N2734" s="2">
        <f t="shared" ca="1" si="98"/>
        <v>17977.850883058618</v>
      </c>
      <c r="O2734" s="180">
        <f t="shared" ca="1" si="99"/>
        <v>1.4346929871244149E-2</v>
      </c>
      <c r="P2734" s="180"/>
      <c r="Q2734" s="180"/>
      <c r="R2734" s="180"/>
      <c r="S2734" s="180"/>
      <c r="T2734" s="180"/>
    </row>
    <row r="2735" spans="1:20" x14ac:dyDescent="0.25">
      <c r="A2735" t="s">
        <v>243</v>
      </c>
      <c r="B2735" t="s">
        <v>237</v>
      </c>
      <c r="C2735" t="s">
        <v>238</v>
      </c>
      <c r="D2735" t="s">
        <v>261</v>
      </c>
      <c r="E2735" t="s">
        <v>228</v>
      </c>
      <c r="F2735">
        <v>2015</v>
      </c>
      <c r="G2735">
        <v>2.6299000000000001E-3</v>
      </c>
      <c r="H2735" t="s">
        <v>240</v>
      </c>
      <c r="I2735" t="s">
        <v>241</v>
      </c>
      <c r="J2735" t="s">
        <v>3</v>
      </c>
      <c r="K2735" s="183">
        <f ca="1">VLOOKUP(F2735,
    OFFSET(INDIRECT(ADDRESS(MATCH(J2735,'Vehicle numbers'!$A$5:$A$162,0),1,1,1,$L$6)),4,1,COUNTIF('Vehicle numbers'!$A$5:$A$162,J2735),4),
    MATCH(K$8,'Vehicle numbers'!$B$4:$D$4,0))*1000</f>
        <v>1230779</v>
      </c>
      <c r="L2735" s="183">
        <f ca="1">VLOOKUP(F2735,
    OFFSET(INDIRECT(ADDRESS(MATCH(J2735,'Vehicle numbers'!$A$5:$A$162,0),1,1,1,$L$6)),4,1,COUNTIF('Vehicle numbers'!$A$5:$A$162,J2735),4),
    MATCH(L$8,'Vehicle numbers'!$B$4:$D$4,0))*1000</f>
        <v>1253080</v>
      </c>
      <c r="M2735" s="184">
        <f>VLOOKUP(F2735,'Annual distance covered (GB)'!$A$8:$H$33,MATCH(J2735,'Annual distance covered (GB)'!$A$7:$H$7,0))</f>
        <v>4.7</v>
      </c>
      <c r="N2735" s="2">
        <f t="shared" ca="1" si="98"/>
        <v>12584.495618141033</v>
      </c>
      <c r="O2735" s="180">
        <f t="shared" ca="1" si="99"/>
        <v>1.0042850909870903E-2</v>
      </c>
      <c r="P2735" s="180"/>
      <c r="Q2735" s="180"/>
      <c r="R2735" s="180"/>
      <c r="S2735" s="180"/>
      <c r="T2735" s="180"/>
    </row>
    <row r="2736" spans="1:20" x14ac:dyDescent="0.25">
      <c r="A2736" t="s">
        <v>244</v>
      </c>
      <c r="B2736" t="s">
        <v>237</v>
      </c>
      <c r="C2736" t="s">
        <v>238</v>
      </c>
      <c r="D2736" t="s">
        <v>261</v>
      </c>
      <c r="E2736" t="s">
        <v>228</v>
      </c>
      <c r="F2736">
        <v>2015</v>
      </c>
      <c r="G2736">
        <v>3.7040845070422499E-4</v>
      </c>
      <c r="H2736" t="s">
        <v>240</v>
      </c>
      <c r="I2736" t="s">
        <v>241</v>
      </c>
      <c r="J2736" t="s">
        <v>3</v>
      </c>
      <c r="K2736" s="183">
        <f ca="1">VLOOKUP(F2736,
    OFFSET(INDIRECT(ADDRESS(MATCH(J2736,'Vehicle numbers'!$A$5:$A$162,0),1,1,1,$L$6)),4,1,COUNTIF('Vehicle numbers'!$A$5:$A$162,J2736),4),
    MATCH(K$8,'Vehicle numbers'!$B$4:$D$4,0))*1000</f>
        <v>1230779</v>
      </c>
      <c r="L2736" s="183">
        <f ca="1">VLOOKUP(F2736,
    OFFSET(INDIRECT(ADDRESS(MATCH(J2736,'Vehicle numbers'!$A$5:$A$162,0),1,1,1,$L$6)),4,1,COUNTIF('Vehicle numbers'!$A$5:$A$162,J2736),4),
    MATCH(L$8,'Vehicle numbers'!$B$4:$D$4,0))*1000</f>
        <v>1253080</v>
      </c>
      <c r="M2736" s="184">
        <f>VLOOKUP(F2736,'Annual distance covered (GB)'!$A$8:$H$33,MATCH(J2736,'Annual distance covered (GB)'!$A$7:$H$7,0))</f>
        <v>4.7</v>
      </c>
      <c r="N2736" s="2">
        <f t="shared" ca="1" si="98"/>
        <v>1772.464171569158</v>
      </c>
      <c r="O2736" s="180">
        <f t="shared" ca="1" si="99"/>
        <v>1.4144860436437882E-3</v>
      </c>
      <c r="P2736" s="180"/>
      <c r="Q2736" s="180"/>
      <c r="R2736" s="180"/>
      <c r="S2736" s="180"/>
      <c r="T2736" s="180"/>
    </row>
    <row r="2737" spans="1:20" x14ac:dyDescent="0.25">
      <c r="A2737" t="s">
        <v>246</v>
      </c>
      <c r="B2737" t="s">
        <v>237</v>
      </c>
      <c r="C2737" t="s">
        <v>238</v>
      </c>
      <c r="D2737" t="s">
        <v>261</v>
      </c>
      <c r="E2737" t="s">
        <v>228</v>
      </c>
      <c r="F2737">
        <v>2015</v>
      </c>
      <c r="G2737">
        <v>2.9632676056337998E-4</v>
      </c>
      <c r="H2737" t="s">
        <v>240</v>
      </c>
      <c r="I2737" t="s">
        <v>241</v>
      </c>
      <c r="J2737" t="s">
        <v>3</v>
      </c>
      <c r="K2737" s="183">
        <f ca="1">VLOOKUP(F2737,
    OFFSET(INDIRECT(ADDRESS(MATCH(J2737,'Vehicle numbers'!$A$5:$A$162,0),1,1,1,$L$6)),4,1,COUNTIF('Vehicle numbers'!$A$5:$A$162,J2737),4),
    MATCH(K$8,'Vehicle numbers'!$B$4:$D$4,0))*1000</f>
        <v>1230779</v>
      </c>
      <c r="L2737" s="183">
        <f ca="1">VLOOKUP(F2737,
    OFFSET(INDIRECT(ADDRESS(MATCH(J2737,'Vehicle numbers'!$A$5:$A$162,0),1,1,1,$L$6)),4,1,COUNTIF('Vehicle numbers'!$A$5:$A$162,J2737),4),
    MATCH(L$8,'Vehicle numbers'!$B$4:$D$4,0))*1000</f>
        <v>1253080</v>
      </c>
      <c r="M2737" s="184">
        <f>VLOOKUP(F2737,'Annual distance covered (GB)'!$A$8:$H$33,MATCH(J2737,'Annual distance covered (GB)'!$A$7:$H$7,0))</f>
        <v>4.7</v>
      </c>
      <c r="N2737" s="2">
        <f t="shared" ca="1" si="98"/>
        <v>1417.9713372553263</v>
      </c>
      <c r="O2737" s="180">
        <f t="shared" ca="1" si="99"/>
        <v>1.1315888349150303E-3</v>
      </c>
      <c r="P2737" s="180"/>
      <c r="Q2737" s="180"/>
      <c r="R2737" s="180"/>
      <c r="S2737" s="180"/>
      <c r="T2737" s="180"/>
    </row>
    <row r="2738" spans="1:20" x14ac:dyDescent="0.25">
      <c r="A2738" t="s">
        <v>236</v>
      </c>
      <c r="B2738" t="s">
        <v>237</v>
      </c>
      <c r="C2738" t="s">
        <v>238</v>
      </c>
      <c r="D2738" t="s">
        <v>262</v>
      </c>
      <c r="E2738" t="s">
        <v>229</v>
      </c>
      <c r="F2738">
        <v>2015</v>
      </c>
      <c r="G2738">
        <v>6.7999999999999896E-4</v>
      </c>
      <c r="H2738" t="s">
        <v>240</v>
      </c>
      <c r="I2738" t="s">
        <v>241</v>
      </c>
      <c r="J2738" t="s">
        <v>3</v>
      </c>
      <c r="K2738" s="183">
        <f ca="1">VLOOKUP(F2738,
    OFFSET(INDIRECT(ADDRESS(MATCH(J2738,'Vehicle numbers'!$A$5:$A$162,0),1,1,1,$L$6)),4,1,COUNTIF('Vehicle numbers'!$A$5:$A$162,J2738),4),
    MATCH(K$8,'Vehicle numbers'!$B$4:$D$4,0))*1000</f>
        <v>1230779</v>
      </c>
      <c r="L2738" s="183">
        <f ca="1">VLOOKUP(F2738,
    OFFSET(INDIRECT(ADDRESS(MATCH(J2738,'Vehicle numbers'!$A$5:$A$162,0),1,1,1,$L$6)),4,1,COUNTIF('Vehicle numbers'!$A$5:$A$162,J2738),4),
    MATCH(L$8,'Vehicle numbers'!$B$4:$D$4,0))*1000</f>
        <v>1253080</v>
      </c>
      <c r="M2738" s="184">
        <f>VLOOKUP(F2738,'Annual distance covered (GB)'!$A$8:$H$33,MATCH(J2738,'Annual distance covered (GB)'!$A$7:$H$7,0))</f>
        <v>4.7</v>
      </c>
      <c r="N2738" s="2">
        <f t="shared" ca="1" si="98"/>
        <v>3253.9096620920527</v>
      </c>
      <c r="O2738" s="180">
        <f t="shared" ca="1" si="99"/>
        <v>2.5967293884604755E-3</v>
      </c>
      <c r="P2738" s="180"/>
      <c r="Q2738" s="180"/>
      <c r="R2738" s="180"/>
      <c r="S2738" s="180"/>
      <c r="T2738" s="180"/>
    </row>
    <row r="2739" spans="1:20" x14ac:dyDescent="0.25">
      <c r="A2739" t="s">
        <v>243</v>
      </c>
      <c r="B2739" t="s">
        <v>237</v>
      </c>
      <c r="C2739" t="s">
        <v>238</v>
      </c>
      <c r="D2739" t="s">
        <v>262</v>
      </c>
      <c r="E2739" t="s">
        <v>229</v>
      </c>
      <c r="F2739">
        <v>2015</v>
      </c>
      <c r="G2739">
        <v>2.72E-4</v>
      </c>
      <c r="H2739" t="s">
        <v>240</v>
      </c>
      <c r="I2739" t="s">
        <v>241</v>
      </c>
      <c r="J2739" t="s">
        <v>3</v>
      </c>
      <c r="K2739" s="183">
        <f ca="1">VLOOKUP(F2739,
    OFFSET(INDIRECT(ADDRESS(MATCH(J2739,'Vehicle numbers'!$A$5:$A$162,0),1,1,1,$L$6)),4,1,COUNTIF('Vehicle numbers'!$A$5:$A$162,J2739),4),
    MATCH(K$8,'Vehicle numbers'!$B$4:$D$4,0))*1000</f>
        <v>1230779</v>
      </c>
      <c r="L2739" s="183">
        <f ca="1">VLOOKUP(F2739,
    OFFSET(INDIRECT(ADDRESS(MATCH(J2739,'Vehicle numbers'!$A$5:$A$162,0),1,1,1,$L$6)),4,1,COUNTIF('Vehicle numbers'!$A$5:$A$162,J2739),4),
    MATCH(L$8,'Vehicle numbers'!$B$4:$D$4,0))*1000</f>
        <v>1253080</v>
      </c>
      <c r="M2739" s="184">
        <f>VLOOKUP(F2739,'Annual distance covered (GB)'!$A$8:$H$33,MATCH(J2739,'Annual distance covered (GB)'!$A$7:$H$7,0))</f>
        <v>4.7</v>
      </c>
      <c r="N2739" s="2">
        <f t="shared" ca="1" si="98"/>
        <v>1301.5638648368231</v>
      </c>
      <c r="O2739" s="180">
        <f t="shared" ca="1" si="99"/>
        <v>1.0386917553841918E-3</v>
      </c>
      <c r="P2739" s="180"/>
      <c r="Q2739" s="180"/>
      <c r="R2739" s="180"/>
      <c r="S2739" s="180"/>
      <c r="T2739" s="180"/>
    </row>
    <row r="2740" spans="1:20" x14ac:dyDescent="0.25">
      <c r="A2740" t="s">
        <v>244</v>
      </c>
      <c r="B2740" t="s">
        <v>237</v>
      </c>
      <c r="C2740" t="s">
        <v>238</v>
      </c>
      <c r="D2740" t="s">
        <v>262</v>
      </c>
      <c r="E2740" t="s">
        <v>229</v>
      </c>
      <c r="F2740">
        <v>2015</v>
      </c>
      <c r="G2740" s="189">
        <v>6.7999999999999999E-5</v>
      </c>
      <c r="H2740" t="s">
        <v>240</v>
      </c>
      <c r="I2740" t="s">
        <v>241</v>
      </c>
      <c r="J2740" t="s">
        <v>3</v>
      </c>
      <c r="K2740" s="183">
        <f ca="1">VLOOKUP(F2740,
    OFFSET(INDIRECT(ADDRESS(MATCH(J2740,'Vehicle numbers'!$A$5:$A$162,0),1,1,1,$L$6)),4,1,COUNTIF('Vehicle numbers'!$A$5:$A$162,J2740),4),
    MATCH(K$8,'Vehicle numbers'!$B$4:$D$4,0))*1000</f>
        <v>1230779</v>
      </c>
      <c r="L2740" s="183">
        <f ca="1">VLOOKUP(F2740,
    OFFSET(INDIRECT(ADDRESS(MATCH(J2740,'Vehicle numbers'!$A$5:$A$162,0),1,1,1,$L$6)),4,1,COUNTIF('Vehicle numbers'!$A$5:$A$162,J2740),4),
    MATCH(L$8,'Vehicle numbers'!$B$4:$D$4,0))*1000</f>
        <v>1253080</v>
      </c>
      <c r="M2740" s="184">
        <f>VLOOKUP(F2740,'Annual distance covered (GB)'!$A$8:$H$33,MATCH(J2740,'Annual distance covered (GB)'!$A$7:$H$7,0))</f>
        <v>4.7</v>
      </c>
      <c r="N2740" s="2">
        <f t="shared" ca="1" si="98"/>
        <v>325.39096620920577</v>
      </c>
      <c r="O2740" s="180">
        <f t="shared" ca="1" si="99"/>
        <v>2.5967293884604796E-4</v>
      </c>
      <c r="P2740" s="180"/>
      <c r="Q2740" s="180"/>
      <c r="R2740" s="180"/>
      <c r="S2740" s="180"/>
      <c r="T2740" s="180"/>
    </row>
    <row r="2741" spans="1:20" x14ac:dyDescent="0.25">
      <c r="A2741" t="s">
        <v>246</v>
      </c>
      <c r="B2741" t="s">
        <v>237</v>
      </c>
      <c r="C2741" t="s">
        <v>238</v>
      </c>
      <c r="D2741" t="s">
        <v>262</v>
      </c>
      <c r="E2741" t="s">
        <v>229</v>
      </c>
      <c r="F2741">
        <v>2015</v>
      </c>
      <c r="G2741" s="189">
        <v>5.4400000000000001E-5</v>
      </c>
      <c r="H2741" t="s">
        <v>240</v>
      </c>
      <c r="I2741" t="s">
        <v>241</v>
      </c>
      <c r="J2741" t="s">
        <v>3</v>
      </c>
      <c r="K2741" s="183">
        <f ca="1">VLOOKUP(F2741,
    OFFSET(INDIRECT(ADDRESS(MATCH(J2741,'Vehicle numbers'!$A$5:$A$162,0),1,1,1,$L$6)),4,1,COUNTIF('Vehicle numbers'!$A$5:$A$162,J2741),4),
    MATCH(K$8,'Vehicle numbers'!$B$4:$D$4,0))*1000</f>
        <v>1230779</v>
      </c>
      <c r="L2741" s="183">
        <f ca="1">VLOOKUP(F2741,
    OFFSET(INDIRECT(ADDRESS(MATCH(J2741,'Vehicle numbers'!$A$5:$A$162,0),1,1,1,$L$6)),4,1,COUNTIF('Vehicle numbers'!$A$5:$A$162,J2741),4),
    MATCH(L$8,'Vehicle numbers'!$B$4:$D$4,0))*1000</f>
        <v>1253080</v>
      </c>
      <c r="M2741" s="184">
        <f>VLOOKUP(F2741,'Annual distance covered (GB)'!$A$8:$H$33,MATCH(J2741,'Annual distance covered (GB)'!$A$7:$H$7,0))</f>
        <v>4.7</v>
      </c>
      <c r="N2741" s="2">
        <f t="shared" ca="1" si="98"/>
        <v>260.31277296736454</v>
      </c>
      <c r="O2741" s="180">
        <f t="shared" ca="1" si="99"/>
        <v>2.0773835107683829E-4</v>
      </c>
      <c r="P2741" s="180"/>
      <c r="Q2741" s="180"/>
      <c r="R2741" s="180"/>
      <c r="S2741" s="180"/>
      <c r="T2741" s="180"/>
    </row>
    <row r="2742" spans="1:20" x14ac:dyDescent="0.25">
      <c r="A2742" t="s">
        <v>236</v>
      </c>
      <c r="B2742" t="s">
        <v>237</v>
      </c>
      <c r="C2742" t="s">
        <v>238</v>
      </c>
      <c r="D2742" t="s">
        <v>262</v>
      </c>
      <c r="E2742" t="s">
        <v>228</v>
      </c>
      <c r="F2742">
        <v>2015</v>
      </c>
      <c r="G2742">
        <v>2.49E-3</v>
      </c>
      <c r="H2742" t="s">
        <v>240</v>
      </c>
      <c r="I2742" t="s">
        <v>241</v>
      </c>
      <c r="J2742" t="s">
        <v>3</v>
      </c>
      <c r="K2742" s="183">
        <f ca="1">VLOOKUP(F2742,
    OFFSET(INDIRECT(ADDRESS(MATCH(J2742,'Vehicle numbers'!$A$5:$A$162,0),1,1,1,$L$6)),4,1,COUNTIF('Vehicle numbers'!$A$5:$A$162,J2742),4),
    MATCH(K$8,'Vehicle numbers'!$B$4:$D$4,0))*1000</f>
        <v>1230779</v>
      </c>
      <c r="L2742" s="183">
        <f ca="1">VLOOKUP(F2742,
    OFFSET(INDIRECT(ADDRESS(MATCH(J2742,'Vehicle numbers'!$A$5:$A$162,0),1,1,1,$L$6)),4,1,COUNTIF('Vehicle numbers'!$A$5:$A$162,J2742),4),
    MATCH(L$8,'Vehicle numbers'!$B$4:$D$4,0))*1000</f>
        <v>1253080</v>
      </c>
      <c r="M2742" s="184">
        <f>VLOOKUP(F2742,'Annual distance covered (GB)'!$A$8:$H$33,MATCH(J2742,'Annual distance covered (GB)'!$A$7:$H$7,0))</f>
        <v>4.7</v>
      </c>
      <c r="N2742" s="2">
        <f t="shared" ca="1" si="98"/>
        <v>11915.05155677827</v>
      </c>
      <c r="O2742" s="180">
        <f t="shared" ca="1" si="99"/>
        <v>9.5086120253920492E-3</v>
      </c>
      <c r="P2742" s="180"/>
      <c r="Q2742" s="180"/>
      <c r="R2742" s="180"/>
      <c r="S2742" s="180"/>
      <c r="T2742" s="180"/>
    </row>
    <row r="2743" spans="1:20" x14ac:dyDescent="0.25">
      <c r="A2743" t="s">
        <v>243</v>
      </c>
      <c r="B2743" t="s">
        <v>237</v>
      </c>
      <c r="C2743" t="s">
        <v>238</v>
      </c>
      <c r="D2743" t="s">
        <v>262</v>
      </c>
      <c r="E2743" t="s">
        <v>228</v>
      </c>
      <c r="F2743">
        <v>2015</v>
      </c>
      <c r="G2743">
        <v>1.743E-3</v>
      </c>
      <c r="H2743" t="s">
        <v>240</v>
      </c>
      <c r="I2743" t="s">
        <v>241</v>
      </c>
      <c r="J2743" t="s">
        <v>3</v>
      </c>
      <c r="K2743" s="183">
        <f ca="1">VLOOKUP(F2743,
    OFFSET(INDIRECT(ADDRESS(MATCH(J2743,'Vehicle numbers'!$A$5:$A$162,0),1,1,1,$L$6)),4,1,COUNTIF('Vehicle numbers'!$A$5:$A$162,J2743),4),
    MATCH(K$8,'Vehicle numbers'!$B$4:$D$4,0))*1000</f>
        <v>1230779</v>
      </c>
      <c r="L2743" s="183">
        <f ca="1">VLOOKUP(F2743,
    OFFSET(INDIRECT(ADDRESS(MATCH(J2743,'Vehicle numbers'!$A$5:$A$162,0),1,1,1,$L$6)),4,1,COUNTIF('Vehicle numbers'!$A$5:$A$162,J2743),4),
    MATCH(L$8,'Vehicle numbers'!$B$4:$D$4,0))*1000</f>
        <v>1253080</v>
      </c>
      <c r="M2743" s="184">
        <f>VLOOKUP(F2743,'Annual distance covered (GB)'!$A$8:$H$33,MATCH(J2743,'Annual distance covered (GB)'!$A$7:$H$7,0))</f>
        <v>4.7</v>
      </c>
      <c r="N2743" s="2">
        <f t="shared" ca="1" si="98"/>
        <v>8340.5360897447881</v>
      </c>
      <c r="O2743" s="180">
        <f t="shared" ca="1" si="99"/>
        <v>6.6560284177744344E-3</v>
      </c>
      <c r="P2743" s="180"/>
      <c r="Q2743" s="180"/>
      <c r="R2743" s="180"/>
      <c r="S2743" s="180"/>
      <c r="T2743" s="180"/>
    </row>
    <row r="2744" spans="1:20" x14ac:dyDescent="0.25">
      <c r="A2744" t="s">
        <v>244</v>
      </c>
      <c r="B2744" t="s">
        <v>237</v>
      </c>
      <c r="C2744" t="s">
        <v>238</v>
      </c>
      <c r="D2744" t="s">
        <v>262</v>
      </c>
      <c r="E2744" t="s">
        <v>228</v>
      </c>
      <c r="F2744">
        <v>2015</v>
      </c>
      <c r="G2744">
        <v>2.4549295774647798E-4</v>
      </c>
      <c r="H2744" t="s">
        <v>240</v>
      </c>
      <c r="I2744" t="s">
        <v>241</v>
      </c>
      <c r="J2744" t="s">
        <v>3</v>
      </c>
      <c r="K2744" s="183">
        <f ca="1">VLOOKUP(F2744,
    OFFSET(INDIRECT(ADDRESS(MATCH(J2744,'Vehicle numbers'!$A$5:$A$162,0),1,1,1,$L$6)),4,1,COUNTIF('Vehicle numbers'!$A$5:$A$162,J2744),4),
    MATCH(K$8,'Vehicle numbers'!$B$4:$D$4,0))*1000</f>
        <v>1230779</v>
      </c>
      <c r="L2744" s="183">
        <f ca="1">VLOOKUP(F2744,
    OFFSET(INDIRECT(ADDRESS(MATCH(J2744,'Vehicle numbers'!$A$5:$A$162,0),1,1,1,$L$6)),4,1,COUNTIF('Vehicle numbers'!$A$5:$A$162,J2744),4),
    MATCH(L$8,'Vehicle numbers'!$B$4:$D$4,0))*1000</f>
        <v>1253080</v>
      </c>
      <c r="M2744" s="184">
        <f>VLOOKUP(F2744,'Annual distance covered (GB)'!$A$8:$H$33,MATCH(J2744,'Annual distance covered (GB)'!$A$7:$H$7,0))</f>
        <v>4.7</v>
      </c>
      <c r="N2744" s="2">
        <f t="shared" ca="1" si="98"/>
        <v>1174.7233929217969</v>
      </c>
      <c r="O2744" s="180">
        <f t="shared" ca="1" si="99"/>
        <v>9.3746879123583239E-4</v>
      </c>
      <c r="P2744" s="180"/>
      <c r="Q2744" s="180"/>
      <c r="R2744" s="180"/>
      <c r="S2744" s="180"/>
      <c r="T2744" s="180"/>
    </row>
    <row r="2745" spans="1:20" x14ac:dyDescent="0.25">
      <c r="A2745" t="s">
        <v>246</v>
      </c>
      <c r="B2745" t="s">
        <v>237</v>
      </c>
      <c r="C2745" t="s">
        <v>238</v>
      </c>
      <c r="D2745" t="s">
        <v>262</v>
      </c>
      <c r="E2745" t="s">
        <v>228</v>
      </c>
      <c r="F2745">
        <v>2015</v>
      </c>
      <c r="G2745">
        <v>1.96394366197183E-4</v>
      </c>
      <c r="H2745" t="s">
        <v>240</v>
      </c>
      <c r="I2745" t="s">
        <v>241</v>
      </c>
      <c r="J2745" t="s">
        <v>3</v>
      </c>
      <c r="K2745" s="183">
        <f ca="1">VLOOKUP(F2745,
    OFFSET(INDIRECT(ADDRESS(MATCH(J2745,'Vehicle numbers'!$A$5:$A$162,0),1,1,1,$L$6)),4,1,COUNTIF('Vehicle numbers'!$A$5:$A$162,J2745),4),
    MATCH(K$8,'Vehicle numbers'!$B$4:$D$4,0))*1000</f>
        <v>1230779</v>
      </c>
      <c r="L2745" s="183">
        <f ca="1">VLOOKUP(F2745,
    OFFSET(INDIRECT(ADDRESS(MATCH(J2745,'Vehicle numbers'!$A$5:$A$162,0),1,1,1,$L$6)),4,1,COUNTIF('Vehicle numbers'!$A$5:$A$162,J2745),4),
    MATCH(L$8,'Vehicle numbers'!$B$4:$D$4,0))*1000</f>
        <v>1253080</v>
      </c>
      <c r="M2745" s="184">
        <f>VLOOKUP(F2745,'Annual distance covered (GB)'!$A$8:$H$33,MATCH(J2745,'Annual distance covered (GB)'!$A$7:$H$7,0))</f>
        <v>4.7</v>
      </c>
      <c r="N2745" s="2">
        <f t="shared" ca="1" si="98"/>
        <v>939.77871433744042</v>
      </c>
      <c r="O2745" s="180">
        <f t="shared" ca="1" si="99"/>
        <v>7.4997503298866828E-4</v>
      </c>
      <c r="P2745" s="180"/>
      <c r="Q2745" s="180"/>
      <c r="R2745" s="180"/>
      <c r="S2745" s="180"/>
      <c r="T2745" s="180"/>
    </row>
    <row r="2746" spans="1:20" x14ac:dyDescent="0.25">
      <c r="A2746" t="s">
        <v>236</v>
      </c>
      <c r="B2746" t="s">
        <v>237</v>
      </c>
      <c r="C2746" t="s">
        <v>238</v>
      </c>
      <c r="D2746" t="s">
        <v>263</v>
      </c>
      <c r="E2746" t="s">
        <v>229</v>
      </c>
      <c r="F2746">
        <v>2015</v>
      </c>
      <c r="G2746">
        <v>2.7640000000000099E-3</v>
      </c>
      <c r="H2746" t="s">
        <v>240</v>
      </c>
      <c r="I2746" t="s">
        <v>241</v>
      </c>
      <c r="J2746" t="s">
        <v>3</v>
      </c>
      <c r="K2746" s="183">
        <f ca="1">VLOOKUP(F2746,
    OFFSET(INDIRECT(ADDRESS(MATCH(J2746,'Vehicle numbers'!$A$5:$A$162,0),1,1,1,$L$6)),4,1,COUNTIF('Vehicle numbers'!$A$5:$A$162,J2746),4),
    MATCH(K$8,'Vehicle numbers'!$B$4:$D$4,0))*1000</f>
        <v>1230779</v>
      </c>
      <c r="L2746" s="183">
        <f ca="1">VLOOKUP(F2746,
    OFFSET(INDIRECT(ADDRESS(MATCH(J2746,'Vehicle numbers'!$A$5:$A$162,0),1,1,1,$L$6)),4,1,COUNTIF('Vehicle numbers'!$A$5:$A$162,J2746),4),
    MATCH(L$8,'Vehicle numbers'!$B$4:$D$4,0))*1000</f>
        <v>1253080</v>
      </c>
      <c r="M2746" s="184">
        <f>VLOOKUP(F2746,'Annual distance covered (GB)'!$A$8:$H$33,MATCH(J2746,'Annual distance covered (GB)'!$A$7:$H$7,0))</f>
        <v>4.7</v>
      </c>
      <c r="N2746" s="2">
        <f t="shared" ca="1" si="98"/>
        <v>13226.185744150704</v>
      </c>
      <c r="O2746" s="180">
        <f t="shared" ca="1" si="99"/>
        <v>1.0554941220154103E-2</v>
      </c>
      <c r="P2746" s="180"/>
      <c r="Q2746" s="180"/>
      <c r="R2746" s="180"/>
      <c r="S2746" s="180"/>
      <c r="T2746" s="180"/>
    </row>
    <row r="2747" spans="1:20" x14ac:dyDescent="0.25">
      <c r="A2747" t="s">
        <v>243</v>
      </c>
      <c r="B2747" t="s">
        <v>237</v>
      </c>
      <c r="C2747" t="s">
        <v>238</v>
      </c>
      <c r="D2747" t="s">
        <v>263</v>
      </c>
      <c r="E2747" t="s">
        <v>229</v>
      </c>
      <c r="F2747">
        <v>2015</v>
      </c>
      <c r="G2747">
        <v>1.1056E-3</v>
      </c>
      <c r="H2747" t="s">
        <v>240</v>
      </c>
      <c r="I2747" t="s">
        <v>241</v>
      </c>
      <c r="J2747" t="s">
        <v>3</v>
      </c>
      <c r="K2747" s="183">
        <f ca="1">VLOOKUP(F2747,
    OFFSET(INDIRECT(ADDRESS(MATCH(J2747,'Vehicle numbers'!$A$5:$A$162,0),1,1,1,$L$6)),4,1,COUNTIF('Vehicle numbers'!$A$5:$A$162,J2747),4),
    MATCH(K$8,'Vehicle numbers'!$B$4:$D$4,0))*1000</f>
        <v>1230779</v>
      </c>
      <c r="L2747" s="183">
        <f ca="1">VLOOKUP(F2747,
    OFFSET(INDIRECT(ADDRESS(MATCH(J2747,'Vehicle numbers'!$A$5:$A$162,0),1,1,1,$L$6)),4,1,COUNTIF('Vehicle numbers'!$A$5:$A$162,J2747),4),
    MATCH(L$8,'Vehicle numbers'!$B$4:$D$4,0))*1000</f>
        <v>1253080</v>
      </c>
      <c r="M2747" s="184">
        <f>VLOOKUP(F2747,'Annual distance covered (GB)'!$A$8:$H$33,MATCH(J2747,'Annual distance covered (GB)'!$A$7:$H$7,0))</f>
        <v>4.7</v>
      </c>
      <c r="N2747" s="2">
        <f t="shared" ca="1" si="98"/>
        <v>5290.474297660262</v>
      </c>
      <c r="O2747" s="180">
        <f t="shared" ca="1" si="99"/>
        <v>4.2219764880616255E-3</v>
      </c>
      <c r="P2747" s="180"/>
      <c r="Q2747" s="180"/>
      <c r="R2747" s="180"/>
      <c r="S2747" s="180"/>
      <c r="T2747" s="180"/>
    </row>
    <row r="2748" spans="1:20" x14ac:dyDescent="0.25">
      <c r="A2748" t="s">
        <v>244</v>
      </c>
      <c r="B2748" t="s">
        <v>237</v>
      </c>
      <c r="C2748" t="s">
        <v>238</v>
      </c>
      <c r="D2748" t="s">
        <v>263</v>
      </c>
      <c r="E2748" t="s">
        <v>229</v>
      </c>
      <c r="F2748">
        <v>2015</v>
      </c>
      <c r="G2748">
        <v>2.764E-4</v>
      </c>
      <c r="H2748" t="s">
        <v>240</v>
      </c>
      <c r="I2748" t="s">
        <v>241</v>
      </c>
      <c r="J2748" t="s">
        <v>3</v>
      </c>
      <c r="K2748" s="183">
        <f ca="1">VLOOKUP(F2748,
    OFFSET(INDIRECT(ADDRESS(MATCH(J2748,'Vehicle numbers'!$A$5:$A$162,0),1,1,1,$L$6)),4,1,COUNTIF('Vehicle numbers'!$A$5:$A$162,J2748),4),
    MATCH(K$8,'Vehicle numbers'!$B$4:$D$4,0))*1000</f>
        <v>1230779</v>
      </c>
      <c r="L2748" s="183">
        <f ca="1">VLOOKUP(F2748,
    OFFSET(INDIRECT(ADDRESS(MATCH(J2748,'Vehicle numbers'!$A$5:$A$162,0),1,1,1,$L$6)),4,1,COUNTIF('Vehicle numbers'!$A$5:$A$162,J2748),4),
    MATCH(L$8,'Vehicle numbers'!$B$4:$D$4,0))*1000</f>
        <v>1253080</v>
      </c>
      <c r="M2748" s="184">
        <f>VLOOKUP(F2748,'Annual distance covered (GB)'!$A$8:$H$33,MATCH(J2748,'Annual distance covered (GB)'!$A$7:$H$7,0))</f>
        <v>4.7</v>
      </c>
      <c r="N2748" s="2">
        <f t="shared" ca="1" si="98"/>
        <v>1322.6185744150655</v>
      </c>
      <c r="O2748" s="180">
        <f t="shared" ca="1" si="99"/>
        <v>1.0554941220154064E-3</v>
      </c>
      <c r="P2748" s="180"/>
      <c r="Q2748" s="180"/>
      <c r="R2748" s="180"/>
      <c r="S2748" s="180"/>
      <c r="T2748" s="180"/>
    </row>
    <row r="2749" spans="1:20" x14ac:dyDescent="0.25">
      <c r="A2749" t="s">
        <v>246</v>
      </c>
      <c r="B2749" t="s">
        <v>237</v>
      </c>
      <c r="C2749" t="s">
        <v>238</v>
      </c>
      <c r="D2749" t="s">
        <v>263</v>
      </c>
      <c r="E2749" t="s">
        <v>229</v>
      </c>
      <c r="F2749">
        <v>2015</v>
      </c>
      <c r="G2749">
        <v>2.2112E-4</v>
      </c>
      <c r="H2749" t="s">
        <v>240</v>
      </c>
      <c r="I2749" t="s">
        <v>241</v>
      </c>
      <c r="J2749" t="s">
        <v>3</v>
      </c>
      <c r="K2749" s="183">
        <f ca="1">VLOOKUP(F2749,
    OFFSET(INDIRECT(ADDRESS(MATCH(J2749,'Vehicle numbers'!$A$5:$A$162,0),1,1,1,$L$6)),4,1,COUNTIF('Vehicle numbers'!$A$5:$A$162,J2749),4),
    MATCH(K$8,'Vehicle numbers'!$B$4:$D$4,0))*1000</f>
        <v>1230779</v>
      </c>
      <c r="L2749" s="183">
        <f ca="1">VLOOKUP(F2749,
    OFFSET(INDIRECT(ADDRESS(MATCH(J2749,'Vehicle numbers'!$A$5:$A$162,0),1,1,1,$L$6)),4,1,COUNTIF('Vehicle numbers'!$A$5:$A$162,J2749),4),
    MATCH(L$8,'Vehicle numbers'!$B$4:$D$4,0))*1000</f>
        <v>1253080</v>
      </c>
      <c r="M2749" s="184">
        <f>VLOOKUP(F2749,'Annual distance covered (GB)'!$A$8:$H$33,MATCH(J2749,'Annual distance covered (GB)'!$A$7:$H$7,0))</f>
        <v>4.7</v>
      </c>
      <c r="N2749" s="2">
        <f t="shared" ca="1" si="98"/>
        <v>1058.0948595320526</v>
      </c>
      <c r="O2749" s="180">
        <f t="shared" ca="1" si="99"/>
        <v>8.4439529761232536E-4</v>
      </c>
      <c r="P2749" s="180"/>
      <c r="Q2749" s="180"/>
      <c r="R2749" s="180"/>
      <c r="S2749" s="180"/>
      <c r="T2749" s="180"/>
    </row>
    <row r="2750" spans="1:20" x14ac:dyDescent="0.25">
      <c r="A2750" t="s">
        <v>236</v>
      </c>
      <c r="B2750" t="s">
        <v>237</v>
      </c>
      <c r="C2750" t="s">
        <v>238</v>
      </c>
      <c r="D2750" t="s">
        <v>263</v>
      </c>
      <c r="E2750" t="s">
        <v>228</v>
      </c>
      <c r="F2750">
        <v>2015</v>
      </c>
      <c r="G2750">
        <v>2.9240000000000099E-3</v>
      </c>
      <c r="H2750" t="s">
        <v>240</v>
      </c>
      <c r="I2750" t="s">
        <v>241</v>
      </c>
      <c r="J2750" t="s">
        <v>3</v>
      </c>
      <c r="K2750" s="183">
        <f ca="1">VLOOKUP(F2750,
    OFFSET(INDIRECT(ADDRESS(MATCH(J2750,'Vehicle numbers'!$A$5:$A$162,0),1,1,1,$L$6)),4,1,COUNTIF('Vehicle numbers'!$A$5:$A$162,J2750),4),
    MATCH(K$8,'Vehicle numbers'!$B$4:$D$4,0))*1000</f>
        <v>1230779</v>
      </c>
      <c r="L2750" s="183">
        <f ca="1">VLOOKUP(F2750,
    OFFSET(INDIRECT(ADDRESS(MATCH(J2750,'Vehicle numbers'!$A$5:$A$162,0),1,1,1,$L$6)),4,1,COUNTIF('Vehicle numbers'!$A$5:$A$162,J2750),4),
    MATCH(L$8,'Vehicle numbers'!$B$4:$D$4,0))*1000</f>
        <v>1253080</v>
      </c>
      <c r="M2750" s="184">
        <f>VLOOKUP(F2750,'Annual distance covered (GB)'!$A$8:$H$33,MATCH(J2750,'Annual distance covered (GB)'!$A$7:$H$7,0))</f>
        <v>4.7</v>
      </c>
      <c r="N2750" s="2">
        <f t="shared" ca="1" si="98"/>
        <v>13991.811546995894</v>
      </c>
      <c r="O2750" s="180">
        <f t="shared" ca="1" si="99"/>
        <v>1.1165936370380098E-2</v>
      </c>
      <c r="P2750" s="180"/>
      <c r="Q2750" s="180"/>
      <c r="R2750" s="180"/>
      <c r="S2750" s="180"/>
      <c r="T2750" s="180"/>
    </row>
    <row r="2751" spans="1:20" x14ac:dyDescent="0.25">
      <c r="A2751" t="s">
        <v>243</v>
      </c>
      <c r="B2751" t="s">
        <v>237</v>
      </c>
      <c r="C2751" t="s">
        <v>238</v>
      </c>
      <c r="D2751" t="s">
        <v>263</v>
      </c>
      <c r="E2751" t="s">
        <v>228</v>
      </c>
      <c r="F2751">
        <v>2015</v>
      </c>
      <c r="G2751">
        <v>2.0468000000000101E-3</v>
      </c>
      <c r="H2751" t="s">
        <v>240</v>
      </c>
      <c r="I2751" t="s">
        <v>241</v>
      </c>
      <c r="J2751" t="s">
        <v>3</v>
      </c>
      <c r="K2751" s="183">
        <f ca="1">VLOOKUP(F2751,
    OFFSET(INDIRECT(ADDRESS(MATCH(J2751,'Vehicle numbers'!$A$5:$A$162,0),1,1,1,$L$6)),4,1,COUNTIF('Vehicle numbers'!$A$5:$A$162,J2751),4),
    MATCH(K$8,'Vehicle numbers'!$B$4:$D$4,0))*1000</f>
        <v>1230779</v>
      </c>
      <c r="L2751" s="183">
        <f ca="1">VLOOKUP(F2751,
    OFFSET(INDIRECT(ADDRESS(MATCH(J2751,'Vehicle numbers'!$A$5:$A$162,0),1,1,1,$L$6)),4,1,COUNTIF('Vehicle numbers'!$A$5:$A$162,J2751),4),
    MATCH(L$8,'Vehicle numbers'!$B$4:$D$4,0))*1000</f>
        <v>1253080</v>
      </c>
      <c r="M2751" s="184">
        <f>VLOOKUP(F2751,'Annual distance covered (GB)'!$A$8:$H$33,MATCH(J2751,'Annual distance covered (GB)'!$A$7:$H$7,0))</f>
        <v>4.7</v>
      </c>
      <c r="N2751" s="2">
        <f t="shared" ca="1" si="98"/>
        <v>9794.2680828971406</v>
      </c>
      <c r="O2751" s="180">
        <f t="shared" ca="1" si="99"/>
        <v>7.8161554592660817E-3</v>
      </c>
      <c r="P2751" s="180"/>
      <c r="Q2751" s="180"/>
      <c r="R2751" s="180"/>
      <c r="S2751" s="180"/>
      <c r="T2751" s="180"/>
    </row>
    <row r="2752" spans="1:20" x14ac:dyDescent="0.25">
      <c r="A2752" t="s">
        <v>244</v>
      </c>
      <c r="B2752" t="s">
        <v>237</v>
      </c>
      <c r="C2752" t="s">
        <v>238</v>
      </c>
      <c r="D2752" t="s">
        <v>263</v>
      </c>
      <c r="E2752" t="s">
        <v>228</v>
      </c>
      <c r="F2752">
        <v>2015</v>
      </c>
      <c r="G2752">
        <v>2.8828169014084599E-4</v>
      </c>
      <c r="H2752" t="s">
        <v>240</v>
      </c>
      <c r="I2752" t="s">
        <v>241</v>
      </c>
      <c r="J2752" t="s">
        <v>3</v>
      </c>
      <c r="K2752" s="183">
        <f ca="1">VLOOKUP(F2752,
    OFFSET(INDIRECT(ADDRESS(MATCH(J2752,'Vehicle numbers'!$A$5:$A$162,0),1,1,1,$L$6)),4,1,COUNTIF('Vehicle numbers'!$A$5:$A$162,J2752),4),
    MATCH(K$8,'Vehicle numbers'!$B$4:$D$4,0))*1000</f>
        <v>1230779</v>
      </c>
      <c r="L2752" s="183">
        <f ca="1">VLOOKUP(F2752,
    OFFSET(INDIRECT(ADDRESS(MATCH(J2752,'Vehicle numbers'!$A$5:$A$162,0),1,1,1,$L$6)),4,1,COUNTIF('Vehicle numbers'!$A$5:$A$162,J2752),4),
    MATCH(L$8,'Vehicle numbers'!$B$4:$D$4,0))*1000</f>
        <v>1253080</v>
      </c>
      <c r="M2752" s="184">
        <f>VLOOKUP(F2752,'Annual distance covered (GB)'!$A$8:$H$33,MATCH(J2752,'Annual distance covered (GB)'!$A$7:$H$7,0))</f>
        <v>4.7</v>
      </c>
      <c r="N2752" s="2">
        <f t="shared" ca="1" si="98"/>
        <v>1379.4743778728343</v>
      </c>
      <c r="O2752" s="180">
        <f t="shared" ca="1" si="99"/>
        <v>1.1008669660938124E-3</v>
      </c>
      <c r="P2752" s="180"/>
      <c r="Q2752" s="180"/>
      <c r="R2752" s="180"/>
      <c r="S2752" s="180"/>
      <c r="T2752" s="180"/>
    </row>
    <row r="2753" spans="1:20" x14ac:dyDescent="0.25">
      <c r="A2753" t="s">
        <v>246</v>
      </c>
      <c r="B2753" t="s">
        <v>237</v>
      </c>
      <c r="C2753" t="s">
        <v>238</v>
      </c>
      <c r="D2753" t="s">
        <v>263</v>
      </c>
      <c r="E2753" t="s">
        <v>228</v>
      </c>
      <c r="F2753">
        <v>2015</v>
      </c>
      <c r="G2753">
        <v>2.30625352112677E-4</v>
      </c>
      <c r="H2753" t="s">
        <v>240</v>
      </c>
      <c r="I2753" t="s">
        <v>241</v>
      </c>
      <c r="J2753" t="s">
        <v>3</v>
      </c>
      <c r="K2753" s="183">
        <f ca="1">VLOOKUP(F2753,
    OFFSET(INDIRECT(ADDRESS(MATCH(J2753,'Vehicle numbers'!$A$5:$A$162,0),1,1,1,$L$6)),4,1,COUNTIF('Vehicle numbers'!$A$5:$A$162,J2753),4),
    MATCH(K$8,'Vehicle numbers'!$B$4:$D$4,0))*1000</f>
        <v>1230779</v>
      </c>
      <c r="L2753" s="183">
        <f ca="1">VLOOKUP(F2753,
    OFFSET(INDIRECT(ADDRESS(MATCH(J2753,'Vehicle numbers'!$A$5:$A$162,0),1,1,1,$L$6)),4,1,COUNTIF('Vehicle numbers'!$A$5:$A$162,J2753),4),
    MATCH(L$8,'Vehicle numbers'!$B$4:$D$4,0))*1000</f>
        <v>1253080</v>
      </c>
      <c r="M2753" s="184">
        <f>VLOOKUP(F2753,'Annual distance covered (GB)'!$A$8:$H$33,MATCH(J2753,'Annual distance covered (GB)'!$A$7:$H$7,0))</f>
        <v>4.7</v>
      </c>
      <c r="N2753" s="2">
        <f t="shared" ca="1" si="98"/>
        <v>1103.5795022982686</v>
      </c>
      <c r="O2753" s="180">
        <f t="shared" ca="1" si="99"/>
        <v>8.8069357287505077E-4</v>
      </c>
      <c r="P2753" s="180"/>
      <c r="Q2753" s="180"/>
      <c r="R2753" s="180"/>
      <c r="S2753" s="180"/>
      <c r="T2753" s="180"/>
    </row>
    <row r="2754" spans="1:20" x14ac:dyDescent="0.25">
      <c r="A2754" t="s">
        <v>236</v>
      </c>
      <c r="B2754" t="s">
        <v>237</v>
      </c>
      <c r="C2754" t="s">
        <v>238</v>
      </c>
      <c r="D2754" t="s">
        <v>264</v>
      </c>
      <c r="E2754" t="s">
        <v>229</v>
      </c>
      <c r="F2754">
        <v>2015</v>
      </c>
      <c r="G2754">
        <v>5.8399999999999902E-3</v>
      </c>
      <c r="H2754" t="s">
        <v>240</v>
      </c>
      <c r="I2754" t="s">
        <v>241</v>
      </c>
      <c r="J2754" t="s">
        <v>3</v>
      </c>
      <c r="K2754" s="183">
        <f ca="1">VLOOKUP(F2754,
    OFFSET(INDIRECT(ADDRESS(MATCH(J2754,'Vehicle numbers'!$A$5:$A$162,0),1,1,1,$L$6)),4,1,COUNTIF('Vehicle numbers'!$A$5:$A$162,J2754),4),
    MATCH(K$8,'Vehicle numbers'!$B$4:$D$4,0))*1000</f>
        <v>1230779</v>
      </c>
      <c r="L2754" s="183">
        <f ca="1">VLOOKUP(F2754,
    OFFSET(INDIRECT(ADDRESS(MATCH(J2754,'Vehicle numbers'!$A$5:$A$162,0),1,1,1,$L$6)),4,1,COUNTIF('Vehicle numbers'!$A$5:$A$162,J2754),4),
    MATCH(L$8,'Vehicle numbers'!$B$4:$D$4,0))*1000</f>
        <v>1253080</v>
      </c>
      <c r="M2754" s="184">
        <f>VLOOKUP(F2754,'Annual distance covered (GB)'!$A$8:$H$33,MATCH(J2754,'Annual distance covered (GB)'!$A$7:$H$7,0))</f>
        <v>4.7</v>
      </c>
      <c r="N2754" s="2">
        <f t="shared" ca="1" si="98"/>
        <v>27945.341803849387</v>
      </c>
      <c r="O2754" s="180">
        <f t="shared" ca="1" si="99"/>
        <v>2.2301322983248786E-2</v>
      </c>
      <c r="P2754" s="180"/>
      <c r="Q2754" s="180"/>
      <c r="R2754" s="180"/>
      <c r="S2754" s="180"/>
      <c r="T2754" s="180"/>
    </row>
    <row r="2755" spans="1:20" x14ac:dyDescent="0.25">
      <c r="A2755" t="s">
        <v>243</v>
      </c>
      <c r="B2755" t="s">
        <v>237</v>
      </c>
      <c r="C2755" t="s">
        <v>238</v>
      </c>
      <c r="D2755" t="s">
        <v>264</v>
      </c>
      <c r="E2755" t="s">
        <v>229</v>
      </c>
      <c r="F2755">
        <v>2015</v>
      </c>
      <c r="G2755">
        <v>2.336E-3</v>
      </c>
      <c r="H2755" t="s">
        <v>240</v>
      </c>
      <c r="I2755" t="s">
        <v>241</v>
      </c>
      <c r="J2755" t="s">
        <v>3</v>
      </c>
      <c r="K2755" s="183">
        <f ca="1">VLOOKUP(F2755,
    OFFSET(INDIRECT(ADDRESS(MATCH(J2755,'Vehicle numbers'!$A$5:$A$162,0),1,1,1,$L$6)),4,1,COUNTIF('Vehicle numbers'!$A$5:$A$162,J2755),4),
    MATCH(K$8,'Vehicle numbers'!$B$4:$D$4,0))*1000</f>
        <v>1230779</v>
      </c>
      <c r="L2755" s="183">
        <f ca="1">VLOOKUP(F2755,
    OFFSET(INDIRECT(ADDRESS(MATCH(J2755,'Vehicle numbers'!$A$5:$A$162,0),1,1,1,$L$6)),4,1,COUNTIF('Vehicle numbers'!$A$5:$A$162,J2755),4),
    MATCH(L$8,'Vehicle numbers'!$B$4:$D$4,0))*1000</f>
        <v>1253080</v>
      </c>
      <c r="M2755" s="184">
        <f>VLOOKUP(F2755,'Annual distance covered (GB)'!$A$8:$H$33,MATCH(J2755,'Annual distance covered (GB)'!$A$7:$H$7,0))</f>
        <v>4.7</v>
      </c>
      <c r="N2755" s="2">
        <f t="shared" ca="1" si="98"/>
        <v>11178.136721539773</v>
      </c>
      <c r="O2755" s="180">
        <f t="shared" ca="1" si="99"/>
        <v>8.9205291932995291E-3</v>
      </c>
      <c r="P2755" s="180"/>
      <c r="Q2755" s="180"/>
      <c r="R2755" s="180"/>
      <c r="S2755" s="180"/>
      <c r="T2755" s="180"/>
    </row>
    <row r="2756" spans="1:20" x14ac:dyDescent="0.25">
      <c r="A2756" t="s">
        <v>244</v>
      </c>
      <c r="B2756" t="s">
        <v>237</v>
      </c>
      <c r="C2756" t="s">
        <v>238</v>
      </c>
      <c r="D2756" t="s">
        <v>264</v>
      </c>
      <c r="E2756" t="s">
        <v>229</v>
      </c>
      <c r="F2756">
        <v>2015</v>
      </c>
      <c r="G2756">
        <v>5.8399999999999999E-4</v>
      </c>
      <c r="H2756" t="s">
        <v>240</v>
      </c>
      <c r="I2756" t="s">
        <v>241</v>
      </c>
      <c r="J2756" t="s">
        <v>3</v>
      </c>
      <c r="K2756" s="183">
        <f ca="1">VLOOKUP(F2756,
    OFFSET(INDIRECT(ADDRESS(MATCH(J2756,'Vehicle numbers'!$A$5:$A$162,0),1,1,1,$L$6)),4,1,COUNTIF('Vehicle numbers'!$A$5:$A$162,J2756),4),
    MATCH(K$8,'Vehicle numbers'!$B$4:$D$4,0))*1000</f>
        <v>1230779</v>
      </c>
      <c r="L2756" s="183">
        <f ca="1">VLOOKUP(F2756,
    OFFSET(INDIRECT(ADDRESS(MATCH(J2756,'Vehicle numbers'!$A$5:$A$162,0),1,1,1,$L$6)),4,1,COUNTIF('Vehicle numbers'!$A$5:$A$162,J2756),4),
    MATCH(L$8,'Vehicle numbers'!$B$4:$D$4,0))*1000</f>
        <v>1253080</v>
      </c>
      <c r="M2756" s="184">
        <f>VLOOKUP(F2756,'Annual distance covered (GB)'!$A$8:$H$33,MATCH(J2756,'Annual distance covered (GB)'!$A$7:$H$7,0))</f>
        <v>4.7</v>
      </c>
      <c r="N2756" s="2">
        <f t="shared" ca="1" si="98"/>
        <v>2794.5341803849433</v>
      </c>
      <c r="O2756" s="180">
        <f t="shared" ca="1" si="99"/>
        <v>2.2301322983248823E-3</v>
      </c>
      <c r="P2756" s="180"/>
      <c r="Q2756" s="180"/>
      <c r="R2756" s="180"/>
      <c r="S2756" s="180"/>
      <c r="T2756" s="180"/>
    </row>
    <row r="2757" spans="1:20" x14ac:dyDescent="0.25">
      <c r="A2757" t="s">
        <v>246</v>
      </c>
      <c r="B2757" t="s">
        <v>237</v>
      </c>
      <c r="C2757" t="s">
        <v>238</v>
      </c>
      <c r="D2757" t="s">
        <v>264</v>
      </c>
      <c r="E2757" t="s">
        <v>229</v>
      </c>
      <c r="F2757">
        <v>2015</v>
      </c>
      <c r="G2757">
        <v>4.6720000000000003E-4</v>
      </c>
      <c r="H2757" t="s">
        <v>240</v>
      </c>
      <c r="I2757" t="s">
        <v>241</v>
      </c>
      <c r="J2757" t="s">
        <v>3</v>
      </c>
      <c r="K2757" s="183">
        <f ca="1">VLOOKUP(F2757,
    OFFSET(INDIRECT(ADDRESS(MATCH(J2757,'Vehicle numbers'!$A$5:$A$162,0),1,1,1,$L$6)),4,1,COUNTIF('Vehicle numbers'!$A$5:$A$162,J2757),4),
    MATCH(K$8,'Vehicle numbers'!$B$4:$D$4,0))*1000</f>
        <v>1230779</v>
      </c>
      <c r="L2757" s="183">
        <f ca="1">VLOOKUP(F2757,
    OFFSET(INDIRECT(ADDRESS(MATCH(J2757,'Vehicle numbers'!$A$5:$A$162,0),1,1,1,$L$6)),4,1,COUNTIF('Vehicle numbers'!$A$5:$A$162,J2757),4),
    MATCH(L$8,'Vehicle numbers'!$B$4:$D$4,0))*1000</f>
        <v>1253080</v>
      </c>
      <c r="M2757" s="184">
        <f>VLOOKUP(F2757,'Annual distance covered (GB)'!$A$8:$H$33,MATCH(J2757,'Annual distance covered (GB)'!$A$7:$H$7,0))</f>
        <v>4.7</v>
      </c>
      <c r="N2757" s="2">
        <f t="shared" ca="1" si="98"/>
        <v>2235.6273443079549</v>
      </c>
      <c r="O2757" s="180">
        <f t="shared" ca="1" si="99"/>
        <v>1.7841058386599059E-3</v>
      </c>
      <c r="P2757" s="180"/>
      <c r="Q2757" s="180"/>
      <c r="R2757" s="180"/>
      <c r="S2757" s="180"/>
      <c r="T2757" s="180"/>
    </row>
    <row r="2758" spans="1:20" x14ac:dyDescent="0.25">
      <c r="A2758" t="s">
        <v>236</v>
      </c>
      <c r="B2758" t="s">
        <v>237</v>
      </c>
      <c r="C2758" t="s">
        <v>238</v>
      </c>
      <c r="D2758" t="s">
        <v>264</v>
      </c>
      <c r="E2758" t="s">
        <v>228</v>
      </c>
      <c r="F2758">
        <v>2015</v>
      </c>
      <c r="G2758">
        <v>3.7569999999999899E-3</v>
      </c>
      <c r="H2758" t="s">
        <v>240</v>
      </c>
      <c r="I2758" t="s">
        <v>241</v>
      </c>
      <c r="J2758" t="s">
        <v>3</v>
      </c>
      <c r="K2758" s="183">
        <f ca="1">VLOOKUP(F2758,
    OFFSET(INDIRECT(ADDRESS(MATCH(J2758,'Vehicle numbers'!$A$5:$A$162,0),1,1,1,$L$6)),4,1,COUNTIF('Vehicle numbers'!$A$5:$A$162,J2758),4),
    MATCH(K$8,'Vehicle numbers'!$B$4:$D$4,0))*1000</f>
        <v>1230779</v>
      </c>
      <c r="L2758" s="183">
        <f ca="1">VLOOKUP(F2758,
    OFFSET(INDIRECT(ADDRESS(MATCH(J2758,'Vehicle numbers'!$A$5:$A$162,0),1,1,1,$L$6)),4,1,COUNTIF('Vehicle numbers'!$A$5:$A$162,J2758),4),
    MATCH(L$8,'Vehicle numbers'!$B$4:$D$4,0))*1000</f>
        <v>1253080</v>
      </c>
      <c r="M2758" s="184">
        <f>VLOOKUP(F2758,'Annual distance covered (GB)'!$A$8:$H$33,MATCH(J2758,'Annual distance covered (GB)'!$A$7:$H$7,0))</f>
        <v>4.7</v>
      </c>
      <c r="N2758" s="2">
        <f t="shared" ca="1" si="98"/>
        <v>17977.850883058567</v>
      </c>
      <c r="O2758" s="180">
        <f t="shared" ca="1" si="99"/>
        <v>1.4346929871244108E-2</v>
      </c>
      <c r="P2758" s="180"/>
      <c r="Q2758" s="180"/>
      <c r="R2758" s="180"/>
      <c r="S2758" s="180"/>
      <c r="T2758" s="180"/>
    </row>
    <row r="2759" spans="1:20" x14ac:dyDescent="0.25">
      <c r="A2759" t="s">
        <v>243</v>
      </c>
      <c r="B2759" t="s">
        <v>237</v>
      </c>
      <c r="C2759" t="s">
        <v>238</v>
      </c>
      <c r="D2759" t="s">
        <v>264</v>
      </c>
      <c r="E2759" t="s">
        <v>228</v>
      </c>
      <c r="F2759">
        <v>2015</v>
      </c>
      <c r="G2759">
        <v>2.6298999999999901E-3</v>
      </c>
      <c r="H2759" t="s">
        <v>240</v>
      </c>
      <c r="I2759" t="s">
        <v>241</v>
      </c>
      <c r="J2759" t="s">
        <v>3</v>
      </c>
      <c r="K2759" s="183">
        <f ca="1">VLOOKUP(F2759,
    OFFSET(INDIRECT(ADDRESS(MATCH(J2759,'Vehicle numbers'!$A$5:$A$162,0),1,1,1,$L$6)),4,1,COUNTIF('Vehicle numbers'!$A$5:$A$162,J2759),4),
    MATCH(K$8,'Vehicle numbers'!$B$4:$D$4,0))*1000</f>
        <v>1230779</v>
      </c>
      <c r="L2759" s="183">
        <f ca="1">VLOOKUP(F2759,
    OFFSET(INDIRECT(ADDRESS(MATCH(J2759,'Vehicle numbers'!$A$5:$A$162,0),1,1,1,$L$6)),4,1,COUNTIF('Vehicle numbers'!$A$5:$A$162,J2759),4),
    MATCH(L$8,'Vehicle numbers'!$B$4:$D$4,0))*1000</f>
        <v>1253080</v>
      </c>
      <c r="M2759" s="184">
        <f>VLOOKUP(F2759,'Annual distance covered (GB)'!$A$8:$H$33,MATCH(J2759,'Annual distance covered (GB)'!$A$7:$H$7,0))</f>
        <v>4.7</v>
      </c>
      <c r="N2759" s="2">
        <f t="shared" ca="1" si="98"/>
        <v>12584.495618140985</v>
      </c>
      <c r="O2759" s="180">
        <f t="shared" ca="1" si="99"/>
        <v>1.0042850909870867E-2</v>
      </c>
      <c r="P2759" s="180"/>
      <c r="Q2759" s="180"/>
      <c r="R2759" s="180"/>
      <c r="S2759" s="180"/>
      <c r="T2759" s="180"/>
    </row>
    <row r="2760" spans="1:20" x14ac:dyDescent="0.25">
      <c r="A2760" t="s">
        <v>244</v>
      </c>
      <c r="B2760" t="s">
        <v>237</v>
      </c>
      <c r="C2760" t="s">
        <v>238</v>
      </c>
      <c r="D2760" t="s">
        <v>264</v>
      </c>
      <c r="E2760" t="s">
        <v>228</v>
      </c>
      <c r="F2760">
        <v>2015</v>
      </c>
      <c r="G2760">
        <v>3.7040845070422299E-4</v>
      </c>
      <c r="H2760" t="s">
        <v>240</v>
      </c>
      <c r="I2760" t="s">
        <v>241</v>
      </c>
      <c r="J2760" t="s">
        <v>3</v>
      </c>
      <c r="K2760" s="183">
        <f ca="1">VLOOKUP(F2760,
    OFFSET(INDIRECT(ADDRESS(MATCH(J2760,'Vehicle numbers'!$A$5:$A$162,0),1,1,1,$L$6)),4,1,COUNTIF('Vehicle numbers'!$A$5:$A$162,J2760),4),
    MATCH(K$8,'Vehicle numbers'!$B$4:$D$4,0))*1000</f>
        <v>1230779</v>
      </c>
      <c r="L2760" s="183">
        <f ca="1">VLOOKUP(F2760,
    OFFSET(INDIRECT(ADDRESS(MATCH(J2760,'Vehicle numbers'!$A$5:$A$162,0),1,1,1,$L$6)),4,1,COUNTIF('Vehicle numbers'!$A$5:$A$162,J2760),4),
    MATCH(L$8,'Vehicle numbers'!$B$4:$D$4,0))*1000</f>
        <v>1253080</v>
      </c>
      <c r="M2760" s="184">
        <f>VLOOKUP(F2760,'Annual distance covered (GB)'!$A$8:$H$33,MATCH(J2760,'Annual distance covered (GB)'!$A$7:$H$7,0))</f>
        <v>4.7</v>
      </c>
      <c r="N2760" s="2">
        <f t="shared" ca="1" si="98"/>
        <v>1772.4641715691482</v>
      </c>
      <c r="O2760" s="180">
        <f t="shared" ca="1" si="99"/>
        <v>1.4144860436437804E-3</v>
      </c>
      <c r="P2760" s="180"/>
      <c r="Q2760" s="180"/>
      <c r="R2760" s="180"/>
      <c r="S2760" s="180"/>
      <c r="T2760" s="180"/>
    </row>
    <row r="2761" spans="1:20" x14ac:dyDescent="0.25">
      <c r="A2761" t="s">
        <v>246</v>
      </c>
      <c r="B2761" t="s">
        <v>237</v>
      </c>
      <c r="C2761" t="s">
        <v>238</v>
      </c>
      <c r="D2761" t="s">
        <v>264</v>
      </c>
      <c r="E2761" t="s">
        <v>228</v>
      </c>
      <c r="F2761">
        <v>2015</v>
      </c>
      <c r="G2761">
        <v>2.9632676056337901E-4</v>
      </c>
      <c r="H2761" t="s">
        <v>240</v>
      </c>
      <c r="I2761" t="s">
        <v>241</v>
      </c>
      <c r="J2761" t="s">
        <v>3</v>
      </c>
      <c r="K2761" s="183">
        <f ca="1">VLOOKUP(F2761,
    OFFSET(INDIRECT(ADDRESS(MATCH(J2761,'Vehicle numbers'!$A$5:$A$162,0),1,1,1,$L$6)),4,1,COUNTIF('Vehicle numbers'!$A$5:$A$162,J2761),4),
    MATCH(K$8,'Vehicle numbers'!$B$4:$D$4,0))*1000</f>
        <v>1230779</v>
      </c>
      <c r="L2761" s="183">
        <f ca="1">VLOOKUP(F2761,
    OFFSET(INDIRECT(ADDRESS(MATCH(J2761,'Vehicle numbers'!$A$5:$A$162,0),1,1,1,$L$6)),4,1,COUNTIF('Vehicle numbers'!$A$5:$A$162,J2761),4),
    MATCH(L$8,'Vehicle numbers'!$B$4:$D$4,0))*1000</f>
        <v>1253080</v>
      </c>
      <c r="M2761" s="184">
        <f>VLOOKUP(F2761,'Annual distance covered (GB)'!$A$8:$H$33,MATCH(J2761,'Annual distance covered (GB)'!$A$7:$H$7,0))</f>
        <v>4.7</v>
      </c>
      <c r="N2761" s="2">
        <f t="shared" ca="1" si="98"/>
        <v>1417.9713372553215</v>
      </c>
      <c r="O2761" s="180">
        <f t="shared" ca="1" si="99"/>
        <v>1.1315888349150266E-3</v>
      </c>
      <c r="P2761" s="180"/>
      <c r="Q2761" s="180"/>
      <c r="R2761" s="180"/>
      <c r="S2761" s="180"/>
      <c r="T2761" s="180"/>
    </row>
    <row r="2762" spans="1:20" x14ac:dyDescent="0.25">
      <c r="A2762" t="s">
        <v>236</v>
      </c>
      <c r="B2762" t="s">
        <v>237</v>
      </c>
      <c r="C2762" t="s">
        <v>238</v>
      </c>
      <c r="D2762" t="s">
        <v>239</v>
      </c>
      <c r="E2762" t="s">
        <v>229</v>
      </c>
      <c r="F2762">
        <v>2016</v>
      </c>
      <c r="G2762">
        <v>8.4409999999999902E-3</v>
      </c>
      <c r="H2762" t="s">
        <v>240</v>
      </c>
      <c r="I2762" t="s">
        <v>241</v>
      </c>
      <c r="J2762" t="s">
        <v>242</v>
      </c>
      <c r="K2762" s="183">
        <f ca="1">VLOOKUP(F2762,
    OFFSET(INDIRECT(ADDRESS(MATCH(J2762,'Vehicle numbers'!$A$5:$A$162,0),1,1,1,$L$6)),4,1,COUNTIF('Vehicle numbers'!$A$5:$A$162,J2762),4),
    MATCH(K$8,'Vehicle numbers'!$B$4:$D$4,0))*1000</f>
        <v>161500</v>
      </c>
      <c r="L2762" s="183">
        <f ca="1">VLOOKUP(F2762,
    OFFSET(INDIRECT(ADDRESS(MATCH(J2762,'Vehicle numbers'!$A$5:$A$162,0),1,1,1,$L$6)),4,1,COUNTIF('Vehicle numbers'!$A$5:$A$162,J2762),4),
    MATCH(L$8,'Vehicle numbers'!$B$4:$D$4,0))*1000</f>
        <v>167056</v>
      </c>
      <c r="M2762" s="184">
        <f>VLOOKUP(F2762,'Annual distance covered (GB)'!$A$8:$H$33,MATCH(J2762,'Annual distance covered (GB)'!$A$7:$H$7,0))</f>
        <v>4.2</v>
      </c>
      <c r="N2762" s="2">
        <f t="shared" ca="1" si="98"/>
        <v>36671.843487306462</v>
      </c>
      <c r="O2762" s="180">
        <f t="shared" ca="1" si="99"/>
        <v>0.21951826625386972</v>
      </c>
      <c r="P2762" s="180"/>
      <c r="Q2762" s="180"/>
      <c r="R2762" s="180"/>
      <c r="S2762" s="180"/>
      <c r="T2762" s="180"/>
    </row>
    <row r="2763" spans="1:20" x14ac:dyDescent="0.25">
      <c r="A2763" t="s">
        <v>243</v>
      </c>
      <c r="B2763" t="s">
        <v>237</v>
      </c>
      <c r="C2763" t="s">
        <v>238</v>
      </c>
      <c r="D2763" t="s">
        <v>239</v>
      </c>
      <c r="E2763" t="s">
        <v>229</v>
      </c>
      <c r="F2763">
        <v>2016</v>
      </c>
      <c r="G2763">
        <v>3.3763999999999999E-3</v>
      </c>
      <c r="H2763" t="s">
        <v>240</v>
      </c>
      <c r="I2763" t="s">
        <v>241</v>
      </c>
      <c r="J2763" t="s">
        <v>242</v>
      </c>
      <c r="K2763" s="183">
        <f ca="1">VLOOKUP(F2763,
    OFFSET(INDIRECT(ADDRESS(MATCH(J2763,'Vehicle numbers'!$A$5:$A$162,0),1,1,1,$L$6)),4,1,COUNTIF('Vehicle numbers'!$A$5:$A$162,J2763),4),
    MATCH(K$8,'Vehicle numbers'!$B$4:$D$4,0))*1000</f>
        <v>161500</v>
      </c>
      <c r="L2763" s="183">
        <f ca="1">VLOOKUP(F2763,
    OFFSET(INDIRECT(ADDRESS(MATCH(J2763,'Vehicle numbers'!$A$5:$A$162,0),1,1,1,$L$6)),4,1,COUNTIF('Vehicle numbers'!$A$5:$A$162,J2763),4),
    MATCH(L$8,'Vehicle numbers'!$B$4:$D$4,0))*1000</f>
        <v>167056</v>
      </c>
      <c r="M2763" s="184">
        <f>VLOOKUP(F2763,'Annual distance covered (GB)'!$A$8:$H$33,MATCH(J2763,'Annual distance covered (GB)'!$A$7:$H$7,0))</f>
        <v>4.2</v>
      </c>
      <c r="N2763" s="2">
        <f t="shared" ref="N2763:N2826" ca="1" si="100">M2763*G2763*1000000*(L2763/K2763)</f>
        <v>14668.7373949226</v>
      </c>
      <c r="O2763" s="180">
        <f t="shared" ref="O2763:O2826" ca="1" si="101">N2763/L2763</f>
        <v>8.7807306501547985E-2</v>
      </c>
      <c r="P2763" s="180"/>
      <c r="Q2763" s="180"/>
      <c r="R2763" s="180"/>
      <c r="S2763" s="180"/>
      <c r="T2763" s="180"/>
    </row>
    <row r="2764" spans="1:20" x14ac:dyDescent="0.25">
      <c r="A2764" t="s">
        <v>244</v>
      </c>
      <c r="B2764" t="s">
        <v>237</v>
      </c>
      <c r="C2764" t="s">
        <v>238</v>
      </c>
      <c r="D2764" t="s">
        <v>239</v>
      </c>
      <c r="E2764" t="s">
        <v>229</v>
      </c>
      <c r="F2764">
        <v>2016</v>
      </c>
      <c r="G2764">
        <v>8.4409999999999997E-4</v>
      </c>
      <c r="H2764" t="s">
        <v>240</v>
      </c>
      <c r="I2764" t="s">
        <v>241</v>
      </c>
      <c r="J2764" t="s">
        <v>242</v>
      </c>
      <c r="K2764" s="183">
        <f ca="1">VLOOKUP(F2764,
    OFFSET(INDIRECT(ADDRESS(MATCH(J2764,'Vehicle numbers'!$A$5:$A$162,0),1,1,1,$L$6)),4,1,COUNTIF('Vehicle numbers'!$A$5:$A$162,J2764),4),
    MATCH(K$8,'Vehicle numbers'!$B$4:$D$4,0))*1000</f>
        <v>161500</v>
      </c>
      <c r="L2764" s="183">
        <f ca="1">VLOOKUP(F2764,
    OFFSET(INDIRECT(ADDRESS(MATCH(J2764,'Vehicle numbers'!$A$5:$A$162,0),1,1,1,$L$6)),4,1,COUNTIF('Vehicle numbers'!$A$5:$A$162,J2764),4),
    MATCH(L$8,'Vehicle numbers'!$B$4:$D$4,0))*1000</f>
        <v>167056</v>
      </c>
      <c r="M2764" s="184">
        <f>VLOOKUP(F2764,'Annual distance covered (GB)'!$A$8:$H$33,MATCH(J2764,'Annual distance covered (GB)'!$A$7:$H$7,0))</f>
        <v>4.2</v>
      </c>
      <c r="N2764" s="2">
        <f t="shared" ca="1" si="100"/>
        <v>3667.1843487306501</v>
      </c>
      <c r="O2764" s="180">
        <f t="shared" ca="1" si="101"/>
        <v>2.1951826625386996E-2</v>
      </c>
      <c r="P2764" s="180"/>
      <c r="Q2764" s="180"/>
      <c r="R2764" s="180"/>
      <c r="S2764" s="180"/>
      <c r="T2764" s="180"/>
    </row>
    <row r="2765" spans="1:20" x14ac:dyDescent="0.25">
      <c r="A2765" t="s">
        <v>246</v>
      </c>
      <c r="B2765" t="s">
        <v>237</v>
      </c>
      <c r="C2765" t="s">
        <v>238</v>
      </c>
      <c r="D2765" t="s">
        <v>239</v>
      </c>
      <c r="E2765" t="s">
        <v>229</v>
      </c>
      <c r="F2765">
        <v>2016</v>
      </c>
      <c r="G2765">
        <v>6.7528E-4</v>
      </c>
      <c r="H2765" t="s">
        <v>240</v>
      </c>
      <c r="I2765" t="s">
        <v>241</v>
      </c>
      <c r="J2765" t="s">
        <v>242</v>
      </c>
      <c r="K2765" s="183">
        <f ca="1">VLOOKUP(F2765,
    OFFSET(INDIRECT(ADDRESS(MATCH(J2765,'Vehicle numbers'!$A$5:$A$162,0),1,1,1,$L$6)),4,1,COUNTIF('Vehicle numbers'!$A$5:$A$162,J2765),4),
    MATCH(K$8,'Vehicle numbers'!$B$4:$D$4,0))*1000</f>
        <v>161500</v>
      </c>
      <c r="L2765" s="183">
        <f ca="1">VLOOKUP(F2765,
    OFFSET(INDIRECT(ADDRESS(MATCH(J2765,'Vehicle numbers'!$A$5:$A$162,0),1,1,1,$L$6)),4,1,COUNTIF('Vehicle numbers'!$A$5:$A$162,J2765),4),
    MATCH(L$8,'Vehicle numbers'!$B$4:$D$4,0))*1000</f>
        <v>167056</v>
      </c>
      <c r="M2765" s="184">
        <f>VLOOKUP(F2765,'Annual distance covered (GB)'!$A$8:$H$33,MATCH(J2765,'Annual distance covered (GB)'!$A$7:$H$7,0))</f>
        <v>4.2</v>
      </c>
      <c r="N2765" s="2">
        <f t="shared" ca="1" si="100"/>
        <v>2933.7474789845201</v>
      </c>
      <c r="O2765" s="180">
        <f t="shared" ca="1" si="101"/>
        <v>1.7561461300309597E-2</v>
      </c>
      <c r="P2765" s="180"/>
      <c r="Q2765" s="180"/>
      <c r="R2765" s="180"/>
      <c r="S2765" s="180"/>
      <c r="T2765" s="180"/>
    </row>
    <row r="2766" spans="1:20" x14ac:dyDescent="0.25">
      <c r="A2766" t="s">
        <v>236</v>
      </c>
      <c r="B2766" t="s">
        <v>237</v>
      </c>
      <c r="C2766" t="s">
        <v>238</v>
      </c>
      <c r="D2766" t="s">
        <v>239</v>
      </c>
      <c r="E2766" t="s">
        <v>228</v>
      </c>
      <c r="F2766">
        <v>2016</v>
      </c>
      <c r="G2766">
        <v>1.3984E-2</v>
      </c>
      <c r="H2766" t="s">
        <v>240</v>
      </c>
      <c r="I2766" t="s">
        <v>241</v>
      </c>
      <c r="J2766" t="s">
        <v>242</v>
      </c>
      <c r="K2766" s="183">
        <f ca="1">VLOOKUP(F2766,
    OFFSET(INDIRECT(ADDRESS(MATCH(J2766,'Vehicle numbers'!$A$5:$A$162,0),1,1,1,$L$6)),4,1,COUNTIF('Vehicle numbers'!$A$5:$A$162,J2766),4),
    MATCH(K$8,'Vehicle numbers'!$B$4:$D$4,0))*1000</f>
        <v>161500</v>
      </c>
      <c r="L2766" s="183">
        <f ca="1">VLOOKUP(F2766,
    OFFSET(INDIRECT(ADDRESS(MATCH(J2766,'Vehicle numbers'!$A$5:$A$162,0),1,1,1,$L$6)),4,1,COUNTIF('Vehicle numbers'!$A$5:$A$162,J2766),4),
    MATCH(L$8,'Vehicle numbers'!$B$4:$D$4,0))*1000</f>
        <v>167056</v>
      </c>
      <c r="M2766" s="184">
        <f>VLOOKUP(F2766,'Annual distance covered (GB)'!$A$8:$H$33,MATCH(J2766,'Annual distance covered (GB)'!$A$7:$H$7,0))</f>
        <v>4.2</v>
      </c>
      <c r="N2766" s="2">
        <f t="shared" ca="1" si="100"/>
        <v>60753.353788235298</v>
      </c>
      <c r="O2766" s="180">
        <f t="shared" ca="1" si="101"/>
        <v>0.36367058823529413</v>
      </c>
      <c r="P2766" s="180"/>
      <c r="Q2766" s="180"/>
      <c r="R2766" s="180"/>
      <c r="S2766" s="180"/>
      <c r="T2766" s="180"/>
    </row>
    <row r="2767" spans="1:20" x14ac:dyDescent="0.25">
      <c r="A2767" t="s">
        <v>243</v>
      </c>
      <c r="B2767" t="s">
        <v>237</v>
      </c>
      <c r="C2767" t="s">
        <v>238</v>
      </c>
      <c r="D2767" t="s">
        <v>239</v>
      </c>
      <c r="E2767" t="s">
        <v>228</v>
      </c>
      <c r="F2767">
        <v>2016</v>
      </c>
      <c r="G2767">
        <v>9.7888000000000003E-3</v>
      </c>
      <c r="H2767" t="s">
        <v>240</v>
      </c>
      <c r="I2767" t="s">
        <v>241</v>
      </c>
      <c r="J2767" t="s">
        <v>242</v>
      </c>
      <c r="K2767" s="183">
        <f ca="1">VLOOKUP(F2767,
    OFFSET(INDIRECT(ADDRESS(MATCH(J2767,'Vehicle numbers'!$A$5:$A$162,0),1,1,1,$L$6)),4,1,COUNTIF('Vehicle numbers'!$A$5:$A$162,J2767),4),
    MATCH(K$8,'Vehicle numbers'!$B$4:$D$4,0))*1000</f>
        <v>161500</v>
      </c>
      <c r="L2767" s="183">
        <f ca="1">VLOOKUP(F2767,
    OFFSET(INDIRECT(ADDRESS(MATCH(J2767,'Vehicle numbers'!$A$5:$A$162,0),1,1,1,$L$6)),4,1,COUNTIF('Vehicle numbers'!$A$5:$A$162,J2767),4),
    MATCH(L$8,'Vehicle numbers'!$B$4:$D$4,0))*1000</f>
        <v>167056</v>
      </c>
      <c r="M2767" s="184">
        <f>VLOOKUP(F2767,'Annual distance covered (GB)'!$A$8:$H$33,MATCH(J2767,'Annual distance covered (GB)'!$A$7:$H$7,0))</f>
        <v>4.2</v>
      </c>
      <c r="N2767" s="2">
        <f t="shared" ca="1" si="100"/>
        <v>42527.347651764714</v>
      </c>
      <c r="O2767" s="180">
        <f t="shared" ca="1" si="101"/>
        <v>0.25456941176470593</v>
      </c>
      <c r="P2767" s="180"/>
      <c r="Q2767" s="180"/>
      <c r="R2767" s="180"/>
      <c r="S2767" s="180"/>
      <c r="T2767" s="180"/>
    </row>
    <row r="2768" spans="1:20" x14ac:dyDescent="0.25">
      <c r="A2768" t="s">
        <v>244</v>
      </c>
      <c r="B2768" t="s">
        <v>237</v>
      </c>
      <c r="C2768" t="s">
        <v>238</v>
      </c>
      <c r="D2768" t="s">
        <v>239</v>
      </c>
      <c r="E2768" t="s">
        <v>228</v>
      </c>
      <c r="F2768">
        <v>2016</v>
      </c>
      <c r="G2768">
        <v>1.3787042253521099E-3</v>
      </c>
      <c r="H2768" t="s">
        <v>240</v>
      </c>
      <c r="I2768" t="s">
        <v>241</v>
      </c>
      <c r="J2768" t="s">
        <v>242</v>
      </c>
      <c r="K2768" s="183">
        <f ca="1">VLOOKUP(F2768,
    OFFSET(INDIRECT(ADDRESS(MATCH(J2768,'Vehicle numbers'!$A$5:$A$162,0),1,1,1,$L$6)),4,1,COUNTIF('Vehicle numbers'!$A$5:$A$162,J2768),4),
    MATCH(K$8,'Vehicle numbers'!$B$4:$D$4,0))*1000</f>
        <v>161500</v>
      </c>
      <c r="L2768" s="183">
        <f ca="1">VLOOKUP(F2768,
    OFFSET(INDIRECT(ADDRESS(MATCH(J2768,'Vehicle numbers'!$A$5:$A$162,0),1,1,1,$L$6)),4,1,COUNTIF('Vehicle numbers'!$A$5:$A$162,J2768),4),
    MATCH(L$8,'Vehicle numbers'!$B$4:$D$4,0))*1000</f>
        <v>167056</v>
      </c>
      <c r="M2768" s="184">
        <f>VLOOKUP(F2768,'Annual distance covered (GB)'!$A$8:$H$33,MATCH(J2768,'Annual distance covered (GB)'!$A$7:$H$7,0))</f>
        <v>4.2</v>
      </c>
      <c r="N2768" s="2">
        <f t="shared" ca="1" si="100"/>
        <v>5989.767274896426</v>
      </c>
      <c r="O2768" s="180">
        <f t="shared" ca="1" si="101"/>
        <v>3.5854846727423298E-2</v>
      </c>
      <c r="P2768" s="180"/>
      <c r="Q2768" s="180"/>
      <c r="R2768" s="180"/>
      <c r="S2768" s="180"/>
      <c r="T2768" s="180"/>
    </row>
    <row r="2769" spans="1:20" x14ac:dyDescent="0.25">
      <c r="A2769" t="s">
        <v>246</v>
      </c>
      <c r="B2769" t="s">
        <v>237</v>
      </c>
      <c r="C2769" t="s">
        <v>238</v>
      </c>
      <c r="D2769" t="s">
        <v>239</v>
      </c>
      <c r="E2769" t="s">
        <v>228</v>
      </c>
      <c r="F2769">
        <v>2016</v>
      </c>
      <c r="G2769">
        <v>1.10296338028169E-3</v>
      </c>
      <c r="H2769" t="s">
        <v>240</v>
      </c>
      <c r="I2769" t="s">
        <v>241</v>
      </c>
      <c r="J2769" t="s">
        <v>242</v>
      </c>
      <c r="K2769" s="183">
        <f ca="1">VLOOKUP(F2769,
    OFFSET(INDIRECT(ADDRESS(MATCH(J2769,'Vehicle numbers'!$A$5:$A$162,0),1,1,1,$L$6)),4,1,COUNTIF('Vehicle numbers'!$A$5:$A$162,J2769),4),
    MATCH(K$8,'Vehicle numbers'!$B$4:$D$4,0))*1000</f>
        <v>161500</v>
      </c>
      <c r="L2769" s="183">
        <f ca="1">VLOOKUP(F2769,
    OFFSET(INDIRECT(ADDRESS(MATCH(J2769,'Vehicle numbers'!$A$5:$A$162,0),1,1,1,$L$6)),4,1,COUNTIF('Vehicle numbers'!$A$5:$A$162,J2769),4),
    MATCH(L$8,'Vehicle numbers'!$B$4:$D$4,0))*1000</f>
        <v>167056</v>
      </c>
      <c r="M2769" s="184">
        <f>VLOOKUP(F2769,'Annual distance covered (GB)'!$A$8:$H$33,MATCH(J2769,'Annual distance covered (GB)'!$A$7:$H$7,0))</f>
        <v>4.2</v>
      </c>
      <c r="N2769" s="2">
        <f t="shared" ca="1" si="100"/>
        <v>4791.8138199171499</v>
      </c>
      <c r="O2769" s="180">
        <f t="shared" ca="1" si="101"/>
        <v>2.8683877381938689E-2</v>
      </c>
      <c r="P2769" s="180"/>
      <c r="Q2769" s="180"/>
      <c r="R2769" s="180"/>
      <c r="S2769" s="180"/>
      <c r="T2769" s="180"/>
    </row>
    <row r="2770" spans="1:20" x14ac:dyDescent="0.25">
      <c r="A2770" t="s">
        <v>236</v>
      </c>
      <c r="B2770" t="s">
        <v>237</v>
      </c>
      <c r="C2770" t="s">
        <v>238</v>
      </c>
      <c r="D2770" t="s">
        <v>248</v>
      </c>
      <c r="E2770" t="s">
        <v>229</v>
      </c>
      <c r="F2770">
        <v>2016</v>
      </c>
      <c r="G2770">
        <v>2.71429999999999E-2</v>
      </c>
      <c r="H2770" t="s">
        <v>240</v>
      </c>
      <c r="I2770" t="s">
        <v>241</v>
      </c>
      <c r="J2770" t="s">
        <v>242</v>
      </c>
      <c r="K2770" s="183">
        <f ca="1">VLOOKUP(F2770,
    OFFSET(INDIRECT(ADDRESS(MATCH(J2770,'Vehicle numbers'!$A$5:$A$162,0),1,1,1,$L$6)),4,1,COUNTIF('Vehicle numbers'!$A$5:$A$162,J2770),4),
    MATCH(K$8,'Vehicle numbers'!$B$4:$D$4,0))*1000</f>
        <v>161500</v>
      </c>
      <c r="L2770" s="183">
        <f ca="1">VLOOKUP(F2770,
    OFFSET(INDIRECT(ADDRESS(MATCH(J2770,'Vehicle numbers'!$A$5:$A$162,0),1,1,1,$L$6)),4,1,COUNTIF('Vehicle numbers'!$A$5:$A$162,J2770),4),
    MATCH(L$8,'Vehicle numbers'!$B$4:$D$4,0))*1000</f>
        <v>167056</v>
      </c>
      <c r="M2770" s="184">
        <f>VLOOKUP(F2770,'Annual distance covered (GB)'!$A$8:$H$33,MATCH(J2770,'Annual distance covered (GB)'!$A$7:$H$7,0))</f>
        <v>4.2</v>
      </c>
      <c r="N2770" s="2">
        <f t="shared" ca="1" si="100"/>
        <v>117922.50299442682</v>
      </c>
      <c r="O2770" s="180">
        <f t="shared" ca="1" si="101"/>
        <v>0.7058860681114526</v>
      </c>
      <c r="P2770" s="180"/>
      <c r="Q2770" s="180"/>
      <c r="R2770" s="180"/>
      <c r="S2770" s="180"/>
      <c r="T2770" s="180"/>
    </row>
    <row r="2771" spans="1:20" x14ac:dyDescent="0.25">
      <c r="A2771" t="s">
        <v>243</v>
      </c>
      <c r="B2771" t="s">
        <v>237</v>
      </c>
      <c r="C2771" t="s">
        <v>238</v>
      </c>
      <c r="D2771" t="s">
        <v>248</v>
      </c>
      <c r="E2771" t="s">
        <v>229</v>
      </c>
      <c r="F2771">
        <v>2016</v>
      </c>
      <c r="G2771">
        <v>1.0857199999999999E-2</v>
      </c>
      <c r="H2771" t="s">
        <v>240</v>
      </c>
      <c r="I2771" t="s">
        <v>241</v>
      </c>
      <c r="J2771" t="s">
        <v>242</v>
      </c>
      <c r="K2771" s="183">
        <f ca="1">VLOOKUP(F2771,
    OFFSET(INDIRECT(ADDRESS(MATCH(J2771,'Vehicle numbers'!$A$5:$A$162,0),1,1,1,$L$6)),4,1,COUNTIF('Vehicle numbers'!$A$5:$A$162,J2771),4),
    MATCH(K$8,'Vehicle numbers'!$B$4:$D$4,0))*1000</f>
        <v>161500</v>
      </c>
      <c r="L2771" s="183">
        <f ca="1">VLOOKUP(F2771,
    OFFSET(INDIRECT(ADDRESS(MATCH(J2771,'Vehicle numbers'!$A$5:$A$162,0),1,1,1,$L$6)),4,1,COUNTIF('Vehicle numbers'!$A$5:$A$162,J2771),4),
    MATCH(L$8,'Vehicle numbers'!$B$4:$D$4,0))*1000</f>
        <v>167056</v>
      </c>
      <c r="M2771" s="184">
        <f>VLOOKUP(F2771,'Annual distance covered (GB)'!$A$8:$H$33,MATCH(J2771,'Annual distance covered (GB)'!$A$7:$H$7,0))</f>
        <v>4.2</v>
      </c>
      <c r="N2771" s="2">
        <f t="shared" ca="1" si="100"/>
        <v>47169.0011977709</v>
      </c>
      <c r="O2771" s="180">
        <f t="shared" ca="1" si="101"/>
        <v>0.28235442724458204</v>
      </c>
      <c r="P2771" s="180"/>
      <c r="Q2771" s="180"/>
      <c r="R2771" s="180"/>
      <c r="S2771" s="180"/>
      <c r="T2771" s="180"/>
    </row>
    <row r="2772" spans="1:20" x14ac:dyDescent="0.25">
      <c r="A2772" t="s">
        <v>244</v>
      </c>
      <c r="B2772" t="s">
        <v>237</v>
      </c>
      <c r="C2772" t="s">
        <v>238</v>
      </c>
      <c r="D2772" t="s">
        <v>248</v>
      </c>
      <c r="E2772" t="s">
        <v>229</v>
      </c>
      <c r="F2772">
        <v>2016</v>
      </c>
      <c r="G2772">
        <v>2.7142999999999998E-3</v>
      </c>
      <c r="H2772" t="s">
        <v>240</v>
      </c>
      <c r="I2772" t="s">
        <v>241</v>
      </c>
      <c r="J2772" t="s">
        <v>242</v>
      </c>
      <c r="K2772" s="183">
        <f ca="1">VLOOKUP(F2772,
    OFFSET(INDIRECT(ADDRESS(MATCH(J2772,'Vehicle numbers'!$A$5:$A$162,0),1,1,1,$L$6)),4,1,COUNTIF('Vehicle numbers'!$A$5:$A$162,J2772),4),
    MATCH(K$8,'Vehicle numbers'!$B$4:$D$4,0))*1000</f>
        <v>161500</v>
      </c>
      <c r="L2772" s="183">
        <f ca="1">VLOOKUP(F2772,
    OFFSET(INDIRECT(ADDRESS(MATCH(J2772,'Vehicle numbers'!$A$5:$A$162,0),1,1,1,$L$6)),4,1,COUNTIF('Vehicle numbers'!$A$5:$A$162,J2772),4),
    MATCH(L$8,'Vehicle numbers'!$B$4:$D$4,0))*1000</f>
        <v>167056</v>
      </c>
      <c r="M2772" s="184">
        <f>VLOOKUP(F2772,'Annual distance covered (GB)'!$A$8:$H$33,MATCH(J2772,'Annual distance covered (GB)'!$A$7:$H$7,0))</f>
        <v>4.2</v>
      </c>
      <c r="N2772" s="2">
        <f t="shared" ca="1" si="100"/>
        <v>11792.250299442725</v>
      </c>
      <c r="O2772" s="180">
        <f t="shared" ca="1" si="101"/>
        <v>7.058860681114551E-2</v>
      </c>
      <c r="P2772" s="180"/>
      <c r="Q2772" s="180"/>
      <c r="R2772" s="180"/>
      <c r="S2772" s="180"/>
      <c r="T2772" s="180"/>
    </row>
    <row r="2773" spans="1:20" x14ac:dyDescent="0.25">
      <c r="A2773" t="s">
        <v>246</v>
      </c>
      <c r="B2773" t="s">
        <v>237</v>
      </c>
      <c r="C2773" t="s">
        <v>238</v>
      </c>
      <c r="D2773" t="s">
        <v>248</v>
      </c>
      <c r="E2773" t="s">
        <v>229</v>
      </c>
      <c r="F2773">
        <v>2016</v>
      </c>
      <c r="G2773">
        <v>2.1714400000000002E-3</v>
      </c>
      <c r="H2773" t="s">
        <v>240</v>
      </c>
      <c r="I2773" t="s">
        <v>241</v>
      </c>
      <c r="J2773" t="s">
        <v>242</v>
      </c>
      <c r="K2773" s="183">
        <f ca="1">VLOOKUP(F2773,
    OFFSET(INDIRECT(ADDRESS(MATCH(J2773,'Vehicle numbers'!$A$5:$A$162,0),1,1,1,$L$6)),4,1,COUNTIF('Vehicle numbers'!$A$5:$A$162,J2773),4),
    MATCH(K$8,'Vehicle numbers'!$B$4:$D$4,0))*1000</f>
        <v>161500</v>
      </c>
      <c r="L2773" s="183">
        <f ca="1">VLOOKUP(F2773,
    OFFSET(INDIRECT(ADDRESS(MATCH(J2773,'Vehicle numbers'!$A$5:$A$162,0),1,1,1,$L$6)),4,1,COUNTIF('Vehicle numbers'!$A$5:$A$162,J2773),4),
    MATCH(L$8,'Vehicle numbers'!$B$4:$D$4,0))*1000</f>
        <v>167056</v>
      </c>
      <c r="M2773" s="184">
        <f>VLOOKUP(F2773,'Annual distance covered (GB)'!$A$8:$H$33,MATCH(J2773,'Annual distance covered (GB)'!$A$7:$H$7,0))</f>
        <v>4.2</v>
      </c>
      <c r="N2773" s="2">
        <f t="shared" ca="1" si="100"/>
        <v>9433.8002395541807</v>
      </c>
      <c r="O2773" s="180">
        <f t="shared" ca="1" si="101"/>
        <v>5.6470885448916416E-2</v>
      </c>
      <c r="P2773" s="180"/>
      <c r="Q2773" s="180"/>
      <c r="R2773" s="180"/>
      <c r="S2773" s="180"/>
      <c r="T2773" s="180"/>
    </row>
    <row r="2774" spans="1:20" x14ac:dyDescent="0.25">
      <c r="A2774" t="s">
        <v>236</v>
      </c>
      <c r="B2774" t="s">
        <v>237</v>
      </c>
      <c r="C2774" t="s">
        <v>238</v>
      </c>
      <c r="D2774" t="s">
        <v>248</v>
      </c>
      <c r="E2774" t="s">
        <v>228</v>
      </c>
      <c r="F2774">
        <v>2016</v>
      </c>
      <c r="G2774">
        <v>1.6857898777956799E-2</v>
      </c>
      <c r="H2774" t="s">
        <v>240</v>
      </c>
      <c r="I2774" t="s">
        <v>241</v>
      </c>
      <c r="J2774" t="s">
        <v>242</v>
      </c>
      <c r="K2774" s="183">
        <f ca="1">VLOOKUP(F2774,
    OFFSET(INDIRECT(ADDRESS(MATCH(J2774,'Vehicle numbers'!$A$5:$A$162,0),1,1,1,$L$6)),4,1,COUNTIF('Vehicle numbers'!$A$5:$A$162,J2774),4),
    MATCH(K$8,'Vehicle numbers'!$B$4:$D$4,0))*1000</f>
        <v>161500</v>
      </c>
      <c r="L2774" s="183">
        <f ca="1">VLOOKUP(F2774,
    OFFSET(INDIRECT(ADDRESS(MATCH(J2774,'Vehicle numbers'!$A$5:$A$162,0),1,1,1,$L$6)),4,1,COUNTIF('Vehicle numbers'!$A$5:$A$162,J2774),4),
    MATCH(L$8,'Vehicle numbers'!$B$4:$D$4,0))*1000</f>
        <v>167056</v>
      </c>
      <c r="M2774" s="184">
        <f>VLOOKUP(F2774,'Annual distance covered (GB)'!$A$8:$H$33,MATCH(J2774,'Annual distance covered (GB)'!$A$7:$H$7,0))</f>
        <v>4.2</v>
      </c>
      <c r="N2774" s="2">
        <f t="shared" ca="1" si="100"/>
        <v>73238.979446758371</v>
      </c>
      <c r="O2774" s="180">
        <f t="shared" ca="1" si="101"/>
        <v>0.43840975150104378</v>
      </c>
      <c r="P2774" s="180"/>
      <c r="Q2774" s="180"/>
      <c r="R2774" s="180"/>
      <c r="S2774" s="180"/>
      <c r="T2774" s="180"/>
    </row>
    <row r="2775" spans="1:20" x14ac:dyDescent="0.25">
      <c r="A2775" t="s">
        <v>243</v>
      </c>
      <c r="B2775" t="s">
        <v>237</v>
      </c>
      <c r="C2775" t="s">
        <v>238</v>
      </c>
      <c r="D2775" t="s">
        <v>248</v>
      </c>
      <c r="E2775" t="s">
        <v>228</v>
      </c>
      <c r="F2775">
        <v>2016</v>
      </c>
      <c r="G2775">
        <v>1.1800529144569799E-2</v>
      </c>
      <c r="H2775" t="s">
        <v>240</v>
      </c>
      <c r="I2775" t="s">
        <v>241</v>
      </c>
      <c r="J2775" t="s">
        <v>242</v>
      </c>
      <c r="K2775" s="183">
        <f ca="1">VLOOKUP(F2775,
    OFFSET(INDIRECT(ADDRESS(MATCH(J2775,'Vehicle numbers'!$A$5:$A$162,0),1,1,1,$L$6)),4,1,COUNTIF('Vehicle numbers'!$A$5:$A$162,J2775),4),
    MATCH(K$8,'Vehicle numbers'!$B$4:$D$4,0))*1000</f>
        <v>161500</v>
      </c>
      <c r="L2775" s="183">
        <f ca="1">VLOOKUP(F2775,
    OFFSET(INDIRECT(ADDRESS(MATCH(J2775,'Vehicle numbers'!$A$5:$A$162,0),1,1,1,$L$6)),4,1,COUNTIF('Vehicle numbers'!$A$5:$A$162,J2775),4),
    MATCH(L$8,'Vehicle numbers'!$B$4:$D$4,0))*1000</f>
        <v>167056</v>
      </c>
      <c r="M2775" s="184">
        <f>VLOOKUP(F2775,'Annual distance covered (GB)'!$A$8:$H$33,MATCH(J2775,'Annual distance covered (GB)'!$A$7:$H$7,0))</f>
        <v>4.2</v>
      </c>
      <c r="N2775" s="2">
        <f t="shared" ca="1" si="100"/>
        <v>51267.285612731022</v>
      </c>
      <c r="O2775" s="180">
        <f t="shared" ca="1" si="101"/>
        <v>0.30688682605073164</v>
      </c>
      <c r="P2775" s="180"/>
      <c r="Q2775" s="180"/>
      <c r="R2775" s="180"/>
      <c r="S2775" s="180"/>
      <c r="T2775" s="180"/>
    </row>
    <row r="2776" spans="1:20" x14ac:dyDescent="0.25">
      <c r="A2776" t="s">
        <v>244</v>
      </c>
      <c r="B2776" t="s">
        <v>237</v>
      </c>
      <c r="C2776" t="s">
        <v>238</v>
      </c>
      <c r="D2776" t="s">
        <v>248</v>
      </c>
      <c r="E2776" t="s">
        <v>228</v>
      </c>
      <c r="F2776">
        <v>2016</v>
      </c>
      <c r="G2776">
        <v>1.66204635839011E-3</v>
      </c>
      <c r="H2776" t="s">
        <v>240</v>
      </c>
      <c r="I2776" t="s">
        <v>241</v>
      </c>
      <c r="J2776" t="s">
        <v>242</v>
      </c>
      <c r="K2776" s="183">
        <f ca="1">VLOOKUP(F2776,
    OFFSET(INDIRECT(ADDRESS(MATCH(J2776,'Vehicle numbers'!$A$5:$A$162,0),1,1,1,$L$6)),4,1,COUNTIF('Vehicle numbers'!$A$5:$A$162,J2776),4),
    MATCH(K$8,'Vehicle numbers'!$B$4:$D$4,0))*1000</f>
        <v>161500</v>
      </c>
      <c r="L2776" s="183">
        <f ca="1">VLOOKUP(F2776,
    OFFSET(INDIRECT(ADDRESS(MATCH(J2776,'Vehicle numbers'!$A$5:$A$162,0),1,1,1,$L$6)),4,1,COUNTIF('Vehicle numbers'!$A$5:$A$162,J2776),4),
    MATCH(L$8,'Vehicle numbers'!$B$4:$D$4,0))*1000</f>
        <v>167056</v>
      </c>
      <c r="M2776" s="184">
        <f>VLOOKUP(F2776,'Annual distance covered (GB)'!$A$8:$H$33,MATCH(J2776,'Annual distance covered (GB)'!$A$7:$H$7,0))</f>
        <v>4.2</v>
      </c>
      <c r="N2776" s="2">
        <f t="shared" ca="1" si="100"/>
        <v>7220.7444524973171</v>
      </c>
      <c r="O2776" s="180">
        <f t="shared" ca="1" si="101"/>
        <v>4.3223496626863547E-2</v>
      </c>
      <c r="P2776" s="180"/>
      <c r="Q2776" s="180"/>
      <c r="R2776" s="180"/>
      <c r="S2776" s="180"/>
      <c r="T2776" s="180"/>
    </row>
    <row r="2777" spans="1:20" x14ac:dyDescent="0.25">
      <c r="A2777" t="s">
        <v>246</v>
      </c>
      <c r="B2777" t="s">
        <v>237</v>
      </c>
      <c r="C2777" t="s">
        <v>238</v>
      </c>
      <c r="D2777" t="s">
        <v>248</v>
      </c>
      <c r="E2777" t="s">
        <v>228</v>
      </c>
      <c r="F2777">
        <v>2016</v>
      </c>
      <c r="G2777">
        <v>1.32963708671209E-3</v>
      </c>
      <c r="H2777" t="s">
        <v>240</v>
      </c>
      <c r="I2777" t="s">
        <v>241</v>
      </c>
      <c r="J2777" t="s">
        <v>242</v>
      </c>
      <c r="K2777" s="183">
        <f ca="1">VLOOKUP(F2777,
    OFFSET(INDIRECT(ADDRESS(MATCH(J2777,'Vehicle numbers'!$A$5:$A$162,0),1,1,1,$L$6)),4,1,COUNTIF('Vehicle numbers'!$A$5:$A$162,J2777),4),
    MATCH(K$8,'Vehicle numbers'!$B$4:$D$4,0))*1000</f>
        <v>161500</v>
      </c>
      <c r="L2777" s="183">
        <f ca="1">VLOOKUP(F2777,
    OFFSET(INDIRECT(ADDRESS(MATCH(J2777,'Vehicle numbers'!$A$5:$A$162,0),1,1,1,$L$6)),4,1,COUNTIF('Vehicle numbers'!$A$5:$A$162,J2777),4),
    MATCH(L$8,'Vehicle numbers'!$B$4:$D$4,0))*1000</f>
        <v>167056</v>
      </c>
      <c r="M2777" s="184">
        <f>VLOOKUP(F2777,'Annual distance covered (GB)'!$A$8:$H$33,MATCH(J2777,'Annual distance covered (GB)'!$A$7:$H$7,0))</f>
        <v>4.2</v>
      </c>
      <c r="N2777" s="2">
        <f t="shared" ca="1" si="100"/>
        <v>5776.5955619978622</v>
      </c>
      <c r="O2777" s="180">
        <f t="shared" ca="1" si="101"/>
        <v>3.4578797301490889E-2</v>
      </c>
      <c r="P2777" s="180"/>
      <c r="Q2777" s="180"/>
      <c r="R2777" s="180"/>
      <c r="S2777" s="180"/>
      <c r="T2777" s="180"/>
    </row>
    <row r="2778" spans="1:20" x14ac:dyDescent="0.25">
      <c r="A2778" t="s">
        <v>236</v>
      </c>
      <c r="B2778" t="s">
        <v>237</v>
      </c>
      <c r="C2778" t="s">
        <v>238</v>
      </c>
      <c r="D2778" t="s">
        <v>249</v>
      </c>
      <c r="E2778" t="s">
        <v>229</v>
      </c>
      <c r="F2778">
        <v>2016</v>
      </c>
      <c r="G2778">
        <v>5.3594999999999997E-2</v>
      </c>
      <c r="H2778" t="s">
        <v>240</v>
      </c>
      <c r="I2778" t="s">
        <v>241</v>
      </c>
      <c r="J2778" t="s">
        <v>242</v>
      </c>
      <c r="K2778" s="183">
        <f ca="1">VLOOKUP(F2778,
    OFFSET(INDIRECT(ADDRESS(MATCH(J2778,'Vehicle numbers'!$A$5:$A$162,0),1,1,1,$L$6)),4,1,COUNTIF('Vehicle numbers'!$A$5:$A$162,J2778),4),
    MATCH(K$8,'Vehicle numbers'!$B$4:$D$4,0))*1000</f>
        <v>161500</v>
      </c>
      <c r="L2778" s="183">
        <f ca="1">VLOOKUP(F2778,
    OFFSET(INDIRECT(ADDRESS(MATCH(J2778,'Vehicle numbers'!$A$5:$A$162,0),1,1,1,$L$6)),4,1,COUNTIF('Vehicle numbers'!$A$5:$A$162,J2778),4),
    MATCH(L$8,'Vehicle numbers'!$B$4:$D$4,0))*1000</f>
        <v>167056</v>
      </c>
      <c r="M2778" s="184">
        <f>VLOOKUP(F2778,'Annual distance covered (GB)'!$A$8:$H$33,MATCH(J2778,'Annual distance covered (GB)'!$A$7:$H$7,0))</f>
        <v>4.2</v>
      </c>
      <c r="N2778" s="2">
        <f t="shared" ca="1" si="100"/>
        <v>232842.96312074305</v>
      </c>
      <c r="O2778" s="180">
        <f t="shared" ca="1" si="101"/>
        <v>1.3938018575851394</v>
      </c>
      <c r="P2778" s="180"/>
      <c r="Q2778" s="180"/>
      <c r="R2778" s="180"/>
      <c r="S2778" s="180"/>
      <c r="T2778" s="180"/>
    </row>
    <row r="2779" spans="1:20" x14ac:dyDescent="0.25">
      <c r="A2779" t="s">
        <v>243</v>
      </c>
      <c r="B2779" t="s">
        <v>237</v>
      </c>
      <c r="C2779" t="s">
        <v>238</v>
      </c>
      <c r="D2779" t="s">
        <v>249</v>
      </c>
      <c r="E2779" t="s">
        <v>229</v>
      </c>
      <c r="F2779">
        <v>2016</v>
      </c>
      <c r="G2779">
        <v>2.1437999999999999E-2</v>
      </c>
      <c r="H2779" t="s">
        <v>240</v>
      </c>
      <c r="I2779" t="s">
        <v>241</v>
      </c>
      <c r="J2779" t="s">
        <v>242</v>
      </c>
      <c r="K2779" s="183">
        <f ca="1">VLOOKUP(F2779,
    OFFSET(INDIRECT(ADDRESS(MATCH(J2779,'Vehicle numbers'!$A$5:$A$162,0),1,1,1,$L$6)),4,1,COUNTIF('Vehicle numbers'!$A$5:$A$162,J2779),4),
    MATCH(K$8,'Vehicle numbers'!$B$4:$D$4,0))*1000</f>
        <v>161500</v>
      </c>
      <c r="L2779" s="183">
        <f ca="1">VLOOKUP(F2779,
    OFFSET(INDIRECT(ADDRESS(MATCH(J2779,'Vehicle numbers'!$A$5:$A$162,0),1,1,1,$L$6)),4,1,COUNTIF('Vehicle numbers'!$A$5:$A$162,J2779),4),
    MATCH(L$8,'Vehicle numbers'!$B$4:$D$4,0))*1000</f>
        <v>167056</v>
      </c>
      <c r="M2779" s="184">
        <f>VLOOKUP(F2779,'Annual distance covered (GB)'!$A$8:$H$33,MATCH(J2779,'Annual distance covered (GB)'!$A$7:$H$7,0))</f>
        <v>4.2</v>
      </c>
      <c r="N2779" s="2">
        <f t="shared" ca="1" si="100"/>
        <v>93137.185248297217</v>
      </c>
      <c r="O2779" s="180">
        <f t="shared" ca="1" si="101"/>
        <v>0.55752074303405574</v>
      </c>
      <c r="P2779" s="180"/>
      <c r="Q2779" s="180"/>
      <c r="R2779" s="180"/>
      <c r="S2779" s="180"/>
      <c r="T2779" s="180"/>
    </row>
    <row r="2780" spans="1:20" x14ac:dyDescent="0.25">
      <c r="A2780" t="s">
        <v>244</v>
      </c>
      <c r="B2780" t="s">
        <v>237</v>
      </c>
      <c r="C2780" t="s">
        <v>238</v>
      </c>
      <c r="D2780" t="s">
        <v>249</v>
      </c>
      <c r="E2780" t="s">
        <v>229</v>
      </c>
      <c r="F2780">
        <v>2016</v>
      </c>
      <c r="G2780">
        <v>5.3594999999999997E-3</v>
      </c>
      <c r="H2780" t="s">
        <v>240</v>
      </c>
      <c r="I2780" t="s">
        <v>241</v>
      </c>
      <c r="J2780" t="s">
        <v>242</v>
      </c>
      <c r="K2780" s="183">
        <f ca="1">VLOOKUP(F2780,
    OFFSET(INDIRECT(ADDRESS(MATCH(J2780,'Vehicle numbers'!$A$5:$A$162,0),1,1,1,$L$6)),4,1,COUNTIF('Vehicle numbers'!$A$5:$A$162,J2780),4),
    MATCH(K$8,'Vehicle numbers'!$B$4:$D$4,0))*1000</f>
        <v>161500</v>
      </c>
      <c r="L2780" s="183">
        <f ca="1">VLOOKUP(F2780,
    OFFSET(INDIRECT(ADDRESS(MATCH(J2780,'Vehicle numbers'!$A$5:$A$162,0),1,1,1,$L$6)),4,1,COUNTIF('Vehicle numbers'!$A$5:$A$162,J2780),4),
    MATCH(L$8,'Vehicle numbers'!$B$4:$D$4,0))*1000</f>
        <v>167056</v>
      </c>
      <c r="M2780" s="184">
        <f>VLOOKUP(F2780,'Annual distance covered (GB)'!$A$8:$H$33,MATCH(J2780,'Annual distance covered (GB)'!$A$7:$H$7,0))</f>
        <v>4.2</v>
      </c>
      <c r="N2780" s="2">
        <f t="shared" ca="1" si="100"/>
        <v>23284.296312074304</v>
      </c>
      <c r="O2780" s="180">
        <f t="shared" ca="1" si="101"/>
        <v>0.13938018575851394</v>
      </c>
      <c r="P2780" s="180"/>
      <c r="Q2780" s="180"/>
      <c r="R2780" s="180"/>
      <c r="S2780" s="180"/>
      <c r="T2780" s="180"/>
    </row>
    <row r="2781" spans="1:20" x14ac:dyDescent="0.25">
      <c r="A2781" t="s">
        <v>246</v>
      </c>
      <c r="B2781" t="s">
        <v>237</v>
      </c>
      <c r="C2781" t="s">
        <v>238</v>
      </c>
      <c r="D2781" t="s">
        <v>249</v>
      </c>
      <c r="E2781" t="s">
        <v>229</v>
      </c>
      <c r="F2781">
        <v>2016</v>
      </c>
      <c r="G2781">
        <v>4.2875999999999999E-3</v>
      </c>
      <c r="H2781" t="s">
        <v>240</v>
      </c>
      <c r="I2781" t="s">
        <v>241</v>
      </c>
      <c r="J2781" t="s">
        <v>242</v>
      </c>
      <c r="K2781" s="183">
        <f ca="1">VLOOKUP(F2781,
    OFFSET(INDIRECT(ADDRESS(MATCH(J2781,'Vehicle numbers'!$A$5:$A$162,0),1,1,1,$L$6)),4,1,COUNTIF('Vehicle numbers'!$A$5:$A$162,J2781),4),
    MATCH(K$8,'Vehicle numbers'!$B$4:$D$4,0))*1000</f>
        <v>161500</v>
      </c>
      <c r="L2781" s="183">
        <f ca="1">VLOOKUP(F2781,
    OFFSET(INDIRECT(ADDRESS(MATCH(J2781,'Vehicle numbers'!$A$5:$A$162,0),1,1,1,$L$6)),4,1,COUNTIF('Vehicle numbers'!$A$5:$A$162,J2781),4),
    MATCH(L$8,'Vehicle numbers'!$B$4:$D$4,0))*1000</f>
        <v>167056</v>
      </c>
      <c r="M2781" s="184">
        <f>VLOOKUP(F2781,'Annual distance covered (GB)'!$A$8:$H$33,MATCH(J2781,'Annual distance covered (GB)'!$A$7:$H$7,0))</f>
        <v>4.2</v>
      </c>
      <c r="N2781" s="2">
        <f t="shared" ca="1" si="100"/>
        <v>18627.437049659446</v>
      </c>
      <c r="O2781" s="180">
        <f t="shared" ca="1" si="101"/>
        <v>0.11150414860681117</v>
      </c>
      <c r="P2781" s="180"/>
      <c r="Q2781" s="180"/>
      <c r="R2781" s="180"/>
      <c r="S2781" s="180"/>
      <c r="T2781" s="180"/>
    </row>
    <row r="2782" spans="1:20" x14ac:dyDescent="0.25">
      <c r="A2782" t="s">
        <v>236</v>
      </c>
      <c r="B2782" t="s">
        <v>237</v>
      </c>
      <c r="C2782" t="s">
        <v>238</v>
      </c>
      <c r="D2782" t="s">
        <v>249</v>
      </c>
      <c r="E2782" t="s">
        <v>228</v>
      </c>
      <c r="F2782">
        <v>2016</v>
      </c>
      <c r="G2782">
        <v>2.1385946313948499E-2</v>
      </c>
      <c r="H2782" t="s">
        <v>240</v>
      </c>
      <c r="I2782" t="s">
        <v>241</v>
      </c>
      <c r="J2782" t="s">
        <v>242</v>
      </c>
      <c r="K2782" s="183">
        <f ca="1">VLOOKUP(F2782,
    OFFSET(INDIRECT(ADDRESS(MATCH(J2782,'Vehicle numbers'!$A$5:$A$162,0),1,1,1,$L$6)),4,1,COUNTIF('Vehicle numbers'!$A$5:$A$162,J2782),4),
    MATCH(K$8,'Vehicle numbers'!$B$4:$D$4,0))*1000</f>
        <v>161500</v>
      </c>
      <c r="L2782" s="183">
        <f ca="1">VLOOKUP(F2782,
    OFFSET(INDIRECT(ADDRESS(MATCH(J2782,'Vehicle numbers'!$A$5:$A$162,0),1,1,1,$L$6)),4,1,COUNTIF('Vehicle numbers'!$A$5:$A$162,J2782),4),
    MATCH(L$8,'Vehicle numbers'!$B$4:$D$4,0))*1000</f>
        <v>167056</v>
      </c>
      <c r="M2782" s="184">
        <f>VLOOKUP(F2782,'Annual distance covered (GB)'!$A$8:$H$33,MATCH(J2782,'Annual distance covered (GB)'!$A$7:$H$7,0))</f>
        <v>4.2</v>
      </c>
      <c r="N2782" s="2">
        <f t="shared" ca="1" si="100"/>
        <v>92911.038508832935</v>
      </c>
      <c r="O2782" s="180">
        <f t="shared" ca="1" si="101"/>
        <v>0.55616702488287117</v>
      </c>
      <c r="P2782" s="180"/>
      <c r="Q2782" s="180"/>
      <c r="R2782" s="180"/>
      <c r="S2782" s="180"/>
      <c r="T2782" s="180"/>
    </row>
    <row r="2783" spans="1:20" x14ac:dyDescent="0.25">
      <c r="A2783" t="s">
        <v>243</v>
      </c>
      <c r="B2783" t="s">
        <v>237</v>
      </c>
      <c r="C2783" t="s">
        <v>238</v>
      </c>
      <c r="D2783" t="s">
        <v>249</v>
      </c>
      <c r="E2783" t="s">
        <v>228</v>
      </c>
      <c r="F2783">
        <v>2016</v>
      </c>
      <c r="G2783">
        <v>1.4970162419763899E-2</v>
      </c>
      <c r="H2783" t="s">
        <v>240</v>
      </c>
      <c r="I2783" t="s">
        <v>241</v>
      </c>
      <c r="J2783" t="s">
        <v>242</v>
      </c>
      <c r="K2783" s="183">
        <f ca="1">VLOOKUP(F2783,
    OFFSET(INDIRECT(ADDRESS(MATCH(J2783,'Vehicle numbers'!$A$5:$A$162,0),1,1,1,$L$6)),4,1,COUNTIF('Vehicle numbers'!$A$5:$A$162,J2783),4),
    MATCH(K$8,'Vehicle numbers'!$B$4:$D$4,0))*1000</f>
        <v>161500</v>
      </c>
      <c r="L2783" s="183">
        <f ca="1">VLOOKUP(F2783,
    OFFSET(INDIRECT(ADDRESS(MATCH(J2783,'Vehicle numbers'!$A$5:$A$162,0),1,1,1,$L$6)),4,1,COUNTIF('Vehicle numbers'!$A$5:$A$162,J2783),4),
    MATCH(L$8,'Vehicle numbers'!$B$4:$D$4,0))*1000</f>
        <v>167056</v>
      </c>
      <c r="M2783" s="184">
        <f>VLOOKUP(F2783,'Annual distance covered (GB)'!$A$8:$H$33,MATCH(J2783,'Annual distance covered (GB)'!$A$7:$H$7,0))</f>
        <v>4.2</v>
      </c>
      <c r="N2783" s="2">
        <f t="shared" ca="1" si="100"/>
        <v>65037.726956182843</v>
      </c>
      <c r="O2783" s="180">
        <f t="shared" ca="1" si="101"/>
        <v>0.38931691741800861</v>
      </c>
      <c r="P2783" s="180"/>
      <c r="Q2783" s="180"/>
      <c r="R2783" s="180"/>
      <c r="S2783" s="180"/>
      <c r="T2783" s="180"/>
    </row>
    <row r="2784" spans="1:20" x14ac:dyDescent="0.25">
      <c r="A2784" t="s">
        <v>244</v>
      </c>
      <c r="B2784" t="s">
        <v>237</v>
      </c>
      <c r="C2784" t="s">
        <v>238</v>
      </c>
      <c r="D2784" t="s">
        <v>249</v>
      </c>
      <c r="E2784" t="s">
        <v>228</v>
      </c>
      <c r="F2784">
        <v>2016</v>
      </c>
      <c r="G2784">
        <v>2.1084735802484301E-3</v>
      </c>
      <c r="H2784" t="s">
        <v>240</v>
      </c>
      <c r="I2784" t="s">
        <v>241</v>
      </c>
      <c r="J2784" t="s">
        <v>242</v>
      </c>
      <c r="K2784" s="183">
        <f ca="1">VLOOKUP(F2784,
    OFFSET(INDIRECT(ADDRESS(MATCH(J2784,'Vehicle numbers'!$A$5:$A$162,0),1,1,1,$L$6)),4,1,COUNTIF('Vehicle numbers'!$A$5:$A$162,J2784),4),
    MATCH(K$8,'Vehicle numbers'!$B$4:$D$4,0))*1000</f>
        <v>161500</v>
      </c>
      <c r="L2784" s="183">
        <f ca="1">VLOOKUP(F2784,
    OFFSET(INDIRECT(ADDRESS(MATCH(J2784,'Vehicle numbers'!$A$5:$A$162,0),1,1,1,$L$6)),4,1,COUNTIF('Vehicle numbers'!$A$5:$A$162,J2784),4),
    MATCH(L$8,'Vehicle numbers'!$B$4:$D$4,0))*1000</f>
        <v>167056</v>
      </c>
      <c r="M2784" s="184">
        <f>VLOOKUP(F2784,'Annual distance covered (GB)'!$A$8:$H$33,MATCH(J2784,'Annual distance covered (GB)'!$A$7:$H$7,0))</f>
        <v>4.2</v>
      </c>
      <c r="N2784" s="2">
        <f t="shared" ca="1" si="100"/>
        <v>9160.2432332651606</v>
      </c>
      <c r="O2784" s="180">
        <f t="shared" ca="1" si="101"/>
        <v>5.4833368650423576E-2</v>
      </c>
      <c r="P2784" s="180"/>
      <c r="Q2784" s="180"/>
      <c r="R2784" s="180"/>
      <c r="S2784" s="180"/>
      <c r="T2784" s="180"/>
    </row>
    <row r="2785" spans="1:20" x14ac:dyDescent="0.25">
      <c r="A2785" t="s">
        <v>246</v>
      </c>
      <c r="B2785" t="s">
        <v>237</v>
      </c>
      <c r="C2785" t="s">
        <v>238</v>
      </c>
      <c r="D2785" t="s">
        <v>249</v>
      </c>
      <c r="E2785" t="s">
        <v>228</v>
      </c>
      <c r="F2785">
        <v>2016</v>
      </c>
      <c r="G2785">
        <v>1.68677886419875E-3</v>
      </c>
      <c r="H2785" t="s">
        <v>240</v>
      </c>
      <c r="I2785" t="s">
        <v>241</v>
      </c>
      <c r="J2785" t="s">
        <v>242</v>
      </c>
      <c r="K2785" s="183">
        <f ca="1">VLOOKUP(F2785,
    OFFSET(INDIRECT(ADDRESS(MATCH(J2785,'Vehicle numbers'!$A$5:$A$162,0),1,1,1,$L$6)),4,1,COUNTIF('Vehicle numbers'!$A$5:$A$162,J2785),4),
    MATCH(K$8,'Vehicle numbers'!$B$4:$D$4,0))*1000</f>
        <v>161500</v>
      </c>
      <c r="L2785" s="183">
        <f ca="1">VLOOKUP(F2785,
    OFFSET(INDIRECT(ADDRESS(MATCH(J2785,'Vehicle numbers'!$A$5:$A$162,0),1,1,1,$L$6)),4,1,COUNTIF('Vehicle numbers'!$A$5:$A$162,J2785),4),
    MATCH(L$8,'Vehicle numbers'!$B$4:$D$4,0))*1000</f>
        <v>167056</v>
      </c>
      <c r="M2785" s="184">
        <f>VLOOKUP(F2785,'Annual distance covered (GB)'!$A$8:$H$33,MATCH(J2785,'Annual distance covered (GB)'!$A$7:$H$7,0))</f>
        <v>4.2</v>
      </c>
      <c r="N2785" s="2">
        <f t="shared" ca="1" si="100"/>
        <v>7328.194586612155</v>
      </c>
      <c r="O2785" s="180">
        <f t="shared" ca="1" si="101"/>
        <v>4.3866694920339018E-2</v>
      </c>
      <c r="P2785" s="180"/>
      <c r="Q2785" s="180"/>
      <c r="R2785" s="180"/>
      <c r="S2785" s="180"/>
      <c r="T2785" s="180"/>
    </row>
    <row r="2786" spans="1:20" x14ac:dyDescent="0.25">
      <c r="A2786" t="s">
        <v>236</v>
      </c>
      <c r="B2786" t="s">
        <v>237</v>
      </c>
      <c r="C2786" t="s">
        <v>238</v>
      </c>
      <c r="D2786" t="s">
        <v>250</v>
      </c>
      <c r="E2786" t="s">
        <v>229</v>
      </c>
      <c r="F2786">
        <v>2016</v>
      </c>
      <c r="G2786">
        <v>1.3600000000000001E-3</v>
      </c>
      <c r="H2786" t="s">
        <v>240</v>
      </c>
      <c r="I2786" t="s">
        <v>241</v>
      </c>
      <c r="J2786" t="s">
        <v>2</v>
      </c>
      <c r="K2786" s="183">
        <f ca="1">VLOOKUP(F2786,
    OFFSET(INDIRECT(ADDRESS(MATCH(J2786,'Vehicle numbers'!$A$5:$A$162,0),1,1,1,$L$6)),4,1,COUNTIF('Vehicle numbers'!$A$5:$A$162,J2786),4),
    MATCH(K$8,'Vehicle numbers'!$B$4:$D$4,0))*1000</f>
        <v>30850440</v>
      </c>
      <c r="L2786" s="183">
        <f ca="1">VLOOKUP(F2786,
    OFFSET(INDIRECT(ADDRESS(MATCH(J2786,'Vehicle numbers'!$A$5:$A$162,0),1,1,1,$L$6)),4,1,COUNTIF('Vehicle numbers'!$A$5:$A$162,J2786),4),
    MATCH(L$8,'Vehicle numbers'!$B$4:$D$4,0))*1000</f>
        <v>31792259</v>
      </c>
      <c r="M2786" s="184">
        <f>VLOOKUP(F2786,'Annual distance covered (GB)'!$A$8:$H$33,MATCH(J2786,'Annual distance covered (GB)'!$A$7:$H$7,0))</f>
        <v>424.7</v>
      </c>
      <c r="N2786" s="2">
        <f t="shared" ca="1" si="100"/>
        <v>595225.04250597395</v>
      </c>
      <c r="O2786" s="180">
        <f t="shared" ca="1" si="101"/>
        <v>1.8722326164553892E-2</v>
      </c>
      <c r="P2786" s="180"/>
      <c r="Q2786" s="180"/>
      <c r="R2786" s="180"/>
      <c r="S2786" s="180"/>
      <c r="T2786" s="180"/>
    </row>
    <row r="2787" spans="1:20" x14ac:dyDescent="0.25">
      <c r="A2787" t="s">
        <v>243</v>
      </c>
      <c r="B2787" t="s">
        <v>237</v>
      </c>
      <c r="C2787" t="s">
        <v>238</v>
      </c>
      <c r="D2787" t="s">
        <v>250</v>
      </c>
      <c r="E2787" t="s">
        <v>229</v>
      </c>
      <c r="F2787">
        <v>2016</v>
      </c>
      <c r="G2787">
        <v>5.44E-4</v>
      </c>
      <c r="H2787" t="s">
        <v>240</v>
      </c>
      <c r="I2787" t="s">
        <v>241</v>
      </c>
      <c r="J2787" t="s">
        <v>2</v>
      </c>
      <c r="K2787" s="183">
        <f ca="1">VLOOKUP(F2787,
    OFFSET(INDIRECT(ADDRESS(MATCH(J2787,'Vehicle numbers'!$A$5:$A$162,0),1,1,1,$L$6)),4,1,COUNTIF('Vehicle numbers'!$A$5:$A$162,J2787),4),
    MATCH(K$8,'Vehicle numbers'!$B$4:$D$4,0))*1000</f>
        <v>30850440</v>
      </c>
      <c r="L2787" s="183">
        <f ca="1">VLOOKUP(F2787,
    OFFSET(INDIRECT(ADDRESS(MATCH(J2787,'Vehicle numbers'!$A$5:$A$162,0),1,1,1,$L$6)),4,1,COUNTIF('Vehicle numbers'!$A$5:$A$162,J2787),4),
    MATCH(L$8,'Vehicle numbers'!$B$4:$D$4,0))*1000</f>
        <v>31792259</v>
      </c>
      <c r="M2787" s="184">
        <f>VLOOKUP(F2787,'Annual distance covered (GB)'!$A$8:$H$33,MATCH(J2787,'Annual distance covered (GB)'!$A$7:$H$7,0))</f>
        <v>424.7</v>
      </c>
      <c r="N2787" s="2">
        <f t="shared" ca="1" si="100"/>
        <v>238090.01700238959</v>
      </c>
      <c r="O2787" s="180">
        <f t="shared" ca="1" si="101"/>
        <v>7.4889304658215571E-3</v>
      </c>
      <c r="P2787" s="180"/>
      <c r="Q2787" s="180"/>
      <c r="R2787" s="180"/>
      <c r="S2787" s="180"/>
      <c r="T2787" s="180"/>
    </row>
    <row r="2788" spans="1:20" x14ac:dyDescent="0.25">
      <c r="A2788" t="s">
        <v>244</v>
      </c>
      <c r="B2788" t="s">
        <v>237</v>
      </c>
      <c r="C2788" t="s">
        <v>238</v>
      </c>
      <c r="D2788" t="s">
        <v>250</v>
      </c>
      <c r="E2788" t="s">
        <v>229</v>
      </c>
      <c r="F2788">
        <v>2016</v>
      </c>
      <c r="G2788">
        <v>1.36E-4</v>
      </c>
      <c r="H2788" t="s">
        <v>240</v>
      </c>
      <c r="I2788" t="s">
        <v>241</v>
      </c>
      <c r="J2788" t="s">
        <v>2</v>
      </c>
      <c r="K2788" s="183">
        <f ca="1">VLOOKUP(F2788,
    OFFSET(INDIRECT(ADDRESS(MATCH(J2788,'Vehicle numbers'!$A$5:$A$162,0),1,1,1,$L$6)),4,1,COUNTIF('Vehicle numbers'!$A$5:$A$162,J2788),4),
    MATCH(K$8,'Vehicle numbers'!$B$4:$D$4,0))*1000</f>
        <v>30850440</v>
      </c>
      <c r="L2788" s="183">
        <f ca="1">VLOOKUP(F2788,
    OFFSET(INDIRECT(ADDRESS(MATCH(J2788,'Vehicle numbers'!$A$5:$A$162,0),1,1,1,$L$6)),4,1,COUNTIF('Vehicle numbers'!$A$5:$A$162,J2788),4),
    MATCH(L$8,'Vehicle numbers'!$B$4:$D$4,0))*1000</f>
        <v>31792259</v>
      </c>
      <c r="M2788" s="184">
        <f>VLOOKUP(F2788,'Annual distance covered (GB)'!$A$8:$H$33,MATCH(J2788,'Annual distance covered (GB)'!$A$7:$H$7,0))</f>
        <v>424.7</v>
      </c>
      <c r="N2788" s="2">
        <f t="shared" ca="1" si="100"/>
        <v>59522.504250597398</v>
      </c>
      <c r="O2788" s="180">
        <f t="shared" ca="1" si="101"/>
        <v>1.8722326164553893E-3</v>
      </c>
      <c r="P2788" s="180"/>
      <c r="Q2788" s="180"/>
      <c r="R2788" s="180"/>
      <c r="S2788" s="180"/>
      <c r="T2788" s="180"/>
    </row>
    <row r="2789" spans="1:20" x14ac:dyDescent="0.25">
      <c r="A2789" t="s">
        <v>246</v>
      </c>
      <c r="B2789" t="s">
        <v>237</v>
      </c>
      <c r="C2789" t="s">
        <v>238</v>
      </c>
      <c r="D2789" t="s">
        <v>250</v>
      </c>
      <c r="E2789" t="s">
        <v>229</v>
      </c>
      <c r="F2789">
        <v>2016</v>
      </c>
      <c r="G2789">
        <v>1.088E-4</v>
      </c>
      <c r="H2789" t="s">
        <v>240</v>
      </c>
      <c r="I2789" t="s">
        <v>241</v>
      </c>
      <c r="J2789" t="s">
        <v>2</v>
      </c>
      <c r="K2789" s="183">
        <f ca="1">VLOOKUP(F2789,
    OFFSET(INDIRECT(ADDRESS(MATCH(J2789,'Vehicle numbers'!$A$5:$A$162,0),1,1,1,$L$6)),4,1,COUNTIF('Vehicle numbers'!$A$5:$A$162,J2789),4),
    MATCH(K$8,'Vehicle numbers'!$B$4:$D$4,0))*1000</f>
        <v>30850440</v>
      </c>
      <c r="L2789" s="183">
        <f ca="1">VLOOKUP(F2789,
    OFFSET(INDIRECT(ADDRESS(MATCH(J2789,'Vehicle numbers'!$A$5:$A$162,0),1,1,1,$L$6)),4,1,COUNTIF('Vehicle numbers'!$A$5:$A$162,J2789),4),
    MATCH(L$8,'Vehicle numbers'!$B$4:$D$4,0))*1000</f>
        <v>31792259</v>
      </c>
      <c r="M2789" s="184">
        <f>VLOOKUP(F2789,'Annual distance covered (GB)'!$A$8:$H$33,MATCH(J2789,'Annual distance covered (GB)'!$A$7:$H$7,0))</f>
        <v>424.7</v>
      </c>
      <c r="N2789" s="2">
        <f t="shared" ca="1" si="100"/>
        <v>47618.003400477923</v>
      </c>
      <c r="O2789" s="180">
        <f t="shared" ca="1" si="101"/>
        <v>1.4977860931643116E-3</v>
      </c>
      <c r="P2789" s="180"/>
      <c r="Q2789" s="180"/>
      <c r="R2789" s="180"/>
      <c r="S2789" s="180"/>
      <c r="T2789" s="180"/>
    </row>
    <row r="2790" spans="1:20" x14ac:dyDescent="0.25">
      <c r="A2790" t="s">
        <v>236</v>
      </c>
      <c r="B2790" t="s">
        <v>237</v>
      </c>
      <c r="C2790" t="s">
        <v>238</v>
      </c>
      <c r="D2790" t="s">
        <v>250</v>
      </c>
      <c r="E2790" t="s">
        <v>228</v>
      </c>
      <c r="F2790">
        <v>2016</v>
      </c>
      <c r="G2790">
        <v>5.7910000000000001E-3</v>
      </c>
      <c r="H2790" t="s">
        <v>240</v>
      </c>
      <c r="I2790" t="s">
        <v>241</v>
      </c>
      <c r="J2790" t="s">
        <v>2</v>
      </c>
      <c r="K2790" s="183">
        <f ca="1">VLOOKUP(F2790,
    OFFSET(INDIRECT(ADDRESS(MATCH(J2790,'Vehicle numbers'!$A$5:$A$162,0),1,1,1,$L$6)),4,1,COUNTIF('Vehicle numbers'!$A$5:$A$162,J2790),4),
    MATCH(K$8,'Vehicle numbers'!$B$4:$D$4,0))*1000</f>
        <v>30850440</v>
      </c>
      <c r="L2790" s="183">
        <f ca="1">VLOOKUP(F2790,
    OFFSET(INDIRECT(ADDRESS(MATCH(J2790,'Vehicle numbers'!$A$5:$A$162,0),1,1,1,$L$6)),4,1,COUNTIF('Vehicle numbers'!$A$5:$A$162,J2790),4),
    MATCH(L$8,'Vehicle numbers'!$B$4:$D$4,0))*1000</f>
        <v>31792259</v>
      </c>
      <c r="M2790" s="184">
        <f>VLOOKUP(F2790,'Annual distance covered (GB)'!$A$8:$H$33,MATCH(J2790,'Annual distance covered (GB)'!$A$7:$H$7,0))</f>
        <v>424.7</v>
      </c>
      <c r="N2790" s="2">
        <f t="shared" ca="1" si="100"/>
        <v>2534520.7508471292</v>
      </c>
      <c r="O2790" s="180">
        <f t="shared" ca="1" si="101"/>
        <v>7.9721316778626178E-2</v>
      </c>
      <c r="P2790" s="180"/>
      <c r="Q2790" s="180"/>
      <c r="R2790" s="180"/>
      <c r="S2790" s="180"/>
      <c r="T2790" s="180"/>
    </row>
    <row r="2791" spans="1:20" x14ac:dyDescent="0.25">
      <c r="A2791" t="s">
        <v>243</v>
      </c>
      <c r="B2791" t="s">
        <v>237</v>
      </c>
      <c r="C2791" t="s">
        <v>238</v>
      </c>
      <c r="D2791" t="s">
        <v>250</v>
      </c>
      <c r="E2791" t="s">
        <v>228</v>
      </c>
      <c r="F2791">
        <v>2016</v>
      </c>
      <c r="G2791">
        <v>4.0537000000000004E-3</v>
      </c>
      <c r="H2791" t="s">
        <v>240</v>
      </c>
      <c r="I2791" t="s">
        <v>241</v>
      </c>
      <c r="J2791" t="s">
        <v>2</v>
      </c>
      <c r="K2791" s="183">
        <f ca="1">VLOOKUP(F2791,
    OFFSET(INDIRECT(ADDRESS(MATCH(J2791,'Vehicle numbers'!$A$5:$A$162,0),1,1,1,$L$6)),4,1,COUNTIF('Vehicle numbers'!$A$5:$A$162,J2791),4),
    MATCH(K$8,'Vehicle numbers'!$B$4:$D$4,0))*1000</f>
        <v>30850440</v>
      </c>
      <c r="L2791" s="183">
        <f ca="1">VLOOKUP(F2791,
    OFFSET(INDIRECT(ADDRESS(MATCH(J2791,'Vehicle numbers'!$A$5:$A$162,0),1,1,1,$L$6)),4,1,COUNTIF('Vehicle numbers'!$A$5:$A$162,J2791),4),
    MATCH(L$8,'Vehicle numbers'!$B$4:$D$4,0))*1000</f>
        <v>31792259</v>
      </c>
      <c r="M2791" s="184">
        <f>VLOOKUP(F2791,'Annual distance covered (GB)'!$A$8:$H$33,MATCH(J2791,'Annual distance covered (GB)'!$A$7:$H$7,0))</f>
        <v>424.7</v>
      </c>
      <c r="N2791" s="2">
        <f t="shared" ca="1" si="100"/>
        <v>1774164.5255929905</v>
      </c>
      <c r="O2791" s="180">
        <f t="shared" ca="1" si="101"/>
        <v>5.580492174503833E-2</v>
      </c>
      <c r="P2791" s="180"/>
      <c r="Q2791" s="180"/>
      <c r="R2791" s="180"/>
      <c r="S2791" s="180"/>
      <c r="T2791" s="180"/>
    </row>
    <row r="2792" spans="1:20" x14ac:dyDescent="0.25">
      <c r="A2792" t="s">
        <v>244</v>
      </c>
      <c r="B2792" t="s">
        <v>237</v>
      </c>
      <c r="C2792" t="s">
        <v>238</v>
      </c>
      <c r="D2792" t="s">
        <v>250</v>
      </c>
      <c r="E2792" t="s">
        <v>228</v>
      </c>
      <c r="F2792">
        <v>2016</v>
      </c>
      <c r="G2792">
        <v>5.7094366197182997E-4</v>
      </c>
      <c r="H2792" t="s">
        <v>240</v>
      </c>
      <c r="I2792" t="s">
        <v>241</v>
      </c>
      <c r="J2792" t="s">
        <v>2</v>
      </c>
      <c r="K2792" s="183">
        <f ca="1">VLOOKUP(F2792,
    OFFSET(INDIRECT(ADDRESS(MATCH(J2792,'Vehicle numbers'!$A$5:$A$162,0),1,1,1,$L$6)),4,1,COUNTIF('Vehicle numbers'!$A$5:$A$162,J2792),4),
    MATCH(K$8,'Vehicle numbers'!$B$4:$D$4,0))*1000</f>
        <v>30850440</v>
      </c>
      <c r="L2792" s="183">
        <f ca="1">VLOOKUP(F2792,
    OFFSET(INDIRECT(ADDRESS(MATCH(J2792,'Vehicle numbers'!$A$5:$A$162,0),1,1,1,$L$6)),4,1,COUNTIF('Vehicle numbers'!$A$5:$A$162,J2792),4),
    MATCH(L$8,'Vehicle numbers'!$B$4:$D$4,0))*1000</f>
        <v>31792259</v>
      </c>
      <c r="M2792" s="184">
        <f>VLOOKUP(F2792,'Annual distance covered (GB)'!$A$8:$H$33,MATCH(J2792,'Annual distance covered (GB)'!$A$7:$H$7,0))</f>
        <v>424.7</v>
      </c>
      <c r="N2792" s="2">
        <f t="shared" ca="1" si="100"/>
        <v>249882.32754830804</v>
      </c>
      <c r="O2792" s="180">
        <f t="shared" ca="1" si="101"/>
        <v>7.8598481331039749E-3</v>
      </c>
      <c r="P2792" s="180"/>
      <c r="Q2792" s="180"/>
      <c r="R2792" s="180"/>
      <c r="S2792" s="180"/>
      <c r="T2792" s="180"/>
    </row>
    <row r="2793" spans="1:20" x14ac:dyDescent="0.25">
      <c r="A2793" t="s">
        <v>246</v>
      </c>
      <c r="B2793" t="s">
        <v>237</v>
      </c>
      <c r="C2793" t="s">
        <v>238</v>
      </c>
      <c r="D2793" t="s">
        <v>250</v>
      </c>
      <c r="E2793" t="s">
        <v>228</v>
      </c>
      <c r="F2793">
        <v>2016</v>
      </c>
      <c r="G2793">
        <v>4.5675492957746402E-4</v>
      </c>
      <c r="H2793" t="s">
        <v>240</v>
      </c>
      <c r="I2793" t="s">
        <v>241</v>
      </c>
      <c r="J2793" t="s">
        <v>2</v>
      </c>
      <c r="K2793" s="183">
        <f ca="1">VLOOKUP(F2793,
    OFFSET(INDIRECT(ADDRESS(MATCH(J2793,'Vehicle numbers'!$A$5:$A$162,0),1,1,1,$L$6)),4,1,COUNTIF('Vehicle numbers'!$A$5:$A$162,J2793),4),
    MATCH(K$8,'Vehicle numbers'!$B$4:$D$4,0))*1000</f>
        <v>30850440</v>
      </c>
      <c r="L2793" s="183">
        <f ca="1">VLOOKUP(F2793,
    OFFSET(INDIRECT(ADDRESS(MATCH(J2793,'Vehicle numbers'!$A$5:$A$162,0),1,1,1,$L$6)),4,1,COUNTIF('Vehicle numbers'!$A$5:$A$162,J2793),4),
    MATCH(L$8,'Vehicle numbers'!$B$4:$D$4,0))*1000</f>
        <v>31792259</v>
      </c>
      <c r="M2793" s="184">
        <f>VLOOKUP(F2793,'Annual distance covered (GB)'!$A$8:$H$33,MATCH(J2793,'Annual distance covered (GB)'!$A$7:$H$7,0))</f>
        <v>424.7</v>
      </c>
      <c r="N2793" s="2">
        <f t="shared" ca="1" si="100"/>
        <v>199905.86203864642</v>
      </c>
      <c r="O2793" s="180">
        <f t="shared" ca="1" si="101"/>
        <v>6.2878785064831794E-3</v>
      </c>
      <c r="P2793" s="180"/>
      <c r="Q2793" s="180"/>
      <c r="R2793" s="180"/>
      <c r="S2793" s="180"/>
      <c r="T2793" s="180"/>
    </row>
    <row r="2794" spans="1:20" x14ac:dyDescent="0.25">
      <c r="A2794" t="s">
        <v>236</v>
      </c>
      <c r="B2794" t="s">
        <v>237</v>
      </c>
      <c r="C2794" t="s">
        <v>238</v>
      </c>
      <c r="D2794" t="s">
        <v>255</v>
      </c>
      <c r="E2794" t="s">
        <v>229</v>
      </c>
      <c r="F2794">
        <v>2016</v>
      </c>
      <c r="G2794">
        <v>5.5269999999999998E-3</v>
      </c>
      <c r="H2794" t="s">
        <v>240</v>
      </c>
      <c r="I2794" t="s">
        <v>241</v>
      </c>
      <c r="J2794" t="s">
        <v>2</v>
      </c>
      <c r="K2794" s="183">
        <f ca="1">VLOOKUP(F2794,
    OFFSET(INDIRECT(ADDRESS(MATCH(J2794,'Vehicle numbers'!$A$5:$A$162,0),1,1,1,$L$6)),4,1,COUNTIF('Vehicle numbers'!$A$5:$A$162,J2794),4),
    MATCH(K$8,'Vehicle numbers'!$B$4:$D$4,0))*1000</f>
        <v>30850440</v>
      </c>
      <c r="L2794" s="183">
        <f ca="1">VLOOKUP(F2794,
    OFFSET(INDIRECT(ADDRESS(MATCH(J2794,'Vehicle numbers'!$A$5:$A$162,0),1,1,1,$L$6)),4,1,COUNTIF('Vehicle numbers'!$A$5:$A$162,J2794),4),
    MATCH(L$8,'Vehicle numbers'!$B$4:$D$4,0))*1000</f>
        <v>31792259</v>
      </c>
      <c r="M2794" s="184">
        <f>VLOOKUP(F2794,'Annual distance covered (GB)'!$A$8:$H$33,MATCH(J2794,'Annual distance covered (GB)'!$A$7:$H$7,0))</f>
        <v>424.7</v>
      </c>
      <c r="N2794" s="2">
        <f t="shared" ca="1" si="100"/>
        <v>2418977.0661253808</v>
      </c>
      <c r="O2794" s="180">
        <f t="shared" ca="1" si="101"/>
        <v>7.6086982876095111E-2</v>
      </c>
      <c r="P2794" s="180"/>
      <c r="Q2794" s="180"/>
      <c r="R2794" s="180"/>
      <c r="S2794" s="180"/>
      <c r="T2794" s="180"/>
    </row>
    <row r="2795" spans="1:20" x14ac:dyDescent="0.25">
      <c r="A2795" t="s">
        <v>243</v>
      </c>
      <c r="B2795" t="s">
        <v>237</v>
      </c>
      <c r="C2795" t="s">
        <v>238</v>
      </c>
      <c r="D2795" t="s">
        <v>255</v>
      </c>
      <c r="E2795" t="s">
        <v>229</v>
      </c>
      <c r="F2795">
        <v>2016</v>
      </c>
      <c r="G2795">
        <v>2.2108000000000002E-3</v>
      </c>
      <c r="H2795" t="s">
        <v>240</v>
      </c>
      <c r="I2795" t="s">
        <v>241</v>
      </c>
      <c r="J2795" t="s">
        <v>2</v>
      </c>
      <c r="K2795" s="183">
        <f ca="1">VLOOKUP(F2795,
    OFFSET(INDIRECT(ADDRESS(MATCH(J2795,'Vehicle numbers'!$A$5:$A$162,0),1,1,1,$L$6)),4,1,COUNTIF('Vehicle numbers'!$A$5:$A$162,J2795),4),
    MATCH(K$8,'Vehicle numbers'!$B$4:$D$4,0))*1000</f>
        <v>30850440</v>
      </c>
      <c r="L2795" s="183">
        <f ca="1">VLOOKUP(F2795,
    OFFSET(INDIRECT(ADDRESS(MATCH(J2795,'Vehicle numbers'!$A$5:$A$162,0),1,1,1,$L$6)),4,1,COUNTIF('Vehicle numbers'!$A$5:$A$162,J2795),4),
    MATCH(L$8,'Vehicle numbers'!$B$4:$D$4,0))*1000</f>
        <v>31792259</v>
      </c>
      <c r="M2795" s="184">
        <f>VLOOKUP(F2795,'Annual distance covered (GB)'!$A$8:$H$33,MATCH(J2795,'Annual distance covered (GB)'!$A$7:$H$7,0))</f>
        <v>424.7</v>
      </c>
      <c r="N2795" s="2">
        <f t="shared" ca="1" si="100"/>
        <v>967590.82645015256</v>
      </c>
      <c r="O2795" s="180">
        <f t="shared" ca="1" si="101"/>
        <v>3.0434793150438053E-2</v>
      </c>
      <c r="P2795" s="180"/>
      <c r="Q2795" s="180"/>
      <c r="R2795" s="180"/>
      <c r="S2795" s="180"/>
      <c r="T2795" s="180"/>
    </row>
    <row r="2796" spans="1:20" x14ac:dyDescent="0.25">
      <c r="A2796" t="s">
        <v>244</v>
      </c>
      <c r="B2796" t="s">
        <v>237</v>
      </c>
      <c r="C2796" t="s">
        <v>238</v>
      </c>
      <c r="D2796" t="s">
        <v>255</v>
      </c>
      <c r="E2796" t="s">
        <v>229</v>
      </c>
      <c r="F2796">
        <v>2016</v>
      </c>
      <c r="G2796">
        <v>5.5270000000000004E-4</v>
      </c>
      <c r="H2796" t="s">
        <v>240</v>
      </c>
      <c r="I2796" t="s">
        <v>241</v>
      </c>
      <c r="J2796" t="s">
        <v>2</v>
      </c>
      <c r="K2796" s="183">
        <f ca="1">VLOOKUP(F2796,
    OFFSET(INDIRECT(ADDRESS(MATCH(J2796,'Vehicle numbers'!$A$5:$A$162,0),1,1,1,$L$6)),4,1,COUNTIF('Vehicle numbers'!$A$5:$A$162,J2796),4),
    MATCH(K$8,'Vehicle numbers'!$B$4:$D$4,0))*1000</f>
        <v>30850440</v>
      </c>
      <c r="L2796" s="183">
        <f ca="1">VLOOKUP(F2796,
    OFFSET(INDIRECT(ADDRESS(MATCH(J2796,'Vehicle numbers'!$A$5:$A$162,0),1,1,1,$L$6)),4,1,COUNTIF('Vehicle numbers'!$A$5:$A$162,J2796),4),
    MATCH(L$8,'Vehicle numbers'!$B$4:$D$4,0))*1000</f>
        <v>31792259</v>
      </c>
      <c r="M2796" s="184">
        <f>VLOOKUP(F2796,'Annual distance covered (GB)'!$A$8:$H$33,MATCH(J2796,'Annual distance covered (GB)'!$A$7:$H$7,0))</f>
        <v>424.7</v>
      </c>
      <c r="N2796" s="2">
        <f t="shared" ca="1" si="100"/>
        <v>241897.70661253814</v>
      </c>
      <c r="O2796" s="180">
        <f t="shared" ca="1" si="101"/>
        <v>7.6086982876095131E-3</v>
      </c>
      <c r="P2796" s="180"/>
      <c r="Q2796" s="180"/>
      <c r="R2796" s="180"/>
      <c r="S2796" s="180"/>
      <c r="T2796" s="180"/>
    </row>
    <row r="2797" spans="1:20" x14ac:dyDescent="0.25">
      <c r="A2797" t="s">
        <v>246</v>
      </c>
      <c r="B2797" t="s">
        <v>237</v>
      </c>
      <c r="C2797" t="s">
        <v>238</v>
      </c>
      <c r="D2797" t="s">
        <v>255</v>
      </c>
      <c r="E2797" t="s">
        <v>229</v>
      </c>
      <c r="F2797">
        <v>2016</v>
      </c>
      <c r="G2797">
        <v>4.4215999999999998E-4</v>
      </c>
      <c r="H2797" t="s">
        <v>240</v>
      </c>
      <c r="I2797" t="s">
        <v>241</v>
      </c>
      <c r="J2797" t="s">
        <v>2</v>
      </c>
      <c r="K2797" s="183">
        <f ca="1">VLOOKUP(F2797,
    OFFSET(INDIRECT(ADDRESS(MATCH(J2797,'Vehicle numbers'!$A$5:$A$162,0),1,1,1,$L$6)),4,1,COUNTIF('Vehicle numbers'!$A$5:$A$162,J2797),4),
    MATCH(K$8,'Vehicle numbers'!$B$4:$D$4,0))*1000</f>
        <v>30850440</v>
      </c>
      <c r="L2797" s="183">
        <f ca="1">VLOOKUP(F2797,
    OFFSET(INDIRECT(ADDRESS(MATCH(J2797,'Vehicle numbers'!$A$5:$A$162,0),1,1,1,$L$6)),4,1,COUNTIF('Vehicle numbers'!$A$5:$A$162,J2797),4),
    MATCH(L$8,'Vehicle numbers'!$B$4:$D$4,0))*1000</f>
        <v>31792259</v>
      </c>
      <c r="M2797" s="184">
        <f>VLOOKUP(F2797,'Annual distance covered (GB)'!$A$8:$H$33,MATCH(J2797,'Annual distance covered (GB)'!$A$7:$H$7,0))</f>
        <v>424.7</v>
      </c>
      <c r="N2797" s="2">
        <f t="shared" ca="1" si="100"/>
        <v>193518.16529003048</v>
      </c>
      <c r="O2797" s="180">
        <f t="shared" ca="1" si="101"/>
        <v>6.0869586300876096E-3</v>
      </c>
      <c r="P2797" s="180"/>
      <c r="Q2797" s="180"/>
      <c r="R2797" s="180"/>
      <c r="S2797" s="180"/>
      <c r="T2797" s="180"/>
    </row>
    <row r="2798" spans="1:20" x14ac:dyDescent="0.25">
      <c r="A2798" t="s">
        <v>236</v>
      </c>
      <c r="B2798" t="s">
        <v>237</v>
      </c>
      <c r="C2798" t="s">
        <v>238</v>
      </c>
      <c r="D2798" t="s">
        <v>255</v>
      </c>
      <c r="E2798" t="s">
        <v>228</v>
      </c>
      <c r="F2798">
        <v>2016</v>
      </c>
      <c r="G2798">
        <v>6.80000000000001E-3</v>
      </c>
      <c r="H2798" t="s">
        <v>240</v>
      </c>
      <c r="I2798" t="s">
        <v>241</v>
      </c>
      <c r="J2798" t="s">
        <v>2</v>
      </c>
      <c r="K2798" s="183">
        <f ca="1">VLOOKUP(F2798,
    OFFSET(INDIRECT(ADDRESS(MATCH(J2798,'Vehicle numbers'!$A$5:$A$162,0),1,1,1,$L$6)),4,1,COUNTIF('Vehicle numbers'!$A$5:$A$162,J2798),4),
    MATCH(K$8,'Vehicle numbers'!$B$4:$D$4,0))*1000</f>
        <v>30850440</v>
      </c>
      <c r="L2798" s="183">
        <f ca="1">VLOOKUP(F2798,
    OFFSET(INDIRECT(ADDRESS(MATCH(J2798,'Vehicle numbers'!$A$5:$A$162,0),1,1,1,$L$6)),4,1,COUNTIF('Vehicle numbers'!$A$5:$A$162,J2798),4),
    MATCH(L$8,'Vehicle numbers'!$B$4:$D$4,0))*1000</f>
        <v>31792259</v>
      </c>
      <c r="M2798" s="184">
        <f>VLOOKUP(F2798,'Annual distance covered (GB)'!$A$8:$H$33,MATCH(J2798,'Annual distance covered (GB)'!$A$7:$H$7,0))</f>
        <v>424.7</v>
      </c>
      <c r="N2798" s="2">
        <f t="shared" ca="1" si="100"/>
        <v>2976125.2125298744</v>
      </c>
      <c r="O2798" s="180">
        <f t="shared" ca="1" si="101"/>
        <v>9.3611630822769604E-2</v>
      </c>
      <c r="P2798" s="180"/>
      <c r="Q2798" s="180"/>
      <c r="R2798" s="180"/>
      <c r="S2798" s="180"/>
      <c r="T2798" s="180"/>
    </row>
    <row r="2799" spans="1:20" x14ac:dyDescent="0.25">
      <c r="A2799" t="s">
        <v>243</v>
      </c>
      <c r="B2799" t="s">
        <v>237</v>
      </c>
      <c r="C2799" t="s">
        <v>238</v>
      </c>
      <c r="D2799" t="s">
        <v>255</v>
      </c>
      <c r="E2799" t="s">
        <v>228</v>
      </c>
      <c r="F2799">
        <v>2016</v>
      </c>
      <c r="G2799">
        <v>4.7600000000000099E-3</v>
      </c>
      <c r="H2799" t="s">
        <v>240</v>
      </c>
      <c r="I2799" t="s">
        <v>241</v>
      </c>
      <c r="J2799" t="s">
        <v>2</v>
      </c>
      <c r="K2799" s="183">
        <f ca="1">VLOOKUP(F2799,
    OFFSET(INDIRECT(ADDRESS(MATCH(J2799,'Vehicle numbers'!$A$5:$A$162,0),1,1,1,$L$6)),4,1,COUNTIF('Vehicle numbers'!$A$5:$A$162,J2799),4),
    MATCH(K$8,'Vehicle numbers'!$B$4:$D$4,0))*1000</f>
        <v>30850440</v>
      </c>
      <c r="L2799" s="183">
        <f ca="1">VLOOKUP(F2799,
    OFFSET(INDIRECT(ADDRESS(MATCH(J2799,'Vehicle numbers'!$A$5:$A$162,0),1,1,1,$L$6)),4,1,COUNTIF('Vehicle numbers'!$A$5:$A$162,J2799),4),
    MATCH(L$8,'Vehicle numbers'!$B$4:$D$4,0))*1000</f>
        <v>31792259</v>
      </c>
      <c r="M2799" s="184">
        <f>VLOOKUP(F2799,'Annual distance covered (GB)'!$A$8:$H$33,MATCH(J2799,'Annual distance covered (GB)'!$A$7:$H$7,0))</f>
        <v>424.7</v>
      </c>
      <c r="N2799" s="2">
        <f t="shared" ca="1" si="100"/>
        <v>2083287.648770913</v>
      </c>
      <c r="O2799" s="180">
        <f t="shared" ca="1" si="101"/>
        <v>6.5528141575938753E-2</v>
      </c>
      <c r="P2799" s="180"/>
      <c r="Q2799" s="180"/>
      <c r="R2799" s="180"/>
      <c r="S2799" s="180"/>
      <c r="T2799" s="180"/>
    </row>
    <row r="2800" spans="1:20" x14ac:dyDescent="0.25">
      <c r="A2800" t="s">
        <v>244</v>
      </c>
      <c r="B2800" t="s">
        <v>237</v>
      </c>
      <c r="C2800" t="s">
        <v>238</v>
      </c>
      <c r="D2800" t="s">
        <v>255</v>
      </c>
      <c r="E2800" t="s">
        <v>228</v>
      </c>
      <c r="F2800">
        <v>2016</v>
      </c>
      <c r="G2800">
        <v>6.7042253521126804E-4</v>
      </c>
      <c r="H2800" t="s">
        <v>240</v>
      </c>
      <c r="I2800" t="s">
        <v>241</v>
      </c>
      <c r="J2800" t="s">
        <v>2</v>
      </c>
      <c r="K2800" s="183">
        <f ca="1">VLOOKUP(F2800,
    OFFSET(INDIRECT(ADDRESS(MATCH(J2800,'Vehicle numbers'!$A$5:$A$162,0),1,1,1,$L$6)),4,1,COUNTIF('Vehicle numbers'!$A$5:$A$162,J2800),4),
    MATCH(K$8,'Vehicle numbers'!$B$4:$D$4,0))*1000</f>
        <v>30850440</v>
      </c>
      <c r="L2800" s="183">
        <f ca="1">VLOOKUP(F2800,
    OFFSET(INDIRECT(ADDRESS(MATCH(J2800,'Vehicle numbers'!$A$5:$A$162,0),1,1,1,$L$6)),4,1,COUNTIF('Vehicle numbers'!$A$5:$A$162,J2800),4),
    MATCH(L$8,'Vehicle numbers'!$B$4:$D$4,0))*1000</f>
        <v>31792259</v>
      </c>
      <c r="M2800" s="184">
        <f>VLOOKUP(F2800,'Annual distance covered (GB)'!$A$8:$H$33,MATCH(J2800,'Annual distance covered (GB)'!$A$7:$H$7,0))</f>
        <v>424.7</v>
      </c>
      <c r="N2800" s="2">
        <f t="shared" ca="1" si="100"/>
        <v>293420.79560153664</v>
      </c>
      <c r="O2800" s="180">
        <f t="shared" ca="1" si="101"/>
        <v>9.2293157149209385E-3</v>
      </c>
      <c r="P2800" s="180"/>
      <c r="Q2800" s="180"/>
      <c r="R2800" s="180"/>
      <c r="S2800" s="180"/>
      <c r="T2800" s="180"/>
    </row>
    <row r="2801" spans="1:20" x14ac:dyDescent="0.25">
      <c r="A2801" t="s">
        <v>246</v>
      </c>
      <c r="B2801" t="s">
        <v>237</v>
      </c>
      <c r="C2801" t="s">
        <v>238</v>
      </c>
      <c r="D2801" t="s">
        <v>255</v>
      </c>
      <c r="E2801" t="s">
        <v>228</v>
      </c>
      <c r="F2801">
        <v>2016</v>
      </c>
      <c r="G2801">
        <v>5.3633802816901402E-4</v>
      </c>
      <c r="H2801" t="s">
        <v>240</v>
      </c>
      <c r="I2801" t="s">
        <v>241</v>
      </c>
      <c r="J2801" t="s">
        <v>2</v>
      </c>
      <c r="K2801" s="183">
        <f ca="1">VLOOKUP(F2801,
    OFFSET(INDIRECT(ADDRESS(MATCH(J2801,'Vehicle numbers'!$A$5:$A$162,0),1,1,1,$L$6)),4,1,COUNTIF('Vehicle numbers'!$A$5:$A$162,J2801),4),
    MATCH(K$8,'Vehicle numbers'!$B$4:$D$4,0))*1000</f>
        <v>30850440</v>
      </c>
      <c r="L2801" s="183">
        <f ca="1">VLOOKUP(F2801,
    OFFSET(INDIRECT(ADDRESS(MATCH(J2801,'Vehicle numbers'!$A$5:$A$162,0),1,1,1,$L$6)),4,1,COUNTIF('Vehicle numbers'!$A$5:$A$162,J2801),4),
    MATCH(L$8,'Vehicle numbers'!$B$4:$D$4,0))*1000</f>
        <v>31792259</v>
      </c>
      <c r="M2801" s="184">
        <f>VLOOKUP(F2801,'Annual distance covered (GB)'!$A$8:$H$33,MATCH(J2801,'Annual distance covered (GB)'!$A$7:$H$7,0))</f>
        <v>424.7</v>
      </c>
      <c r="N2801" s="2">
        <f t="shared" ca="1" si="100"/>
        <v>234736.63648122916</v>
      </c>
      <c r="O2801" s="180">
        <f t="shared" ca="1" si="101"/>
        <v>7.3834525719367458E-3</v>
      </c>
      <c r="P2801" s="180"/>
      <c r="Q2801" s="180"/>
      <c r="R2801" s="180"/>
      <c r="S2801" s="180"/>
      <c r="T2801" s="180"/>
    </row>
    <row r="2802" spans="1:20" x14ac:dyDescent="0.25">
      <c r="A2802" t="s">
        <v>236</v>
      </c>
      <c r="B2802" t="s">
        <v>237</v>
      </c>
      <c r="C2802" t="s">
        <v>238</v>
      </c>
      <c r="D2802" t="s">
        <v>256</v>
      </c>
      <c r="E2802" t="s">
        <v>229</v>
      </c>
      <c r="F2802">
        <v>2016</v>
      </c>
      <c r="G2802">
        <v>1.1723047653964499E-2</v>
      </c>
      <c r="H2802" t="s">
        <v>240</v>
      </c>
      <c r="I2802" t="s">
        <v>241</v>
      </c>
      <c r="J2802" t="s">
        <v>2</v>
      </c>
      <c r="K2802" s="183">
        <f ca="1">VLOOKUP(F2802,
    OFFSET(INDIRECT(ADDRESS(MATCH(J2802,'Vehicle numbers'!$A$5:$A$162,0),1,1,1,$L$6)),4,1,COUNTIF('Vehicle numbers'!$A$5:$A$162,J2802),4),
    MATCH(K$8,'Vehicle numbers'!$B$4:$D$4,0))*1000</f>
        <v>30850440</v>
      </c>
      <c r="L2802" s="183">
        <f ca="1">VLOOKUP(F2802,
    OFFSET(INDIRECT(ADDRESS(MATCH(J2802,'Vehicle numbers'!$A$5:$A$162,0),1,1,1,$L$6)),4,1,COUNTIF('Vehicle numbers'!$A$5:$A$162,J2802),4),
    MATCH(L$8,'Vehicle numbers'!$B$4:$D$4,0))*1000</f>
        <v>31792259</v>
      </c>
      <c r="M2802" s="184">
        <f>VLOOKUP(F2802,'Annual distance covered (GB)'!$A$8:$H$33,MATCH(J2802,'Annual distance covered (GB)'!$A$7:$H$7,0))</f>
        <v>424.7</v>
      </c>
      <c r="N2802" s="2">
        <f t="shared" ca="1" si="100"/>
        <v>5130773.1898018951</v>
      </c>
      <c r="O2802" s="180">
        <f t="shared" ca="1" si="101"/>
        <v>0.16138435427950856</v>
      </c>
      <c r="P2802" s="180"/>
      <c r="Q2802" s="180"/>
      <c r="R2802" s="180"/>
      <c r="S2802" s="180"/>
      <c r="T2802" s="180"/>
    </row>
    <row r="2803" spans="1:20" x14ac:dyDescent="0.25">
      <c r="A2803" t="s">
        <v>243</v>
      </c>
      <c r="B2803" t="s">
        <v>237</v>
      </c>
      <c r="C2803" t="s">
        <v>238</v>
      </c>
      <c r="D2803" t="s">
        <v>256</v>
      </c>
      <c r="E2803" t="s">
        <v>229</v>
      </c>
      <c r="F2803">
        <v>2016</v>
      </c>
      <c r="G2803">
        <v>4.6892190615858004E-3</v>
      </c>
      <c r="H2803" t="s">
        <v>240</v>
      </c>
      <c r="I2803" t="s">
        <v>241</v>
      </c>
      <c r="J2803" t="s">
        <v>2</v>
      </c>
      <c r="K2803" s="183">
        <f ca="1">VLOOKUP(F2803,
    OFFSET(INDIRECT(ADDRESS(MATCH(J2803,'Vehicle numbers'!$A$5:$A$162,0),1,1,1,$L$6)),4,1,COUNTIF('Vehicle numbers'!$A$5:$A$162,J2803),4),
    MATCH(K$8,'Vehicle numbers'!$B$4:$D$4,0))*1000</f>
        <v>30850440</v>
      </c>
      <c r="L2803" s="183">
        <f ca="1">VLOOKUP(F2803,
    OFFSET(INDIRECT(ADDRESS(MATCH(J2803,'Vehicle numbers'!$A$5:$A$162,0),1,1,1,$L$6)),4,1,COUNTIF('Vehicle numbers'!$A$5:$A$162,J2803),4),
    MATCH(L$8,'Vehicle numbers'!$B$4:$D$4,0))*1000</f>
        <v>31792259</v>
      </c>
      <c r="M2803" s="184">
        <f>VLOOKUP(F2803,'Annual distance covered (GB)'!$A$8:$H$33,MATCH(J2803,'Annual distance covered (GB)'!$A$7:$H$7,0))</f>
        <v>424.7</v>
      </c>
      <c r="N2803" s="2">
        <f t="shared" ca="1" si="100"/>
        <v>2052309.2759207583</v>
      </c>
      <c r="O2803" s="180">
        <f t="shared" ca="1" si="101"/>
        <v>6.4553741711803433E-2</v>
      </c>
      <c r="P2803" s="180"/>
      <c r="Q2803" s="180"/>
      <c r="R2803" s="180"/>
      <c r="S2803" s="180"/>
      <c r="T2803" s="180"/>
    </row>
    <row r="2804" spans="1:20" x14ac:dyDescent="0.25">
      <c r="A2804" t="s">
        <v>244</v>
      </c>
      <c r="B2804" t="s">
        <v>237</v>
      </c>
      <c r="C2804" t="s">
        <v>238</v>
      </c>
      <c r="D2804" t="s">
        <v>256</v>
      </c>
      <c r="E2804" t="s">
        <v>229</v>
      </c>
      <c r="F2804">
        <v>2016</v>
      </c>
      <c r="G2804">
        <v>1.1723047653964501E-3</v>
      </c>
      <c r="H2804" t="s">
        <v>240</v>
      </c>
      <c r="I2804" t="s">
        <v>241</v>
      </c>
      <c r="J2804" t="s">
        <v>2</v>
      </c>
      <c r="K2804" s="183">
        <f ca="1">VLOOKUP(F2804,
    OFFSET(INDIRECT(ADDRESS(MATCH(J2804,'Vehicle numbers'!$A$5:$A$162,0),1,1,1,$L$6)),4,1,COUNTIF('Vehicle numbers'!$A$5:$A$162,J2804),4),
    MATCH(K$8,'Vehicle numbers'!$B$4:$D$4,0))*1000</f>
        <v>30850440</v>
      </c>
      <c r="L2804" s="183">
        <f ca="1">VLOOKUP(F2804,
    OFFSET(INDIRECT(ADDRESS(MATCH(J2804,'Vehicle numbers'!$A$5:$A$162,0),1,1,1,$L$6)),4,1,COUNTIF('Vehicle numbers'!$A$5:$A$162,J2804),4),
    MATCH(L$8,'Vehicle numbers'!$B$4:$D$4,0))*1000</f>
        <v>31792259</v>
      </c>
      <c r="M2804" s="184">
        <f>VLOOKUP(F2804,'Annual distance covered (GB)'!$A$8:$H$33,MATCH(J2804,'Annual distance covered (GB)'!$A$7:$H$7,0))</f>
        <v>424.7</v>
      </c>
      <c r="N2804" s="2">
        <f t="shared" ca="1" si="100"/>
        <v>513077.31898018956</v>
      </c>
      <c r="O2804" s="180">
        <f t="shared" ca="1" si="101"/>
        <v>1.6138435427950858E-2</v>
      </c>
      <c r="P2804" s="180"/>
      <c r="Q2804" s="180"/>
      <c r="R2804" s="180"/>
      <c r="S2804" s="180"/>
      <c r="T2804" s="180"/>
    </row>
    <row r="2805" spans="1:20" x14ac:dyDescent="0.25">
      <c r="A2805" t="s">
        <v>246</v>
      </c>
      <c r="B2805" t="s">
        <v>237</v>
      </c>
      <c r="C2805" t="s">
        <v>238</v>
      </c>
      <c r="D2805" t="s">
        <v>256</v>
      </c>
      <c r="E2805" t="s">
        <v>229</v>
      </c>
      <c r="F2805">
        <v>2016</v>
      </c>
      <c r="G2805">
        <v>9.3784381231715999E-4</v>
      </c>
      <c r="H2805" t="s">
        <v>240</v>
      </c>
      <c r="I2805" t="s">
        <v>241</v>
      </c>
      <c r="J2805" t="s">
        <v>2</v>
      </c>
      <c r="K2805" s="183">
        <f ca="1">VLOOKUP(F2805,
    OFFSET(INDIRECT(ADDRESS(MATCH(J2805,'Vehicle numbers'!$A$5:$A$162,0),1,1,1,$L$6)),4,1,COUNTIF('Vehicle numbers'!$A$5:$A$162,J2805),4),
    MATCH(K$8,'Vehicle numbers'!$B$4:$D$4,0))*1000</f>
        <v>30850440</v>
      </c>
      <c r="L2805" s="183">
        <f ca="1">VLOOKUP(F2805,
    OFFSET(INDIRECT(ADDRESS(MATCH(J2805,'Vehicle numbers'!$A$5:$A$162,0),1,1,1,$L$6)),4,1,COUNTIF('Vehicle numbers'!$A$5:$A$162,J2805),4),
    MATCH(L$8,'Vehicle numbers'!$B$4:$D$4,0))*1000</f>
        <v>31792259</v>
      </c>
      <c r="M2805" s="184">
        <f>VLOOKUP(F2805,'Annual distance covered (GB)'!$A$8:$H$33,MATCH(J2805,'Annual distance covered (GB)'!$A$7:$H$7,0))</f>
        <v>424.7</v>
      </c>
      <c r="N2805" s="2">
        <f t="shared" ca="1" si="100"/>
        <v>410461.85518415162</v>
      </c>
      <c r="O2805" s="180">
        <f t="shared" ca="1" si="101"/>
        <v>1.2910748342360686E-2</v>
      </c>
      <c r="P2805" s="180"/>
      <c r="Q2805" s="180"/>
      <c r="R2805" s="180"/>
      <c r="S2805" s="180"/>
      <c r="T2805" s="180"/>
    </row>
    <row r="2806" spans="1:20" x14ac:dyDescent="0.25">
      <c r="A2806" t="s">
        <v>236</v>
      </c>
      <c r="B2806" t="s">
        <v>237</v>
      </c>
      <c r="C2806" t="s">
        <v>238</v>
      </c>
      <c r="D2806" t="s">
        <v>256</v>
      </c>
      <c r="E2806" t="s">
        <v>228</v>
      </c>
      <c r="F2806">
        <v>2016</v>
      </c>
      <c r="G2806">
        <v>8.77309988868844E-3</v>
      </c>
      <c r="H2806" t="s">
        <v>240</v>
      </c>
      <c r="I2806" t="s">
        <v>241</v>
      </c>
      <c r="J2806" t="s">
        <v>2</v>
      </c>
      <c r="K2806" s="183">
        <f ca="1">VLOOKUP(F2806,
    OFFSET(INDIRECT(ADDRESS(MATCH(J2806,'Vehicle numbers'!$A$5:$A$162,0),1,1,1,$L$6)),4,1,COUNTIF('Vehicle numbers'!$A$5:$A$162,J2806),4),
    MATCH(K$8,'Vehicle numbers'!$B$4:$D$4,0))*1000</f>
        <v>30850440</v>
      </c>
      <c r="L2806" s="183">
        <f ca="1">VLOOKUP(F2806,
    OFFSET(INDIRECT(ADDRESS(MATCH(J2806,'Vehicle numbers'!$A$5:$A$162,0),1,1,1,$L$6)),4,1,COUNTIF('Vehicle numbers'!$A$5:$A$162,J2806),4),
    MATCH(L$8,'Vehicle numbers'!$B$4:$D$4,0))*1000</f>
        <v>31792259</v>
      </c>
      <c r="M2806" s="184">
        <f>VLOOKUP(F2806,'Annual distance covered (GB)'!$A$8:$H$33,MATCH(J2806,'Annual distance covered (GB)'!$A$7:$H$7,0))</f>
        <v>424.7</v>
      </c>
      <c r="N2806" s="2">
        <f t="shared" ca="1" si="100"/>
        <v>3839682.9074659799</v>
      </c>
      <c r="O2806" s="180">
        <f t="shared" ca="1" si="101"/>
        <v>0.12077414528693856</v>
      </c>
      <c r="P2806" s="180"/>
      <c r="Q2806" s="180"/>
      <c r="R2806" s="180"/>
      <c r="S2806" s="180"/>
      <c r="T2806" s="180"/>
    </row>
    <row r="2807" spans="1:20" x14ac:dyDescent="0.25">
      <c r="A2807" t="s">
        <v>243</v>
      </c>
      <c r="B2807" t="s">
        <v>237</v>
      </c>
      <c r="C2807" t="s">
        <v>238</v>
      </c>
      <c r="D2807" t="s">
        <v>256</v>
      </c>
      <c r="E2807" t="s">
        <v>228</v>
      </c>
      <c r="F2807">
        <v>2016</v>
      </c>
      <c r="G2807">
        <v>6.1411699220819101E-3</v>
      </c>
      <c r="H2807" t="s">
        <v>240</v>
      </c>
      <c r="I2807" t="s">
        <v>241</v>
      </c>
      <c r="J2807" t="s">
        <v>2</v>
      </c>
      <c r="K2807" s="183">
        <f ca="1">VLOOKUP(F2807,
    OFFSET(INDIRECT(ADDRESS(MATCH(J2807,'Vehicle numbers'!$A$5:$A$162,0),1,1,1,$L$6)),4,1,COUNTIF('Vehicle numbers'!$A$5:$A$162,J2807),4),
    MATCH(K$8,'Vehicle numbers'!$B$4:$D$4,0))*1000</f>
        <v>30850440</v>
      </c>
      <c r="L2807" s="183">
        <f ca="1">VLOOKUP(F2807,
    OFFSET(INDIRECT(ADDRESS(MATCH(J2807,'Vehicle numbers'!$A$5:$A$162,0),1,1,1,$L$6)),4,1,COUNTIF('Vehicle numbers'!$A$5:$A$162,J2807),4),
    MATCH(L$8,'Vehicle numbers'!$B$4:$D$4,0))*1000</f>
        <v>31792259</v>
      </c>
      <c r="M2807" s="184">
        <f>VLOOKUP(F2807,'Annual distance covered (GB)'!$A$8:$H$33,MATCH(J2807,'Annual distance covered (GB)'!$A$7:$H$7,0))</f>
        <v>424.7</v>
      </c>
      <c r="N2807" s="2">
        <f t="shared" ca="1" si="100"/>
        <v>2687778.0352261867</v>
      </c>
      <c r="O2807" s="180">
        <f t="shared" ca="1" si="101"/>
        <v>8.4541901700857014E-2</v>
      </c>
      <c r="P2807" s="180"/>
      <c r="Q2807" s="180"/>
      <c r="R2807" s="180"/>
      <c r="S2807" s="180"/>
      <c r="T2807" s="180"/>
    </row>
    <row r="2808" spans="1:20" x14ac:dyDescent="0.25">
      <c r="A2808" t="s">
        <v>244</v>
      </c>
      <c r="B2808" t="s">
        <v>237</v>
      </c>
      <c r="C2808" t="s">
        <v>238</v>
      </c>
      <c r="D2808" t="s">
        <v>256</v>
      </c>
      <c r="E2808" t="s">
        <v>228</v>
      </c>
      <c r="F2808">
        <v>2016</v>
      </c>
      <c r="G2808">
        <v>8.6495351015237999E-4</v>
      </c>
      <c r="H2808" t="s">
        <v>240</v>
      </c>
      <c r="I2808" t="s">
        <v>241</v>
      </c>
      <c r="J2808" t="s">
        <v>2</v>
      </c>
      <c r="K2808" s="183">
        <f ca="1">VLOOKUP(F2808,
    OFFSET(INDIRECT(ADDRESS(MATCH(J2808,'Vehicle numbers'!$A$5:$A$162,0),1,1,1,$L$6)),4,1,COUNTIF('Vehicle numbers'!$A$5:$A$162,J2808),4),
    MATCH(K$8,'Vehicle numbers'!$B$4:$D$4,0))*1000</f>
        <v>30850440</v>
      </c>
      <c r="L2808" s="183">
        <f ca="1">VLOOKUP(F2808,
    OFFSET(INDIRECT(ADDRESS(MATCH(J2808,'Vehicle numbers'!$A$5:$A$162,0),1,1,1,$L$6)),4,1,COUNTIF('Vehicle numbers'!$A$5:$A$162,J2808),4),
    MATCH(L$8,'Vehicle numbers'!$B$4:$D$4,0))*1000</f>
        <v>31792259</v>
      </c>
      <c r="M2808" s="184">
        <f>VLOOKUP(F2808,'Annual distance covered (GB)'!$A$8:$H$33,MATCH(J2808,'Annual distance covered (GB)'!$A$7:$H$7,0))</f>
        <v>424.7</v>
      </c>
      <c r="N2808" s="2">
        <f t="shared" ca="1" si="100"/>
        <v>378560.28665157489</v>
      </c>
      <c r="O2808" s="180">
        <f t="shared" ca="1" si="101"/>
        <v>1.1907310098712234E-2</v>
      </c>
      <c r="P2808" s="180"/>
      <c r="Q2808" s="180"/>
      <c r="R2808" s="180"/>
      <c r="S2808" s="180"/>
      <c r="T2808" s="180"/>
    </row>
    <row r="2809" spans="1:20" x14ac:dyDescent="0.25">
      <c r="A2809" t="s">
        <v>246</v>
      </c>
      <c r="B2809" t="s">
        <v>237</v>
      </c>
      <c r="C2809" t="s">
        <v>238</v>
      </c>
      <c r="D2809" t="s">
        <v>256</v>
      </c>
      <c r="E2809" t="s">
        <v>228</v>
      </c>
      <c r="F2809">
        <v>2016</v>
      </c>
      <c r="G2809">
        <v>6.9196280812190399E-4</v>
      </c>
      <c r="H2809" t="s">
        <v>240</v>
      </c>
      <c r="I2809" t="s">
        <v>241</v>
      </c>
      <c r="J2809" t="s">
        <v>2</v>
      </c>
      <c r="K2809" s="183">
        <f ca="1">VLOOKUP(F2809,
    OFFSET(INDIRECT(ADDRESS(MATCH(J2809,'Vehicle numbers'!$A$5:$A$162,0),1,1,1,$L$6)),4,1,COUNTIF('Vehicle numbers'!$A$5:$A$162,J2809),4),
    MATCH(K$8,'Vehicle numbers'!$B$4:$D$4,0))*1000</f>
        <v>30850440</v>
      </c>
      <c r="L2809" s="183">
        <f ca="1">VLOOKUP(F2809,
    OFFSET(INDIRECT(ADDRESS(MATCH(J2809,'Vehicle numbers'!$A$5:$A$162,0),1,1,1,$L$6)),4,1,COUNTIF('Vehicle numbers'!$A$5:$A$162,J2809),4),
    MATCH(L$8,'Vehicle numbers'!$B$4:$D$4,0))*1000</f>
        <v>31792259</v>
      </c>
      <c r="M2809" s="184">
        <f>VLOOKUP(F2809,'Annual distance covered (GB)'!$A$8:$H$33,MATCH(J2809,'Annual distance covered (GB)'!$A$7:$H$7,0))</f>
        <v>424.7</v>
      </c>
      <c r="N2809" s="2">
        <f t="shared" ca="1" si="100"/>
        <v>302848.22932125989</v>
      </c>
      <c r="O2809" s="180">
        <f t="shared" ca="1" si="101"/>
        <v>9.5258480789697855E-3</v>
      </c>
      <c r="P2809" s="180"/>
      <c r="Q2809" s="180"/>
      <c r="R2809" s="180"/>
      <c r="S2809" s="180"/>
      <c r="T2809" s="180"/>
    </row>
    <row r="2810" spans="1:20" x14ac:dyDescent="0.25">
      <c r="A2810" t="s">
        <v>236</v>
      </c>
      <c r="B2810" t="s">
        <v>237</v>
      </c>
      <c r="C2810" t="s">
        <v>238</v>
      </c>
      <c r="D2810" t="s">
        <v>265</v>
      </c>
      <c r="E2810" t="s">
        <v>229</v>
      </c>
      <c r="F2810">
        <v>2016</v>
      </c>
      <c r="G2810">
        <v>8.4410000000000006E-3</v>
      </c>
      <c r="H2810" t="s">
        <v>240</v>
      </c>
      <c r="I2810" t="s">
        <v>241</v>
      </c>
      <c r="J2810" t="s">
        <v>247</v>
      </c>
      <c r="K2810" s="183">
        <f ca="1">VLOOKUP(F2810,
    OFFSET(INDIRECT(ADDRESS(MATCH(J2810,'Vehicle numbers'!$A$5:$A$162,0),1,1,1,$L$6)),4,1,COUNTIF('Vehicle numbers'!$A$5:$A$162,J2810),4),
    MATCH(K$8,'Vehicle numbers'!$B$4:$D$4,0))*1000</f>
        <v>124747</v>
      </c>
      <c r="L2810" s="183">
        <f ca="1">VLOOKUP(F2810,
    OFFSET(INDIRECT(ADDRESS(MATCH(J2810,'Vehicle numbers'!$A$5:$A$162,0),1,1,1,$L$6)),4,1,COUNTIF('Vehicle numbers'!$A$5:$A$162,J2810),4),
    MATCH(L$8,'Vehicle numbers'!$B$4:$D$4,0))*1000</f>
        <v>131269</v>
      </c>
      <c r="M2810" s="184">
        <f ca="1">VLOOKUP(F2810,'Annual distance covered (GB)'!$A$8:$H$33,MATCH(J2810,'Annual distance covered (GB)'!$A$7:$H$7,0))</f>
        <v>14.5</v>
      </c>
      <c r="N2810" s="2">
        <f t="shared" ca="1" si="100"/>
        <v>128793.50702221297</v>
      </c>
      <c r="O2810" s="180">
        <f t="shared" ca="1" si="101"/>
        <v>0.98114183106607789</v>
      </c>
      <c r="P2810" s="180"/>
      <c r="Q2810" s="180"/>
      <c r="R2810" s="180"/>
      <c r="S2810" s="180"/>
      <c r="T2810" s="180"/>
    </row>
    <row r="2811" spans="1:20" x14ac:dyDescent="0.25">
      <c r="A2811" t="s">
        <v>243</v>
      </c>
      <c r="B2811" t="s">
        <v>237</v>
      </c>
      <c r="C2811" t="s">
        <v>238</v>
      </c>
      <c r="D2811" t="s">
        <v>265</v>
      </c>
      <c r="E2811" t="s">
        <v>229</v>
      </c>
      <c r="F2811">
        <v>2016</v>
      </c>
      <c r="G2811">
        <v>3.3763999999999999E-3</v>
      </c>
      <c r="H2811" t="s">
        <v>240</v>
      </c>
      <c r="I2811" t="s">
        <v>241</v>
      </c>
      <c r="J2811" t="s">
        <v>247</v>
      </c>
      <c r="K2811" s="183">
        <f ca="1">VLOOKUP(F2811,
    OFFSET(INDIRECT(ADDRESS(MATCH(J2811,'Vehicle numbers'!$A$5:$A$162,0),1,1,1,$L$6)),4,1,COUNTIF('Vehicle numbers'!$A$5:$A$162,J2811),4),
    MATCH(K$8,'Vehicle numbers'!$B$4:$D$4,0))*1000</f>
        <v>124747</v>
      </c>
      <c r="L2811" s="183">
        <f ca="1">VLOOKUP(F2811,
    OFFSET(INDIRECT(ADDRESS(MATCH(J2811,'Vehicle numbers'!$A$5:$A$162,0),1,1,1,$L$6)),4,1,COUNTIF('Vehicle numbers'!$A$5:$A$162,J2811),4),
    MATCH(L$8,'Vehicle numbers'!$B$4:$D$4,0))*1000</f>
        <v>131269</v>
      </c>
      <c r="M2811" s="184">
        <f ca="1">VLOOKUP(F2811,'Annual distance covered (GB)'!$A$8:$H$33,MATCH(J2811,'Annual distance covered (GB)'!$A$7:$H$7,0))</f>
        <v>14.5</v>
      </c>
      <c r="N2811" s="2">
        <f t="shared" ca="1" si="100"/>
        <v>51517.402808885185</v>
      </c>
      <c r="O2811" s="180">
        <f t="shared" ca="1" si="101"/>
        <v>0.39245673242643109</v>
      </c>
      <c r="P2811" s="180"/>
      <c r="Q2811" s="180"/>
      <c r="R2811" s="180"/>
      <c r="S2811" s="180"/>
      <c r="T2811" s="180"/>
    </row>
    <row r="2812" spans="1:20" x14ac:dyDescent="0.25">
      <c r="A2812" t="s">
        <v>244</v>
      </c>
      <c r="B2812" t="s">
        <v>237</v>
      </c>
      <c r="C2812" t="s">
        <v>238</v>
      </c>
      <c r="D2812" t="s">
        <v>265</v>
      </c>
      <c r="E2812" t="s">
        <v>229</v>
      </c>
      <c r="F2812">
        <v>2016</v>
      </c>
      <c r="G2812">
        <v>8.4409999999999997E-4</v>
      </c>
      <c r="H2812" t="s">
        <v>240</v>
      </c>
      <c r="I2812" t="s">
        <v>241</v>
      </c>
      <c r="J2812" t="s">
        <v>247</v>
      </c>
      <c r="K2812" s="183">
        <f ca="1">VLOOKUP(F2812,
    OFFSET(INDIRECT(ADDRESS(MATCH(J2812,'Vehicle numbers'!$A$5:$A$162,0),1,1,1,$L$6)),4,1,COUNTIF('Vehicle numbers'!$A$5:$A$162,J2812),4),
    MATCH(K$8,'Vehicle numbers'!$B$4:$D$4,0))*1000</f>
        <v>124747</v>
      </c>
      <c r="L2812" s="183">
        <f ca="1">VLOOKUP(F2812,
    OFFSET(INDIRECT(ADDRESS(MATCH(J2812,'Vehicle numbers'!$A$5:$A$162,0),1,1,1,$L$6)),4,1,COUNTIF('Vehicle numbers'!$A$5:$A$162,J2812),4),
    MATCH(L$8,'Vehicle numbers'!$B$4:$D$4,0))*1000</f>
        <v>131269</v>
      </c>
      <c r="M2812" s="184">
        <f ca="1">VLOOKUP(F2812,'Annual distance covered (GB)'!$A$8:$H$33,MATCH(J2812,'Annual distance covered (GB)'!$A$7:$H$7,0))</f>
        <v>14.5</v>
      </c>
      <c r="N2812" s="2">
        <f t="shared" ca="1" si="100"/>
        <v>12879.350702221296</v>
      </c>
      <c r="O2812" s="180">
        <f t="shared" ca="1" si="101"/>
        <v>9.8114183106607772E-2</v>
      </c>
      <c r="P2812" s="180"/>
      <c r="Q2812" s="180"/>
      <c r="R2812" s="180"/>
      <c r="S2812" s="180"/>
      <c r="T2812" s="180"/>
    </row>
    <row r="2813" spans="1:20" x14ac:dyDescent="0.25">
      <c r="A2813" t="s">
        <v>246</v>
      </c>
      <c r="B2813" t="s">
        <v>237</v>
      </c>
      <c r="C2813" t="s">
        <v>238</v>
      </c>
      <c r="D2813" t="s">
        <v>265</v>
      </c>
      <c r="E2813" t="s">
        <v>229</v>
      </c>
      <c r="F2813">
        <v>2016</v>
      </c>
      <c r="G2813">
        <v>6.7528E-4</v>
      </c>
      <c r="H2813" t="s">
        <v>240</v>
      </c>
      <c r="I2813" t="s">
        <v>241</v>
      </c>
      <c r="J2813" t="s">
        <v>247</v>
      </c>
      <c r="K2813" s="183">
        <f ca="1">VLOOKUP(F2813,
    OFFSET(INDIRECT(ADDRESS(MATCH(J2813,'Vehicle numbers'!$A$5:$A$162,0),1,1,1,$L$6)),4,1,COUNTIF('Vehicle numbers'!$A$5:$A$162,J2813),4),
    MATCH(K$8,'Vehicle numbers'!$B$4:$D$4,0))*1000</f>
        <v>124747</v>
      </c>
      <c r="L2813" s="183">
        <f ca="1">VLOOKUP(F2813,
    OFFSET(INDIRECT(ADDRESS(MATCH(J2813,'Vehicle numbers'!$A$5:$A$162,0),1,1,1,$L$6)),4,1,COUNTIF('Vehicle numbers'!$A$5:$A$162,J2813),4),
    MATCH(L$8,'Vehicle numbers'!$B$4:$D$4,0))*1000</f>
        <v>131269</v>
      </c>
      <c r="M2813" s="184">
        <f ca="1">VLOOKUP(F2813,'Annual distance covered (GB)'!$A$8:$H$33,MATCH(J2813,'Annual distance covered (GB)'!$A$7:$H$7,0))</f>
        <v>14.5</v>
      </c>
      <c r="N2813" s="2">
        <f t="shared" ca="1" si="100"/>
        <v>10303.480561777036</v>
      </c>
      <c r="O2813" s="180">
        <f t="shared" ca="1" si="101"/>
        <v>7.8491346485286217E-2</v>
      </c>
      <c r="P2813" s="180"/>
      <c r="Q2813" s="180"/>
      <c r="R2813" s="180"/>
      <c r="S2813" s="180"/>
      <c r="T2813" s="180"/>
    </row>
    <row r="2814" spans="1:20" x14ac:dyDescent="0.25">
      <c r="A2814" t="s">
        <v>236</v>
      </c>
      <c r="B2814" t="s">
        <v>237</v>
      </c>
      <c r="C2814" t="s">
        <v>238</v>
      </c>
      <c r="D2814" t="s">
        <v>265</v>
      </c>
      <c r="E2814" t="s">
        <v>228</v>
      </c>
      <c r="F2814">
        <v>2016</v>
      </c>
      <c r="G2814">
        <v>3.1494399999999999E-2</v>
      </c>
      <c r="H2814" t="s">
        <v>240</v>
      </c>
      <c r="I2814" t="s">
        <v>241</v>
      </c>
      <c r="J2814" t="s">
        <v>247</v>
      </c>
      <c r="K2814" s="183">
        <f ca="1">VLOOKUP(F2814,
    OFFSET(INDIRECT(ADDRESS(MATCH(J2814,'Vehicle numbers'!$A$5:$A$162,0),1,1,1,$L$6)),4,1,COUNTIF('Vehicle numbers'!$A$5:$A$162,J2814),4),
    MATCH(K$8,'Vehicle numbers'!$B$4:$D$4,0))*1000</f>
        <v>124747</v>
      </c>
      <c r="L2814" s="183">
        <f ca="1">VLOOKUP(F2814,
    OFFSET(INDIRECT(ADDRESS(MATCH(J2814,'Vehicle numbers'!$A$5:$A$162,0),1,1,1,$L$6)),4,1,COUNTIF('Vehicle numbers'!$A$5:$A$162,J2814),4),
    MATCH(L$8,'Vehicle numbers'!$B$4:$D$4,0))*1000</f>
        <v>131269</v>
      </c>
      <c r="M2814" s="184">
        <f ca="1">VLOOKUP(F2814,'Annual distance covered (GB)'!$A$8:$H$33,MATCH(J2814,'Annual distance covered (GB)'!$A$7:$H$7,0))</f>
        <v>14.5</v>
      </c>
      <c r="N2814" s="2">
        <f t="shared" ca="1" si="100"/>
        <v>480544.27527074801</v>
      </c>
      <c r="O2814" s="180">
        <f t="shared" ca="1" si="101"/>
        <v>3.6607597777902474</v>
      </c>
      <c r="P2814" s="180"/>
      <c r="Q2814" s="180"/>
      <c r="R2814" s="180"/>
      <c r="S2814" s="180"/>
      <c r="T2814" s="180"/>
    </row>
    <row r="2815" spans="1:20" x14ac:dyDescent="0.25">
      <c r="A2815" t="s">
        <v>243</v>
      </c>
      <c r="B2815" t="s">
        <v>237</v>
      </c>
      <c r="C2815" t="s">
        <v>238</v>
      </c>
      <c r="D2815" t="s">
        <v>265</v>
      </c>
      <c r="E2815" t="s">
        <v>228</v>
      </c>
      <c r="F2815">
        <v>2016</v>
      </c>
      <c r="G2815">
        <v>2.2046079999999999E-2</v>
      </c>
      <c r="H2815" t="s">
        <v>240</v>
      </c>
      <c r="I2815" t="s">
        <v>241</v>
      </c>
      <c r="J2815" t="s">
        <v>247</v>
      </c>
      <c r="K2815" s="183">
        <f ca="1">VLOOKUP(F2815,
    OFFSET(INDIRECT(ADDRESS(MATCH(J2815,'Vehicle numbers'!$A$5:$A$162,0),1,1,1,$L$6)),4,1,COUNTIF('Vehicle numbers'!$A$5:$A$162,J2815),4),
    MATCH(K$8,'Vehicle numbers'!$B$4:$D$4,0))*1000</f>
        <v>124747</v>
      </c>
      <c r="L2815" s="183">
        <f ca="1">VLOOKUP(F2815,
    OFFSET(INDIRECT(ADDRESS(MATCH(J2815,'Vehicle numbers'!$A$5:$A$162,0),1,1,1,$L$6)),4,1,COUNTIF('Vehicle numbers'!$A$5:$A$162,J2815),4),
    MATCH(L$8,'Vehicle numbers'!$B$4:$D$4,0))*1000</f>
        <v>131269</v>
      </c>
      <c r="M2815" s="184">
        <f ca="1">VLOOKUP(F2815,'Annual distance covered (GB)'!$A$8:$H$33,MATCH(J2815,'Annual distance covered (GB)'!$A$7:$H$7,0))</f>
        <v>14.5</v>
      </c>
      <c r="N2815" s="2">
        <f t="shared" ca="1" si="100"/>
        <v>336380.99268952361</v>
      </c>
      <c r="O2815" s="180">
        <f t="shared" ca="1" si="101"/>
        <v>2.5625318444531735</v>
      </c>
      <c r="P2815" s="180"/>
      <c r="Q2815" s="180"/>
      <c r="R2815" s="180"/>
      <c r="S2815" s="180"/>
      <c r="T2815" s="180"/>
    </row>
    <row r="2816" spans="1:20" x14ac:dyDescent="0.25">
      <c r="A2816" t="s">
        <v>244</v>
      </c>
      <c r="B2816" t="s">
        <v>237</v>
      </c>
      <c r="C2816" t="s">
        <v>238</v>
      </c>
      <c r="D2816" t="s">
        <v>265</v>
      </c>
      <c r="E2816" t="s">
        <v>228</v>
      </c>
      <c r="F2816">
        <v>2016</v>
      </c>
      <c r="G2816">
        <v>3.1050816901408399E-3</v>
      </c>
      <c r="H2816" t="s">
        <v>240</v>
      </c>
      <c r="I2816" t="s">
        <v>241</v>
      </c>
      <c r="J2816" t="s">
        <v>247</v>
      </c>
      <c r="K2816" s="183">
        <f ca="1">VLOOKUP(F2816,
    OFFSET(INDIRECT(ADDRESS(MATCH(J2816,'Vehicle numbers'!$A$5:$A$162,0),1,1,1,$L$6)),4,1,COUNTIF('Vehicle numbers'!$A$5:$A$162,J2816),4),
    MATCH(K$8,'Vehicle numbers'!$B$4:$D$4,0))*1000</f>
        <v>124747</v>
      </c>
      <c r="L2816" s="183">
        <f ca="1">VLOOKUP(F2816,
    OFFSET(INDIRECT(ADDRESS(MATCH(J2816,'Vehicle numbers'!$A$5:$A$162,0),1,1,1,$L$6)),4,1,COUNTIF('Vehicle numbers'!$A$5:$A$162,J2816),4),
    MATCH(L$8,'Vehicle numbers'!$B$4:$D$4,0))*1000</f>
        <v>131269</v>
      </c>
      <c r="M2816" s="184">
        <f ca="1">VLOOKUP(F2816,'Annual distance covered (GB)'!$A$8:$H$33,MATCH(J2816,'Annual distance covered (GB)'!$A$7:$H$7,0))</f>
        <v>14.5</v>
      </c>
      <c r="N2816" s="2">
        <f t="shared" ca="1" si="100"/>
        <v>47377.604604158172</v>
      </c>
      <c r="O2816" s="180">
        <f t="shared" ca="1" si="101"/>
        <v>0.36091997809199561</v>
      </c>
      <c r="P2816" s="180"/>
      <c r="Q2816" s="180"/>
      <c r="R2816" s="180"/>
      <c r="S2816" s="180"/>
      <c r="T2816" s="180"/>
    </row>
    <row r="2817" spans="1:20" x14ac:dyDescent="0.25">
      <c r="A2817" t="s">
        <v>246</v>
      </c>
      <c r="B2817" t="s">
        <v>237</v>
      </c>
      <c r="C2817" t="s">
        <v>238</v>
      </c>
      <c r="D2817" t="s">
        <v>265</v>
      </c>
      <c r="E2817" t="s">
        <v>228</v>
      </c>
      <c r="F2817">
        <v>2016</v>
      </c>
      <c r="G2817">
        <v>2.4840653521126699E-3</v>
      </c>
      <c r="H2817" t="s">
        <v>240</v>
      </c>
      <c r="I2817" t="s">
        <v>241</v>
      </c>
      <c r="J2817" t="s">
        <v>247</v>
      </c>
      <c r="K2817" s="183">
        <f ca="1">VLOOKUP(F2817,
    OFFSET(INDIRECT(ADDRESS(MATCH(J2817,'Vehicle numbers'!$A$5:$A$162,0),1,1,1,$L$6)),4,1,COUNTIF('Vehicle numbers'!$A$5:$A$162,J2817),4),
    MATCH(K$8,'Vehicle numbers'!$B$4:$D$4,0))*1000</f>
        <v>124747</v>
      </c>
      <c r="L2817" s="183">
        <f ca="1">VLOOKUP(F2817,
    OFFSET(INDIRECT(ADDRESS(MATCH(J2817,'Vehicle numbers'!$A$5:$A$162,0),1,1,1,$L$6)),4,1,COUNTIF('Vehicle numbers'!$A$5:$A$162,J2817),4),
    MATCH(L$8,'Vehicle numbers'!$B$4:$D$4,0))*1000</f>
        <v>131269</v>
      </c>
      <c r="M2817" s="184">
        <f ca="1">VLOOKUP(F2817,'Annual distance covered (GB)'!$A$8:$H$33,MATCH(J2817,'Annual distance covered (GB)'!$A$7:$H$7,0))</f>
        <v>14.5</v>
      </c>
      <c r="N2817" s="2">
        <f t="shared" ca="1" si="100"/>
        <v>37902.083683326513</v>
      </c>
      <c r="O2817" s="180">
        <f t="shared" ca="1" si="101"/>
        <v>0.28873598247359628</v>
      </c>
      <c r="P2817" s="180"/>
      <c r="Q2817" s="180"/>
      <c r="R2817" s="180"/>
      <c r="S2817" s="180"/>
      <c r="T2817" s="180"/>
    </row>
    <row r="2818" spans="1:20" x14ac:dyDescent="0.25">
      <c r="A2818" t="s">
        <v>236</v>
      </c>
      <c r="B2818" t="s">
        <v>237</v>
      </c>
      <c r="C2818" t="s">
        <v>238</v>
      </c>
      <c r="D2818" t="s">
        <v>266</v>
      </c>
      <c r="E2818" t="s">
        <v>229</v>
      </c>
      <c r="F2818">
        <v>2016</v>
      </c>
      <c r="G2818">
        <v>2.7143E-2</v>
      </c>
      <c r="H2818" t="s">
        <v>240</v>
      </c>
      <c r="I2818" t="s">
        <v>241</v>
      </c>
      <c r="J2818" t="s">
        <v>247</v>
      </c>
      <c r="K2818" s="183">
        <f ca="1">VLOOKUP(F2818,
    OFFSET(INDIRECT(ADDRESS(MATCH(J2818,'Vehicle numbers'!$A$5:$A$162,0),1,1,1,$L$6)),4,1,COUNTIF('Vehicle numbers'!$A$5:$A$162,J2818),4),
    MATCH(K$8,'Vehicle numbers'!$B$4:$D$4,0))*1000</f>
        <v>124747</v>
      </c>
      <c r="L2818" s="183">
        <f ca="1">VLOOKUP(F2818,
    OFFSET(INDIRECT(ADDRESS(MATCH(J2818,'Vehicle numbers'!$A$5:$A$162,0),1,1,1,$L$6)),4,1,COUNTIF('Vehicle numbers'!$A$5:$A$162,J2818),4),
    MATCH(L$8,'Vehicle numbers'!$B$4:$D$4,0))*1000</f>
        <v>131269</v>
      </c>
      <c r="M2818" s="184">
        <f ca="1">VLOOKUP(F2818,'Annual distance covered (GB)'!$A$8:$H$33,MATCH(J2818,'Annual distance covered (GB)'!$A$7:$H$7,0))</f>
        <v>14.5</v>
      </c>
      <c r="N2818" s="2">
        <f t="shared" ca="1" si="100"/>
        <v>414150.23825422657</v>
      </c>
      <c r="O2818" s="180">
        <f t="shared" ca="1" si="101"/>
        <v>3.1549736667014039</v>
      </c>
      <c r="P2818" s="180"/>
      <c r="Q2818" s="180"/>
      <c r="R2818" s="180"/>
      <c r="S2818" s="180"/>
      <c r="T2818" s="180"/>
    </row>
    <row r="2819" spans="1:20" x14ac:dyDescent="0.25">
      <c r="A2819" t="s">
        <v>243</v>
      </c>
      <c r="B2819" t="s">
        <v>237</v>
      </c>
      <c r="C2819" t="s">
        <v>238</v>
      </c>
      <c r="D2819" t="s">
        <v>266</v>
      </c>
      <c r="E2819" t="s">
        <v>229</v>
      </c>
      <c r="F2819">
        <v>2016</v>
      </c>
      <c r="G2819">
        <v>1.0857199999999999E-2</v>
      </c>
      <c r="H2819" t="s">
        <v>240</v>
      </c>
      <c r="I2819" t="s">
        <v>241</v>
      </c>
      <c r="J2819" t="s">
        <v>247</v>
      </c>
      <c r="K2819" s="183">
        <f ca="1">VLOOKUP(F2819,
    OFFSET(INDIRECT(ADDRESS(MATCH(J2819,'Vehicle numbers'!$A$5:$A$162,0),1,1,1,$L$6)),4,1,COUNTIF('Vehicle numbers'!$A$5:$A$162,J2819),4),
    MATCH(K$8,'Vehicle numbers'!$B$4:$D$4,0))*1000</f>
        <v>124747</v>
      </c>
      <c r="L2819" s="183">
        <f ca="1">VLOOKUP(F2819,
    OFFSET(INDIRECT(ADDRESS(MATCH(J2819,'Vehicle numbers'!$A$5:$A$162,0),1,1,1,$L$6)),4,1,COUNTIF('Vehicle numbers'!$A$5:$A$162,J2819),4),
    MATCH(L$8,'Vehicle numbers'!$B$4:$D$4,0))*1000</f>
        <v>131269</v>
      </c>
      <c r="M2819" s="184">
        <f ca="1">VLOOKUP(F2819,'Annual distance covered (GB)'!$A$8:$H$33,MATCH(J2819,'Annual distance covered (GB)'!$A$7:$H$7,0))</f>
        <v>14.5</v>
      </c>
      <c r="N2819" s="2">
        <f t="shared" ca="1" si="100"/>
        <v>165660.09530169063</v>
      </c>
      <c r="O2819" s="180">
        <f t="shared" ca="1" si="101"/>
        <v>1.2619894666805616</v>
      </c>
      <c r="P2819" s="180"/>
      <c r="Q2819" s="180"/>
      <c r="R2819" s="180"/>
      <c r="S2819" s="180"/>
      <c r="T2819" s="180"/>
    </row>
    <row r="2820" spans="1:20" x14ac:dyDescent="0.25">
      <c r="A2820" t="s">
        <v>244</v>
      </c>
      <c r="B2820" t="s">
        <v>237</v>
      </c>
      <c r="C2820" t="s">
        <v>238</v>
      </c>
      <c r="D2820" t="s">
        <v>266</v>
      </c>
      <c r="E2820" t="s">
        <v>229</v>
      </c>
      <c r="F2820">
        <v>2016</v>
      </c>
      <c r="G2820">
        <v>2.7142999999999998E-3</v>
      </c>
      <c r="H2820" t="s">
        <v>240</v>
      </c>
      <c r="I2820" t="s">
        <v>241</v>
      </c>
      <c r="J2820" t="s">
        <v>247</v>
      </c>
      <c r="K2820" s="183">
        <f ca="1">VLOOKUP(F2820,
    OFFSET(INDIRECT(ADDRESS(MATCH(J2820,'Vehicle numbers'!$A$5:$A$162,0),1,1,1,$L$6)),4,1,COUNTIF('Vehicle numbers'!$A$5:$A$162,J2820),4),
    MATCH(K$8,'Vehicle numbers'!$B$4:$D$4,0))*1000</f>
        <v>124747</v>
      </c>
      <c r="L2820" s="183">
        <f ca="1">VLOOKUP(F2820,
    OFFSET(INDIRECT(ADDRESS(MATCH(J2820,'Vehicle numbers'!$A$5:$A$162,0),1,1,1,$L$6)),4,1,COUNTIF('Vehicle numbers'!$A$5:$A$162,J2820),4),
    MATCH(L$8,'Vehicle numbers'!$B$4:$D$4,0))*1000</f>
        <v>131269</v>
      </c>
      <c r="M2820" s="184">
        <f ca="1">VLOOKUP(F2820,'Annual distance covered (GB)'!$A$8:$H$33,MATCH(J2820,'Annual distance covered (GB)'!$A$7:$H$7,0))</f>
        <v>14.5</v>
      </c>
      <c r="N2820" s="2">
        <f t="shared" ca="1" si="100"/>
        <v>41415.023825422657</v>
      </c>
      <c r="O2820" s="180">
        <f t="shared" ca="1" si="101"/>
        <v>0.31549736667014039</v>
      </c>
      <c r="P2820" s="180"/>
      <c r="Q2820" s="180"/>
      <c r="R2820" s="180"/>
      <c r="S2820" s="180"/>
      <c r="T2820" s="180"/>
    </row>
    <row r="2821" spans="1:20" x14ac:dyDescent="0.25">
      <c r="A2821" t="s">
        <v>246</v>
      </c>
      <c r="B2821" t="s">
        <v>237</v>
      </c>
      <c r="C2821" t="s">
        <v>238</v>
      </c>
      <c r="D2821" t="s">
        <v>266</v>
      </c>
      <c r="E2821" t="s">
        <v>229</v>
      </c>
      <c r="F2821">
        <v>2016</v>
      </c>
      <c r="G2821">
        <v>2.1714400000000002E-3</v>
      </c>
      <c r="H2821" t="s">
        <v>240</v>
      </c>
      <c r="I2821" t="s">
        <v>241</v>
      </c>
      <c r="J2821" t="s">
        <v>247</v>
      </c>
      <c r="K2821" s="183">
        <f ca="1">VLOOKUP(F2821,
    OFFSET(INDIRECT(ADDRESS(MATCH(J2821,'Vehicle numbers'!$A$5:$A$162,0),1,1,1,$L$6)),4,1,COUNTIF('Vehicle numbers'!$A$5:$A$162,J2821),4),
    MATCH(K$8,'Vehicle numbers'!$B$4:$D$4,0))*1000</f>
        <v>124747</v>
      </c>
      <c r="L2821" s="183">
        <f ca="1">VLOOKUP(F2821,
    OFFSET(INDIRECT(ADDRESS(MATCH(J2821,'Vehicle numbers'!$A$5:$A$162,0),1,1,1,$L$6)),4,1,COUNTIF('Vehicle numbers'!$A$5:$A$162,J2821),4),
    MATCH(L$8,'Vehicle numbers'!$B$4:$D$4,0))*1000</f>
        <v>131269</v>
      </c>
      <c r="M2821" s="184">
        <f ca="1">VLOOKUP(F2821,'Annual distance covered (GB)'!$A$8:$H$33,MATCH(J2821,'Annual distance covered (GB)'!$A$7:$H$7,0))</f>
        <v>14.5</v>
      </c>
      <c r="N2821" s="2">
        <f t="shared" ca="1" si="100"/>
        <v>33132.019060338127</v>
      </c>
      <c r="O2821" s="180">
        <f t="shared" ca="1" si="101"/>
        <v>0.25239789333611229</v>
      </c>
      <c r="P2821" s="180"/>
      <c r="Q2821" s="180"/>
      <c r="R2821" s="180"/>
      <c r="S2821" s="180"/>
      <c r="T2821" s="180"/>
    </row>
    <row r="2822" spans="1:20" x14ac:dyDescent="0.25">
      <c r="A2822" t="s">
        <v>236</v>
      </c>
      <c r="B2822" t="s">
        <v>237</v>
      </c>
      <c r="C2822" t="s">
        <v>238</v>
      </c>
      <c r="D2822" t="s">
        <v>266</v>
      </c>
      <c r="E2822" t="s">
        <v>228</v>
      </c>
      <c r="F2822">
        <v>2016</v>
      </c>
      <c r="G2822">
        <v>3.8239919999999997E-2</v>
      </c>
      <c r="H2822" t="s">
        <v>240</v>
      </c>
      <c r="I2822" t="s">
        <v>241</v>
      </c>
      <c r="J2822" t="s">
        <v>247</v>
      </c>
      <c r="K2822" s="183">
        <f ca="1">VLOOKUP(F2822,
    OFFSET(INDIRECT(ADDRESS(MATCH(J2822,'Vehicle numbers'!$A$5:$A$162,0),1,1,1,$L$6)),4,1,COUNTIF('Vehicle numbers'!$A$5:$A$162,J2822),4),
    MATCH(K$8,'Vehicle numbers'!$B$4:$D$4,0))*1000</f>
        <v>124747</v>
      </c>
      <c r="L2822" s="183">
        <f ca="1">VLOOKUP(F2822,
    OFFSET(INDIRECT(ADDRESS(MATCH(J2822,'Vehicle numbers'!$A$5:$A$162,0),1,1,1,$L$6)),4,1,COUNTIF('Vehicle numbers'!$A$5:$A$162,J2822),4),
    MATCH(L$8,'Vehicle numbers'!$B$4:$D$4,0))*1000</f>
        <v>131269</v>
      </c>
      <c r="M2822" s="184">
        <f ca="1">VLOOKUP(F2822,'Annual distance covered (GB)'!$A$8:$H$33,MATCH(J2822,'Annual distance covered (GB)'!$A$7:$H$7,0))</f>
        <v>14.5</v>
      </c>
      <c r="N2822" s="2">
        <f t="shared" ca="1" si="100"/>
        <v>583468.002019768</v>
      </c>
      <c r="O2822" s="180">
        <f t="shared" ca="1" si="101"/>
        <v>4.4448270499490965</v>
      </c>
      <c r="P2822" s="180"/>
      <c r="Q2822" s="180"/>
      <c r="R2822" s="180"/>
      <c r="S2822" s="180"/>
      <c r="T2822" s="180"/>
    </row>
    <row r="2823" spans="1:20" x14ac:dyDescent="0.25">
      <c r="A2823" t="s">
        <v>243</v>
      </c>
      <c r="B2823" t="s">
        <v>237</v>
      </c>
      <c r="C2823" t="s">
        <v>238</v>
      </c>
      <c r="D2823" t="s">
        <v>266</v>
      </c>
      <c r="E2823" t="s">
        <v>228</v>
      </c>
      <c r="F2823">
        <v>2016</v>
      </c>
      <c r="G2823">
        <v>2.6767943999999998E-2</v>
      </c>
      <c r="H2823" t="s">
        <v>240</v>
      </c>
      <c r="I2823" t="s">
        <v>241</v>
      </c>
      <c r="J2823" t="s">
        <v>247</v>
      </c>
      <c r="K2823" s="183">
        <f ca="1">VLOOKUP(F2823,
    OFFSET(INDIRECT(ADDRESS(MATCH(J2823,'Vehicle numbers'!$A$5:$A$162,0),1,1,1,$L$6)),4,1,COUNTIF('Vehicle numbers'!$A$5:$A$162,J2823),4),
    MATCH(K$8,'Vehicle numbers'!$B$4:$D$4,0))*1000</f>
        <v>124747</v>
      </c>
      <c r="L2823" s="183">
        <f ca="1">VLOOKUP(F2823,
    OFFSET(INDIRECT(ADDRESS(MATCH(J2823,'Vehicle numbers'!$A$5:$A$162,0),1,1,1,$L$6)),4,1,COUNTIF('Vehicle numbers'!$A$5:$A$162,J2823),4),
    MATCH(L$8,'Vehicle numbers'!$B$4:$D$4,0))*1000</f>
        <v>131269</v>
      </c>
      <c r="M2823" s="184">
        <f ca="1">VLOOKUP(F2823,'Annual distance covered (GB)'!$A$8:$H$33,MATCH(J2823,'Annual distance covered (GB)'!$A$7:$H$7,0))</f>
        <v>14.5</v>
      </c>
      <c r="N2823" s="2">
        <f t="shared" ca="1" si="100"/>
        <v>408427.60141383758</v>
      </c>
      <c r="O2823" s="180">
        <f t="shared" ca="1" si="101"/>
        <v>3.1113789349643675</v>
      </c>
      <c r="P2823" s="180"/>
      <c r="Q2823" s="180"/>
      <c r="R2823" s="180"/>
      <c r="S2823" s="180"/>
      <c r="T2823" s="180"/>
    </row>
    <row r="2824" spans="1:20" x14ac:dyDescent="0.25">
      <c r="A2824" t="s">
        <v>244</v>
      </c>
      <c r="B2824" t="s">
        <v>237</v>
      </c>
      <c r="C2824" t="s">
        <v>238</v>
      </c>
      <c r="D2824" t="s">
        <v>266</v>
      </c>
      <c r="E2824" t="s">
        <v>228</v>
      </c>
      <c r="F2824">
        <v>2016</v>
      </c>
      <c r="G2824">
        <v>3.7701329577464701E-3</v>
      </c>
      <c r="H2824" t="s">
        <v>240</v>
      </c>
      <c r="I2824" t="s">
        <v>241</v>
      </c>
      <c r="J2824" t="s">
        <v>247</v>
      </c>
      <c r="K2824" s="183">
        <f ca="1">VLOOKUP(F2824,
    OFFSET(INDIRECT(ADDRESS(MATCH(J2824,'Vehicle numbers'!$A$5:$A$162,0),1,1,1,$L$6)),4,1,COUNTIF('Vehicle numbers'!$A$5:$A$162,J2824),4),
    MATCH(K$8,'Vehicle numbers'!$B$4:$D$4,0))*1000</f>
        <v>124747</v>
      </c>
      <c r="L2824" s="183">
        <f ca="1">VLOOKUP(F2824,
    OFFSET(INDIRECT(ADDRESS(MATCH(J2824,'Vehicle numbers'!$A$5:$A$162,0),1,1,1,$L$6)),4,1,COUNTIF('Vehicle numbers'!$A$5:$A$162,J2824),4),
    MATCH(L$8,'Vehicle numbers'!$B$4:$D$4,0))*1000</f>
        <v>131269</v>
      </c>
      <c r="M2824" s="184">
        <f ca="1">VLOOKUP(F2824,'Annual distance covered (GB)'!$A$8:$H$33,MATCH(J2824,'Annual distance covered (GB)'!$A$7:$H$7,0))</f>
        <v>14.5</v>
      </c>
      <c r="N2824" s="2">
        <f t="shared" ca="1" si="100"/>
        <v>57525.014283638964</v>
      </c>
      <c r="O2824" s="180">
        <f t="shared" ca="1" si="101"/>
        <v>0.43822238520624796</v>
      </c>
      <c r="P2824" s="180"/>
      <c r="Q2824" s="180"/>
      <c r="R2824" s="180"/>
      <c r="S2824" s="180"/>
      <c r="T2824" s="180"/>
    </row>
    <row r="2825" spans="1:20" x14ac:dyDescent="0.25">
      <c r="A2825" t="s">
        <v>246</v>
      </c>
      <c r="B2825" t="s">
        <v>237</v>
      </c>
      <c r="C2825" t="s">
        <v>238</v>
      </c>
      <c r="D2825" t="s">
        <v>266</v>
      </c>
      <c r="E2825" t="s">
        <v>228</v>
      </c>
      <c r="F2825">
        <v>2016</v>
      </c>
      <c r="G2825">
        <v>3.01610636619718E-3</v>
      </c>
      <c r="H2825" t="s">
        <v>240</v>
      </c>
      <c r="I2825" t="s">
        <v>241</v>
      </c>
      <c r="J2825" t="s">
        <v>247</v>
      </c>
      <c r="K2825" s="183">
        <f ca="1">VLOOKUP(F2825,
    OFFSET(INDIRECT(ADDRESS(MATCH(J2825,'Vehicle numbers'!$A$5:$A$162,0),1,1,1,$L$6)),4,1,COUNTIF('Vehicle numbers'!$A$5:$A$162,J2825),4),
    MATCH(K$8,'Vehicle numbers'!$B$4:$D$4,0))*1000</f>
        <v>124747</v>
      </c>
      <c r="L2825" s="183">
        <f ca="1">VLOOKUP(F2825,
    OFFSET(INDIRECT(ADDRESS(MATCH(J2825,'Vehicle numbers'!$A$5:$A$162,0),1,1,1,$L$6)),4,1,COUNTIF('Vehicle numbers'!$A$5:$A$162,J2825),4),
    MATCH(L$8,'Vehicle numbers'!$B$4:$D$4,0))*1000</f>
        <v>131269</v>
      </c>
      <c r="M2825" s="184">
        <f ca="1">VLOOKUP(F2825,'Annual distance covered (GB)'!$A$8:$H$33,MATCH(J2825,'Annual distance covered (GB)'!$A$7:$H$7,0))</f>
        <v>14.5</v>
      </c>
      <c r="N2825" s="2">
        <f t="shared" ca="1" si="100"/>
        <v>46020.011426911238</v>
      </c>
      <c r="O2825" s="180">
        <f t="shared" ca="1" si="101"/>
        <v>0.3505779081649989</v>
      </c>
      <c r="P2825" s="180"/>
      <c r="Q2825" s="180"/>
      <c r="R2825" s="180"/>
      <c r="S2825" s="180"/>
      <c r="T2825" s="180"/>
    </row>
    <row r="2826" spans="1:20" x14ac:dyDescent="0.25">
      <c r="A2826" t="s">
        <v>236</v>
      </c>
      <c r="B2826" t="s">
        <v>237</v>
      </c>
      <c r="C2826" t="s">
        <v>238</v>
      </c>
      <c r="D2826" t="s">
        <v>267</v>
      </c>
      <c r="E2826" t="s">
        <v>229</v>
      </c>
      <c r="F2826">
        <v>2016</v>
      </c>
      <c r="G2826">
        <v>5.0994999999999999E-2</v>
      </c>
      <c r="H2826" t="s">
        <v>240</v>
      </c>
      <c r="I2826" t="s">
        <v>241</v>
      </c>
      <c r="J2826" t="s">
        <v>247</v>
      </c>
      <c r="K2826" s="183">
        <f ca="1">VLOOKUP(F2826,
    OFFSET(INDIRECT(ADDRESS(MATCH(J2826,'Vehicle numbers'!$A$5:$A$162,0),1,1,1,$L$6)),4,1,COUNTIF('Vehicle numbers'!$A$5:$A$162,J2826),4),
    MATCH(K$8,'Vehicle numbers'!$B$4:$D$4,0))*1000</f>
        <v>124747</v>
      </c>
      <c r="L2826" s="183">
        <f ca="1">VLOOKUP(F2826,
    OFFSET(INDIRECT(ADDRESS(MATCH(J2826,'Vehicle numbers'!$A$5:$A$162,0),1,1,1,$L$6)),4,1,COUNTIF('Vehicle numbers'!$A$5:$A$162,J2826),4),
    MATCH(L$8,'Vehicle numbers'!$B$4:$D$4,0))*1000</f>
        <v>131269</v>
      </c>
      <c r="M2826" s="184">
        <f ca="1">VLOOKUP(F2826,'Annual distance covered (GB)'!$A$8:$H$33,MATCH(J2826,'Annual distance covered (GB)'!$A$7:$H$7,0))</f>
        <v>14.5</v>
      </c>
      <c r="N2826" s="2">
        <f t="shared" ca="1" si="100"/>
        <v>778086.11427529319</v>
      </c>
      <c r="O2826" s="180">
        <f t="shared" ca="1" si="101"/>
        <v>5.9274170921946014</v>
      </c>
      <c r="P2826" s="180"/>
      <c r="Q2826" s="180"/>
      <c r="R2826" s="180"/>
      <c r="S2826" s="180"/>
      <c r="T2826" s="180"/>
    </row>
    <row r="2827" spans="1:20" x14ac:dyDescent="0.25">
      <c r="A2827" t="s">
        <v>243</v>
      </c>
      <c r="B2827" t="s">
        <v>237</v>
      </c>
      <c r="C2827" t="s">
        <v>238</v>
      </c>
      <c r="D2827" t="s">
        <v>267</v>
      </c>
      <c r="E2827" t="s">
        <v>229</v>
      </c>
      <c r="F2827">
        <v>2016</v>
      </c>
      <c r="G2827">
        <v>2.0397999999999999E-2</v>
      </c>
      <c r="H2827" t="s">
        <v>240</v>
      </c>
      <c r="I2827" t="s">
        <v>241</v>
      </c>
      <c r="J2827" t="s">
        <v>247</v>
      </c>
      <c r="K2827" s="183">
        <f ca="1">VLOOKUP(F2827,
    OFFSET(INDIRECT(ADDRESS(MATCH(J2827,'Vehicle numbers'!$A$5:$A$162,0),1,1,1,$L$6)),4,1,COUNTIF('Vehicle numbers'!$A$5:$A$162,J2827),4),
    MATCH(K$8,'Vehicle numbers'!$B$4:$D$4,0))*1000</f>
        <v>124747</v>
      </c>
      <c r="L2827" s="183">
        <f ca="1">VLOOKUP(F2827,
    OFFSET(INDIRECT(ADDRESS(MATCH(J2827,'Vehicle numbers'!$A$5:$A$162,0),1,1,1,$L$6)),4,1,COUNTIF('Vehicle numbers'!$A$5:$A$162,J2827),4),
    MATCH(L$8,'Vehicle numbers'!$B$4:$D$4,0))*1000</f>
        <v>131269</v>
      </c>
      <c r="M2827" s="184">
        <f ca="1">VLOOKUP(F2827,'Annual distance covered (GB)'!$A$8:$H$33,MATCH(J2827,'Annual distance covered (GB)'!$A$7:$H$7,0))</f>
        <v>14.5</v>
      </c>
      <c r="N2827" s="2">
        <f t="shared" ref="N2827:N2890" ca="1" si="102">M2827*G2827*1000000*(L2827/K2827)</f>
        <v>311234.44571011729</v>
      </c>
      <c r="O2827" s="180">
        <f t="shared" ref="O2827:O2890" ca="1" si="103">N2827/L2827</f>
        <v>2.3709668368778409</v>
      </c>
      <c r="P2827" s="180"/>
      <c r="Q2827" s="180"/>
      <c r="R2827" s="180"/>
      <c r="S2827" s="180"/>
      <c r="T2827" s="180"/>
    </row>
    <row r="2828" spans="1:20" x14ac:dyDescent="0.25">
      <c r="A2828" t="s">
        <v>244</v>
      </c>
      <c r="B2828" t="s">
        <v>237</v>
      </c>
      <c r="C2828" t="s">
        <v>238</v>
      </c>
      <c r="D2828" t="s">
        <v>267</v>
      </c>
      <c r="E2828" t="s">
        <v>229</v>
      </c>
      <c r="F2828">
        <v>2016</v>
      </c>
      <c r="G2828">
        <v>5.0994999999999999E-3</v>
      </c>
      <c r="H2828" t="s">
        <v>240</v>
      </c>
      <c r="I2828" t="s">
        <v>241</v>
      </c>
      <c r="J2828" t="s">
        <v>247</v>
      </c>
      <c r="K2828" s="183">
        <f ca="1">VLOOKUP(F2828,
    OFFSET(INDIRECT(ADDRESS(MATCH(J2828,'Vehicle numbers'!$A$5:$A$162,0),1,1,1,$L$6)),4,1,COUNTIF('Vehicle numbers'!$A$5:$A$162,J2828),4),
    MATCH(K$8,'Vehicle numbers'!$B$4:$D$4,0))*1000</f>
        <v>124747</v>
      </c>
      <c r="L2828" s="183">
        <f ca="1">VLOOKUP(F2828,
    OFFSET(INDIRECT(ADDRESS(MATCH(J2828,'Vehicle numbers'!$A$5:$A$162,0),1,1,1,$L$6)),4,1,COUNTIF('Vehicle numbers'!$A$5:$A$162,J2828),4),
    MATCH(L$8,'Vehicle numbers'!$B$4:$D$4,0))*1000</f>
        <v>131269</v>
      </c>
      <c r="M2828" s="184">
        <f ca="1">VLOOKUP(F2828,'Annual distance covered (GB)'!$A$8:$H$33,MATCH(J2828,'Annual distance covered (GB)'!$A$7:$H$7,0))</f>
        <v>14.5</v>
      </c>
      <c r="N2828" s="2">
        <f t="shared" ca="1" si="102"/>
        <v>77808.611427529322</v>
      </c>
      <c r="O2828" s="180">
        <f t="shared" ca="1" si="103"/>
        <v>0.59274170921946023</v>
      </c>
      <c r="P2828" s="180"/>
      <c r="Q2828" s="180"/>
      <c r="R2828" s="180"/>
      <c r="S2828" s="180"/>
      <c r="T2828" s="180"/>
    </row>
    <row r="2829" spans="1:20" x14ac:dyDescent="0.25">
      <c r="A2829" t="s">
        <v>246</v>
      </c>
      <c r="B2829" t="s">
        <v>237</v>
      </c>
      <c r="C2829" t="s">
        <v>238</v>
      </c>
      <c r="D2829" t="s">
        <v>267</v>
      </c>
      <c r="E2829" t="s">
        <v>229</v>
      </c>
      <c r="F2829">
        <v>2016</v>
      </c>
      <c r="G2829">
        <v>4.0796000000000001E-3</v>
      </c>
      <c r="H2829" t="s">
        <v>240</v>
      </c>
      <c r="I2829" t="s">
        <v>241</v>
      </c>
      <c r="J2829" t="s">
        <v>247</v>
      </c>
      <c r="K2829" s="183">
        <f ca="1">VLOOKUP(F2829,
    OFFSET(INDIRECT(ADDRESS(MATCH(J2829,'Vehicle numbers'!$A$5:$A$162,0),1,1,1,$L$6)),4,1,COUNTIF('Vehicle numbers'!$A$5:$A$162,J2829),4),
    MATCH(K$8,'Vehicle numbers'!$B$4:$D$4,0))*1000</f>
        <v>124747</v>
      </c>
      <c r="L2829" s="183">
        <f ca="1">VLOOKUP(F2829,
    OFFSET(INDIRECT(ADDRESS(MATCH(J2829,'Vehicle numbers'!$A$5:$A$162,0),1,1,1,$L$6)),4,1,COUNTIF('Vehicle numbers'!$A$5:$A$162,J2829),4),
    MATCH(L$8,'Vehicle numbers'!$B$4:$D$4,0))*1000</f>
        <v>131269</v>
      </c>
      <c r="M2829" s="184">
        <f ca="1">VLOOKUP(F2829,'Annual distance covered (GB)'!$A$8:$H$33,MATCH(J2829,'Annual distance covered (GB)'!$A$7:$H$7,0))</f>
        <v>14.5</v>
      </c>
      <c r="N2829" s="2">
        <f t="shared" ca="1" si="102"/>
        <v>62246.889142023465</v>
      </c>
      <c r="O2829" s="180">
        <f t="shared" ca="1" si="103"/>
        <v>0.47419336737556822</v>
      </c>
      <c r="P2829" s="180"/>
      <c r="Q2829" s="180"/>
      <c r="R2829" s="180"/>
      <c r="S2829" s="180"/>
      <c r="T2829" s="180"/>
    </row>
    <row r="2830" spans="1:20" x14ac:dyDescent="0.25">
      <c r="A2830" t="s">
        <v>236</v>
      </c>
      <c r="B2830" t="s">
        <v>237</v>
      </c>
      <c r="C2830" t="s">
        <v>238</v>
      </c>
      <c r="D2830" t="s">
        <v>267</v>
      </c>
      <c r="E2830" t="s">
        <v>228</v>
      </c>
      <c r="F2830">
        <v>2016</v>
      </c>
      <c r="G2830">
        <v>4.7072879999999998E-2</v>
      </c>
      <c r="H2830" t="s">
        <v>240</v>
      </c>
      <c r="I2830" t="s">
        <v>241</v>
      </c>
      <c r="J2830" t="s">
        <v>247</v>
      </c>
      <c r="K2830" s="183">
        <f ca="1">VLOOKUP(F2830,
    OFFSET(INDIRECT(ADDRESS(MATCH(J2830,'Vehicle numbers'!$A$5:$A$162,0),1,1,1,$L$6)),4,1,COUNTIF('Vehicle numbers'!$A$5:$A$162,J2830),4),
    MATCH(K$8,'Vehicle numbers'!$B$4:$D$4,0))*1000</f>
        <v>124747</v>
      </c>
      <c r="L2830" s="183">
        <f ca="1">VLOOKUP(F2830,
    OFFSET(INDIRECT(ADDRESS(MATCH(J2830,'Vehicle numbers'!$A$5:$A$162,0),1,1,1,$L$6)),4,1,COUNTIF('Vehicle numbers'!$A$5:$A$162,J2830),4),
    MATCH(L$8,'Vehicle numbers'!$B$4:$D$4,0))*1000</f>
        <v>131269</v>
      </c>
      <c r="M2830" s="184">
        <f ca="1">VLOOKUP(F2830,'Annual distance covered (GB)'!$A$8:$H$33,MATCH(J2830,'Annual distance covered (GB)'!$A$7:$H$7,0))</f>
        <v>14.5</v>
      </c>
      <c r="N2830" s="2">
        <f t="shared" ca="1" si="102"/>
        <v>718242.06857431447</v>
      </c>
      <c r="O2830" s="180">
        <f t="shared" ca="1" si="103"/>
        <v>5.471528453590067</v>
      </c>
      <c r="P2830" s="180"/>
      <c r="Q2830" s="180"/>
      <c r="R2830" s="180"/>
      <c r="S2830" s="180"/>
      <c r="T2830" s="180"/>
    </row>
    <row r="2831" spans="1:20" x14ac:dyDescent="0.25">
      <c r="A2831" t="s">
        <v>243</v>
      </c>
      <c r="B2831" t="s">
        <v>237</v>
      </c>
      <c r="C2831" t="s">
        <v>238</v>
      </c>
      <c r="D2831" t="s">
        <v>267</v>
      </c>
      <c r="E2831" t="s">
        <v>228</v>
      </c>
      <c r="F2831">
        <v>2016</v>
      </c>
      <c r="G2831">
        <v>3.2951016E-2</v>
      </c>
      <c r="H2831" t="s">
        <v>240</v>
      </c>
      <c r="I2831" t="s">
        <v>241</v>
      </c>
      <c r="J2831" t="s">
        <v>247</v>
      </c>
      <c r="K2831" s="183">
        <f ca="1">VLOOKUP(F2831,
    OFFSET(INDIRECT(ADDRESS(MATCH(J2831,'Vehicle numbers'!$A$5:$A$162,0),1,1,1,$L$6)),4,1,COUNTIF('Vehicle numbers'!$A$5:$A$162,J2831),4),
    MATCH(K$8,'Vehicle numbers'!$B$4:$D$4,0))*1000</f>
        <v>124747</v>
      </c>
      <c r="L2831" s="183">
        <f ca="1">VLOOKUP(F2831,
    OFFSET(INDIRECT(ADDRESS(MATCH(J2831,'Vehicle numbers'!$A$5:$A$162,0),1,1,1,$L$6)),4,1,COUNTIF('Vehicle numbers'!$A$5:$A$162,J2831),4),
    MATCH(L$8,'Vehicle numbers'!$B$4:$D$4,0))*1000</f>
        <v>131269</v>
      </c>
      <c r="M2831" s="184">
        <f ca="1">VLOOKUP(F2831,'Annual distance covered (GB)'!$A$8:$H$33,MATCH(J2831,'Annual distance covered (GB)'!$A$7:$H$7,0))</f>
        <v>14.5</v>
      </c>
      <c r="N2831" s="2">
        <f t="shared" ca="1" si="102"/>
        <v>502769.44800202007</v>
      </c>
      <c r="O2831" s="180">
        <f t="shared" ca="1" si="103"/>
        <v>3.8300699175130464</v>
      </c>
      <c r="P2831" s="180"/>
      <c r="Q2831" s="180"/>
      <c r="R2831" s="180"/>
      <c r="S2831" s="180"/>
      <c r="T2831" s="180"/>
    </row>
    <row r="2832" spans="1:20" x14ac:dyDescent="0.25">
      <c r="A2832" t="s">
        <v>244</v>
      </c>
      <c r="B2832" t="s">
        <v>237</v>
      </c>
      <c r="C2832" t="s">
        <v>238</v>
      </c>
      <c r="D2832" t="s">
        <v>267</v>
      </c>
      <c r="E2832" t="s">
        <v>228</v>
      </c>
      <c r="F2832">
        <v>2016</v>
      </c>
      <c r="G2832">
        <v>4.64098816901408E-3</v>
      </c>
      <c r="H2832" t="s">
        <v>240</v>
      </c>
      <c r="I2832" t="s">
        <v>241</v>
      </c>
      <c r="J2832" t="s">
        <v>247</v>
      </c>
      <c r="K2832" s="183">
        <f ca="1">VLOOKUP(F2832,
    OFFSET(INDIRECT(ADDRESS(MATCH(J2832,'Vehicle numbers'!$A$5:$A$162,0),1,1,1,$L$6)),4,1,COUNTIF('Vehicle numbers'!$A$5:$A$162,J2832),4),
    MATCH(K$8,'Vehicle numbers'!$B$4:$D$4,0))*1000</f>
        <v>124747</v>
      </c>
      <c r="L2832" s="183">
        <f ca="1">VLOOKUP(F2832,
    OFFSET(INDIRECT(ADDRESS(MATCH(J2832,'Vehicle numbers'!$A$5:$A$162,0),1,1,1,$L$6)),4,1,COUNTIF('Vehicle numbers'!$A$5:$A$162,J2832),4),
    MATCH(L$8,'Vehicle numbers'!$B$4:$D$4,0))*1000</f>
        <v>131269</v>
      </c>
      <c r="M2832" s="184">
        <f ca="1">VLOOKUP(F2832,'Annual distance covered (GB)'!$A$8:$H$33,MATCH(J2832,'Annual distance covered (GB)'!$A$7:$H$7,0))</f>
        <v>14.5</v>
      </c>
      <c r="N2832" s="2">
        <f t="shared" ca="1" si="102"/>
        <v>70812.5983101436</v>
      </c>
      <c r="O2832" s="180">
        <f t="shared" ca="1" si="103"/>
        <v>0.53944646725535805</v>
      </c>
      <c r="P2832" s="180"/>
      <c r="Q2832" s="180"/>
      <c r="R2832" s="180"/>
      <c r="S2832" s="180"/>
      <c r="T2832" s="180"/>
    </row>
    <row r="2833" spans="1:20" x14ac:dyDescent="0.25">
      <c r="A2833" t="s">
        <v>246</v>
      </c>
      <c r="B2833" t="s">
        <v>237</v>
      </c>
      <c r="C2833" t="s">
        <v>238</v>
      </c>
      <c r="D2833" t="s">
        <v>267</v>
      </c>
      <c r="E2833" t="s">
        <v>228</v>
      </c>
      <c r="F2833">
        <v>2016</v>
      </c>
      <c r="G2833">
        <v>3.71279053521126E-3</v>
      </c>
      <c r="H2833" t="s">
        <v>240</v>
      </c>
      <c r="I2833" t="s">
        <v>241</v>
      </c>
      <c r="J2833" t="s">
        <v>247</v>
      </c>
      <c r="K2833" s="183">
        <f ca="1">VLOOKUP(F2833,
    OFFSET(INDIRECT(ADDRESS(MATCH(J2833,'Vehicle numbers'!$A$5:$A$162,0),1,1,1,$L$6)),4,1,COUNTIF('Vehicle numbers'!$A$5:$A$162,J2833),4),
    MATCH(K$8,'Vehicle numbers'!$B$4:$D$4,0))*1000</f>
        <v>124747</v>
      </c>
      <c r="L2833" s="183">
        <f ca="1">VLOOKUP(F2833,
    OFFSET(INDIRECT(ADDRESS(MATCH(J2833,'Vehicle numbers'!$A$5:$A$162,0),1,1,1,$L$6)),4,1,COUNTIF('Vehicle numbers'!$A$5:$A$162,J2833),4),
    MATCH(L$8,'Vehicle numbers'!$B$4:$D$4,0))*1000</f>
        <v>131269</v>
      </c>
      <c r="M2833" s="184">
        <f ca="1">VLOOKUP(F2833,'Annual distance covered (GB)'!$A$8:$H$33,MATCH(J2833,'Annual distance covered (GB)'!$A$7:$H$7,0))</f>
        <v>14.5</v>
      </c>
      <c r="N2833" s="2">
        <f t="shared" ca="1" si="102"/>
        <v>56650.078648114824</v>
      </c>
      <c r="O2833" s="180">
        <f t="shared" ca="1" si="103"/>
        <v>0.43155717380428604</v>
      </c>
      <c r="P2833" s="180"/>
      <c r="Q2833" s="180"/>
      <c r="R2833" s="180"/>
      <c r="S2833" s="180"/>
      <c r="T2833" s="180"/>
    </row>
    <row r="2834" spans="1:20" x14ac:dyDescent="0.25">
      <c r="A2834" t="s">
        <v>236</v>
      </c>
      <c r="B2834" t="s">
        <v>237</v>
      </c>
      <c r="C2834" t="s">
        <v>238</v>
      </c>
      <c r="D2834" t="s">
        <v>268</v>
      </c>
      <c r="E2834" t="s">
        <v>229</v>
      </c>
      <c r="F2834">
        <v>2016</v>
      </c>
      <c r="G2834">
        <v>8.4410000000000006E-3</v>
      </c>
      <c r="H2834" t="s">
        <v>240</v>
      </c>
      <c r="I2834" t="s">
        <v>241</v>
      </c>
      <c r="J2834" t="s">
        <v>245</v>
      </c>
      <c r="K2834" s="183">
        <f ca="1">VLOOKUP(F2834,
    OFFSET(INDIRECT(ADDRESS(MATCH(J2834,'Vehicle numbers'!$A$5:$A$162,0),1,1,1,$L$6)),4,1,COUNTIF('Vehicle numbers'!$A$5:$A$162,J2834),4),
    MATCH(K$8,'Vehicle numbers'!$B$4:$D$4,0))*1000</f>
        <v>280057</v>
      </c>
      <c r="L2834" s="183">
        <f ca="1">VLOOKUP(F2834,
    OFFSET(INDIRECT(ADDRESS(MATCH(J2834,'Vehicle numbers'!$A$5:$A$162,0),1,1,1,$L$6)),4,1,COUNTIF('Vehicle numbers'!$A$5:$A$162,J2834),4),
    MATCH(L$8,'Vehicle numbers'!$B$4:$D$4,0))*1000</f>
        <v>294036</v>
      </c>
      <c r="M2834" s="184">
        <f ca="1">VLOOKUP(F2834,'Annual distance covered (GB)'!$A$8:$H$33,MATCH(J2834,'Annual distance covered (GB)'!$A$7:$H$7,0))</f>
        <v>12.8</v>
      </c>
      <c r="N2834" s="2">
        <f t="shared" ca="1" si="102"/>
        <v>113437.83877139298</v>
      </c>
      <c r="O2834" s="180">
        <f t="shared" ca="1" si="103"/>
        <v>0.38579574872258154</v>
      </c>
      <c r="P2834" s="180"/>
      <c r="Q2834" s="180"/>
      <c r="R2834" s="180"/>
      <c r="S2834" s="180"/>
      <c r="T2834" s="180"/>
    </row>
    <row r="2835" spans="1:20" x14ac:dyDescent="0.25">
      <c r="A2835" t="s">
        <v>243</v>
      </c>
      <c r="B2835" t="s">
        <v>237</v>
      </c>
      <c r="C2835" t="s">
        <v>238</v>
      </c>
      <c r="D2835" t="s">
        <v>268</v>
      </c>
      <c r="E2835" t="s">
        <v>229</v>
      </c>
      <c r="F2835">
        <v>2016</v>
      </c>
      <c r="G2835">
        <v>3.3763999999999999E-3</v>
      </c>
      <c r="H2835" t="s">
        <v>240</v>
      </c>
      <c r="I2835" t="s">
        <v>241</v>
      </c>
      <c r="J2835" t="s">
        <v>245</v>
      </c>
      <c r="K2835" s="183">
        <f ca="1">VLOOKUP(F2835,
    OFFSET(INDIRECT(ADDRESS(MATCH(J2835,'Vehicle numbers'!$A$5:$A$162,0),1,1,1,$L$6)),4,1,COUNTIF('Vehicle numbers'!$A$5:$A$162,J2835),4),
    MATCH(K$8,'Vehicle numbers'!$B$4:$D$4,0))*1000</f>
        <v>280057</v>
      </c>
      <c r="L2835" s="183">
        <f ca="1">VLOOKUP(F2835,
    OFFSET(INDIRECT(ADDRESS(MATCH(J2835,'Vehicle numbers'!$A$5:$A$162,0),1,1,1,$L$6)),4,1,COUNTIF('Vehicle numbers'!$A$5:$A$162,J2835),4),
    MATCH(L$8,'Vehicle numbers'!$B$4:$D$4,0))*1000</f>
        <v>294036</v>
      </c>
      <c r="M2835" s="184">
        <f ca="1">VLOOKUP(F2835,'Annual distance covered (GB)'!$A$8:$H$33,MATCH(J2835,'Annual distance covered (GB)'!$A$7:$H$7,0))</f>
        <v>12.8</v>
      </c>
      <c r="N2835" s="2">
        <f t="shared" ca="1" si="102"/>
        <v>45375.135508557185</v>
      </c>
      <c r="O2835" s="180">
        <f t="shared" ca="1" si="103"/>
        <v>0.15431829948903258</v>
      </c>
      <c r="P2835" s="180"/>
      <c r="Q2835" s="180"/>
      <c r="R2835" s="180"/>
      <c r="S2835" s="180"/>
      <c r="T2835" s="180"/>
    </row>
    <row r="2836" spans="1:20" x14ac:dyDescent="0.25">
      <c r="A2836" t="s">
        <v>244</v>
      </c>
      <c r="B2836" t="s">
        <v>237</v>
      </c>
      <c r="C2836" t="s">
        <v>238</v>
      </c>
      <c r="D2836" t="s">
        <v>268</v>
      </c>
      <c r="E2836" t="s">
        <v>229</v>
      </c>
      <c r="F2836">
        <v>2016</v>
      </c>
      <c r="G2836">
        <v>8.4409999999999997E-4</v>
      </c>
      <c r="H2836" t="s">
        <v>240</v>
      </c>
      <c r="I2836" t="s">
        <v>241</v>
      </c>
      <c r="J2836" t="s">
        <v>245</v>
      </c>
      <c r="K2836" s="183">
        <f ca="1">VLOOKUP(F2836,
    OFFSET(INDIRECT(ADDRESS(MATCH(J2836,'Vehicle numbers'!$A$5:$A$162,0),1,1,1,$L$6)),4,1,COUNTIF('Vehicle numbers'!$A$5:$A$162,J2836),4),
    MATCH(K$8,'Vehicle numbers'!$B$4:$D$4,0))*1000</f>
        <v>280057</v>
      </c>
      <c r="L2836" s="183">
        <f ca="1">VLOOKUP(F2836,
    OFFSET(INDIRECT(ADDRESS(MATCH(J2836,'Vehicle numbers'!$A$5:$A$162,0),1,1,1,$L$6)),4,1,COUNTIF('Vehicle numbers'!$A$5:$A$162,J2836),4),
    MATCH(L$8,'Vehicle numbers'!$B$4:$D$4,0))*1000</f>
        <v>294036</v>
      </c>
      <c r="M2836" s="184">
        <f ca="1">VLOOKUP(F2836,'Annual distance covered (GB)'!$A$8:$H$33,MATCH(J2836,'Annual distance covered (GB)'!$A$7:$H$7,0))</f>
        <v>12.8</v>
      </c>
      <c r="N2836" s="2">
        <f t="shared" ca="1" si="102"/>
        <v>11343.783877139296</v>
      </c>
      <c r="O2836" s="180">
        <f t="shared" ca="1" si="103"/>
        <v>3.8579574872258146E-2</v>
      </c>
      <c r="P2836" s="180"/>
      <c r="Q2836" s="180"/>
      <c r="R2836" s="180"/>
      <c r="S2836" s="180"/>
      <c r="T2836" s="180"/>
    </row>
    <row r="2837" spans="1:20" x14ac:dyDescent="0.25">
      <c r="A2837" t="s">
        <v>246</v>
      </c>
      <c r="B2837" t="s">
        <v>237</v>
      </c>
      <c r="C2837" t="s">
        <v>238</v>
      </c>
      <c r="D2837" t="s">
        <v>268</v>
      </c>
      <c r="E2837" t="s">
        <v>229</v>
      </c>
      <c r="F2837">
        <v>2016</v>
      </c>
      <c r="G2837">
        <v>6.7528E-4</v>
      </c>
      <c r="H2837" t="s">
        <v>240</v>
      </c>
      <c r="I2837" t="s">
        <v>241</v>
      </c>
      <c r="J2837" t="s">
        <v>245</v>
      </c>
      <c r="K2837" s="183">
        <f ca="1">VLOOKUP(F2837,
    OFFSET(INDIRECT(ADDRESS(MATCH(J2837,'Vehicle numbers'!$A$5:$A$162,0),1,1,1,$L$6)),4,1,COUNTIF('Vehicle numbers'!$A$5:$A$162,J2837),4),
    MATCH(K$8,'Vehicle numbers'!$B$4:$D$4,0))*1000</f>
        <v>280057</v>
      </c>
      <c r="L2837" s="183">
        <f ca="1">VLOOKUP(F2837,
    OFFSET(INDIRECT(ADDRESS(MATCH(J2837,'Vehicle numbers'!$A$5:$A$162,0),1,1,1,$L$6)),4,1,COUNTIF('Vehicle numbers'!$A$5:$A$162,J2837),4),
    MATCH(L$8,'Vehicle numbers'!$B$4:$D$4,0))*1000</f>
        <v>294036</v>
      </c>
      <c r="M2837" s="184">
        <f ca="1">VLOOKUP(F2837,'Annual distance covered (GB)'!$A$8:$H$33,MATCH(J2837,'Annual distance covered (GB)'!$A$7:$H$7,0))</f>
        <v>12.8</v>
      </c>
      <c r="N2837" s="2">
        <f t="shared" ca="1" si="102"/>
        <v>9075.0271017114374</v>
      </c>
      <c r="O2837" s="180">
        <f t="shared" ca="1" si="103"/>
        <v>3.0863659897806518E-2</v>
      </c>
      <c r="P2837" s="180"/>
      <c r="Q2837" s="180"/>
      <c r="R2837" s="180"/>
      <c r="S2837" s="180"/>
      <c r="T2837" s="180"/>
    </row>
    <row r="2838" spans="1:20" x14ac:dyDescent="0.25">
      <c r="A2838" t="s">
        <v>236</v>
      </c>
      <c r="B2838" t="s">
        <v>237</v>
      </c>
      <c r="C2838" t="s">
        <v>238</v>
      </c>
      <c r="D2838" t="s">
        <v>268</v>
      </c>
      <c r="E2838" t="s">
        <v>228</v>
      </c>
      <c r="F2838">
        <v>2016</v>
      </c>
      <c r="G2838">
        <v>1.3984E-2</v>
      </c>
      <c r="H2838" t="s">
        <v>240</v>
      </c>
      <c r="I2838" t="s">
        <v>241</v>
      </c>
      <c r="J2838" t="s">
        <v>245</v>
      </c>
      <c r="K2838" s="183">
        <f ca="1">VLOOKUP(F2838,
    OFFSET(INDIRECT(ADDRESS(MATCH(J2838,'Vehicle numbers'!$A$5:$A$162,0),1,1,1,$L$6)),4,1,COUNTIF('Vehicle numbers'!$A$5:$A$162,J2838),4),
    MATCH(K$8,'Vehicle numbers'!$B$4:$D$4,0))*1000</f>
        <v>280057</v>
      </c>
      <c r="L2838" s="183">
        <f ca="1">VLOOKUP(F2838,
    OFFSET(INDIRECT(ADDRESS(MATCH(J2838,'Vehicle numbers'!$A$5:$A$162,0),1,1,1,$L$6)),4,1,COUNTIF('Vehicle numbers'!$A$5:$A$162,J2838),4),
    MATCH(L$8,'Vehicle numbers'!$B$4:$D$4,0))*1000</f>
        <v>294036</v>
      </c>
      <c r="M2838" s="184">
        <f ca="1">VLOOKUP(F2838,'Annual distance covered (GB)'!$A$8:$H$33,MATCH(J2838,'Annual distance covered (GB)'!$A$7:$H$7,0))</f>
        <v>12.8</v>
      </c>
      <c r="N2838" s="2">
        <f t="shared" ca="1" si="102"/>
        <v>187929.71654770282</v>
      </c>
      <c r="O2838" s="180">
        <f t="shared" ca="1" si="103"/>
        <v>0.63913846109899064</v>
      </c>
      <c r="P2838" s="180"/>
      <c r="Q2838" s="180"/>
      <c r="R2838" s="180"/>
      <c r="S2838" s="180"/>
      <c r="T2838" s="180"/>
    </row>
    <row r="2839" spans="1:20" x14ac:dyDescent="0.25">
      <c r="A2839" t="s">
        <v>243</v>
      </c>
      <c r="B2839" t="s">
        <v>237</v>
      </c>
      <c r="C2839" t="s">
        <v>238</v>
      </c>
      <c r="D2839" t="s">
        <v>268</v>
      </c>
      <c r="E2839" t="s">
        <v>228</v>
      </c>
      <c r="F2839">
        <v>2016</v>
      </c>
      <c r="G2839">
        <v>9.7888000000000003E-3</v>
      </c>
      <c r="H2839" t="s">
        <v>240</v>
      </c>
      <c r="I2839" t="s">
        <v>241</v>
      </c>
      <c r="J2839" t="s">
        <v>245</v>
      </c>
      <c r="K2839" s="183">
        <f ca="1">VLOOKUP(F2839,
    OFFSET(INDIRECT(ADDRESS(MATCH(J2839,'Vehicle numbers'!$A$5:$A$162,0),1,1,1,$L$6)),4,1,COUNTIF('Vehicle numbers'!$A$5:$A$162,J2839),4),
    MATCH(K$8,'Vehicle numbers'!$B$4:$D$4,0))*1000</f>
        <v>280057</v>
      </c>
      <c r="L2839" s="183">
        <f ca="1">VLOOKUP(F2839,
    OFFSET(INDIRECT(ADDRESS(MATCH(J2839,'Vehicle numbers'!$A$5:$A$162,0),1,1,1,$L$6)),4,1,COUNTIF('Vehicle numbers'!$A$5:$A$162,J2839),4),
    MATCH(L$8,'Vehicle numbers'!$B$4:$D$4,0))*1000</f>
        <v>294036</v>
      </c>
      <c r="M2839" s="184">
        <f ca="1">VLOOKUP(F2839,'Annual distance covered (GB)'!$A$8:$H$33,MATCH(J2839,'Annual distance covered (GB)'!$A$7:$H$7,0))</f>
        <v>12.8</v>
      </c>
      <c r="N2839" s="2">
        <f t="shared" ca="1" si="102"/>
        <v>131550.80158339196</v>
      </c>
      <c r="O2839" s="180">
        <f t="shared" ca="1" si="103"/>
        <v>0.44739692276929344</v>
      </c>
      <c r="P2839" s="180"/>
      <c r="Q2839" s="180"/>
      <c r="R2839" s="180"/>
      <c r="S2839" s="180"/>
      <c r="T2839" s="180"/>
    </row>
    <row r="2840" spans="1:20" x14ac:dyDescent="0.25">
      <c r="A2840" t="s">
        <v>244</v>
      </c>
      <c r="B2840" t="s">
        <v>237</v>
      </c>
      <c r="C2840" t="s">
        <v>238</v>
      </c>
      <c r="D2840" t="s">
        <v>268</v>
      </c>
      <c r="E2840" t="s">
        <v>228</v>
      </c>
      <c r="F2840">
        <v>2016</v>
      </c>
      <c r="G2840">
        <v>1.3787042253521099E-3</v>
      </c>
      <c r="H2840" t="s">
        <v>240</v>
      </c>
      <c r="I2840" t="s">
        <v>241</v>
      </c>
      <c r="J2840" t="s">
        <v>245</v>
      </c>
      <c r="K2840" s="183">
        <f ca="1">VLOOKUP(F2840,
    OFFSET(INDIRECT(ADDRESS(MATCH(J2840,'Vehicle numbers'!$A$5:$A$162,0),1,1,1,$L$6)),4,1,COUNTIF('Vehicle numbers'!$A$5:$A$162,J2840),4),
    MATCH(K$8,'Vehicle numbers'!$B$4:$D$4,0))*1000</f>
        <v>280057</v>
      </c>
      <c r="L2840" s="183">
        <f ca="1">VLOOKUP(F2840,
    OFFSET(INDIRECT(ADDRESS(MATCH(J2840,'Vehicle numbers'!$A$5:$A$162,0),1,1,1,$L$6)),4,1,COUNTIF('Vehicle numbers'!$A$5:$A$162,J2840),4),
    MATCH(L$8,'Vehicle numbers'!$B$4:$D$4,0))*1000</f>
        <v>294036</v>
      </c>
      <c r="M2840" s="184">
        <f ca="1">VLOOKUP(F2840,'Annual distance covered (GB)'!$A$8:$H$33,MATCH(J2840,'Annual distance covered (GB)'!$A$7:$H$7,0))</f>
        <v>12.8</v>
      </c>
      <c r="N2840" s="2">
        <f t="shared" ca="1" si="102"/>
        <v>18528.281913153762</v>
      </c>
      <c r="O2840" s="180">
        <f t="shared" ca="1" si="103"/>
        <v>6.3013651094266557E-2</v>
      </c>
      <c r="P2840" s="180"/>
      <c r="Q2840" s="180"/>
      <c r="R2840" s="180"/>
      <c r="S2840" s="180"/>
      <c r="T2840" s="180"/>
    </row>
    <row r="2841" spans="1:20" x14ac:dyDescent="0.25">
      <c r="A2841" t="s">
        <v>246</v>
      </c>
      <c r="B2841" t="s">
        <v>237</v>
      </c>
      <c r="C2841" t="s">
        <v>238</v>
      </c>
      <c r="D2841" t="s">
        <v>268</v>
      </c>
      <c r="E2841" t="s">
        <v>228</v>
      </c>
      <c r="F2841">
        <v>2016</v>
      </c>
      <c r="G2841">
        <v>1.10296338028169E-3</v>
      </c>
      <c r="H2841" t="s">
        <v>240</v>
      </c>
      <c r="I2841" t="s">
        <v>241</v>
      </c>
      <c r="J2841" t="s">
        <v>245</v>
      </c>
      <c r="K2841" s="183">
        <f ca="1">VLOOKUP(F2841,
    OFFSET(INDIRECT(ADDRESS(MATCH(J2841,'Vehicle numbers'!$A$5:$A$162,0),1,1,1,$L$6)),4,1,COUNTIF('Vehicle numbers'!$A$5:$A$162,J2841),4),
    MATCH(K$8,'Vehicle numbers'!$B$4:$D$4,0))*1000</f>
        <v>280057</v>
      </c>
      <c r="L2841" s="183">
        <f ca="1">VLOOKUP(F2841,
    OFFSET(INDIRECT(ADDRESS(MATCH(J2841,'Vehicle numbers'!$A$5:$A$162,0),1,1,1,$L$6)),4,1,COUNTIF('Vehicle numbers'!$A$5:$A$162,J2841),4),
    MATCH(L$8,'Vehicle numbers'!$B$4:$D$4,0))*1000</f>
        <v>294036</v>
      </c>
      <c r="M2841" s="184">
        <f ca="1">VLOOKUP(F2841,'Annual distance covered (GB)'!$A$8:$H$33,MATCH(J2841,'Annual distance covered (GB)'!$A$7:$H$7,0))</f>
        <v>12.8</v>
      </c>
      <c r="N2841" s="2">
        <f t="shared" ca="1" si="102"/>
        <v>14822.625530523035</v>
      </c>
      <c r="O2841" s="180">
        <f t="shared" ca="1" si="103"/>
        <v>5.0410920875413337E-2</v>
      </c>
      <c r="P2841" s="180"/>
      <c r="Q2841" s="180"/>
      <c r="R2841" s="180"/>
      <c r="S2841" s="180"/>
      <c r="T2841" s="180"/>
    </row>
    <row r="2842" spans="1:20" x14ac:dyDescent="0.25">
      <c r="A2842" t="s">
        <v>236</v>
      </c>
      <c r="B2842" t="s">
        <v>237</v>
      </c>
      <c r="C2842" t="s">
        <v>238</v>
      </c>
      <c r="D2842" t="s">
        <v>269</v>
      </c>
      <c r="E2842" t="s">
        <v>229</v>
      </c>
      <c r="F2842">
        <v>2016</v>
      </c>
      <c r="G2842">
        <v>2.7143E-2</v>
      </c>
      <c r="H2842" t="s">
        <v>240</v>
      </c>
      <c r="I2842" t="s">
        <v>241</v>
      </c>
      <c r="J2842" t="s">
        <v>245</v>
      </c>
      <c r="K2842" s="183">
        <f ca="1">VLOOKUP(F2842,
    OFFSET(INDIRECT(ADDRESS(MATCH(J2842,'Vehicle numbers'!$A$5:$A$162,0),1,1,1,$L$6)),4,1,COUNTIF('Vehicle numbers'!$A$5:$A$162,J2842),4),
    MATCH(K$8,'Vehicle numbers'!$B$4:$D$4,0))*1000</f>
        <v>280057</v>
      </c>
      <c r="L2842" s="183">
        <f ca="1">VLOOKUP(F2842,
    OFFSET(INDIRECT(ADDRESS(MATCH(J2842,'Vehicle numbers'!$A$5:$A$162,0),1,1,1,$L$6)),4,1,COUNTIF('Vehicle numbers'!$A$5:$A$162,J2842),4),
    MATCH(L$8,'Vehicle numbers'!$B$4:$D$4,0))*1000</f>
        <v>294036</v>
      </c>
      <c r="M2842" s="184">
        <f ca="1">VLOOKUP(F2842,'Annual distance covered (GB)'!$A$8:$H$33,MATCH(J2842,'Annual distance covered (GB)'!$A$7:$H$7,0))</f>
        <v>12.8</v>
      </c>
      <c r="N2842" s="2">
        <f t="shared" ca="1" si="102"/>
        <v>364772.33239804755</v>
      </c>
      <c r="O2842" s="180">
        <f t="shared" ca="1" si="103"/>
        <v>1.2405703124721039</v>
      </c>
      <c r="P2842" s="180"/>
      <c r="Q2842" s="180"/>
      <c r="R2842" s="180"/>
      <c r="S2842" s="180"/>
      <c r="T2842" s="180"/>
    </row>
    <row r="2843" spans="1:20" x14ac:dyDescent="0.25">
      <c r="A2843" t="s">
        <v>243</v>
      </c>
      <c r="B2843" t="s">
        <v>237</v>
      </c>
      <c r="C2843" t="s">
        <v>238</v>
      </c>
      <c r="D2843" t="s">
        <v>269</v>
      </c>
      <c r="E2843" t="s">
        <v>229</v>
      </c>
      <c r="F2843">
        <v>2016</v>
      </c>
      <c r="G2843">
        <v>1.0857199999999999E-2</v>
      </c>
      <c r="H2843" t="s">
        <v>240</v>
      </c>
      <c r="I2843" t="s">
        <v>241</v>
      </c>
      <c r="J2843" t="s">
        <v>245</v>
      </c>
      <c r="K2843" s="183">
        <f ca="1">VLOOKUP(F2843,
    OFFSET(INDIRECT(ADDRESS(MATCH(J2843,'Vehicle numbers'!$A$5:$A$162,0),1,1,1,$L$6)),4,1,COUNTIF('Vehicle numbers'!$A$5:$A$162,J2843),4),
    MATCH(K$8,'Vehicle numbers'!$B$4:$D$4,0))*1000</f>
        <v>280057</v>
      </c>
      <c r="L2843" s="183">
        <f ca="1">VLOOKUP(F2843,
    OFFSET(INDIRECT(ADDRESS(MATCH(J2843,'Vehicle numbers'!$A$5:$A$162,0),1,1,1,$L$6)),4,1,COUNTIF('Vehicle numbers'!$A$5:$A$162,J2843),4),
    MATCH(L$8,'Vehicle numbers'!$B$4:$D$4,0))*1000</f>
        <v>294036</v>
      </c>
      <c r="M2843" s="184">
        <f ca="1">VLOOKUP(F2843,'Annual distance covered (GB)'!$A$8:$H$33,MATCH(J2843,'Annual distance covered (GB)'!$A$7:$H$7,0))</f>
        <v>12.8</v>
      </c>
      <c r="N2843" s="2">
        <f t="shared" ca="1" si="102"/>
        <v>145908.932959219</v>
      </c>
      <c r="O2843" s="180">
        <f t="shared" ca="1" si="103"/>
        <v>0.4962281249888415</v>
      </c>
      <c r="P2843" s="180"/>
      <c r="Q2843" s="180"/>
      <c r="R2843" s="180"/>
      <c r="S2843" s="180"/>
      <c r="T2843" s="180"/>
    </row>
    <row r="2844" spans="1:20" x14ac:dyDescent="0.25">
      <c r="A2844" t="s">
        <v>244</v>
      </c>
      <c r="B2844" t="s">
        <v>237</v>
      </c>
      <c r="C2844" t="s">
        <v>238</v>
      </c>
      <c r="D2844" t="s">
        <v>269</v>
      </c>
      <c r="E2844" t="s">
        <v>229</v>
      </c>
      <c r="F2844">
        <v>2016</v>
      </c>
      <c r="G2844">
        <v>2.7142999999999998E-3</v>
      </c>
      <c r="H2844" t="s">
        <v>240</v>
      </c>
      <c r="I2844" t="s">
        <v>241</v>
      </c>
      <c r="J2844" t="s">
        <v>245</v>
      </c>
      <c r="K2844" s="183">
        <f ca="1">VLOOKUP(F2844,
    OFFSET(INDIRECT(ADDRESS(MATCH(J2844,'Vehicle numbers'!$A$5:$A$162,0),1,1,1,$L$6)),4,1,COUNTIF('Vehicle numbers'!$A$5:$A$162,J2844),4),
    MATCH(K$8,'Vehicle numbers'!$B$4:$D$4,0))*1000</f>
        <v>280057</v>
      </c>
      <c r="L2844" s="183">
        <f ca="1">VLOOKUP(F2844,
    OFFSET(INDIRECT(ADDRESS(MATCH(J2844,'Vehicle numbers'!$A$5:$A$162,0),1,1,1,$L$6)),4,1,COUNTIF('Vehicle numbers'!$A$5:$A$162,J2844),4),
    MATCH(L$8,'Vehicle numbers'!$B$4:$D$4,0))*1000</f>
        <v>294036</v>
      </c>
      <c r="M2844" s="184">
        <f ca="1">VLOOKUP(F2844,'Annual distance covered (GB)'!$A$8:$H$33,MATCH(J2844,'Annual distance covered (GB)'!$A$7:$H$7,0))</f>
        <v>12.8</v>
      </c>
      <c r="N2844" s="2">
        <f t="shared" ca="1" si="102"/>
        <v>36477.233239804751</v>
      </c>
      <c r="O2844" s="180">
        <f t="shared" ca="1" si="103"/>
        <v>0.12405703124721038</v>
      </c>
      <c r="P2844" s="180"/>
      <c r="Q2844" s="180"/>
      <c r="R2844" s="180"/>
      <c r="S2844" s="180"/>
      <c r="T2844" s="180"/>
    </row>
    <row r="2845" spans="1:20" x14ac:dyDescent="0.25">
      <c r="A2845" t="s">
        <v>246</v>
      </c>
      <c r="B2845" t="s">
        <v>237</v>
      </c>
      <c r="C2845" t="s">
        <v>238</v>
      </c>
      <c r="D2845" t="s">
        <v>269</v>
      </c>
      <c r="E2845" t="s">
        <v>229</v>
      </c>
      <c r="F2845">
        <v>2016</v>
      </c>
      <c r="G2845">
        <v>2.1714400000000002E-3</v>
      </c>
      <c r="H2845" t="s">
        <v>240</v>
      </c>
      <c r="I2845" t="s">
        <v>241</v>
      </c>
      <c r="J2845" t="s">
        <v>245</v>
      </c>
      <c r="K2845" s="183">
        <f ca="1">VLOOKUP(F2845,
    OFFSET(INDIRECT(ADDRESS(MATCH(J2845,'Vehicle numbers'!$A$5:$A$162,0),1,1,1,$L$6)),4,1,COUNTIF('Vehicle numbers'!$A$5:$A$162,J2845),4),
    MATCH(K$8,'Vehicle numbers'!$B$4:$D$4,0))*1000</f>
        <v>280057</v>
      </c>
      <c r="L2845" s="183">
        <f ca="1">VLOOKUP(F2845,
    OFFSET(INDIRECT(ADDRESS(MATCH(J2845,'Vehicle numbers'!$A$5:$A$162,0),1,1,1,$L$6)),4,1,COUNTIF('Vehicle numbers'!$A$5:$A$162,J2845),4),
    MATCH(L$8,'Vehicle numbers'!$B$4:$D$4,0))*1000</f>
        <v>294036</v>
      </c>
      <c r="M2845" s="184">
        <f ca="1">VLOOKUP(F2845,'Annual distance covered (GB)'!$A$8:$H$33,MATCH(J2845,'Annual distance covered (GB)'!$A$7:$H$7,0))</f>
        <v>12.8</v>
      </c>
      <c r="N2845" s="2">
        <f t="shared" ca="1" si="102"/>
        <v>29181.786591843807</v>
      </c>
      <c r="O2845" s="180">
        <f t="shared" ca="1" si="103"/>
        <v>9.9245624997768331E-2</v>
      </c>
      <c r="P2845" s="180"/>
      <c r="Q2845" s="180"/>
      <c r="R2845" s="180"/>
      <c r="S2845" s="180"/>
      <c r="T2845" s="180"/>
    </row>
    <row r="2846" spans="1:20" x14ac:dyDescent="0.25">
      <c r="A2846" t="s">
        <v>236</v>
      </c>
      <c r="B2846" t="s">
        <v>237</v>
      </c>
      <c r="C2846" t="s">
        <v>238</v>
      </c>
      <c r="D2846" t="s">
        <v>269</v>
      </c>
      <c r="E2846" t="s">
        <v>228</v>
      </c>
      <c r="F2846">
        <v>2016</v>
      </c>
      <c r="G2846">
        <v>1.7388480000000001E-2</v>
      </c>
      <c r="H2846" t="s">
        <v>240</v>
      </c>
      <c r="I2846" t="s">
        <v>241</v>
      </c>
      <c r="J2846" t="s">
        <v>245</v>
      </c>
      <c r="K2846" s="183">
        <f ca="1">VLOOKUP(F2846,
    OFFSET(INDIRECT(ADDRESS(MATCH(J2846,'Vehicle numbers'!$A$5:$A$162,0),1,1,1,$L$6)),4,1,COUNTIF('Vehicle numbers'!$A$5:$A$162,J2846),4),
    MATCH(K$8,'Vehicle numbers'!$B$4:$D$4,0))*1000</f>
        <v>280057</v>
      </c>
      <c r="L2846" s="183">
        <f ca="1">VLOOKUP(F2846,
    OFFSET(INDIRECT(ADDRESS(MATCH(J2846,'Vehicle numbers'!$A$5:$A$162,0),1,1,1,$L$6)),4,1,COUNTIF('Vehicle numbers'!$A$5:$A$162,J2846),4),
    MATCH(L$8,'Vehicle numbers'!$B$4:$D$4,0))*1000</f>
        <v>294036</v>
      </c>
      <c r="M2846" s="184">
        <f ca="1">VLOOKUP(F2846,'Annual distance covered (GB)'!$A$8:$H$33,MATCH(J2846,'Annual distance covered (GB)'!$A$7:$H$7,0))</f>
        <v>12.8</v>
      </c>
      <c r="N2846" s="2">
        <f t="shared" ca="1" si="102"/>
        <v>233682.2166472683</v>
      </c>
      <c r="O2846" s="180">
        <f t="shared" ca="1" si="103"/>
        <v>0.79474015646814777</v>
      </c>
      <c r="P2846" s="180"/>
      <c r="Q2846" s="180"/>
      <c r="R2846" s="180"/>
      <c r="S2846" s="180"/>
      <c r="T2846" s="180"/>
    </row>
    <row r="2847" spans="1:20" x14ac:dyDescent="0.25">
      <c r="A2847" t="s">
        <v>243</v>
      </c>
      <c r="B2847" t="s">
        <v>237</v>
      </c>
      <c r="C2847" t="s">
        <v>238</v>
      </c>
      <c r="D2847" t="s">
        <v>269</v>
      </c>
      <c r="E2847" t="s">
        <v>228</v>
      </c>
      <c r="F2847">
        <v>2016</v>
      </c>
      <c r="G2847">
        <v>1.2171936E-2</v>
      </c>
      <c r="H2847" t="s">
        <v>240</v>
      </c>
      <c r="I2847" t="s">
        <v>241</v>
      </c>
      <c r="J2847" t="s">
        <v>245</v>
      </c>
      <c r="K2847" s="183">
        <f ca="1">VLOOKUP(F2847,
    OFFSET(INDIRECT(ADDRESS(MATCH(J2847,'Vehicle numbers'!$A$5:$A$162,0),1,1,1,$L$6)),4,1,COUNTIF('Vehicle numbers'!$A$5:$A$162,J2847),4),
    MATCH(K$8,'Vehicle numbers'!$B$4:$D$4,0))*1000</f>
        <v>280057</v>
      </c>
      <c r="L2847" s="183">
        <f ca="1">VLOOKUP(F2847,
    OFFSET(INDIRECT(ADDRESS(MATCH(J2847,'Vehicle numbers'!$A$5:$A$162,0),1,1,1,$L$6)),4,1,COUNTIF('Vehicle numbers'!$A$5:$A$162,J2847),4),
    MATCH(L$8,'Vehicle numbers'!$B$4:$D$4,0))*1000</f>
        <v>294036</v>
      </c>
      <c r="M2847" s="184">
        <f ca="1">VLOOKUP(F2847,'Annual distance covered (GB)'!$A$8:$H$33,MATCH(J2847,'Annual distance covered (GB)'!$A$7:$H$7,0))</f>
        <v>12.8</v>
      </c>
      <c r="N2847" s="2">
        <f t="shared" ca="1" si="102"/>
        <v>163577.55165308778</v>
      </c>
      <c r="O2847" s="180">
        <f t="shared" ca="1" si="103"/>
        <v>0.55631810952770333</v>
      </c>
      <c r="P2847" s="180"/>
      <c r="Q2847" s="180"/>
      <c r="R2847" s="180"/>
      <c r="S2847" s="180"/>
      <c r="T2847" s="180"/>
    </row>
    <row r="2848" spans="1:20" x14ac:dyDescent="0.25">
      <c r="A2848" t="s">
        <v>244</v>
      </c>
      <c r="B2848" t="s">
        <v>237</v>
      </c>
      <c r="C2848" t="s">
        <v>238</v>
      </c>
      <c r="D2848" t="s">
        <v>269</v>
      </c>
      <c r="E2848" t="s">
        <v>228</v>
      </c>
      <c r="F2848">
        <v>2016</v>
      </c>
      <c r="G2848">
        <v>1.71435718309859E-3</v>
      </c>
      <c r="H2848" t="s">
        <v>240</v>
      </c>
      <c r="I2848" t="s">
        <v>241</v>
      </c>
      <c r="J2848" t="s">
        <v>245</v>
      </c>
      <c r="K2848" s="183">
        <f ca="1">VLOOKUP(F2848,
    OFFSET(INDIRECT(ADDRESS(MATCH(J2848,'Vehicle numbers'!$A$5:$A$162,0),1,1,1,$L$6)),4,1,COUNTIF('Vehicle numbers'!$A$5:$A$162,J2848),4),
    MATCH(K$8,'Vehicle numbers'!$B$4:$D$4,0))*1000</f>
        <v>280057</v>
      </c>
      <c r="L2848" s="183">
        <f ca="1">VLOOKUP(F2848,
    OFFSET(INDIRECT(ADDRESS(MATCH(J2848,'Vehicle numbers'!$A$5:$A$162,0),1,1,1,$L$6)),4,1,COUNTIF('Vehicle numbers'!$A$5:$A$162,J2848),4),
    MATCH(L$8,'Vehicle numbers'!$B$4:$D$4,0))*1000</f>
        <v>294036</v>
      </c>
      <c r="M2848" s="184">
        <f ca="1">VLOOKUP(F2848,'Annual distance covered (GB)'!$A$8:$H$33,MATCH(J2848,'Annual distance covered (GB)'!$A$7:$H$7,0))</f>
        <v>12.8</v>
      </c>
      <c r="N2848" s="2">
        <f t="shared" ca="1" si="102"/>
        <v>23039.091782125019</v>
      </c>
      <c r="O2848" s="180">
        <f t="shared" ca="1" si="103"/>
        <v>7.8354663313760967E-2</v>
      </c>
      <c r="P2848" s="180"/>
      <c r="Q2848" s="180"/>
      <c r="R2848" s="180"/>
      <c r="S2848" s="180"/>
      <c r="T2848" s="180"/>
    </row>
    <row r="2849" spans="1:20" x14ac:dyDescent="0.25">
      <c r="A2849" t="s">
        <v>246</v>
      </c>
      <c r="B2849" t="s">
        <v>237</v>
      </c>
      <c r="C2849" t="s">
        <v>238</v>
      </c>
      <c r="D2849" t="s">
        <v>269</v>
      </c>
      <c r="E2849" t="s">
        <v>228</v>
      </c>
      <c r="F2849">
        <v>2016</v>
      </c>
      <c r="G2849">
        <v>1.37148574647887E-3</v>
      </c>
      <c r="H2849" t="s">
        <v>240</v>
      </c>
      <c r="I2849" t="s">
        <v>241</v>
      </c>
      <c r="J2849" t="s">
        <v>245</v>
      </c>
      <c r="K2849" s="183">
        <f ca="1">VLOOKUP(F2849,
    OFFSET(INDIRECT(ADDRESS(MATCH(J2849,'Vehicle numbers'!$A$5:$A$162,0),1,1,1,$L$6)),4,1,COUNTIF('Vehicle numbers'!$A$5:$A$162,J2849),4),
    MATCH(K$8,'Vehicle numbers'!$B$4:$D$4,0))*1000</f>
        <v>280057</v>
      </c>
      <c r="L2849" s="183">
        <f ca="1">VLOOKUP(F2849,
    OFFSET(INDIRECT(ADDRESS(MATCH(J2849,'Vehicle numbers'!$A$5:$A$162,0),1,1,1,$L$6)),4,1,COUNTIF('Vehicle numbers'!$A$5:$A$162,J2849),4),
    MATCH(L$8,'Vehicle numbers'!$B$4:$D$4,0))*1000</f>
        <v>294036</v>
      </c>
      <c r="M2849" s="184">
        <f ca="1">VLOOKUP(F2849,'Annual distance covered (GB)'!$A$8:$H$33,MATCH(J2849,'Annual distance covered (GB)'!$A$7:$H$7,0))</f>
        <v>12.8</v>
      </c>
      <c r="N2849" s="2">
        <f t="shared" ca="1" si="102"/>
        <v>18431.273425699987</v>
      </c>
      <c r="O2849" s="180">
        <f t="shared" ca="1" si="103"/>
        <v>6.2683730651008671E-2</v>
      </c>
      <c r="P2849" s="180"/>
      <c r="Q2849" s="180"/>
      <c r="R2849" s="180"/>
      <c r="S2849" s="180"/>
      <c r="T2849" s="180"/>
    </row>
    <row r="2850" spans="1:20" x14ac:dyDescent="0.25">
      <c r="A2850" t="s">
        <v>236</v>
      </c>
      <c r="B2850" t="s">
        <v>237</v>
      </c>
      <c r="C2850" t="s">
        <v>238</v>
      </c>
      <c r="D2850" t="s">
        <v>270</v>
      </c>
      <c r="E2850" t="s">
        <v>229</v>
      </c>
      <c r="F2850">
        <v>2016</v>
      </c>
      <c r="G2850">
        <v>5.0994999999999999E-2</v>
      </c>
      <c r="H2850" t="s">
        <v>240</v>
      </c>
      <c r="I2850" t="s">
        <v>241</v>
      </c>
      <c r="J2850" t="s">
        <v>245</v>
      </c>
      <c r="K2850" s="183">
        <f ca="1">VLOOKUP(F2850,
    OFFSET(INDIRECT(ADDRESS(MATCH(J2850,'Vehicle numbers'!$A$5:$A$162,0),1,1,1,$L$6)),4,1,COUNTIF('Vehicle numbers'!$A$5:$A$162,J2850),4),
    MATCH(K$8,'Vehicle numbers'!$B$4:$D$4,0))*1000</f>
        <v>280057</v>
      </c>
      <c r="L2850" s="183">
        <f ca="1">VLOOKUP(F2850,
    OFFSET(INDIRECT(ADDRESS(MATCH(J2850,'Vehicle numbers'!$A$5:$A$162,0),1,1,1,$L$6)),4,1,COUNTIF('Vehicle numbers'!$A$5:$A$162,J2850),4),
    MATCH(L$8,'Vehicle numbers'!$B$4:$D$4,0))*1000</f>
        <v>294036</v>
      </c>
      <c r="M2850" s="184">
        <f ca="1">VLOOKUP(F2850,'Annual distance covered (GB)'!$A$8:$H$33,MATCH(J2850,'Annual distance covered (GB)'!$A$7:$H$7,0))</f>
        <v>12.8</v>
      </c>
      <c r="N2850" s="2">
        <f t="shared" ca="1" si="102"/>
        <v>685317.21219608863</v>
      </c>
      <c r="O2850" s="180">
        <f t="shared" ca="1" si="103"/>
        <v>2.330725530874072</v>
      </c>
      <c r="P2850" s="180"/>
      <c r="Q2850" s="180"/>
      <c r="R2850" s="180"/>
      <c r="S2850" s="180"/>
      <c r="T2850" s="180"/>
    </row>
    <row r="2851" spans="1:20" x14ac:dyDescent="0.25">
      <c r="A2851" t="s">
        <v>243</v>
      </c>
      <c r="B2851" t="s">
        <v>237</v>
      </c>
      <c r="C2851" t="s">
        <v>238</v>
      </c>
      <c r="D2851" t="s">
        <v>270</v>
      </c>
      <c r="E2851" t="s">
        <v>229</v>
      </c>
      <c r="F2851">
        <v>2016</v>
      </c>
      <c r="G2851">
        <v>2.0397999999999999E-2</v>
      </c>
      <c r="H2851" t="s">
        <v>240</v>
      </c>
      <c r="I2851" t="s">
        <v>241</v>
      </c>
      <c r="J2851" t="s">
        <v>245</v>
      </c>
      <c r="K2851" s="183">
        <f ca="1">VLOOKUP(F2851,
    OFFSET(INDIRECT(ADDRESS(MATCH(J2851,'Vehicle numbers'!$A$5:$A$162,0),1,1,1,$L$6)),4,1,COUNTIF('Vehicle numbers'!$A$5:$A$162,J2851),4),
    MATCH(K$8,'Vehicle numbers'!$B$4:$D$4,0))*1000</f>
        <v>280057</v>
      </c>
      <c r="L2851" s="183">
        <f ca="1">VLOOKUP(F2851,
    OFFSET(INDIRECT(ADDRESS(MATCH(J2851,'Vehicle numbers'!$A$5:$A$162,0),1,1,1,$L$6)),4,1,COUNTIF('Vehicle numbers'!$A$5:$A$162,J2851),4),
    MATCH(L$8,'Vehicle numbers'!$B$4:$D$4,0))*1000</f>
        <v>294036</v>
      </c>
      <c r="M2851" s="184">
        <f ca="1">VLOOKUP(F2851,'Annual distance covered (GB)'!$A$8:$H$33,MATCH(J2851,'Annual distance covered (GB)'!$A$7:$H$7,0))</f>
        <v>12.8</v>
      </c>
      <c r="N2851" s="2">
        <f t="shared" ca="1" si="102"/>
        <v>274126.88487843546</v>
      </c>
      <c r="O2851" s="180">
        <f t="shared" ca="1" si="103"/>
        <v>0.93229021234962883</v>
      </c>
      <c r="P2851" s="180"/>
      <c r="Q2851" s="180"/>
      <c r="R2851" s="180"/>
      <c r="S2851" s="180"/>
      <c r="T2851" s="180"/>
    </row>
    <row r="2852" spans="1:20" x14ac:dyDescent="0.25">
      <c r="A2852" t="s">
        <v>244</v>
      </c>
      <c r="B2852" t="s">
        <v>237</v>
      </c>
      <c r="C2852" t="s">
        <v>238</v>
      </c>
      <c r="D2852" t="s">
        <v>270</v>
      </c>
      <c r="E2852" t="s">
        <v>229</v>
      </c>
      <c r="F2852">
        <v>2016</v>
      </c>
      <c r="G2852">
        <v>5.0994999999999999E-3</v>
      </c>
      <c r="H2852" t="s">
        <v>240</v>
      </c>
      <c r="I2852" t="s">
        <v>241</v>
      </c>
      <c r="J2852" t="s">
        <v>245</v>
      </c>
      <c r="K2852" s="183">
        <f ca="1">VLOOKUP(F2852,
    OFFSET(INDIRECT(ADDRESS(MATCH(J2852,'Vehicle numbers'!$A$5:$A$162,0),1,1,1,$L$6)),4,1,COUNTIF('Vehicle numbers'!$A$5:$A$162,J2852),4),
    MATCH(K$8,'Vehicle numbers'!$B$4:$D$4,0))*1000</f>
        <v>280057</v>
      </c>
      <c r="L2852" s="183">
        <f ca="1">VLOOKUP(F2852,
    OFFSET(INDIRECT(ADDRESS(MATCH(J2852,'Vehicle numbers'!$A$5:$A$162,0),1,1,1,$L$6)),4,1,COUNTIF('Vehicle numbers'!$A$5:$A$162,J2852),4),
    MATCH(L$8,'Vehicle numbers'!$B$4:$D$4,0))*1000</f>
        <v>294036</v>
      </c>
      <c r="M2852" s="184">
        <f ca="1">VLOOKUP(F2852,'Annual distance covered (GB)'!$A$8:$H$33,MATCH(J2852,'Annual distance covered (GB)'!$A$7:$H$7,0))</f>
        <v>12.8</v>
      </c>
      <c r="N2852" s="2">
        <f t="shared" ca="1" si="102"/>
        <v>68531.721219608866</v>
      </c>
      <c r="O2852" s="180">
        <f t="shared" ca="1" si="103"/>
        <v>0.23307255308740721</v>
      </c>
      <c r="P2852" s="180"/>
      <c r="Q2852" s="180"/>
      <c r="R2852" s="180"/>
      <c r="S2852" s="180"/>
      <c r="T2852" s="180"/>
    </row>
    <row r="2853" spans="1:20" x14ac:dyDescent="0.25">
      <c r="A2853" t="s">
        <v>246</v>
      </c>
      <c r="B2853" t="s">
        <v>237</v>
      </c>
      <c r="C2853" t="s">
        <v>238</v>
      </c>
      <c r="D2853" t="s">
        <v>270</v>
      </c>
      <c r="E2853" t="s">
        <v>229</v>
      </c>
      <c r="F2853">
        <v>2016</v>
      </c>
      <c r="G2853">
        <v>4.0796000000000001E-3</v>
      </c>
      <c r="H2853" t="s">
        <v>240</v>
      </c>
      <c r="I2853" t="s">
        <v>241</v>
      </c>
      <c r="J2853" t="s">
        <v>245</v>
      </c>
      <c r="K2853" s="183">
        <f ca="1">VLOOKUP(F2853,
    OFFSET(INDIRECT(ADDRESS(MATCH(J2853,'Vehicle numbers'!$A$5:$A$162,0),1,1,1,$L$6)),4,1,COUNTIF('Vehicle numbers'!$A$5:$A$162,J2853),4),
    MATCH(K$8,'Vehicle numbers'!$B$4:$D$4,0))*1000</f>
        <v>280057</v>
      </c>
      <c r="L2853" s="183">
        <f ca="1">VLOOKUP(F2853,
    OFFSET(INDIRECT(ADDRESS(MATCH(J2853,'Vehicle numbers'!$A$5:$A$162,0),1,1,1,$L$6)),4,1,COUNTIF('Vehicle numbers'!$A$5:$A$162,J2853),4),
    MATCH(L$8,'Vehicle numbers'!$B$4:$D$4,0))*1000</f>
        <v>294036</v>
      </c>
      <c r="M2853" s="184">
        <f ca="1">VLOOKUP(F2853,'Annual distance covered (GB)'!$A$8:$H$33,MATCH(J2853,'Annual distance covered (GB)'!$A$7:$H$7,0))</f>
        <v>12.8</v>
      </c>
      <c r="N2853" s="2">
        <f t="shared" ca="1" si="102"/>
        <v>54825.376975687097</v>
      </c>
      <c r="O2853" s="180">
        <f t="shared" ca="1" si="103"/>
        <v>0.18645804246992578</v>
      </c>
      <c r="P2853" s="180"/>
      <c r="Q2853" s="180"/>
      <c r="R2853" s="180"/>
      <c r="S2853" s="180"/>
      <c r="T2853" s="180"/>
    </row>
    <row r="2854" spans="1:20" x14ac:dyDescent="0.25">
      <c r="A2854" t="s">
        <v>236</v>
      </c>
      <c r="B2854" t="s">
        <v>237</v>
      </c>
      <c r="C2854" t="s">
        <v>238</v>
      </c>
      <c r="D2854" t="s">
        <v>270</v>
      </c>
      <c r="E2854" t="s">
        <v>228</v>
      </c>
      <c r="F2854">
        <v>2016</v>
      </c>
      <c r="G2854">
        <v>2.0737760000000001E-2</v>
      </c>
      <c r="H2854" t="s">
        <v>240</v>
      </c>
      <c r="I2854" t="s">
        <v>241</v>
      </c>
      <c r="J2854" t="s">
        <v>245</v>
      </c>
      <c r="K2854" s="183">
        <f ca="1">VLOOKUP(F2854,
    OFFSET(INDIRECT(ADDRESS(MATCH(J2854,'Vehicle numbers'!$A$5:$A$162,0),1,1,1,$L$6)),4,1,COUNTIF('Vehicle numbers'!$A$5:$A$162,J2854),4),
    MATCH(K$8,'Vehicle numbers'!$B$4:$D$4,0))*1000</f>
        <v>280057</v>
      </c>
      <c r="L2854" s="183">
        <f ca="1">VLOOKUP(F2854,
    OFFSET(INDIRECT(ADDRESS(MATCH(J2854,'Vehicle numbers'!$A$5:$A$162,0),1,1,1,$L$6)),4,1,COUNTIF('Vehicle numbers'!$A$5:$A$162,J2854),4),
    MATCH(L$8,'Vehicle numbers'!$B$4:$D$4,0))*1000</f>
        <v>294036</v>
      </c>
      <c r="M2854" s="184">
        <f ca="1">VLOOKUP(F2854,'Annual distance covered (GB)'!$A$8:$H$33,MATCH(J2854,'Annual distance covered (GB)'!$A$7:$H$7,0))</f>
        <v>12.8</v>
      </c>
      <c r="N2854" s="2">
        <f t="shared" ca="1" si="102"/>
        <v>278692.88891835592</v>
      </c>
      <c r="O2854" s="180">
        <f t="shared" ca="1" si="103"/>
        <v>0.94781893685928231</v>
      </c>
      <c r="P2854" s="180"/>
      <c r="Q2854" s="180"/>
      <c r="R2854" s="180"/>
      <c r="S2854" s="180"/>
      <c r="T2854" s="180"/>
    </row>
    <row r="2855" spans="1:20" x14ac:dyDescent="0.25">
      <c r="A2855" t="s">
        <v>243</v>
      </c>
      <c r="B2855" t="s">
        <v>237</v>
      </c>
      <c r="C2855" t="s">
        <v>238</v>
      </c>
      <c r="D2855" t="s">
        <v>270</v>
      </c>
      <c r="E2855" t="s">
        <v>228</v>
      </c>
      <c r="F2855">
        <v>2016</v>
      </c>
      <c r="G2855">
        <v>1.4516431999999999E-2</v>
      </c>
      <c r="H2855" t="s">
        <v>240</v>
      </c>
      <c r="I2855" t="s">
        <v>241</v>
      </c>
      <c r="J2855" t="s">
        <v>245</v>
      </c>
      <c r="K2855" s="183">
        <f ca="1">VLOOKUP(F2855,
    OFFSET(INDIRECT(ADDRESS(MATCH(J2855,'Vehicle numbers'!$A$5:$A$162,0),1,1,1,$L$6)),4,1,COUNTIF('Vehicle numbers'!$A$5:$A$162,J2855),4),
    MATCH(K$8,'Vehicle numbers'!$B$4:$D$4,0))*1000</f>
        <v>280057</v>
      </c>
      <c r="L2855" s="183">
        <f ca="1">VLOOKUP(F2855,
    OFFSET(INDIRECT(ADDRESS(MATCH(J2855,'Vehicle numbers'!$A$5:$A$162,0),1,1,1,$L$6)),4,1,COUNTIF('Vehicle numbers'!$A$5:$A$162,J2855),4),
    MATCH(L$8,'Vehicle numbers'!$B$4:$D$4,0))*1000</f>
        <v>294036</v>
      </c>
      <c r="M2855" s="184">
        <f ca="1">VLOOKUP(F2855,'Annual distance covered (GB)'!$A$8:$H$33,MATCH(J2855,'Annual distance covered (GB)'!$A$7:$H$7,0))</f>
        <v>12.8</v>
      </c>
      <c r="N2855" s="2">
        <f t="shared" ca="1" si="102"/>
        <v>195085.02224284914</v>
      </c>
      <c r="O2855" s="180">
        <f t="shared" ca="1" si="103"/>
        <v>0.66347325580149752</v>
      </c>
      <c r="P2855" s="180"/>
      <c r="Q2855" s="180"/>
      <c r="R2855" s="180"/>
      <c r="S2855" s="180"/>
      <c r="T2855" s="180"/>
    </row>
    <row r="2856" spans="1:20" x14ac:dyDescent="0.25">
      <c r="A2856" t="s">
        <v>244</v>
      </c>
      <c r="B2856" t="s">
        <v>237</v>
      </c>
      <c r="C2856" t="s">
        <v>238</v>
      </c>
      <c r="D2856" t="s">
        <v>270</v>
      </c>
      <c r="E2856" t="s">
        <v>228</v>
      </c>
      <c r="F2856">
        <v>2016</v>
      </c>
      <c r="G2856">
        <v>2.0445678873239402E-3</v>
      </c>
      <c r="H2856" t="s">
        <v>240</v>
      </c>
      <c r="I2856" t="s">
        <v>241</v>
      </c>
      <c r="J2856" t="s">
        <v>245</v>
      </c>
      <c r="K2856" s="183">
        <f ca="1">VLOOKUP(F2856,
    OFFSET(INDIRECT(ADDRESS(MATCH(J2856,'Vehicle numbers'!$A$5:$A$162,0),1,1,1,$L$6)),4,1,COUNTIF('Vehicle numbers'!$A$5:$A$162,J2856),4),
    MATCH(K$8,'Vehicle numbers'!$B$4:$D$4,0))*1000</f>
        <v>280057</v>
      </c>
      <c r="L2856" s="183">
        <f ca="1">VLOOKUP(F2856,
    OFFSET(INDIRECT(ADDRESS(MATCH(J2856,'Vehicle numbers'!$A$5:$A$162,0),1,1,1,$L$6)),4,1,COUNTIF('Vehicle numbers'!$A$5:$A$162,J2856),4),
    MATCH(L$8,'Vehicle numbers'!$B$4:$D$4,0))*1000</f>
        <v>294036</v>
      </c>
      <c r="M2856" s="184">
        <f ca="1">VLOOKUP(F2856,'Annual distance covered (GB)'!$A$8:$H$33,MATCH(J2856,'Annual distance covered (GB)'!$A$7:$H$7,0))</f>
        <v>12.8</v>
      </c>
      <c r="N2856" s="2">
        <f t="shared" ca="1" si="102"/>
        <v>27476.763696175891</v>
      </c>
      <c r="O2856" s="180">
        <f t="shared" ca="1" si="103"/>
        <v>9.3446937436830496E-2</v>
      </c>
      <c r="P2856" s="180"/>
      <c r="Q2856" s="180"/>
      <c r="R2856" s="180"/>
      <c r="S2856" s="180"/>
      <c r="T2856" s="180"/>
    </row>
    <row r="2857" spans="1:20" x14ac:dyDescent="0.25">
      <c r="A2857" t="s">
        <v>246</v>
      </c>
      <c r="B2857" t="s">
        <v>237</v>
      </c>
      <c r="C2857" t="s">
        <v>238</v>
      </c>
      <c r="D2857" t="s">
        <v>270</v>
      </c>
      <c r="E2857" t="s">
        <v>228</v>
      </c>
      <c r="F2857">
        <v>2016</v>
      </c>
      <c r="G2857">
        <v>1.6356543098591499E-3</v>
      </c>
      <c r="H2857" t="s">
        <v>240</v>
      </c>
      <c r="I2857" t="s">
        <v>241</v>
      </c>
      <c r="J2857" t="s">
        <v>245</v>
      </c>
      <c r="K2857" s="183">
        <f ca="1">VLOOKUP(F2857,
    OFFSET(INDIRECT(ADDRESS(MATCH(J2857,'Vehicle numbers'!$A$5:$A$162,0),1,1,1,$L$6)),4,1,COUNTIF('Vehicle numbers'!$A$5:$A$162,J2857),4),
    MATCH(K$8,'Vehicle numbers'!$B$4:$D$4,0))*1000</f>
        <v>280057</v>
      </c>
      <c r="L2857" s="183">
        <f ca="1">VLOOKUP(F2857,
    OFFSET(INDIRECT(ADDRESS(MATCH(J2857,'Vehicle numbers'!$A$5:$A$162,0),1,1,1,$L$6)),4,1,COUNTIF('Vehicle numbers'!$A$5:$A$162,J2857),4),
    MATCH(L$8,'Vehicle numbers'!$B$4:$D$4,0))*1000</f>
        <v>294036</v>
      </c>
      <c r="M2857" s="184">
        <f ca="1">VLOOKUP(F2857,'Annual distance covered (GB)'!$A$8:$H$33,MATCH(J2857,'Annual distance covered (GB)'!$A$7:$H$7,0))</f>
        <v>12.8</v>
      </c>
      <c r="N2857" s="2">
        <f t="shared" ca="1" si="102"/>
        <v>21981.410956940679</v>
      </c>
      <c r="O2857" s="180">
        <f t="shared" ca="1" si="103"/>
        <v>7.4757549949464278E-2</v>
      </c>
      <c r="P2857" s="180"/>
      <c r="Q2857" s="180"/>
      <c r="R2857" s="180"/>
      <c r="S2857" s="180"/>
      <c r="T2857" s="180"/>
    </row>
    <row r="2858" spans="1:20" x14ac:dyDescent="0.25">
      <c r="A2858" t="s">
        <v>236</v>
      </c>
      <c r="B2858" t="s">
        <v>237</v>
      </c>
      <c r="C2858" t="s">
        <v>238</v>
      </c>
      <c r="D2858" t="s">
        <v>257</v>
      </c>
      <c r="E2858" t="s">
        <v>229</v>
      </c>
      <c r="F2858">
        <v>2016</v>
      </c>
      <c r="G2858">
        <v>2.1210000000000001E-3</v>
      </c>
      <c r="H2858" t="s">
        <v>240</v>
      </c>
      <c r="I2858" t="s">
        <v>241</v>
      </c>
      <c r="J2858" t="s">
        <v>188</v>
      </c>
      <c r="K2858" s="183">
        <f ca="1">VLOOKUP(F2858,
    OFFSET(INDIRECT(ADDRESS(MATCH(J2858,'Vehicle numbers'!$A$5:$A$162,0),1,1,1,$L$6)),4,1,COUNTIF('Vehicle numbers'!$A$5:$A$162,J2858),4),
    MATCH(K$8,'Vehicle numbers'!$B$4:$D$4,0))*1000</f>
        <v>3781984</v>
      </c>
      <c r="L2858" s="183">
        <f ca="1">VLOOKUP(F2858,
    OFFSET(INDIRECT(ADDRESS(MATCH(J2858,'Vehicle numbers'!$A$5:$A$162,0),1,1,1,$L$6)),4,1,COUNTIF('Vehicle numbers'!$A$5:$A$162,J2858),4),
    MATCH(L$8,'Vehicle numbers'!$B$4:$D$4,0))*1000</f>
        <v>3889681</v>
      </c>
      <c r="M2858" s="184">
        <f>VLOOKUP(F2858,'Annual distance covered (GB)'!$A$8:$H$33,MATCH(J2858,'Annual distance covered (GB)'!$A$7:$H$7,0))</f>
        <v>83.1</v>
      </c>
      <c r="N2858" s="2">
        <f t="shared" ca="1" si="102"/>
        <v>181274.19725284402</v>
      </c>
      <c r="O2858" s="180">
        <f t="shared" ca="1" si="103"/>
        <v>4.6603872464822699E-2</v>
      </c>
      <c r="P2858" s="180"/>
      <c r="Q2858" s="180"/>
      <c r="R2858" s="180"/>
      <c r="S2858" s="180"/>
      <c r="T2858" s="180"/>
    </row>
    <row r="2859" spans="1:20" x14ac:dyDescent="0.25">
      <c r="A2859" t="s">
        <v>243</v>
      </c>
      <c r="B2859" t="s">
        <v>237</v>
      </c>
      <c r="C2859" t="s">
        <v>238</v>
      </c>
      <c r="D2859" t="s">
        <v>257</v>
      </c>
      <c r="E2859" t="s">
        <v>229</v>
      </c>
      <c r="F2859">
        <v>2016</v>
      </c>
      <c r="G2859">
        <v>8.4840000000000002E-4</v>
      </c>
      <c r="H2859" t="s">
        <v>240</v>
      </c>
      <c r="I2859" t="s">
        <v>241</v>
      </c>
      <c r="J2859" t="s">
        <v>188</v>
      </c>
      <c r="K2859" s="183">
        <f ca="1">VLOOKUP(F2859,
    OFFSET(INDIRECT(ADDRESS(MATCH(J2859,'Vehicle numbers'!$A$5:$A$162,0),1,1,1,$L$6)),4,1,COUNTIF('Vehicle numbers'!$A$5:$A$162,J2859),4),
    MATCH(K$8,'Vehicle numbers'!$B$4:$D$4,0))*1000</f>
        <v>3781984</v>
      </c>
      <c r="L2859" s="183">
        <f ca="1">VLOOKUP(F2859,
    OFFSET(INDIRECT(ADDRESS(MATCH(J2859,'Vehicle numbers'!$A$5:$A$162,0),1,1,1,$L$6)),4,1,COUNTIF('Vehicle numbers'!$A$5:$A$162,J2859),4),
    MATCH(L$8,'Vehicle numbers'!$B$4:$D$4,0))*1000</f>
        <v>3889681</v>
      </c>
      <c r="M2859" s="184">
        <f>VLOOKUP(F2859,'Annual distance covered (GB)'!$A$8:$H$33,MATCH(J2859,'Annual distance covered (GB)'!$A$7:$H$7,0))</f>
        <v>83.1</v>
      </c>
      <c r="N2859" s="2">
        <f t="shared" ca="1" si="102"/>
        <v>72509.67890113761</v>
      </c>
      <c r="O2859" s="180">
        <f t="shared" ca="1" si="103"/>
        <v>1.8641548985929079E-2</v>
      </c>
      <c r="P2859" s="180"/>
      <c r="Q2859" s="180"/>
      <c r="R2859" s="180"/>
      <c r="S2859" s="180"/>
      <c r="T2859" s="180"/>
    </row>
    <row r="2860" spans="1:20" x14ac:dyDescent="0.25">
      <c r="A2860" t="s">
        <v>244</v>
      </c>
      <c r="B2860" t="s">
        <v>237</v>
      </c>
      <c r="C2860" t="s">
        <v>238</v>
      </c>
      <c r="D2860" t="s">
        <v>257</v>
      </c>
      <c r="E2860" t="s">
        <v>229</v>
      </c>
      <c r="F2860">
        <v>2016</v>
      </c>
      <c r="G2860">
        <v>2.1210000000000001E-4</v>
      </c>
      <c r="H2860" t="s">
        <v>240</v>
      </c>
      <c r="I2860" t="s">
        <v>241</v>
      </c>
      <c r="J2860" t="s">
        <v>188</v>
      </c>
      <c r="K2860" s="183">
        <f ca="1">VLOOKUP(F2860,
    OFFSET(INDIRECT(ADDRESS(MATCH(J2860,'Vehicle numbers'!$A$5:$A$162,0),1,1,1,$L$6)),4,1,COUNTIF('Vehicle numbers'!$A$5:$A$162,J2860),4),
    MATCH(K$8,'Vehicle numbers'!$B$4:$D$4,0))*1000</f>
        <v>3781984</v>
      </c>
      <c r="L2860" s="183">
        <f ca="1">VLOOKUP(F2860,
    OFFSET(INDIRECT(ADDRESS(MATCH(J2860,'Vehicle numbers'!$A$5:$A$162,0),1,1,1,$L$6)),4,1,COUNTIF('Vehicle numbers'!$A$5:$A$162,J2860),4),
    MATCH(L$8,'Vehicle numbers'!$B$4:$D$4,0))*1000</f>
        <v>3889681</v>
      </c>
      <c r="M2860" s="184">
        <f>VLOOKUP(F2860,'Annual distance covered (GB)'!$A$8:$H$33,MATCH(J2860,'Annual distance covered (GB)'!$A$7:$H$7,0))</f>
        <v>83.1</v>
      </c>
      <c r="N2860" s="2">
        <f t="shared" ca="1" si="102"/>
        <v>18127.419725284402</v>
      </c>
      <c r="O2860" s="180">
        <f t="shared" ca="1" si="103"/>
        <v>4.6603872464822697E-3</v>
      </c>
      <c r="P2860" s="180"/>
      <c r="Q2860" s="180"/>
      <c r="R2860" s="180"/>
      <c r="S2860" s="180"/>
      <c r="T2860" s="180"/>
    </row>
    <row r="2861" spans="1:20" x14ac:dyDescent="0.25">
      <c r="A2861" t="s">
        <v>246</v>
      </c>
      <c r="B2861" t="s">
        <v>237</v>
      </c>
      <c r="C2861" t="s">
        <v>238</v>
      </c>
      <c r="D2861" t="s">
        <v>257</v>
      </c>
      <c r="E2861" t="s">
        <v>229</v>
      </c>
      <c r="F2861">
        <v>2016</v>
      </c>
      <c r="G2861">
        <v>1.6967999999999999E-4</v>
      </c>
      <c r="H2861" t="s">
        <v>240</v>
      </c>
      <c r="I2861" t="s">
        <v>241</v>
      </c>
      <c r="J2861" t="s">
        <v>188</v>
      </c>
      <c r="K2861" s="183">
        <f ca="1">VLOOKUP(F2861,
    OFFSET(INDIRECT(ADDRESS(MATCH(J2861,'Vehicle numbers'!$A$5:$A$162,0),1,1,1,$L$6)),4,1,COUNTIF('Vehicle numbers'!$A$5:$A$162,J2861),4),
    MATCH(K$8,'Vehicle numbers'!$B$4:$D$4,0))*1000</f>
        <v>3781984</v>
      </c>
      <c r="L2861" s="183">
        <f ca="1">VLOOKUP(F2861,
    OFFSET(INDIRECT(ADDRESS(MATCH(J2861,'Vehicle numbers'!$A$5:$A$162,0),1,1,1,$L$6)),4,1,COUNTIF('Vehicle numbers'!$A$5:$A$162,J2861),4),
    MATCH(L$8,'Vehicle numbers'!$B$4:$D$4,0))*1000</f>
        <v>3889681</v>
      </c>
      <c r="M2861" s="184">
        <f>VLOOKUP(F2861,'Annual distance covered (GB)'!$A$8:$H$33,MATCH(J2861,'Annual distance covered (GB)'!$A$7:$H$7,0))</f>
        <v>83.1</v>
      </c>
      <c r="N2861" s="2">
        <f t="shared" ca="1" si="102"/>
        <v>14501.935780227519</v>
      </c>
      <c r="O2861" s="180">
        <f t="shared" ca="1" si="103"/>
        <v>3.7283097971858152E-3</v>
      </c>
      <c r="P2861" s="180"/>
      <c r="Q2861" s="180"/>
      <c r="R2861" s="180"/>
      <c r="S2861" s="180"/>
      <c r="T2861" s="180"/>
    </row>
    <row r="2862" spans="1:20" x14ac:dyDescent="0.25">
      <c r="A2862" t="s">
        <v>236</v>
      </c>
      <c r="B2862" t="s">
        <v>237</v>
      </c>
      <c r="C2862" t="s">
        <v>238</v>
      </c>
      <c r="D2862" t="s">
        <v>257</v>
      </c>
      <c r="E2862" t="s">
        <v>228</v>
      </c>
      <c r="F2862">
        <v>2016</v>
      </c>
      <c r="G2862">
        <v>9.1459999999999996E-3</v>
      </c>
      <c r="H2862" t="s">
        <v>240</v>
      </c>
      <c r="I2862" t="s">
        <v>241</v>
      </c>
      <c r="J2862" t="s">
        <v>188</v>
      </c>
      <c r="K2862" s="183">
        <f ca="1">VLOOKUP(F2862,
    OFFSET(INDIRECT(ADDRESS(MATCH(J2862,'Vehicle numbers'!$A$5:$A$162,0),1,1,1,$L$6)),4,1,COUNTIF('Vehicle numbers'!$A$5:$A$162,J2862),4),
    MATCH(K$8,'Vehicle numbers'!$B$4:$D$4,0))*1000</f>
        <v>3781984</v>
      </c>
      <c r="L2862" s="183">
        <f ca="1">VLOOKUP(F2862,
    OFFSET(INDIRECT(ADDRESS(MATCH(J2862,'Vehicle numbers'!$A$5:$A$162,0),1,1,1,$L$6)),4,1,COUNTIF('Vehicle numbers'!$A$5:$A$162,J2862),4),
    MATCH(L$8,'Vehicle numbers'!$B$4:$D$4,0))*1000</f>
        <v>3889681</v>
      </c>
      <c r="M2862" s="184">
        <f>VLOOKUP(F2862,'Annual distance covered (GB)'!$A$8:$H$33,MATCH(J2862,'Annual distance covered (GB)'!$A$7:$H$7,0))</f>
        <v>83.1</v>
      </c>
      <c r="N2862" s="2">
        <f t="shared" ca="1" si="102"/>
        <v>781675.53421711992</v>
      </c>
      <c r="O2862" s="180">
        <f t="shared" ca="1" si="103"/>
        <v>0.20096134727169654</v>
      </c>
      <c r="P2862" s="180"/>
      <c r="Q2862" s="180"/>
      <c r="R2862" s="180"/>
      <c r="S2862" s="180"/>
      <c r="T2862" s="180"/>
    </row>
    <row r="2863" spans="1:20" x14ac:dyDescent="0.25">
      <c r="A2863" t="s">
        <v>243</v>
      </c>
      <c r="B2863" t="s">
        <v>237</v>
      </c>
      <c r="C2863" t="s">
        <v>238</v>
      </c>
      <c r="D2863" t="s">
        <v>257</v>
      </c>
      <c r="E2863" t="s">
        <v>228</v>
      </c>
      <c r="F2863">
        <v>2016</v>
      </c>
      <c r="G2863">
        <v>6.4022000000000003E-3</v>
      </c>
      <c r="H2863" t="s">
        <v>240</v>
      </c>
      <c r="I2863" t="s">
        <v>241</v>
      </c>
      <c r="J2863" t="s">
        <v>188</v>
      </c>
      <c r="K2863" s="183">
        <f ca="1">VLOOKUP(F2863,
    OFFSET(INDIRECT(ADDRESS(MATCH(J2863,'Vehicle numbers'!$A$5:$A$162,0),1,1,1,$L$6)),4,1,COUNTIF('Vehicle numbers'!$A$5:$A$162,J2863),4),
    MATCH(K$8,'Vehicle numbers'!$B$4:$D$4,0))*1000</f>
        <v>3781984</v>
      </c>
      <c r="L2863" s="183">
        <f ca="1">VLOOKUP(F2863,
    OFFSET(INDIRECT(ADDRESS(MATCH(J2863,'Vehicle numbers'!$A$5:$A$162,0),1,1,1,$L$6)),4,1,COUNTIF('Vehicle numbers'!$A$5:$A$162,J2863),4),
    MATCH(L$8,'Vehicle numbers'!$B$4:$D$4,0))*1000</f>
        <v>3889681</v>
      </c>
      <c r="M2863" s="184">
        <f>VLOOKUP(F2863,'Annual distance covered (GB)'!$A$8:$H$33,MATCH(J2863,'Annual distance covered (GB)'!$A$7:$H$7,0))</f>
        <v>83.1</v>
      </c>
      <c r="N2863" s="2">
        <f t="shared" ca="1" si="102"/>
        <v>547172.87395198399</v>
      </c>
      <c r="O2863" s="180">
        <f t="shared" ca="1" si="103"/>
        <v>0.1406729430901876</v>
      </c>
      <c r="P2863" s="180"/>
      <c r="Q2863" s="180"/>
      <c r="R2863" s="180"/>
      <c r="S2863" s="180"/>
      <c r="T2863" s="180"/>
    </row>
    <row r="2864" spans="1:20" x14ac:dyDescent="0.25">
      <c r="A2864" t="s">
        <v>244</v>
      </c>
      <c r="B2864" t="s">
        <v>237</v>
      </c>
      <c r="C2864" t="s">
        <v>238</v>
      </c>
      <c r="D2864" t="s">
        <v>257</v>
      </c>
      <c r="E2864" t="s">
        <v>228</v>
      </c>
      <c r="F2864">
        <v>2016</v>
      </c>
      <c r="G2864">
        <v>9.0171830985915399E-4</v>
      </c>
      <c r="H2864" t="s">
        <v>240</v>
      </c>
      <c r="I2864" t="s">
        <v>241</v>
      </c>
      <c r="J2864" t="s">
        <v>188</v>
      </c>
      <c r="K2864" s="183">
        <f ca="1">VLOOKUP(F2864,
    OFFSET(INDIRECT(ADDRESS(MATCH(J2864,'Vehicle numbers'!$A$5:$A$162,0),1,1,1,$L$6)),4,1,COUNTIF('Vehicle numbers'!$A$5:$A$162,J2864),4),
    MATCH(K$8,'Vehicle numbers'!$B$4:$D$4,0))*1000</f>
        <v>3781984</v>
      </c>
      <c r="L2864" s="183">
        <f ca="1">VLOOKUP(F2864,
    OFFSET(INDIRECT(ADDRESS(MATCH(J2864,'Vehicle numbers'!$A$5:$A$162,0),1,1,1,$L$6)),4,1,COUNTIF('Vehicle numbers'!$A$5:$A$162,J2864),4),
    MATCH(L$8,'Vehicle numbers'!$B$4:$D$4,0))*1000</f>
        <v>3889681</v>
      </c>
      <c r="M2864" s="184">
        <f>VLOOKUP(F2864,'Annual distance covered (GB)'!$A$8:$H$33,MATCH(J2864,'Annual distance covered (GB)'!$A$7:$H$7,0))</f>
        <v>83.1</v>
      </c>
      <c r="N2864" s="2">
        <f t="shared" ca="1" si="102"/>
        <v>77066.601965068083</v>
      </c>
      <c r="O2864" s="180">
        <f t="shared" ca="1" si="103"/>
        <v>1.9813090576082739E-2</v>
      </c>
      <c r="P2864" s="180"/>
      <c r="Q2864" s="180"/>
      <c r="R2864" s="180"/>
      <c r="S2864" s="180"/>
      <c r="T2864" s="180"/>
    </row>
    <row r="2865" spans="1:20" x14ac:dyDescent="0.25">
      <c r="A2865" t="s">
        <v>246</v>
      </c>
      <c r="B2865" t="s">
        <v>237</v>
      </c>
      <c r="C2865" t="s">
        <v>238</v>
      </c>
      <c r="D2865" t="s">
        <v>257</v>
      </c>
      <c r="E2865" t="s">
        <v>228</v>
      </c>
      <c r="F2865">
        <v>2016</v>
      </c>
      <c r="G2865">
        <v>7.21374647887323E-4</v>
      </c>
      <c r="H2865" t="s">
        <v>240</v>
      </c>
      <c r="I2865" t="s">
        <v>241</v>
      </c>
      <c r="J2865" t="s">
        <v>188</v>
      </c>
      <c r="K2865" s="183">
        <f ca="1">VLOOKUP(F2865,
    OFFSET(INDIRECT(ADDRESS(MATCH(J2865,'Vehicle numbers'!$A$5:$A$162,0),1,1,1,$L$6)),4,1,COUNTIF('Vehicle numbers'!$A$5:$A$162,J2865),4),
    MATCH(K$8,'Vehicle numbers'!$B$4:$D$4,0))*1000</f>
        <v>3781984</v>
      </c>
      <c r="L2865" s="183">
        <f ca="1">VLOOKUP(F2865,
    OFFSET(INDIRECT(ADDRESS(MATCH(J2865,'Vehicle numbers'!$A$5:$A$162,0),1,1,1,$L$6)),4,1,COUNTIF('Vehicle numbers'!$A$5:$A$162,J2865),4),
    MATCH(L$8,'Vehicle numbers'!$B$4:$D$4,0))*1000</f>
        <v>3889681</v>
      </c>
      <c r="M2865" s="184">
        <f>VLOOKUP(F2865,'Annual distance covered (GB)'!$A$8:$H$33,MATCH(J2865,'Annual distance covered (GB)'!$A$7:$H$7,0))</f>
        <v>83.1</v>
      </c>
      <c r="N2865" s="2">
        <f t="shared" ca="1" si="102"/>
        <v>61653.281572054446</v>
      </c>
      <c r="O2865" s="180">
        <f t="shared" ca="1" si="103"/>
        <v>1.5850472460866186E-2</v>
      </c>
      <c r="P2865" s="180"/>
      <c r="Q2865" s="180"/>
      <c r="R2865" s="180"/>
      <c r="S2865" s="180"/>
      <c r="T2865" s="180"/>
    </row>
    <row r="2866" spans="1:20" x14ac:dyDescent="0.25">
      <c r="A2866" t="s">
        <v>236</v>
      </c>
      <c r="B2866" t="s">
        <v>237</v>
      </c>
      <c r="C2866" t="s">
        <v>238</v>
      </c>
      <c r="D2866" t="s">
        <v>258</v>
      </c>
      <c r="E2866" t="s">
        <v>229</v>
      </c>
      <c r="F2866">
        <v>2016</v>
      </c>
      <c r="G2866">
        <v>8.6219999999999908E-3</v>
      </c>
      <c r="H2866" t="s">
        <v>240</v>
      </c>
      <c r="I2866" t="s">
        <v>241</v>
      </c>
      <c r="J2866" t="s">
        <v>188</v>
      </c>
      <c r="K2866" s="183">
        <f ca="1">VLOOKUP(F2866,
    OFFSET(INDIRECT(ADDRESS(MATCH(J2866,'Vehicle numbers'!$A$5:$A$162,0),1,1,1,$L$6)),4,1,COUNTIF('Vehicle numbers'!$A$5:$A$162,J2866),4),
    MATCH(K$8,'Vehicle numbers'!$B$4:$D$4,0))*1000</f>
        <v>3781984</v>
      </c>
      <c r="L2866" s="183">
        <f ca="1">VLOOKUP(F2866,
    OFFSET(INDIRECT(ADDRESS(MATCH(J2866,'Vehicle numbers'!$A$5:$A$162,0),1,1,1,$L$6)),4,1,COUNTIF('Vehicle numbers'!$A$5:$A$162,J2866),4),
    MATCH(L$8,'Vehicle numbers'!$B$4:$D$4,0))*1000</f>
        <v>3889681</v>
      </c>
      <c r="M2866" s="184">
        <f>VLOOKUP(F2866,'Annual distance covered (GB)'!$A$8:$H$33,MATCH(J2866,'Annual distance covered (GB)'!$A$7:$H$7,0))</f>
        <v>83.1</v>
      </c>
      <c r="N2866" s="2">
        <f t="shared" ca="1" si="102"/>
        <v>736891.14979444561</v>
      </c>
      <c r="O2866" s="180">
        <f t="shared" ca="1" si="103"/>
        <v>0.18944770786973164</v>
      </c>
      <c r="P2866" s="180"/>
      <c r="Q2866" s="180"/>
      <c r="R2866" s="180"/>
      <c r="S2866" s="180"/>
      <c r="T2866" s="180"/>
    </row>
    <row r="2867" spans="1:20" x14ac:dyDescent="0.25">
      <c r="A2867" t="s">
        <v>243</v>
      </c>
      <c r="B2867" t="s">
        <v>237</v>
      </c>
      <c r="C2867" t="s">
        <v>238</v>
      </c>
      <c r="D2867" t="s">
        <v>258</v>
      </c>
      <c r="E2867" t="s">
        <v>229</v>
      </c>
      <c r="F2867">
        <v>2016</v>
      </c>
      <c r="G2867">
        <v>3.4488000000000001E-3</v>
      </c>
      <c r="H2867" t="s">
        <v>240</v>
      </c>
      <c r="I2867" t="s">
        <v>241</v>
      </c>
      <c r="J2867" t="s">
        <v>188</v>
      </c>
      <c r="K2867" s="183">
        <f ca="1">VLOOKUP(F2867,
    OFFSET(INDIRECT(ADDRESS(MATCH(J2867,'Vehicle numbers'!$A$5:$A$162,0),1,1,1,$L$6)),4,1,COUNTIF('Vehicle numbers'!$A$5:$A$162,J2867),4),
    MATCH(K$8,'Vehicle numbers'!$B$4:$D$4,0))*1000</f>
        <v>3781984</v>
      </c>
      <c r="L2867" s="183">
        <f ca="1">VLOOKUP(F2867,
    OFFSET(INDIRECT(ADDRESS(MATCH(J2867,'Vehicle numbers'!$A$5:$A$162,0),1,1,1,$L$6)),4,1,COUNTIF('Vehicle numbers'!$A$5:$A$162,J2867),4),
    MATCH(L$8,'Vehicle numbers'!$B$4:$D$4,0))*1000</f>
        <v>3889681</v>
      </c>
      <c r="M2867" s="184">
        <f>VLOOKUP(F2867,'Annual distance covered (GB)'!$A$8:$H$33,MATCH(J2867,'Annual distance covered (GB)'!$A$7:$H$7,0))</f>
        <v>83.1</v>
      </c>
      <c r="N2867" s="2">
        <f t="shared" ca="1" si="102"/>
        <v>294756.45991777861</v>
      </c>
      <c r="O2867" s="180">
        <f t="shared" ca="1" si="103"/>
        <v>7.5779083147892751E-2</v>
      </c>
      <c r="P2867" s="180"/>
      <c r="Q2867" s="180"/>
      <c r="R2867" s="180"/>
      <c r="S2867" s="180"/>
      <c r="T2867" s="180"/>
    </row>
    <row r="2868" spans="1:20" x14ac:dyDescent="0.25">
      <c r="A2868" t="s">
        <v>244</v>
      </c>
      <c r="B2868" t="s">
        <v>237</v>
      </c>
      <c r="C2868" t="s">
        <v>238</v>
      </c>
      <c r="D2868" t="s">
        <v>258</v>
      </c>
      <c r="E2868" t="s">
        <v>229</v>
      </c>
      <c r="F2868">
        <v>2016</v>
      </c>
      <c r="G2868">
        <v>8.6220000000000003E-4</v>
      </c>
      <c r="H2868" t="s">
        <v>240</v>
      </c>
      <c r="I2868" t="s">
        <v>241</v>
      </c>
      <c r="J2868" t="s">
        <v>188</v>
      </c>
      <c r="K2868" s="183">
        <f ca="1">VLOOKUP(F2868,
    OFFSET(INDIRECT(ADDRESS(MATCH(J2868,'Vehicle numbers'!$A$5:$A$162,0),1,1,1,$L$6)),4,1,COUNTIF('Vehicle numbers'!$A$5:$A$162,J2868),4),
    MATCH(K$8,'Vehicle numbers'!$B$4:$D$4,0))*1000</f>
        <v>3781984</v>
      </c>
      <c r="L2868" s="183">
        <f ca="1">VLOOKUP(F2868,
    OFFSET(INDIRECT(ADDRESS(MATCH(J2868,'Vehicle numbers'!$A$5:$A$162,0),1,1,1,$L$6)),4,1,COUNTIF('Vehicle numbers'!$A$5:$A$162,J2868),4),
    MATCH(L$8,'Vehicle numbers'!$B$4:$D$4,0))*1000</f>
        <v>3889681</v>
      </c>
      <c r="M2868" s="184">
        <f>VLOOKUP(F2868,'Annual distance covered (GB)'!$A$8:$H$33,MATCH(J2868,'Annual distance covered (GB)'!$A$7:$H$7,0))</f>
        <v>83.1</v>
      </c>
      <c r="N2868" s="2">
        <f t="shared" ca="1" si="102"/>
        <v>73689.114979444654</v>
      </c>
      <c r="O2868" s="180">
        <f t="shared" ca="1" si="103"/>
        <v>1.8944770786973188E-2</v>
      </c>
      <c r="P2868" s="180"/>
      <c r="Q2868" s="180"/>
      <c r="R2868" s="180"/>
      <c r="S2868" s="180"/>
      <c r="T2868" s="180"/>
    </row>
    <row r="2869" spans="1:20" x14ac:dyDescent="0.25">
      <c r="A2869" t="s">
        <v>246</v>
      </c>
      <c r="B2869" t="s">
        <v>237</v>
      </c>
      <c r="C2869" t="s">
        <v>238</v>
      </c>
      <c r="D2869" t="s">
        <v>258</v>
      </c>
      <c r="E2869" t="s">
        <v>229</v>
      </c>
      <c r="F2869">
        <v>2016</v>
      </c>
      <c r="G2869">
        <v>6.8975999999999998E-4</v>
      </c>
      <c r="H2869" t="s">
        <v>240</v>
      </c>
      <c r="I2869" t="s">
        <v>241</v>
      </c>
      <c r="J2869" t="s">
        <v>188</v>
      </c>
      <c r="K2869" s="183">
        <f ca="1">VLOOKUP(F2869,
    OFFSET(INDIRECT(ADDRESS(MATCH(J2869,'Vehicle numbers'!$A$5:$A$162,0),1,1,1,$L$6)),4,1,COUNTIF('Vehicle numbers'!$A$5:$A$162,J2869),4),
    MATCH(K$8,'Vehicle numbers'!$B$4:$D$4,0))*1000</f>
        <v>3781984</v>
      </c>
      <c r="L2869" s="183">
        <f ca="1">VLOOKUP(F2869,
    OFFSET(INDIRECT(ADDRESS(MATCH(J2869,'Vehicle numbers'!$A$5:$A$162,0),1,1,1,$L$6)),4,1,COUNTIF('Vehicle numbers'!$A$5:$A$162,J2869),4),
    MATCH(L$8,'Vehicle numbers'!$B$4:$D$4,0))*1000</f>
        <v>3889681</v>
      </c>
      <c r="M2869" s="184">
        <f>VLOOKUP(F2869,'Annual distance covered (GB)'!$A$8:$H$33,MATCH(J2869,'Annual distance covered (GB)'!$A$7:$H$7,0))</f>
        <v>83.1</v>
      </c>
      <c r="N2869" s="2">
        <f t="shared" ca="1" si="102"/>
        <v>58951.291983555719</v>
      </c>
      <c r="O2869" s="180">
        <f t="shared" ca="1" si="103"/>
        <v>1.5155816629578548E-2</v>
      </c>
      <c r="P2869" s="180"/>
      <c r="Q2869" s="180"/>
      <c r="R2869" s="180"/>
      <c r="S2869" s="180"/>
      <c r="T2869" s="180"/>
    </row>
    <row r="2870" spans="1:20" x14ac:dyDescent="0.25">
      <c r="A2870" t="s">
        <v>236</v>
      </c>
      <c r="B2870" t="s">
        <v>237</v>
      </c>
      <c r="C2870" t="s">
        <v>238</v>
      </c>
      <c r="D2870" t="s">
        <v>258</v>
      </c>
      <c r="E2870" t="s">
        <v>228</v>
      </c>
      <c r="F2870">
        <v>2016</v>
      </c>
      <c r="G2870">
        <v>1.0741000000000001E-2</v>
      </c>
      <c r="H2870" t="s">
        <v>240</v>
      </c>
      <c r="I2870" t="s">
        <v>241</v>
      </c>
      <c r="J2870" t="s">
        <v>188</v>
      </c>
      <c r="K2870" s="183">
        <f ca="1">VLOOKUP(F2870,
    OFFSET(INDIRECT(ADDRESS(MATCH(J2870,'Vehicle numbers'!$A$5:$A$162,0),1,1,1,$L$6)),4,1,COUNTIF('Vehicle numbers'!$A$5:$A$162,J2870),4),
    MATCH(K$8,'Vehicle numbers'!$B$4:$D$4,0))*1000</f>
        <v>3781984</v>
      </c>
      <c r="L2870" s="183">
        <f ca="1">VLOOKUP(F2870,
    OFFSET(INDIRECT(ADDRESS(MATCH(J2870,'Vehicle numbers'!$A$5:$A$162,0),1,1,1,$L$6)),4,1,COUNTIF('Vehicle numbers'!$A$5:$A$162,J2870),4),
    MATCH(L$8,'Vehicle numbers'!$B$4:$D$4,0))*1000</f>
        <v>3889681</v>
      </c>
      <c r="M2870" s="184">
        <f>VLOOKUP(F2870,'Annual distance covered (GB)'!$A$8:$H$33,MATCH(J2870,'Annual distance covered (GB)'!$A$7:$H$7,0))</f>
        <v>83.1</v>
      </c>
      <c r="N2870" s="2">
        <f t="shared" ca="1" si="102"/>
        <v>917994.41428231844</v>
      </c>
      <c r="O2870" s="180">
        <f t="shared" ca="1" si="103"/>
        <v>0.23600763514599743</v>
      </c>
      <c r="P2870" s="180"/>
      <c r="Q2870" s="180"/>
      <c r="R2870" s="180"/>
      <c r="S2870" s="180"/>
      <c r="T2870" s="180"/>
    </row>
    <row r="2871" spans="1:20" x14ac:dyDescent="0.25">
      <c r="A2871" t="s">
        <v>243</v>
      </c>
      <c r="B2871" t="s">
        <v>237</v>
      </c>
      <c r="C2871" t="s">
        <v>238</v>
      </c>
      <c r="D2871" t="s">
        <v>258</v>
      </c>
      <c r="E2871" t="s">
        <v>228</v>
      </c>
      <c r="F2871">
        <v>2016</v>
      </c>
      <c r="G2871">
        <v>7.5186999999999997E-3</v>
      </c>
      <c r="H2871" t="s">
        <v>240</v>
      </c>
      <c r="I2871" t="s">
        <v>241</v>
      </c>
      <c r="J2871" t="s">
        <v>188</v>
      </c>
      <c r="K2871" s="183">
        <f ca="1">VLOOKUP(F2871,
    OFFSET(INDIRECT(ADDRESS(MATCH(J2871,'Vehicle numbers'!$A$5:$A$162,0),1,1,1,$L$6)),4,1,COUNTIF('Vehicle numbers'!$A$5:$A$162,J2871),4),
    MATCH(K$8,'Vehicle numbers'!$B$4:$D$4,0))*1000</f>
        <v>3781984</v>
      </c>
      <c r="L2871" s="183">
        <f ca="1">VLOOKUP(F2871,
    OFFSET(INDIRECT(ADDRESS(MATCH(J2871,'Vehicle numbers'!$A$5:$A$162,0),1,1,1,$L$6)),4,1,COUNTIF('Vehicle numbers'!$A$5:$A$162,J2871),4),
    MATCH(L$8,'Vehicle numbers'!$B$4:$D$4,0))*1000</f>
        <v>3889681</v>
      </c>
      <c r="M2871" s="184">
        <f>VLOOKUP(F2871,'Annual distance covered (GB)'!$A$8:$H$33,MATCH(J2871,'Annual distance covered (GB)'!$A$7:$H$7,0))</f>
        <v>83.1</v>
      </c>
      <c r="N2871" s="2">
        <f t="shared" ca="1" si="102"/>
        <v>642596.08999762288</v>
      </c>
      <c r="O2871" s="180">
        <f t="shared" ca="1" si="103"/>
        <v>0.16520534460219818</v>
      </c>
      <c r="P2871" s="180"/>
      <c r="Q2871" s="180"/>
      <c r="R2871" s="180"/>
      <c r="S2871" s="180"/>
      <c r="T2871" s="180"/>
    </row>
    <row r="2872" spans="1:20" x14ac:dyDescent="0.25">
      <c r="A2872" t="s">
        <v>244</v>
      </c>
      <c r="B2872" t="s">
        <v>237</v>
      </c>
      <c r="C2872" t="s">
        <v>238</v>
      </c>
      <c r="D2872" t="s">
        <v>258</v>
      </c>
      <c r="E2872" t="s">
        <v>228</v>
      </c>
      <c r="F2872">
        <v>2016</v>
      </c>
      <c r="G2872">
        <v>1.05897183098591E-3</v>
      </c>
      <c r="H2872" t="s">
        <v>240</v>
      </c>
      <c r="I2872" t="s">
        <v>241</v>
      </c>
      <c r="J2872" t="s">
        <v>188</v>
      </c>
      <c r="K2872" s="183">
        <f ca="1">VLOOKUP(F2872,
    OFFSET(INDIRECT(ADDRESS(MATCH(J2872,'Vehicle numbers'!$A$5:$A$162,0),1,1,1,$L$6)),4,1,COUNTIF('Vehicle numbers'!$A$5:$A$162,J2872),4),
    MATCH(K$8,'Vehicle numbers'!$B$4:$D$4,0))*1000</f>
        <v>3781984</v>
      </c>
      <c r="L2872" s="183">
        <f ca="1">VLOOKUP(F2872,
    OFFSET(INDIRECT(ADDRESS(MATCH(J2872,'Vehicle numbers'!$A$5:$A$162,0),1,1,1,$L$6)),4,1,COUNTIF('Vehicle numbers'!$A$5:$A$162,J2872),4),
    MATCH(L$8,'Vehicle numbers'!$B$4:$D$4,0))*1000</f>
        <v>3889681</v>
      </c>
      <c r="M2872" s="184">
        <f>VLOOKUP(F2872,'Annual distance covered (GB)'!$A$8:$H$33,MATCH(J2872,'Annual distance covered (GB)'!$A$7:$H$7,0))</f>
        <v>83.1</v>
      </c>
      <c r="N2872" s="2">
        <f t="shared" ca="1" si="102"/>
        <v>90506.491548960505</v>
      </c>
      <c r="O2872" s="180">
        <f t="shared" ca="1" si="103"/>
        <v>2.3268358394675684E-2</v>
      </c>
      <c r="P2872" s="180"/>
      <c r="Q2872" s="180"/>
      <c r="R2872" s="180"/>
      <c r="S2872" s="180"/>
      <c r="T2872" s="180"/>
    </row>
    <row r="2873" spans="1:20" x14ac:dyDescent="0.25">
      <c r="A2873" t="s">
        <v>246</v>
      </c>
      <c r="B2873" t="s">
        <v>237</v>
      </c>
      <c r="C2873" t="s">
        <v>238</v>
      </c>
      <c r="D2873" t="s">
        <v>258</v>
      </c>
      <c r="E2873" t="s">
        <v>228</v>
      </c>
      <c r="F2873">
        <v>2016</v>
      </c>
      <c r="G2873">
        <v>8.47177464788731E-4</v>
      </c>
      <c r="H2873" t="s">
        <v>240</v>
      </c>
      <c r="I2873" t="s">
        <v>241</v>
      </c>
      <c r="J2873" t="s">
        <v>188</v>
      </c>
      <c r="K2873" s="183">
        <f ca="1">VLOOKUP(F2873,
    OFFSET(INDIRECT(ADDRESS(MATCH(J2873,'Vehicle numbers'!$A$5:$A$162,0),1,1,1,$L$6)),4,1,COUNTIF('Vehicle numbers'!$A$5:$A$162,J2873),4),
    MATCH(K$8,'Vehicle numbers'!$B$4:$D$4,0))*1000</f>
        <v>3781984</v>
      </c>
      <c r="L2873" s="183">
        <f ca="1">VLOOKUP(F2873,
    OFFSET(INDIRECT(ADDRESS(MATCH(J2873,'Vehicle numbers'!$A$5:$A$162,0),1,1,1,$L$6)),4,1,COUNTIF('Vehicle numbers'!$A$5:$A$162,J2873),4),
    MATCH(L$8,'Vehicle numbers'!$B$4:$D$4,0))*1000</f>
        <v>3889681</v>
      </c>
      <c r="M2873" s="184">
        <f>VLOOKUP(F2873,'Annual distance covered (GB)'!$A$8:$H$33,MATCH(J2873,'Annual distance covered (GB)'!$A$7:$H$7,0))</f>
        <v>83.1</v>
      </c>
      <c r="N2873" s="2">
        <f t="shared" ca="1" si="102"/>
        <v>72405.193239168657</v>
      </c>
      <c r="O2873" s="180">
        <f t="shared" ca="1" si="103"/>
        <v>1.8614686715740611E-2</v>
      </c>
      <c r="P2873" s="180"/>
      <c r="Q2873" s="180"/>
      <c r="R2873" s="180"/>
      <c r="S2873" s="180"/>
      <c r="T2873" s="180"/>
    </row>
    <row r="2874" spans="1:20" x14ac:dyDescent="0.25">
      <c r="A2874" t="s">
        <v>236</v>
      </c>
      <c r="B2874" t="s">
        <v>237</v>
      </c>
      <c r="C2874" t="s">
        <v>238</v>
      </c>
      <c r="D2874" t="s">
        <v>259</v>
      </c>
      <c r="E2874" t="s">
        <v>229</v>
      </c>
      <c r="F2874">
        <v>2016</v>
      </c>
      <c r="G2874">
        <v>1.8218999999999999E-2</v>
      </c>
      <c r="H2874" t="s">
        <v>240</v>
      </c>
      <c r="I2874" t="s">
        <v>241</v>
      </c>
      <c r="J2874" t="s">
        <v>188</v>
      </c>
      <c r="K2874" s="183">
        <f ca="1">VLOOKUP(F2874,
    OFFSET(INDIRECT(ADDRESS(MATCH(J2874,'Vehicle numbers'!$A$5:$A$162,0),1,1,1,$L$6)),4,1,COUNTIF('Vehicle numbers'!$A$5:$A$162,J2874),4),
    MATCH(K$8,'Vehicle numbers'!$B$4:$D$4,0))*1000</f>
        <v>3781984</v>
      </c>
      <c r="L2874" s="183">
        <f ca="1">VLOOKUP(F2874,
    OFFSET(INDIRECT(ADDRESS(MATCH(J2874,'Vehicle numbers'!$A$5:$A$162,0),1,1,1,$L$6)),4,1,COUNTIF('Vehicle numbers'!$A$5:$A$162,J2874),4),
    MATCH(L$8,'Vehicle numbers'!$B$4:$D$4,0))*1000</f>
        <v>3889681</v>
      </c>
      <c r="M2874" s="184">
        <f>VLOOKUP(F2874,'Annual distance covered (GB)'!$A$8:$H$33,MATCH(J2874,'Annual distance covered (GB)'!$A$7:$H$7,0))</f>
        <v>83.1</v>
      </c>
      <c r="N2874" s="2">
        <f t="shared" ca="1" si="102"/>
        <v>1557112.0225127605</v>
      </c>
      <c r="O2874" s="180">
        <f t="shared" ca="1" si="103"/>
        <v>0.40031869516105834</v>
      </c>
      <c r="P2874" s="180"/>
      <c r="Q2874" s="180"/>
      <c r="R2874" s="180"/>
      <c r="S2874" s="180"/>
      <c r="T2874" s="180"/>
    </row>
    <row r="2875" spans="1:20" x14ac:dyDescent="0.25">
      <c r="A2875" t="s">
        <v>243</v>
      </c>
      <c r="B2875" t="s">
        <v>237</v>
      </c>
      <c r="C2875" t="s">
        <v>238</v>
      </c>
      <c r="D2875" t="s">
        <v>259</v>
      </c>
      <c r="E2875" t="s">
        <v>229</v>
      </c>
      <c r="F2875">
        <v>2016</v>
      </c>
      <c r="G2875">
        <v>7.2876E-3</v>
      </c>
      <c r="H2875" t="s">
        <v>240</v>
      </c>
      <c r="I2875" t="s">
        <v>241</v>
      </c>
      <c r="J2875" t="s">
        <v>188</v>
      </c>
      <c r="K2875" s="183">
        <f ca="1">VLOOKUP(F2875,
    OFFSET(INDIRECT(ADDRESS(MATCH(J2875,'Vehicle numbers'!$A$5:$A$162,0),1,1,1,$L$6)),4,1,COUNTIF('Vehicle numbers'!$A$5:$A$162,J2875),4),
    MATCH(K$8,'Vehicle numbers'!$B$4:$D$4,0))*1000</f>
        <v>3781984</v>
      </c>
      <c r="L2875" s="183">
        <f ca="1">VLOOKUP(F2875,
    OFFSET(INDIRECT(ADDRESS(MATCH(J2875,'Vehicle numbers'!$A$5:$A$162,0),1,1,1,$L$6)),4,1,COUNTIF('Vehicle numbers'!$A$5:$A$162,J2875),4),
    MATCH(L$8,'Vehicle numbers'!$B$4:$D$4,0))*1000</f>
        <v>3889681</v>
      </c>
      <c r="M2875" s="184">
        <f>VLOOKUP(F2875,'Annual distance covered (GB)'!$A$8:$H$33,MATCH(J2875,'Annual distance covered (GB)'!$A$7:$H$7,0))</f>
        <v>83.1</v>
      </c>
      <c r="N2875" s="2">
        <f t="shared" ca="1" si="102"/>
        <v>622844.80900510412</v>
      </c>
      <c r="O2875" s="180">
        <f t="shared" ca="1" si="103"/>
        <v>0.16012747806442332</v>
      </c>
      <c r="P2875" s="180"/>
      <c r="Q2875" s="180"/>
      <c r="R2875" s="180"/>
      <c r="S2875" s="180"/>
      <c r="T2875" s="180"/>
    </row>
    <row r="2876" spans="1:20" x14ac:dyDescent="0.25">
      <c r="A2876" t="s">
        <v>244</v>
      </c>
      <c r="B2876" t="s">
        <v>237</v>
      </c>
      <c r="C2876" t="s">
        <v>238</v>
      </c>
      <c r="D2876" t="s">
        <v>259</v>
      </c>
      <c r="E2876" t="s">
        <v>229</v>
      </c>
      <c r="F2876">
        <v>2016</v>
      </c>
      <c r="G2876">
        <v>1.8219E-3</v>
      </c>
      <c r="H2876" t="s">
        <v>240</v>
      </c>
      <c r="I2876" t="s">
        <v>241</v>
      </c>
      <c r="J2876" t="s">
        <v>188</v>
      </c>
      <c r="K2876" s="183">
        <f ca="1">VLOOKUP(F2876,
    OFFSET(INDIRECT(ADDRESS(MATCH(J2876,'Vehicle numbers'!$A$5:$A$162,0),1,1,1,$L$6)),4,1,COUNTIF('Vehicle numbers'!$A$5:$A$162,J2876),4),
    MATCH(K$8,'Vehicle numbers'!$B$4:$D$4,0))*1000</f>
        <v>3781984</v>
      </c>
      <c r="L2876" s="183">
        <f ca="1">VLOOKUP(F2876,
    OFFSET(INDIRECT(ADDRESS(MATCH(J2876,'Vehicle numbers'!$A$5:$A$162,0),1,1,1,$L$6)),4,1,COUNTIF('Vehicle numbers'!$A$5:$A$162,J2876),4),
    MATCH(L$8,'Vehicle numbers'!$B$4:$D$4,0))*1000</f>
        <v>3889681</v>
      </c>
      <c r="M2876" s="184">
        <f>VLOOKUP(F2876,'Annual distance covered (GB)'!$A$8:$H$33,MATCH(J2876,'Annual distance covered (GB)'!$A$7:$H$7,0))</f>
        <v>83.1</v>
      </c>
      <c r="N2876" s="2">
        <f t="shared" ca="1" si="102"/>
        <v>155711.20225127603</v>
      </c>
      <c r="O2876" s="180">
        <f t="shared" ca="1" si="103"/>
        <v>4.0031869516105829E-2</v>
      </c>
      <c r="P2876" s="180"/>
      <c r="Q2876" s="180"/>
      <c r="R2876" s="180"/>
      <c r="S2876" s="180"/>
      <c r="T2876" s="180"/>
    </row>
    <row r="2877" spans="1:20" x14ac:dyDescent="0.25">
      <c r="A2877" t="s">
        <v>246</v>
      </c>
      <c r="B2877" t="s">
        <v>237</v>
      </c>
      <c r="C2877" t="s">
        <v>238</v>
      </c>
      <c r="D2877" t="s">
        <v>259</v>
      </c>
      <c r="E2877" t="s">
        <v>229</v>
      </c>
      <c r="F2877">
        <v>2016</v>
      </c>
      <c r="G2877">
        <v>1.4575199999999999E-3</v>
      </c>
      <c r="H2877" t="s">
        <v>240</v>
      </c>
      <c r="I2877" t="s">
        <v>241</v>
      </c>
      <c r="J2877" t="s">
        <v>188</v>
      </c>
      <c r="K2877" s="183">
        <f ca="1">VLOOKUP(F2877,
    OFFSET(INDIRECT(ADDRESS(MATCH(J2877,'Vehicle numbers'!$A$5:$A$162,0),1,1,1,$L$6)),4,1,COUNTIF('Vehicle numbers'!$A$5:$A$162,J2877),4),
    MATCH(K$8,'Vehicle numbers'!$B$4:$D$4,0))*1000</f>
        <v>3781984</v>
      </c>
      <c r="L2877" s="183">
        <f ca="1">VLOOKUP(F2877,
    OFFSET(INDIRECT(ADDRESS(MATCH(J2877,'Vehicle numbers'!$A$5:$A$162,0),1,1,1,$L$6)),4,1,COUNTIF('Vehicle numbers'!$A$5:$A$162,J2877),4),
    MATCH(L$8,'Vehicle numbers'!$B$4:$D$4,0))*1000</f>
        <v>3889681</v>
      </c>
      <c r="M2877" s="184">
        <f>VLOOKUP(F2877,'Annual distance covered (GB)'!$A$8:$H$33,MATCH(J2877,'Annual distance covered (GB)'!$A$7:$H$7,0))</f>
        <v>83.1</v>
      </c>
      <c r="N2877" s="2">
        <f t="shared" ca="1" si="102"/>
        <v>124568.96180102082</v>
      </c>
      <c r="O2877" s="180">
        <f t="shared" ca="1" si="103"/>
        <v>3.2025495612884661E-2</v>
      </c>
      <c r="P2877" s="180"/>
      <c r="Q2877" s="180"/>
      <c r="R2877" s="180"/>
      <c r="S2877" s="180"/>
      <c r="T2877" s="180"/>
    </row>
    <row r="2878" spans="1:20" x14ac:dyDescent="0.25">
      <c r="A2878" t="s">
        <v>236</v>
      </c>
      <c r="B2878" t="s">
        <v>237</v>
      </c>
      <c r="C2878" t="s">
        <v>238</v>
      </c>
      <c r="D2878" t="s">
        <v>259</v>
      </c>
      <c r="E2878" t="s">
        <v>228</v>
      </c>
      <c r="F2878">
        <v>2016</v>
      </c>
      <c r="G2878">
        <v>1.3802E-2</v>
      </c>
      <c r="H2878" t="s">
        <v>240</v>
      </c>
      <c r="I2878" t="s">
        <v>241</v>
      </c>
      <c r="J2878" t="s">
        <v>188</v>
      </c>
      <c r="K2878" s="183">
        <f ca="1">VLOOKUP(F2878,
    OFFSET(INDIRECT(ADDRESS(MATCH(J2878,'Vehicle numbers'!$A$5:$A$162,0),1,1,1,$L$6)),4,1,COUNTIF('Vehicle numbers'!$A$5:$A$162,J2878),4),
    MATCH(K$8,'Vehicle numbers'!$B$4:$D$4,0))*1000</f>
        <v>3781984</v>
      </c>
      <c r="L2878" s="183">
        <f ca="1">VLOOKUP(F2878,
    OFFSET(INDIRECT(ADDRESS(MATCH(J2878,'Vehicle numbers'!$A$5:$A$162,0),1,1,1,$L$6)),4,1,COUNTIF('Vehicle numbers'!$A$5:$A$162,J2878),4),
    MATCH(L$8,'Vehicle numbers'!$B$4:$D$4,0))*1000</f>
        <v>3889681</v>
      </c>
      <c r="M2878" s="184">
        <f>VLOOKUP(F2878,'Annual distance covered (GB)'!$A$8:$H$33,MATCH(J2878,'Annual distance covered (GB)'!$A$7:$H$7,0))</f>
        <v>83.1</v>
      </c>
      <c r="N2878" s="2">
        <f t="shared" ca="1" si="102"/>
        <v>1179607.0110720193</v>
      </c>
      <c r="O2878" s="180">
        <f t="shared" ca="1" si="103"/>
        <v>0.30326574623266517</v>
      </c>
      <c r="P2878" s="180"/>
      <c r="Q2878" s="180"/>
      <c r="R2878" s="180"/>
      <c r="S2878" s="180"/>
      <c r="T2878" s="180"/>
    </row>
    <row r="2879" spans="1:20" x14ac:dyDescent="0.25">
      <c r="A2879" t="s">
        <v>243</v>
      </c>
      <c r="B2879" t="s">
        <v>237</v>
      </c>
      <c r="C2879" t="s">
        <v>238</v>
      </c>
      <c r="D2879" t="s">
        <v>259</v>
      </c>
      <c r="E2879" t="s">
        <v>228</v>
      </c>
      <c r="F2879">
        <v>2016</v>
      </c>
      <c r="G2879">
        <v>9.6614000000000005E-3</v>
      </c>
      <c r="H2879" t="s">
        <v>240</v>
      </c>
      <c r="I2879" t="s">
        <v>241</v>
      </c>
      <c r="J2879" t="s">
        <v>188</v>
      </c>
      <c r="K2879" s="183">
        <f ca="1">VLOOKUP(F2879,
    OFFSET(INDIRECT(ADDRESS(MATCH(J2879,'Vehicle numbers'!$A$5:$A$162,0),1,1,1,$L$6)),4,1,COUNTIF('Vehicle numbers'!$A$5:$A$162,J2879),4),
    MATCH(K$8,'Vehicle numbers'!$B$4:$D$4,0))*1000</f>
        <v>3781984</v>
      </c>
      <c r="L2879" s="183">
        <f ca="1">VLOOKUP(F2879,
    OFFSET(INDIRECT(ADDRESS(MATCH(J2879,'Vehicle numbers'!$A$5:$A$162,0),1,1,1,$L$6)),4,1,COUNTIF('Vehicle numbers'!$A$5:$A$162,J2879),4),
    MATCH(L$8,'Vehicle numbers'!$B$4:$D$4,0))*1000</f>
        <v>3889681</v>
      </c>
      <c r="M2879" s="184">
        <f>VLOOKUP(F2879,'Annual distance covered (GB)'!$A$8:$H$33,MATCH(J2879,'Annual distance covered (GB)'!$A$7:$H$7,0))</f>
        <v>83.1</v>
      </c>
      <c r="N2879" s="2">
        <f t="shared" ca="1" si="102"/>
        <v>825724.90775041352</v>
      </c>
      <c r="O2879" s="180">
        <f t="shared" ca="1" si="103"/>
        <v>0.21228602236286562</v>
      </c>
      <c r="P2879" s="180"/>
      <c r="Q2879" s="180"/>
      <c r="R2879" s="180"/>
      <c r="S2879" s="180"/>
      <c r="T2879" s="180"/>
    </row>
    <row r="2880" spans="1:20" x14ac:dyDescent="0.25">
      <c r="A2880" t="s">
        <v>244</v>
      </c>
      <c r="B2880" t="s">
        <v>237</v>
      </c>
      <c r="C2880" t="s">
        <v>238</v>
      </c>
      <c r="D2880" t="s">
        <v>259</v>
      </c>
      <c r="E2880" t="s">
        <v>228</v>
      </c>
      <c r="F2880">
        <v>2016</v>
      </c>
      <c r="G2880">
        <v>1.3607605633802801E-3</v>
      </c>
      <c r="H2880" t="s">
        <v>240</v>
      </c>
      <c r="I2880" t="s">
        <v>241</v>
      </c>
      <c r="J2880" t="s">
        <v>188</v>
      </c>
      <c r="K2880" s="183">
        <f ca="1">VLOOKUP(F2880,
    OFFSET(INDIRECT(ADDRESS(MATCH(J2880,'Vehicle numbers'!$A$5:$A$162,0),1,1,1,$L$6)),4,1,COUNTIF('Vehicle numbers'!$A$5:$A$162,J2880),4),
    MATCH(K$8,'Vehicle numbers'!$B$4:$D$4,0))*1000</f>
        <v>3781984</v>
      </c>
      <c r="L2880" s="183">
        <f ca="1">VLOOKUP(F2880,
    OFFSET(INDIRECT(ADDRESS(MATCH(J2880,'Vehicle numbers'!$A$5:$A$162,0),1,1,1,$L$6)),4,1,COUNTIF('Vehicle numbers'!$A$5:$A$162,J2880),4),
    MATCH(L$8,'Vehicle numbers'!$B$4:$D$4,0))*1000</f>
        <v>3889681</v>
      </c>
      <c r="M2880" s="184">
        <f>VLOOKUP(F2880,'Annual distance covered (GB)'!$A$8:$H$33,MATCH(J2880,'Annual distance covered (GB)'!$A$7:$H$7,0))</f>
        <v>83.1</v>
      </c>
      <c r="N2880" s="2">
        <f t="shared" ca="1" si="102"/>
        <v>116299.28278174825</v>
      </c>
      <c r="O2880" s="180">
        <f t="shared" ca="1" si="103"/>
        <v>2.9899439769417658E-2</v>
      </c>
      <c r="P2880" s="180"/>
      <c r="Q2880" s="180"/>
      <c r="R2880" s="180"/>
      <c r="S2880" s="180"/>
      <c r="T2880" s="180"/>
    </row>
    <row r="2881" spans="1:20" x14ac:dyDescent="0.25">
      <c r="A2881" t="s">
        <v>246</v>
      </c>
      <c r="B2881" t="s">
        <v>237</v>
      </c>
      <c r="C2881" t="s">
        <v>238</v>
      </c>
      <c r="D2881" t="s">
        <v>259</v>
      </c>
      <c r="E2881" t="s">
        <v>228</v>
      </c>
      <c r="F2881">
        <v>2016</v>
      </c>
      <c r="G2881">
        <v>1.0886084507042201E-3</v>
      </c>
      <c r="H2881" t="s">
        <v>240</v>
      </c>
      <c r="I2881" t="s">
        <v>241</v>
      </c>
      <c r="J2881" t="s">
        <v>188</v>
      </c>
      <c r="K2881" s="183">
        <f ca="1">VLOOKUP(F2881,
    OFFSET(INDIRECT(ADDRESS(MATCH(J2881,'Vehicle numbers'!$A$5:$A$162,0),1,1,1,$L$6)),4,1,COUNTIF('Vehicle numbers'!$A$5:$A$162,J2881),4),
    MATCH(K$8,'Vehicle numbers'!$B$4:$D$4,0))*1000</f>
        <v>3781984</v>
      </c>
      <c r="L2881" s="183">
        <f ca="1">VLOOKUP(F2881,
    OFFSET(INDIRECT(ADDRESS(MATCH(J2881,'Vehicle numbers'!$A$5:$A$162,0),1,1,1,$L$6)),4,1,COUNTIF('Vehicle numbers'!$A$5:$A$162,J2881),4),
    MATCH(L$8,'Vehicle numbers'!$B$4:$D$4,0))*1000</f>
        <v>3889681</v>
      </c>
      <c r="M2881" s="184">
        <f>VLOOKUP(F2881,'Annual distance covered (GB)'!$A$8:$H$33,MATCH(J2881,'Annual distance covered (GB)'!$A$7:$H$7,0))</f>
        <v>83.1</v>
      </c>
      <c r="N2881" s="2">
        <f t="shared" ca="1" si="102"/>
        <v>93039.426225398245</v>
      </c>
      <c r="O2881" s="180">
        <f t="shared" ca="1" si="103"/>
        <v>2.3919551815534037E-2</v>
      </c>
      <c r="P2881" s="180"/>
      <c r="Q2881" s="180"/>
      <c r="R2881" s="180"/>
      <c r="S2881" s="180"/>
      <c r="T2881" s="180"/>
    </row>
    <row r="2882" spans="1:20" x14ac:dyDescent="0.25">
      <c r="A2882" t="s">
        <v>236</v>
      </c>
      <c r="B2882" t="s">
        <v>237</v>
      </c>
      <c r="C2882" t="s">
        <v>238</v>
      </c>
      <c r="D2882" t="s">
        <v>260</v>
      </c>
      <c r="E2882" t="s">
        <v>229</v>
      </c>
      <c r="F2882">
        <v>2016</v>
      </c>
      <c r="G2882">
        <v>5.8399999999999997E-3</v>
      </c>
      <c r="H2882" t="s">
        <v>240</v>
      </c>
      <c r="I2882" t="s">
        <v>241</v>
      </c>
      <c r="J2882" t="s">
        <v>3</v>
      </c>
      <c r="K2882" s="183">
        <f ca="1">VLOOKUP(F2882,
    OFFSET(INDIRECT(ADDRESS(MATCH(J2882,'Vehicle numbers'!$A$5:$A$162,0),1,1,1,$L$6)),4,1,COUNTIF('Vehicle numbers'!$A$5:$A$162,J2882),4),
    MATCH(K$8,'Vehicle numbers'!$B$4:$D$4,0))*1000</f>
        <v>1248074</v>
      </c>
      <c r="L2882" s="183">
        <f ca="1">VLOOKUP(F2882,
    OFFSET(INDIRECT(ADDRESS(MATCH(J2882,'Vehicle numbers'!$A$5:$A$162,0),1,1,1,$L$6)),4,1,COUNTIF('Vehicle numbers'!$A$5:$A$162,J2882),4),
    MATCH(L$8,'Vehicle numbers'!$B$4:$D$4,0))*1000</f>
        <v>1270216</v>
      </c>
      <c r="M2882" s="184">
        <f>VLOOKUP(F2882,'Annual distance covered (GB)'!$A$8:$H$33,MATCH(J2882,'Annual distance covered (GB)'!$A$7:$H$7,0))</f>
        <v>4.8</v>
      </c>
      <c r="N2882" s="2">
        <f t="shared" ca="1" si="102"/>
        <v>28529.313896451651</v>
      </c>
      <c r="O2882" s="180">
        <f t="shared" ca="1" si="103"/>
        <v>2.2460206686462501E-2</v>
      </c>
      <c r="P2882" s="180"/>
      <c r="Q2882" s="180"/>
      <c r="R2882" s="180"/>
      <c r="S2882" s="180"/>
      <c r="T2882" s="180"/>
    </row>
    <row r="2883" spans="1:20" x14ac:dyDescent="0.25">
      <c r="A2883" t="s">
        <v>243</v>
      </c>
      <c r="B2883" t="s">
        <v>237</v>
      </c>
      <c r="C2883" t="s">
        <v>238</v>
      </c>
      <c r="D2883" t="s">
        <v>260</v>
      </c>
      <c r="E2883" t="s">
        <v>229</v>
      </c>
      <c r="F2883">
        <v>2016</v>
      </c>
      <c r="G2883">
        <v>2.336E-3</v>
      </c>
      <c r="H2883" t="s">
        <v>240</v>
      </c>
      <c r="I2883" t="s">
        <v>241</v>
      </c>
      <c r="J2883" t="s">
        <v>3</v>
      </c>
      <c r="K2883" s="183">
        <f ca="1">VLOOKUP(F2883,
    OFFSET(INDIRECT(ADDRESS(MATCH(J2883,'Vehicle numbers'!$A$5:$A$162,0),1,1,1,$L$6)),4,1,COUNTIF('Vehicle numbers'!$A$5:$A$162,J2883),4),
    MATCH(K$8,'Vehicle numbers'!$B$4:$D$4,0))*1000</f>
        <v>1248074</v>
      </c>
      <c r="L2883" s="183">
        <f ca="1">VLOOKUP(F2883,
    OFFSET(INDIRECT(ADDRESS(MATCH(J2883,'Vehicle numbers'!$A$5:$A$162,0),1,1,1,$L$6)),4,1,COUNTIF('Vehicle numbers'!$A$5:$A$162,J2883),4),
    MATCH(L$8,'Vehicle numbers'!$B$4:$D$4,0))*1000</f>
        <v>1270216</v>
      </c>
      <c r="M2883" s="184">
        <f>VLOOKUP(F2883,'Annual distance covered (GB)'!$A$8:$H$33,MATCH(J2883,'Annual distance covered (GB)'!$A$7:$H$7,0))</f>
        <v>4.8</v>
      </c>
      <c r="N2883" s="2">
        <f t="shared" ca="1" si="102"/>
        <v>11411.725558580663</v>
      </c>
      <c r="O2883" s="180">
        <f t="shared" ca="1" si="103"/>
        <v>8.9840826745850016E-3</v>
      </c>
      <c r="P2883" s="180"/>
      <c r="Q2883" s="180"/>
      <c r="R2883" s="180"/>
      <c r="S2883" s="180"/>
      <c r="T2883" s="180"/>
    </row>
    <row r="2884" spans="1:20" x14ac:dyDescent="0.25">
      <c r="A2884" t="s">
        <v>244</v>
      </c>
      <c r="B2884" t="s">
        <v>237</v>
      </c>
      <c r="C2884" t="s">
        <v>238</v>
      </c>
      <c r="D2884" t="s">
        <v>260</v>
      </c>
      <c r="E2884" t="s">
        <v>229</v>
      </c>
      <c r="F2884">
        <v>2016</v>
      </c>
      <c r="G2884">
        <v>5.8399999999999999E-4</v>
      </c>
      <c r="H2884" t="s">
        <v>240</v>
      </c>
      <c r="I2884" t="s">
        <v>241</v>
      </c>
      <c r="J2884" t="s">
        <v>3</v>
      </c>
      <c r="K2884" s="183">
        <f ca="1">VLOOKUP(F2884,
    OFFSET(INDIRECT(ADDRESS(MATCH(J2884,'Vehicle numbers'!$A$5:$A$162,0),1,1,1,$L$6)),4,1,COUNTIF('Vehicle numbers'!$A$5:$A$162,J2884),4),
    MATCH(K$8,'Vehicle numbers'!$B$4:$D$4,0))*1000</f>
        <v>1248074</v>
      </c>
      <c r="L2884" s="183">
        <f ca="1">VLOOKUP(F2884,
    OFFSET(INDIRECT(ADDRESS(MATCH(J2884,'Vehicle numbers'!$A$5:$A$162,0),1,1,1,$L$6)),4,1,COUNTIF('Vehicle numbers'!$A$5:$A$162,J2884),4),
    MATCH(L$8,'Vehicle numbers'!$B$4:$D$4,0))*1000</f>
        <v>1270216</v>
      </c>
      <c r="M2884" s="184">
        <f>VLOOKUP(F2884,'Annual distance covered (GB)'!$A$8:$H$33,MATCH(J2884,'Annual distance covered (GB)'!$A$7:$H$7,0))</f>
        <v>4.8</v>
      </c>
      <c r="N2884" s="2">
        <f t="shared" ca="1" si="102"/>
        <v>2852.9313896451658</v>
      </c>
      <c r="O2884" s="180">
        <f t="shared" ca="1" si="103"/>
        <v>2.2460206686462504E-3</v>
      </c>
      <c r="P2884" s="180"/>
      <c r="Q2884" s="180"/>
      <c r="R2884" s="180"/>
      <c r="S2884" s="180"/>
      <c r="T2884" s="180"/>
    </row>
    <row r="2885" spans="1:20" x14ac:dyDescent="0.25">
      <c r="A2885" t="s">
        <v>246</v>
      </c>
      <c r="B2885" t="s">
        <v>237</v>
      </c>
      <c r="C2885" t="s">
        <v>238</v>
      </c>
      <c r="D2885" t="s">
        <v>260</v>
      </c>
      <c r="E2885" t="s">
        <v>229</v>
      </c>
      <c r="F2885">
        <v>2016</v>
      </c>
      <c r="G2885">
        <v>4.6720000000000003E-4</v>
      </c>
      <c r="H2885" t="s">
        <v>240</v>
      </c>
      <c r="I2885" t="s">
        <v>241</v>
      </c>
      <c r="J2885" t="s">
        <v>3</v>
      </c>
      <c r="K2885" s="183">
        <f ca="1">VLOOKUP(F2885,
    OFFSET(INDIRECT(ADDRESS(MATCH(J2885,'Vehicle numbers'!$A$5:$A$162,0),1,1,1,$L$6)),4,1,COUNTIF('Vehicle numbers'!$A$5:$A$162,J2885),4),
    MATCH(K$8,'Vehicle numbers'!$B$4:$D$4,0))*1000</f>
        <v>1248074</v>
      </c>
      <c r="L2885" s="183">
        <f ca="1">VLOOKUP(F2885,
    OFFSET(INDIRECT(ADDRESS(MATCH(J2885,'Vehicle numbers'!$A$5:$A$162,0),1,1,1,$L$6)),4,1,COUNTIF('Vehicle numbers'!$A$5:$A$162,J2885),4),
    MATCH(L$8,'Vehicle numbers'!$B$4:$D$4,0))*1000</f>
        <v>1270216</v>
      </c>
      <c r="M2885" s="184">
        <f>VLOOKUP(F2885,'Annual distance covered (GB)'!$A$8:$H$33,MATCH(J2885,'Annual distance covered (GB)'!$A$7:$H$7,0))</f>
        <v>4.8</v>
      </c>
      <c r="N2885" s="2">
        <f t="shared" ca="1" si="102"/>
        <v>2282.345111716133</v>
      </c>
      <c r="O2885" s="180">
        <f t="shared" ca="1" si="103"/>
        <v>1.7968165349170008E-3</v>
      </c>
      <c r="P2885" s="180"/>
      <c r="Q2885" s="180"/>
      <c r="R2885" s="180"/>
      <c r="S2885" s="180"/>
      <c r="T2885" s="180"/>
    </row>
    <row r="2886" spans="1:20" x14ac:dyDescent="0.25">
      <c r="A2886" t="s">
        <v>236</v>
      </c>
      <c r="B2886" t="s">
        <v>237</v>
      </c>
      <c r="C2886" t="s">
        <v>238</v>
      </c>
      <c r="D2886" t="s">
        <v>260</v>
      </c>
      <c r="E2886" t="s">
        <v>228</v>
      </c>
      <c r="F2886">
        <v>2016</v>
      </c>
      <c r="G2886">
        <v>3.7569999999999999E-3</v>
      </c>
      <c r="H2886" t="s">
        <v>240</v>
      </c>
      <c r="I2886" t="s">
        <v>241</v>
      </c>
      <c r="J2886" t="s">
        <v>3</v>
      </c>
      <c r="K2886" s="183">
        <f ca="1">VLOOKUP(F2886,
    OFFSET(INDIRECT(ADDRESS(MATCH(J2886,'Vehicle numbers'!$A$5:$A$162,0),1,1,1,$L$6)),4,1,COUNTIF('Vehicle numbers'!$A$5:$A$162,J2886),4),
    MATCH(K$8,'Vehicle numbers'!$B$4:$D$4,0))*1000</f>
        <v>1248074</v>
      </c>
      <c r="L2886" s="183">
        <f ca="1">VLOOKUP(F2886,
    OFFSET(INDIRECT(ADDRESS(MATCH(J2886,'Vehicle numbers'!$A$5:$A$162,0),1,1,1,$L$6)),4,1,COUNTIF('Vehicle numbers'!$A$5:$A$162,J2886),4),
    MATCH(L$8,'Vehicle numbers'!$B$4:$D$4,0))*1000</f>
        <v>1270216</v>
      </c>
      <c r="M2886" s="184">
        <f>VLOOKUP(F2886,'Annual distance covered (GB)'!$A$8:$H$33,MATCH(J2886,'Annual distance covered (GB)'!$A$7:$H$7,0))</f>
        <v>4.8</v>
      </c>
      <c r="N2886" s="2">
        <f t="shared" ca="1" si="102"/>
        <v>18353.532929617955</v>
      </c>
      <c r="O2886" s="180">
        <f t="shared" ca="1" si="103"/>
        <v>1.4449143239904044E-2</v>
      </c>
      <c r="P2886" s="180"/>
      <c r="Q2886" s="180"/>
      <c r="R2886" s="180"/>
      <c r="S2886" s="180"/>
      <c r="T2886" s="180"/>
    </row>
    <row r="2887" spans="1:20" x14ac:dyDescent="0.25">
      <c r="A2887" t="s">
        <v>243</v>
      </c>
      <c r="B2887" t="s">
        <v>237</v>
      </c>
      <c r="C2887" t="s">
        <v>238</v>
      </c>
      <c r="D2887" t="s">
        <v>260</v>
      </c>
      <c r="E2887" t="s">
        <v>228</v>
      </c>
      <c r="F2887">
        <v>2016</v>
      </c>
      <c r="G2887">
        <v>2.6299000000000001E-3</v>
      </c>
      <c r="H2887" t="s">
        <v>240</v>
      </c>
      <c r="I2887" t="s">
        <v>241</v>
      </c>
      <c r="J2887" t="s">
        <v>3</v>
      </c>
      <c r="K2887" s="183">
        <f ca="1">VLOOKUP(F2887,
    OFFSET(INDIRECT(ADDRESS(MATCH(J2887,'Vehicle numbers'!$A$5:$A$162,0),1,1,1,$L$6)),4,1,COUNTIF('Vehicle numbers'!$A$5:$A$162,J2887),4),
    MATCH(K$8,'Vehicle numbers'!$B$4:$D$4,0))*1000</f>
        <v>1248074</v>
      </c>
      <c r="L2887" s="183">
        <f ca="1">VLOOKUP(F2887,
    OFFSET(INDIRECT(ADDRESS(MATCH(J2887,'Vehicle numbers'!$A$5:$A$162,0),1,1,1,$L$6)),4,1,COUNTIF('Vehicle numbers'!$A$5:$A$162,J2887),4),
    MATCH(L$8,'Vehicle numbers'!$B$4:$D$4,0))*1000</f>
        <v>1270216</v>
      </c>
      <c r="M2887" s="184">
        <f>VLOOKUP(F2887,'Annual distance covered (GB)'!$A$8:$H$33,MATCH(J2887,'Annual distance covered (GB)'!$A$7:$H$7,0))</f>
        <v>4.8</v>
      </c>
      <c r="N2887" s="2">
        <f t="shared" ca="1" si="102"/>
        <v>12847.473050732571</v>
      </c>
      <c r="O2887" s="180">
        <f t="shared" ca="1" si="103"/>
        <v>1.0114400267932833E-2</v>
      </c>
      <c r="P2887" s="180"/>
      <c r="Q2887" s="180"/>
      <c r="R2887" s="180"/>
      <c r="S2887" s="180"/>
      <c r="T2887" s="180"/>
    </row>
    <row r="2888" spans="1:20" x14ac:dyDescent="0.25">
      <c r="A2888" t="s">
        <v>244</v>
      </c>
      <c r="B2888" t="s">
        <v>237</v>
      </c>
      <c r="C2888" t="s">
        <v>238</v>
      </c>
      <c r="D2888" t="s">
        <v>260</v>
      </c>
      <c r="E2888" t="s">
        <v>228</v>
      </c>
      <c r="F2888">
        <v>2016</v>
      </c>
      <c r="G2888">
        <v>3.7040845070422499E-4</v>
      </c>
      <c r="H2888" t="s">
        <v>240</v>
      </c>
      <c r="I2888" t="s">
        <v>241</v>
      </c>
      <c r="J2888" t="s">
        <v>3</v>
      </c>
      <c r="K2888" s="183">
        <f ca="1">VLOOKUP(F2888,
    OFFSET(INDIRECT(ADDRESS(MATCH(J2888,'Vehicle numbers'!$A$5:$A$162,0),1,1,1,$L$6)),4,1,COUNTIF('Vehicle numbers'!$A$5:$A$162,J2888),4),
    MATCH(K$8,'Vehicle numbers'!$B$4:$D$4,0))*1000</f>
        <v>1248074</v>
      </c>
      <c r="L2888" s="183">
        <f ca="1">VLOOKUP(F2888,
    OFFSET(INDIRECT(ADDRESS(MATCH(J2888,'Vehicle numbers'!$A$5:$A$162,0),1,1,1,$L$6)),4,1,COUNTIF('Vehicle numbers'!$A$5:$A$162,J2888),4),
    MATCH(L$8,'Vehicle numbers'!$B$4:$D$4,0))*1000</f>
        <v>1270216</v>
      </c>
      <c r="M2888" s="184">
        <f>VLOOKUP(F2888,'Annual distance covered (GB)'!$A$8:$H$33,MATCH(J2888,'Annual distance covered (GB)'!$A$7:$H$7,0))</f>
        <v>4.8</v>
      </c>
      <c r="N2888" s="2">
        <f t="shared" ca="1" si="102"/>
        <v>1809.5032465820502</v>
      </c>
      <c r="O2888" s="180">
        <f t="shared" ca="1" si="103"/>
        <v>1.4245634180187073E-3</v>
      </c>
      <c r="P2888" s="180"/>
      <c r="Q2888" s="180"/>
      <c r="R2888" s="180"/>
      <c r="S2888" s="180"/>
      <c r="T2888" s="180"/>
    </row>
    <row r="2889" spans="1:20" x14ac:dyDescent="0.25">
      <c r="A2889" t="s">
        <v>246</v>
      </c>
      <c r="B2889" t="s">
        <v>237</v>
      </c>
      <c r="C2889" t="s">
        <v>238</v>
      </c>
      <c r="D2889" t="s">
        <v>260</v>
      </c>
      <c r="E2889" t="s">
        <v>228</v>
      </c>
      <c r="F2889">
        <v>2016</v>
      </c>
      <c r="G2889">
        <v>2.9632676056337998E-4</v>
      </c>
      <c r="H2889" t="s">
        <v>240</v>
      </c>
      <c r="I2889" t="s">
        <v>241</v>
      </c>
      <c r="J2889" t="s">
        <v>3</v>
      </c>
      <c r="K2889" s="183">
        <f ca="1">VLOOKUP(F2889,
    OFFSET(INDIRECT(ADDRESS(MATCH(J2889,'Vehicle numbers'!$A$5:$A$162,0),1,1,1,$L$6)),4,1,COUNTIF('Vehicle numbers'!$A$5:$A$162,J2889),4),
    MATCH(K$8,'Vehicle numbers'!$B$4:$D$4,0))*1000</f>
        <v>1248074</v>
      </c>
      <c r="L2889" s="183">
        <f ca="1">VLOOKUP(F2889,
    OFFSET(INDIRECT(ADDRESS(MATCH(J2889,'Vehicle numbers'!$A$5:$A$162,0),1,1,1,$L$6)),4,1,COUNTIF('Vehicle numbers'!$A$5:$A$162,J2889),4),
    MATCH(L$8,'Vehicle numbers'!$B$4:$D$4,0))*1000</f>
        <v>1270216</v>
      </c>
      <c r="M2889" s="184">
        <f>VLOOKUP(F2889,'Annual distance covered (GB)'!$A$8:$H$33,MATCH(J2889,'Annual distance covered (GB)'!$A$7:$H$7,0))</f>
        <v>4.8</v>
      </c>
      <c r="N2889" s="2">
        <f t="shared" ca="1" si="102"/>
        <v>1447.6025972656403</v>
      </c>
      <c r="O2889" s="180">
        <f t="shared" ca="1" si="103"/>
        <v>1.1396507344149658E-3</v>
      </c>
      <c r="P2889" s="180"/>
      <c r="Q2889" s="180"/>
      <c r="R2889" s="180"/>
      <c r="S2889" s="180"/>
      <c r="T2889" s="180"/>
    </row>
    <row r="2890" spans="1:20" x14ac:dyDescent="0.25">
      <c r="A2890" t="s">
        <v>236</v>
      </c>
      <c r="B2890" t="s">
        <v>237</v>
      </c>
      <c r="C2890" t="s">
        <v>238</v>
      </c>
      <c r="D2890" t="s">
        <v>261</v>
      </c>
      <c r="E2890" t="s">
        <v>229</v>
      </c>
      <c r="F2890">
        <v>2016</v>
      </c>
      <c r="G2890">
        <v>5.8399999999999997E-3</v>
      </c>
      <c r="H2890" t="s">
        <v>240</v>
      </c>
      <c r="I2890" t="s">
        <v>241</v>
      </c>
      <c r="J2890" t="s">
        <v>3</v>
      </c>
      <c r="K2890" s="183">
        <f ca="1">VLOOKUP(F2890,
    OFFSET(INDIRECT(ADDRESS(MATCH(J2890,'Vehicle numbers'!$A$5:$A$162,0),1,1,1,$L$6)),4,1,COUNTIF('Vehicle numbers'!$A$5:$A$162,J2890),4),
    MATCH(K$8,'Vehicle numbers'!$B$4:$D$4,0))*1000</f>
        <v>1248074</v>
      </c>
      <c r="L2890" s="183">
        <f ca="1">VLOOKUP(F2890,
    OFFSET(INDIRECT(ADDRESS(MATCH(J2890,'Vehicle numbers'!$A$5:$A$162,0),1,1,1,$L$6)),4,1,COUNTIF('Vehicle numbers'!$A$5:$A$162,J2890),4),
    MATCH(L$8,'Vehicle numbers'!$B$4:$D$4,0))*1000</f>
        <v>1270216</v>
      </c>
      <c r="M2890" s="184">
        <f>VLOOKUP(F2890,'Annual distance covered (GB)'!$A$8:$H$33,MATCH(J2890,'Annual distance covered (GB)'!$A$7:$H$7,0))</f>
        <v>4.8</v>
      </c>
      <c r="N2890" s="2">
        <f t="shared" ca="1" si="102"/>
        <v>28529.313896451651</v>
      </c>
      <c r="O2890" s="180">
        <f t="shared" ca="1" si="103"/>
        <v>2.2460206686462501E-2</v>
      </c>
      <c r="P2890" s="180"/>
      <c r="Q2890" s="180"/>
      <c r="R2890" s="180"/>
      <c r="S2890" s="180"/>
      <c r="T2890" s="180"/>
    </row>
    <row r="2891" spans="1:20" x14ac:dyDescent="0.25">
      <c r="A2891" t="s">
        <v>243</v>
      </c>
      <c r="B2891" t="s">
        <v>237</v>
      </c>
      <c r="C2891" t="s">
        <v>238</v>
      </c>
      <c r="D2891" t="s">
        <v>261</v>
      </c>
      <c r="E2891" t="s">
        <v>229</v>
      </c>
      <c r="F2891">
        <v>2016</v>
      </c>
      <c r="G2891">
        <v>2.336E-3</v>
      </c>
      <c r="H2891" t="s">
        <v>240</v>
      </c>
      <c r="I2891" t="s">
        <v>241</v>
      </c>
      <c r="J2891" t="s">
        <v>3</v>
      </c>
      <c r="K2891" s="183">
        <f ca="1">VLOOKUP(F2891,
    OFFSET(INDIRECT(ADDRESS(MATCH(J2891,'Vehicle numbers'!$A$5:$A$162,0),1,1,1,$L$6)),4,1,COUNTIF('Vehicle numbers'!$A$5:$A$162,J2891),4),
    MATCH(K$8,'Vehicle numbers'!$B$4:$D$4,0))*1000</f>
        <v>1248074</v>
      </c>
      <c r="L2891" s="183">
        <f ca="1">VLOOKUP(F2891,
    OFFSET(INDIRECT(ADDRESS(MATCH(J2891,'Vehicle numbers'!$A$5:$A$162,0),1,1,1,$L$6)),4,1,COUNTIF('Vehicle numbers'!$A$5:$A$162,J2891),4),
    MATCH(L$8,'Vehicle numbers'!$B$4:$D$4,0))*1000</f>
        <v>1270216</v>
      </c>
      <c r="M2891" s="184">
        <f>VLOOKUP(F2891,'Annual distance covered (GB)'!$A$8:$H$33,MATCH(J2891,'Annual distance covered (GB)'!$A$7:$H$7,0))</f>
        <v>4.8</v>
      </c>
      <c r="N2891" s="2">
        <f t="shared" ref="N2891:N2954" ca="1" si="104">M2891*G2891*1000000*(L2891/K2891)</f>
        <v>11411.725558580663</v>
      </c>
      <c r="O2891" s="180">
        <f t="shared" ref="O2891:O2954" ca="1" si="105">N2891/L2891</f>
        <v>8.9840826745850016E-3</v>
      </c>
      <c r="P2891" s="180"/>
      <c r="Q2891" s="180"/>
      <c r="R2891" s="180"/>
      <c r="S2891" s="180"/>
      <c r="T2891" s="180"/>
    </row>
    <row r="2892" spans="1:20" x14ac:dyDescent="0.25">
      <c r="A2892" t="s">
        <v>244</v>
      </c>
      <c r="B2892" t="s">
        <v>237</v>
      </c>
      <c r="C2892" t="s">
        <v>238</v>
      </c>
      <c r="D2892" t="s">
        <v>261</v>
      </c>
      <c r="E2892" t="s">
        <v>229</v>
      </c>
      <c r="F2892">
        <v>2016</v>
      </c>
      <c r="G2892">
        <v>5.8399999999999999E-4</v>
      </c>
      <c r="H2892" t="s">
        <v>240</v>
      </c>
      <c r="I2892" t="s">
        <v>241</v>
      </c>
      <c r="J2892" t="s">
        <v>3</v>
      </c>
      <c r="K2892" s="183">
        <f ca="1">VLOOKUP(F2892,
    OFFSET(INDIRECT(ADDRESS(MATCH(J2892,'Vehicle numbers'!$A$5:$A$162,0),1,1,1,$L$6)),4,1,COUNTIF('Vehicle numbers'!$A$5:$A$162,J2892),4),
    MATCH(K$8,'Vehicle numbers'!$B$4:$D$4,0))*1000</f>
        <v>1248074</v>
      </c>
      <c r="L2892" s="183">
        <f ca="1">VLOOKUP(F2892,
    OFFSET(INDIRECT(ADDRESS(MATCH(J2892,'Vehicle numbers'!$A$5:$A$162,0),1,1,1,$L$6)),4,1,COUNTIF('Vehicle numbers'!$A$5:$A$162,J2892),4),
    MATCH(L$8,'Vehicle numbers'!$B$4:$D$4,0))*1000</f>
        <v>1270216</v>
      </c>
      <c r="M2892" s="184">
        <f>VLOOKUP(F2892,'Annual distance covered (GB)'!$A$8:$H$33,MATCH(J2892,'Annual distance covered (GB)'!$A$7:$H$7,0))</f>
        <v>4.8</v>
      </c>
      <c r="N2892" s="2">
        <f t="shared" ca="1" si="104"/>
        <v>2852.9313896451658</v>
      </c>
      <c r="O2892" s="180">
        <f t="shared" ca="1" si="105"/>
        <v>2.2460206686462504E-3</v>
      </c>
      <c r="P2892" s="180"/>
      <c r="Q2892" s="180"/>
      <c r="R2892" s="180"/>
      <c r="S2892" s="180"/>
      <c r="T2892" s="180"/>
    </row>
    <row r="2893" spans="1:20" x14ac:dyDescent="0.25">
      <c r="A2893" t="s">
        <v>246</v>
      </c>
      <c r="B2893" t="s">
        <v>237</v>
      </c>
      <c r="C2893" t="s">
        <v>238</v>
      </c>
      <c r="D2893" t="s">
        <v>261</v>
      </c>
      <c r="E2893" t="s">
        <v>229</v>
      </c>
      <c r="F2893">
        <v>2016</v>
      </c>
      <c r="G2893">
        <v>4.6720000000000003E-4</v>
      </c>
      <c r="H2893" t="s">
        <v>240</v>
      </c>
      <c r="I2893" t="s">
        <v>241</v>
      </c>
      <c r="J2893" t="s">
        <v>3</v>
      </c>
      <c r="K2893" s="183">
        <f ca="1">VLOOKUP(F2893,
    OFFSET(INDIRECT(ADDRESS(MATCH(J2893,'Vehicle numbers'!$A$5:$A$162,0),1,1,1,$L$6)),4,1,COUNTIF('Vehicle numbers'!$A$5:$A$162,J2893),4),
    MATCH(K$8,'Vehicle numbers'!$B$4:$D$4,0))*1000</f>
        <v>1248074</v>
      </c>
      <c r="L2893" s="183">
        <f ca="1">VLOOKUP(F2893,
    OFFSET(INDIRECT(ADDRESS(MATCH(J2893,'Vehicle numbers'!$A$5:$A$162,0),1,1,1,$L$6)),4,1,COUNTIF('Vehicle numbers'!$A$5:$A$162,J2893),4),
    MATCH(L$8,'Vehicle numbers'!$B$4:$D$4,0))*1000</f>
        <v>1270216</v>
      </c>
      <c r="M2893" s="184">
        <f>VLOOKUP(F2893,'Annual distance covered (GB)'!$A$8:$H$33,MATCH(J2893,'Annual distance covered (GB)'!$A$7:$H$7,0))</f>
        <v>4.8</v>
      </c>
      <c r="N2893" s="2">
        <f t="shared" ca="1" si="104"/>
        <v>2282.345111716133</v>
      </c>
      <c r="O2893" s="180">
        <f t="shared" ca="1" si="105"/>
        <v>1.7968165349170008E-3</v>
      </c>
      <c r="P2893" s="180"/>
      <c r="Q2893" s="180"/>
      <c r="R2893" s="180"/>
      <c r="S2893" s="180"/>
      <c r="T2893" s="180"/>
    </row>
    <row r="2894" spans="1:20" x14ac:dyDescent="0.25">
      <c r="A2894" t="s">
        <v>236</v>
      </c>
      <c r="B2894" t="s">
        <v>237</v>
      </c>
      <c r="C2894" t="s">
        <v>238</v>
      </c>
      <c r="D2894" t="s">
        <v>261</v>
      </c>
      <c r="E2894" t="s">
        <v>228</v>
      </c>
      <c r="F2894">
        <v>2016</v>
      </c>
      <c r="G2894">
        <v>3.7569999999999999E-3</v>
      </c>
      <c r="H2894" t="s">
        <v>240</v>
      </c>
      <c r="I2894" t="s">
        <v>241</v>
      </c>
      <c r="J2894" t="s">
        <v>3</v>
      </c>
      <c r="K2894" s="183">
        <f ca="1">VLOOKUP(F2894,
    OFFSET(INDIRECT(ADDRESS(MATCH(J2894,'Vehicle numbers'!$A$5:$A$162,0),1,1,1,$L$6)),4,1,COUNTIF('Vehicle numbers'!$A$5:$A$162,J2894),4),
    MATCH(K$8,'Vehicle numbers'!$B$4:$D$4,0))*1000</f>
        <v>1248074</v>
      </c>
      <c r="L2894" s="183">
        <f ca="1">VLOOKUP(F2894,
    OFFSET(INDIRECT(ADDRESS(MATCH(J2894,'Vehicle numbers'!$A$5:$A$162,0),1,1,1,$L$6)),4,1,COUNTIF('Vehicle numbers'!$A$5:$A$162,J2894),4),
    MATCH(L$8,'Vehicle numbers'!$B$4:$D$4,0))*1000</f>
        <v>1270216</v>
      </c>
      <c r="M2894" s="184">
        <f>VLOOKUP(F2894,'Annual distance covered (GB)'!$A$8:$H$33,MATCH(J2894,'Annual distance covered (GB)'!$A$7:$H$7,0))</f>
        <v>4.8</v>
      </c>
      <c r="N2894" s="2">
        <f t="shared" ca="1" si="104"/>
        <v>18353.532929617955</v>
      </c>
      <c r="O2894" s="180">
        <f t="shared" ca="1" si="105"/>
        <v>1.4449143239904044E-2</v>
      </c>
      <c r="P2894" s="180"/>
      <c r="Q2894" s="180"/>
      <c r="R2894" s="180"/>
      <c r="S2894" s="180"/>
      <c r="T2894" s="180"/>
    </row>
    <row r="2895" spans="1:20" x14ac:dyDescent="0.25">
      <c r="A2895" t="s">
        <v>243</v>
      </c>
      <c r="B2895" t="s">
        <v>237</v>
      </c>
      <c r="C2895" t="s">
        <v>238</v>
      </c>
      <c r="D2895" t="s">
        <v>261</v>
      </c>
      <c r="E2895" t="s">
        <v>228</v>
      </c>
      <c r="F2895">
        <v>2016</v>
      </c>
      <c r="G2895">
        <v>2.6299000000000001E-3</v>
      </c>
      <c r="H2895" t="s">
        <v>240</v>
      </c>
      <c r="I2895" t="s">
        <v>241</v>
      </c>
      <c r="J2895" t="s">
        <v>3</v>
      </c>
      <c r="K2895" s="183">
        <f ca="1">VLOOKUP(F2895,
    OFFSET(INDIRECT(ADDRESS(MATCH(J2895,'Vehicle numbers'!$A$5:$A$162,0),1,1,1,$L$6)),4,1,COUNTIF('Vehicle numbers'!$A$5:$A$162,J2895),4),
    MATCH(K$8,'Vehicle numbers'!$B$4:$D$4,0))*1000</f>
        <v>1248074</v>
      </c>
      <c r="L2895" s="183">
        <f ca="1">VLOOKUP(F2895,
    OFFSET(INDIRECT(ADDRESS(MATCH(J2895,'Vehicle numbers'!$A$5:$A$162,0),1,1,1,$L$6)),4,1,COUNTIF('Vehicle numbers'!$A$5:$A$162,J2895),4),
    MATCH(L$8,'Vehicle numbers'!$B$4:$D$4,0))*1000</f>
        <v>1270216</v>
      </c>
      <c r="M2895" s="184">
        <f>VLOOKUP(F2895,'Annual distance covered (GB)'!$A$8:$H$33,MATCH(J2895,'Annual distance covered (GB)'!$A$7:$H$7,0))</f>
        <v>4.8</v>
      </c>
      <c r="N2895" s="2">
        <f t="shared" ca="1" si="104"/>
        <v>12847.473050732571</v>
      </c>
      <c r="O2895" s="180">
        <f t="shared" ca="1" si="105"/>
        <v>1.0114400267932833E-2</v>
      </c>
      <c r="P2895" s="180"/>
      <c r="Q2895" s="180"/>
      <c r="R2895" s="180"/>
      <c r="S2895" s="180"/>
      <c r="T2895" s="180"/>
    </row>
    <row r="2896" spans="1:20" x14ac:dyDescent="0.25">
      <c r="A2896" t="s">
        <v>244</v>
      </c>
      <c r="B2896" t="s">
        <v>237</v>
      </c>
      <c r="C2896" t="s">
        <v>238</v>
      </c>
      <c r="D2896" t="s">
        <v>261</v>
      </c>
      <c r="E2896" t="s">
        <v>228</v>
      </c>
      <c r="F2896">
        <v>2016</v>
      </c>
      <c r="G2896">
        <v>3.7040845070422499E-4</v>
      </c>
      <c r="H2896" t="s">
        <v>240</v>
      </c>
      <c r="I2896" t="s">
        <v>241</v>
      </c>
      <c r="J2896" t="s">
        <v>3</v>
      </c>
      <c r="K2896" s="183">
        <f ca="1">VLOOKUP(F2896,
    OFFSET(INDIRECT(ADDRESS(MATCH(J2896,'Vehicle numbers'!$A$5:$A$162,0),1,1,1,$L$6)),4,1,COUNTIF('Vehicle numbers'!$A$5:$A$162,J2896),4),
    MATCH(K$8,'Vehicle numbers'!$B$4:$D$4,0))*1000</f>
        <v>1248074</v>
      </c>
      <c r="L2896" s="183">
        <f ca="1">VLOOKUP(F2896,
    OFFSET(INDIRECT(ADDRESS(MATCH(J2896,'Vehicle numbers'!$A$5:$A$162,0),1,1,1,$L$6)),4,1,COUNTIF('Vehicle numbers'!$A$5:$A$162,J2896),4),
    MATCH(L$8,'Vehicle numbers'!$B$4:$D$4,0))*1000</f>
        <v>1270216</v>
      </c>
      <c r="M2896" s="184">
        <f>VLOOKUP(F2896,'Annual distance covered (GB)'!$A$8:$H$33,MATCH(J2896,'Annual distance covered (GB)'!$A$7:$H$7,0))</f>
        <v>4.8</v>
      </c>
      <c r="N2896" s="2">
        <f t="shared" ca="1" si="104"/>
        <v>1809.5032465820502</v>
      </c>
      <c r="O2896" s="180">
        <f t="shared" ca="1" si="105"/>
        <v>1.4245634180187073E-3</v>
      </c>
      <c r="P2896" s="180"/>
      <c r="Q2896" s="180"/>
      <c r="R2896" s="180"/>
      <c r="S2896" s="180"/>
      <c r="T2896" s="180"/>
    </row>
    <row r="2897" spans="1:20" x14ac:dyDescent="0.25">
      <c r="A2897" t="s">
        <v>246</v>
      </c>
      <c r="B2897" t="s">
        <v>237</v>
      </c>
      <c r="C2897" t="s">
        <v>238</v>
      </c>
      <c r="D2897" t="s">
        <v>261</v>
      </c>
      <c r="E2897" t="s">
        <v>228</v>
      </c>
      <c r="F2897">
        <v>2016</v>
      </c>
      <c r="G2897">
        <v>2.9632676056337998E-4</v>
      </c>
      <c r="H2897" t="s">
        <v>240</v>
      </c>
      <c r="I2897" t="s">
        <v>241</v>
      </c>
      <c r="J2897" t="s">
        <v>3</v>
      </c>
      <c r="K2897" s="183">
        <f ca="1">VLOOKUP(F2897,
    OFFSET(INDIRECT(ADDRESS(MATCH(J2897,'Vehicle numbers'!$A$5:$A$162,0),1,1,1,$L$6)),4,1,COUNTIF('Vehicle numbers'!$A$5:$A$162,J2897),4),
    MATCH(K$8,'Vehicle numbers'!$B$4:$D$4,0))*1000</f>
        <v>1248074</v>
      </c>
      <c r="L2897" s="183">
        <f ca="1">VLOOKUP(F2897,
    OFFSET(INDIRECT(ADDRESS(MATCH(J2897,'Vehicle numbers'!$A$5:$A$162,0),1,1,1,$L$6)),4,1,COUNTIF('Vehicle numbers'!$A$5:$A$162,J2897),4),
    MATCH(L$8,'Vehicle numbers'!$B$4:$D$4,0))*1000</f>
        <v>1270216</v>
      </c>
      <c r="M2897" s="184">
        <f>VLOOKUP(F2897,'Annual distance covered (GB)'!$A$8:$H$33,MATCH(J2897,'Annual distance covered (GB)'!$A$7:$H$7,0))</f>
        <v>4.8</v>
      </c>
      <c r="N2897" s="2">
        <f t="shared" ca="1" si="104"/>
        <v>1447.6025972656403</v>
      </c>
      <c r="O2897" s="180">
        <f t="shared" ca="1" si="105"/>
        <v>1.1396507344149658E-3</v>
      </c>
      <c r="P2897" s="180"/>
      <c r="Q2897" s="180"/>
      <c r="R2897" s="180"/>
      <c r="S2897" s="180"/>
      <c r="T2897" s="180"/>
    </row>
    <row r="2898" spans="1:20" x14ac:dyDescent="0.25">
      <c r="A2898" t="s">
        <v>236</v>
      </c>
      <c r="B2898" t="s">
        <v>237</v>
      </c>
      <c r="C2898" t="s">
        <v>238</v>
      </c>
      <c r="D2898" t="s">
        <v>262</v>
      </c>
      <c r="E2898" t="s">
        <v>229</v>
      </c>
      <c r="F2898">
        <v>2016</v>
      </c>
      <c r="G2898">
        <v>6.8000000000000005E-4</v>
      </c>
      <c r="H2898" t="s">
        <v>240</v>
      </c>
      <c r="I2898" t="s">
        <v>241</v>
      </c>
      <c r="J2898" t="s">
        <v>3</v>
      </c>
      <c r="K2898" s="183">
        <f ca="1">VLOOKUP(F2898,
    OFFSET(INDIRECT(ADDRESS(MATCH(J2898,'Vehicle numbers'!$A$5:$A$162,0),1,1,1,$L$6)),4,1,COUNTIF('Vehicle numbers'!$A$5:$A$162,J2898),4),
    MATCH(K$8,'Vehicle numbers'!$B$4:$D$4,0))*1000</f>
        <v>1248074</v>
      </c>
      <c r="L2898" s="183">
        <f ca="1">VLOOKUP(F2898,
    OFFSET(INDIRECT(ADDRESS(MATCH(J2898,'Vehicle numbers'!$A$5:$A$162,0),1,1,1,$L$6)),4,1,COUNTIF('Vehicle numbers'!$A$5:$A$162,J2898),4),
    MATCH(L$8,'Vehicle numbers'!$B$4:$D$4,0))*1000</f>
        <v>1270216</v>
      </c>
      <c r="M2898" s="184">
        <f>VLOOKUP(F2898,'Annual distance covered (GB)'!$A$8:$H$33,MATCH(J2898,'Annual distance covered (GB)'!$A$7:$H$7,0))</f>
        <v>4.8</v>
      </c>
      <c r="N2898" s="2">
        <f t="shared" ca="1" si="104"/>
        <v>3321.9064126005351</v>
      </c>
      <c r="O2898" s="180">
        <f t="shared" ca="1" si="105"/>
        <v>2.6152295456839899E-3</v>
      </c>
      <c r="P2898" s="180"/>
      <c r="Q2898" s="180"/>
      <c r="R2898" s="180"/>
      <c r="S2898" s="180"/>
      <c r="T2898" s="180"/>
    </row>
    <row r="2899" spans="1:20" x14ac:dyDescent="0.25">
      <c r="A2899" t="s">
        <v>243</v>
      </c>
      <c r="B2899" t="s">
        <v>237</v>
      </c>
      <c r="C2899" t="s">
        <v>238</v>
      </c>
      <c r="D2899" t="s">
        <v>262</v>
      </c>
      <c r="E2899" t="s">
        <v>229</v>
      </c>
      <c r="F2899">
        <v>2016</v>
      </c>
      <c r="G2899">
        <v>2.72E-4</v>
      </c>
      <c r="H2899" t="s">
        <v>240</v>
      </c>
      <c r="I2899" t="s">
        <v>241</v>
      </c>
      <c r="J2899" t="s">
        <v>3</v>
      </c>
      <c r="K2899" s="183">
        <f ca="1">VLOOKUP(F2899,
    OFFSET(INDIRECT(ADDRESS(MATCH(J2899,'Vehicle numbers'!$A$5:$A$162,0),1,1,1,$L$6)),4,1,COUNTIF('Vehicle numbers'!$A$5:$A$162,J2899),4),
    MATCH(K$8,'Vehicle numbers'!$B$4:$D$4,0))*1000</f>
        <v>1248074</v>
      </c>
      <c r="L2899" s="183">
        <f ca="1">VLOOKUP(F2899,
    OFFSET(INDIRECT(ADDRESS(MATCH(J2899,'Vehicle numbers'!$A$5:$A$162,0),1,1,1,$L$6)),4,1,COUNTIF('Vehicle numbers'!$A$5:$A$162,J2899),4),
    MATCH(L$8,'Vehicle numbers'!$B$4:$D$4,0))*1000</f>
        <v>1270216</v>
      </c>
      <c r="M2899" s="184">
        <f>VLOOKUP(F2899,'Annual distance covered (GB)'!$A$8:$H$33,MATCH(J2899,'Annual distance covered (GB)'!$A$7:$H$7,0))</f>
        <v>4.8</v>
      </c>
      <c r="N2899" s="2">
        <f t="shared" ca="1" si="104"/>
        <v>1328.762565040214</v>
      </c>
      <c r="O2899" s="180">
        <f t="shared" ca="1" si="105"/>
        <v>1.0460918182735959E-3</v>
      </c>
      <c r="P2899" s="180"/>
      <c r="Q2899" s="180"/>
      <c r="R2899" s="180"/>
      <c r="S2899" s="180"/>
      <c r="T2899" s="180"/>
    </row>
    <row r="2900" spans="1:20" x14ac:dyDescent="0.25">
      <c r="A2900" t="s">
        <v>244</v>
      </c>
      <c r="B2900" t="s">
        <v>237</v>
      </c>
      <c r="C2900" t="s">
        <v>238</v>
      </c>
      <c r="D2900" t="s">
        <v>262</v>
      </c>
      <c r="E2900" t="s">
        <v>229</v>
      </c>
      <c r="F2900">
        <v>2016</v>
      </c>
      <c r="G2900" s="189">
        <v>6.7999999999999999E-5</v>
      </c>
      <c r="H2900" t="s">
        <v>240</v>
      </c>
      <c r="I2900" t="s">
        <v>241</v>
      </c>
      <c r="J2900" t="s">
        <v>3</v>
      </c>
      <c r="K2900" s="183">
        <f ca="1">VLOOKUP(F2900,
    OFFSET(INDIRECT(ADDRESS(MATCH(J2900,'Vehicle numbers'!$A$5:$A$162,0),1,1,1,$L$6)),4,1,COUNTIF('Vehicle numbers'!$A$5:$A$162,J2900),4),
    MATCH(K$8,'Vehicle numbers'!$B$4:$D$4,0))*1000</f>
        <v>1248074</v>
      </c>
      <c r="L2900" s="183">
        <f ca="1">VLOOKUP(F2900,
    OFFSET(INDIRECT(ADDRESS(MATCH(J2900,'Vehicle numbers'!$A$5:$A$162,0),1,1,1,$L$6)),4,1,COUNTIF('Vehicle numbers'!$A$5:$A$162,J2900),4),
    MATCH(L$8,'Vehicle numbers'!$B$4:$D$4,0))*1000</f>
        <v>1270216</v>
      </c>
      <c r="M2900" s="184">
        <f>VLOOKUP(F2900,'Annual distance covered (GB)'!$A$8:$H$33,MATCH(J2900,'Annual distance covered (GB)'!$A$7:$H$7,0))</f>
        <v>4.8</v>
      </c>
      <c r="N2900" s="2">
        <f t="shared" ca="1" si="104"/>
        <v>332.1906412600535</v>
      </c>
      <c r="O2900" s="180">
        <f t="shared" ca="1" si="105"/>
        <v>2.6152295456839897E-4</v>
      </c>
      <c r="P2900" s="180"/>
      <c r="Q2900" s="180"/>
      <c r="R2900" s="180"/>
      <c r="S2900" s="180"/>
      <c r="T2900" s="180"/>
    </row>
    <row r="2901" spans="1:20" x14ac:dyDescent="0.25">
      <c r="A2901" t="s">
        <v>246</v>
      </c>
      <c r="B2901" t="s">
        <v>237</v>
      </c>
      <c r="C2901" t="s">
        <v>238</v>
      </c>
      <c r="D2901" t="s">
        <v>262</v>
      </c>
      <c r="E2901" t="s">
        <v>229</v>
      </c>
      <c r="F2901">
        <v>2016</v>
      </c>
      <c r="G2901" s="189">
        <v>5.4400000000000001E-5</v>
      </c>
      <c r="H2901" t="s">
        <v>240</v>
      </c>
      <c r="I2901" t="s">
        <v>241</v>
      </c>
      <c r="J2901" t="s">
        <v>3</v>
      </c>
      <c r="K2901" s="183">
        <f ca="1">VLOOKUP(F2901,
    OFFSET(INDIRECT(ADDRESS(MATCH(J2901,'Vehicle numbers'!$A$5:$A$162,0),1,1,1,$L$6)),4,1,COUNTIF('Vehicle numbers'!$A$5:$A$162,J2901),4),
    MATCH(K$8,'Vehicle numbers'!$B$4:$D$4,0))*1000</f>
        <v>1248074</v>
      </c>
      <c r="L2901" s="183">
        <f ca="1">VLOOKUP(F2901,
    OFFSET(INDIRECT(ADDRESS(MATCH(J2901,'Vehicle numbers'!$A$5:$A$162,0),1,1,1,$L$6)),4,1,COUNTIF('Vehicle numbers'!$A$5:$A$162,J2901),4),
    MATCH(L$8,'Vehicle numbers'!$B$4:$D$4,0))*1000</f>
        <v>1270216</v>
      </c>
      <c r="M2901" s="184">
        <f>VLOOKUP(F2901,'Annual distance covered (GB)'!$A$8:$H$33,MATCH(J2901,'Annual distance covered (GB)'!$A$7:$H$7,0))</f>
        <v>4.8</v>
      </c>
      <c r="N2901" s="2">
        <f t="shared" ca="1" si="104"/>
        <v>265.75251300804285</v>
      </c>
      <c r="O2901" s="180">
        <f t="shared" ca="1" si="105"/>
        <v>2.0921836365471924E-4</v>
      </c>
      <c r="P2901" s="180"/>
      <c r="Q2901" s="180"/>
      <c r="R2901" s="180"/>
      <c r="S2901" s="180"/>
      <c r="T2901" s="180"/>
    </row>
    <row r="2902" spans="1:20" x14ac:dyDescent="0.25">
      <c r="A2902" t="s">
        <v>236</v>
      </c>
      <c r="B2902" t="s">
        <v>237</v>
      </c>
      <c r="C2902" t="s">
        <v>238</v>
      </c>
      <c r="D2902" t="s">
        <v>262</v>
      </c>
      <c r="E2902" t="s">
        <v>228</v>
      </c>
      <c r="F2902">
        <v>2016</v>
      </c>
      <c r="G2902">
        <v>2.49E-3</v>
      </c>
      <c r="H2902" t="s">
        <v>240</v>
      </c>
      <c r="I2902" t="s">
        <v>241</v>
      </c>
      <c r="J2902" t="s">
        <v>3</v>
      </c>
      <c r="K2902" s="183">
        <f ca="1">VLOOKUP(F2902,
    OFFSET(INDIRECT(ADDRESS(MATCH(J2902,'Vehicle numbers'!$A$5:$A$162,0),1,1,1,$L$6)),4,1,COUNTIF('Vehicle numbers'!$A$5:$A$162,J2902),4),
    MATCH(K$8,'Vehicle numbers'!$B$4:$D$4,0))*1000</f>
        <v>1248074</v>
      </c>
      <c r="L2902" s="183">
        <f ca="1">VLOOKUP(F2902,
    OFFSET(INDIRECT(ADDRESS(MATCH(J2902,'Vehicle numbers'!$A$5:$A$162,0),1,1,1,$L$6)),4,1,COUNTIF('Vehicle numbers'!$A$5:$A$162,J2902),4),
    MATCH(L$8,'Vehicle numbers'!$B$4:$D$4,0))*1000</f>
        <v>1270216</v>
      </c>
      <c r="M2902" s="184">
        <f>VLOOKUP(F2902,'Annual distance covered (GB)'!$A$8:$H$33,MATCH(J2902,'Annual distance covered (GB)'!$A$7:$H$7,0))</f>
        <v>4.8</v>
      </c>
      <c r="N2902" s="2">
        <f t="shared" ca="1" si="104"/>
        <v>12164.039657904899</v>
      </c>
      <c r="O2902" s="180">
        <f t="shared" ca="1" si="105"/>
        <v>9.5763552481663745E-3</v>
      </c>
      <c r="P2902" s="180"/>
      <c r="Q2902" s="180"/>
      <c r="R2902" s="180"/>
      <c r="S2902" s="180"/>
      <c r="T2902" s="180"/>
    </row>
    <row r="2903" spans="1:20" x14ac:dyDescent="0.25">
      <c r="A2903" t="s">
        <v>243</v>
      </c>
      <c r="B2903" t="s">
        <v>237</v>
      </c>
      <c r="C2903" t="s">
        <v>238</v>
      </c>
      <c r="D2903" t="s">
        <v>262</v>
      </c>
      <c r="E2903" t="s">
        <v>228</v>
      </c>
      <c r="F2903">
        <v>2016</v>
      </c>
      <c r="G2903">
        <v>1.743E-3</v>
      </c>
      <c r="H2903" t="s">
        <v>240</v>
      </c>
      <c r="I2903" t="s">
        <v>241</v>
      </c>
      <c r="J2903" t="s">
        <v>3</v>
      </c>
      <c r="K2903" s="183">
        <f ca="1">VLOOKUP(F2903,
    OFFSET(INDIRECT(ADDRESS(MATCH(J2903,'Vehicle numbers'!$A$5:$A$162,0),1,1,1,$L$6)),4,1,COUNTIF('Vehicle numbers'!$A$5:$A$162,J2903),4),
    MATCH(K$8,'Vehicle numbers'!$B$4:$D$4,0))*1000</f>
        <v>1248074</v>
      </c>
      <c r="L2903" s="183">
        <f ca="1">VLOOKUP(F2903,
    OFFSET(INDIRECT(ADDRESS(MATCH(J2903,'Vehicle numbers'!$A$5:$A$162,0),1,1,1,$L$6)),4,1,COUNTIF('Vehicle numbers'!$A$5:$A$162,J2903),4),
    MATCH(L$8,'Vehicle numbers'!$B$4:$D$4,0))*1000</f>
        <v>1270216</v>
      </c>
      <c r="M2903" s="184">
        <f>VLOOKUP(F2903,'Annual distance covered (GB)'!$A$8:$H$33,MATCH(J2903,'Annual distance covered (GB)'!$A$7:$H$7,0))</f>
        <v>4.8</v>
      </c>
      <c r="N2903" s="2">
        <f t="shared" ca="1" si="104"/>
        <v>8514.8277605334297</v>
      </c>
      <c r="O2903" s="180">
        <f t="shared" ca="1" si="105"/>
        <v>6.7034486737164618E-3</v>
      </c>
      <c r="P2903" s="180"/>
      <c r="Q2903" s="180"/>
      <c r="R2903" s="180"/>
      <c r="S2903" s="180"/>
      <c r="T2903" s="180"/>
    </row>
    <row r="2904" spans="1:20" x14ac:dyDescent="0.25">
      <c r="A2904" t="s">
        <v>244</v>
      </c>
      <c r="B2904" t="s">
        <v>237</v>
      </c>
      <c r="C2904" t="s">
        <v>238</v>
      </c>
      <c r="D2904" t="s">
        <v>262</v>
      </c>
      <c r="E2904" t="s">
        <v>228</v>
      </c>
      <c r="F2904">
        <v>2016</v>
      </c>
      <c r="G2904">
        <v>2.4549295774647798E-4</v>
      </c>
      <c r="H2904" t="s">
        <v>240</v>
      </c>
      <c r="I2904" t="s">
        <v>241</v>
      </c>
      <c r="J2904" t="s">
        <v>3</v>
      </c>
      <c r="K2904" s="183">
        <f ca="1">VLOOKUP(F2904,
    OFFSET(INDIRECT(ADDRESS(MATCH(J2904,'Vehicle numbers'!$A$5:$A$162,0),1,1,1,$L$6)),4,1,COUNTIF('Vehicle numbers'!$A$5:$A$162,J2904),4),
    MATCH(K$8,'Vehicle numbers'!$B$4:$D$4,0))*1000</f>
        <v>1248074</v>
      </c>
      <c r="L2904" s="183">
        <f ca="1">VLOOKUP(F2904,
    OFFSET(INDIRECT(ADDRESS(MATCH(J2904,'Vehicle numbers'!$A$5:$A$162,0),1,1,1,$L$6)),4,1,COUNTIF('Vehicle numbers'!$A$5:$A$162,J2904),4),
    MATCH(L$8,'Vehicle numbers'!$B$4:$D$4,0))*1000</f>
        <v>1270216</v>
      </c>
      <c r="M2904" s="184">
        <f>VLOOKUP(F2904,'Annual distance covered (GB)'!$A$8:$H$33,MATCH(J2904,'Annual distance covered (GB)'!$A$7:$H$7,0))</f>
        <v>4.8</v>
      </c>
      <c r="N2904" s="2">
        <f t="shared" ca="1" si="104"/>
        <v>1199.2715155680844</v>
      </c>
      <c r="O2904" s="180">
        <f t="shared" ca="1" si="105"/>
        <v>9.4414770052344199E-4</v>
      </c>
      <c r="P2904" s="180"/>
      <c r="Q2904" s="180"/>
      <c r="R2904" s="180"/>
      <c r="S2904" s="180"/>
      <c r="T2904" s="180"/>
    </row>
    <row r="2905" spans="1:20" x14ac:dyDescent="0.25">
      <c r="A2905" t="s">
        <v>246</v>
      </c>
      <c r="B2905" t="s">
        <v>237</v>
      </c>
      <c r="C2905" t="s">
        <v>238</v>
      </c>
      <c r="D2905" t="s">
        <v>262</v>
      </c>
      <c r="E2905" t="s">
        <v>228</v>
      </c>
      <c r="F2905">
        <v>2016</v>
      </c>
      <c r="G2905">
        <v>1.96394366197183E-4</v>
      </c>
      <c r="H2905" t="s">
        <v>240</v>
      </c>
      <c r="I2905" t="s">
        <v>241</v>
      </c>
      <c r="J2905" t="s">
        <v>3</v>
      </c>
      <c r="K2905" s="183">
        <f ca="1">VLOOKUP(F2905,
    OFFSET(INDIRECT(ADDRESS(MATCH(J2905,'Vehicle numbers'!$A$5:$A$162,0),1,1,1,$L$6)),4,1,COUNTIF('Vehicle numbers'!$A$5:$A$162,J2905),4),
    MATCH(K$8,'Vehicle numbers'!$B$4:$D$4,0))*1000</f>
        <v>1248074</v>
      </c>
      <c r="L2905" s="183">
        <f ca="1">VLOOKUP(F2905,
    OFFSET(INDIRECT(ADDRESS(MATCH(J2905,'Vehicle numbers'!$A$5:$A$162,0),1,1,1,$L$6)),4,1,COUNTIF('Vehicle numbers'!$A$5:$A$162,J2905),4),
    MATCH(L$8,'Vehicle numbers'!$B$4:$D$4,0))*1000</f>
        <v>1270216</v>
      </c>
      <c r="M2905" s="184">
        <f>VLOOKUP(F2905,'Annual distance covered (GB)'!$A$8:$H$33,MATCH(J2905,'Annual distance covered (GB)'!$A$7:$H$7,0))</f>
        <v>4.8</v>
      </c>
      <c r="N2905" s="2">
        <f t="shared" ca="1" si="104"/>
        <v>959.41721245447047</v>
      </c>
      <c r="O2905" s="180">
        <f t="shared" ca="1" si="105"/>
        <v>7.5531816041875591E-4</v>
      </c>
      <c r="P2905" s="180"/>
      <c r="Q2905" s="180"/>
      <c r="R2905" s="180"/>
      <c r="S2905" s="180"/>
      <c r="T2905" s="180"/>
    </row>
    <row r="2906" spans="1:20" x14ac:dyDescent="0.25">
      <c r="A2906" t="s">
        <v>236</v>
      </c>
      <c r="B2906" t="s">
        <v>237</v>
      </c>
      <c r="C2906" t="s">
        <v>238</v>
      </c>
      <c r="D2906" t="s">
        <v>263</v>
      </c>
      <c r="E2906" t="s">
        <v>229</v>
      </c>
      <c r="F2906">
        <v>2016</v>
      </c>
      <c r="G2906">
        <v>2.764E-3</v>
      </c>
      <c r="H2906" t="s">
        <v>240</v>
      </c>
      <c r="I2906" t="s">
        <v>241</v>
      </c>
      <c r="J2906" t="s">
        <v>3</v>
      </c>
      <c r="K2906" s="183">
        <f ca="1">VLOOKUP(F2906,
    OFFSET(INDIRECT(ADDRESS(MATCH(J2906,'Vehicle numbers'!$A$5:$A$162,0),1,1,1,$L$6)),4,1,COUNTIF('Vehicle numbers'!$A$5:$A$162,J2906),4),
    MATCH(K$8,'Vehicle numbers'!$B$4:$D$4,0))*1000</f>
        <v>1248074</v>
      </c>
      <c r="L2906" s="183">
        <f ca="1">VLOOKUP(F2906,
    OFFSET(INDIRECT(ADDRESS(MATCH(J2906,'Vehicle numbers'!$A$5:$A$162,0),1,1,1,$L$6)),4,1,COUNTIF('Vehicle numbers'!$A$5:$A$162,J2906),4),
    MATCH(L$8,'Vehicle numbers'!$B$4:$D$4,0))*1000</f>
        <v>1270216</v>
      </c>
      <c r="M2906" s="184">
        <f>VLOOKUP(F2906,'Annual distance covered (GB)'!$A$8:$H$33,MATCH(J2906,'Annual distance covered (GB)'!$A$7:$H$7,0))</f>
        <v>4.8</v>
      </c>
      <c r="N2906" s="2">
        <f t="shared" ca="1" si="104"/>
        <v>13502.572535923353</v>
      </c>
      <c r="O2906" s="180">
        <f t="shared" ca="1" si="105"/>
        <v>1.0630138918044926E-2</v>
      </c>
      <c r="P2906" s="180"/>
      <c r="Q2906" s="180"/>
      <c r="R2906" s="180"/>
      <c r="S2906" s="180"/>
      <c r="T2906" s="180"/>
    </row>
    <row r="2907" spans="1:20" x14ac:dyDescent="0.25">
      <c r="A2907" t="s">
        <v>243</v>
      </c>
      <c r="B2907" t="s">
        <v>237</v>
      </c>
      <c r="C2907" t="s">
        <v>238</v>
      </c>
      <c r="D2907" t="s">
        <v>263</v>
      </c>
      <c r="E2907" t="s">
        <v>229</v>
      </c>
      <c r="F2907">
        <v>2016</v>
      </c>
      <c r="G2907">
        <v>1.1056E-3</v>
      </c>
      <c r="H2907" t="s">
        <v>240</v>
      </c>
      <c r="I2907" t="s">
        <v>241</v>
      </c>
      <c r="J2907" t="s">
        <v>3</v>
      </c>
      <c r="K2907" s="183">
        <f ca="1">VLOOKUP(F2907,
    OFFSET(INDIRECT(ADDRESS(MATCH(J2907,'Vehicle numbers'!$A$5:$A$162,0),1,1,1,$L$6)),4,1,COUNTIF('Vehicle numbers'!$A$5:$A$162,J2907),4),
    MATCH(K$8,'Vehicle numbers'!$B$4:$D$4,0))*1000</f>
        <v>1248074</v>
      </c>
      <c r="L2907" s="183">
        <f ca="1">VLOOKUP(F2907,
    OFFSET(INDIRECT(ADDRESS(MATCH(J2907,'Vehicle numbers'!$A$5:$A$162,0),1,1,1,$L$6)),4,1,COUNTIF('Vehicle numbers'!$A$5:$A$162,J2907),4),
    MATCH(L$8,'Vehicle numbers'!$B$4:$D$4,0))*1000</f>
        <v>1270216</v>
      </c>
      <c r="M2907" s="184">
        <f>VLOOKUP(F2907,'Annual distance covered (GB)'!$A$8:$H$33,MATCH(J2907,'Annual distance covered (GB)'!$A$7:$H$7,0))</f>
        <v>4.8</v>
      </c>
      <c r="N2907" s="2">
        <f t="shared" ca="1" si="104"/>
        <v>5401.029014369341</v>
      </c>
      <c r="O2907" s="180">
        <f t="shared" ca="1" si="105"/>
        <v>4.2520555672179699E-3</v>
      </c>
      <c r="P2907" s="180"/>
      <c r="Q2907" s="180"/>
      <c r="R2907" s="180"/>
      <c r="S2907" s="180"/>
      <c r="T2907" s="180"/>
    </row>
    <row r="2908" spans="1:20" x14ac:dyDescent="0.25">
      <c r="A2908" t="s">
        <v>244</v>
      </c>
      <c r="B2908" t="s">
        <v>237</v>
      </c>
      <c r="C2908" t="s">
        <v>238</v>
      </c>
      <c r="D2908" t="s">
        <v>263</v>
      </c>
      <c r="E2908" t="s">
        <v>229</v>
      </c>
      <c r="F2908">
        <v>2016</v>
      </c>
      <c r="G2908">
        <v>2.764E-4</v>
      </c>
      <c r="H2908" t="s">
        <v>240</v>
      </c>
      <c r="I2908" t="s">
        <v>241</v>
      </c>
      <c r="J2908" t="s">
        <v>3</v>
      </c>
      <c r="K2908" s="183">
        <f ca="1">VLOOKUP(F2908,
    OFFSET(INDIRECT(ADDRESS(MATCH(J2908,'Vehicle numbers'!$A$5:$A$162,0),1,1,1,$L$6)),4,1,COUNTIF('Vehicle numbers'!$A$5:$A$162,J2908),4),
    MATCH(K$8,'Vehicle numbers'!$B$4:$D$4,0))*1000</f>
        <v>1248074</v>
      </c>
      <c r="L2908" s="183">
        <f ca="1">VLOOKUP(F2908,
    OFFSET(INDIRECT(ADDRESS(MATCH(J2908,'Vehicle numbers'!$A$5:$A$162,0),1,1,1,$L$6)),4,1,COUNTIF('Vehicle numbers'!$A$5:$A$162,J2908),4),
    MATCH(L$8,'Vehicle numbers'!$B$4:$D$4,0))*1000</f>
        <v>1270216</v>
      </c>
      <c r="M2908" s="184">
        <f>VLOOKUP(F2908,'Annual distance covered (GB)'!$A$8:$H$33,MATCH(J2908,'Annual distance covered (GB)'!$A$7:$H$7,0))</f>
        <v>4.8</v>
      </c>
      <c r="N2908" s="2">
        <f t="shared" ca="1" si="104"/>
        <v>1350.2572535923352</v>
      </c>
      <c r="O2908" s="180">
        <f t="shared" ca="1" si="105"/>
        <v>1.0630138918044925E-3</v>
      </c>
      <c r="P2908" s="180"/>
      <c r="Q2908" s="180"/>
      <c r="R2908" s="180"/>
      <c r="S2908" s="180"/>
      <c r="T2908" s="180"/>
    </row>
    <row r="2909" spans="1:20" x14ac:dyDescent="0.25">
      <c r="A2909" t="s">
        <v>246</v>
      </c>
      <c r="B2909" t="s">
        <v>237</v>
      </c>
      <c r="C2909" t="s">
        <v>238</v>
      </c>
      <c r="D2909" t="s">
        <v>263</v>
      </c>
      <c r="E2909" t="s">
        <v>229</v>
      </c>
      <c r="F2909">
        <v>2016</v>
      </c>
      <c r="G2909">
        <v>2.2112E-4</v>
      </c>
      <c r="H2909" t="s">
        <v>240</v>
      </c>
      <c r="I2909" t="s">
        <v>241</v>
      </c>
      <c r="J2909" t="s">
        <v>3</v>
      </c>
      <c r="K2909" s="183">
        <f ca="1">VLOOKUP(F2909,
    OFFSET(INDIRECT(ADDRESS(MATCH(J2909,'Vehicle numbers'!$A$5:$A$162,0),1,1,1,$L$6)),4,1,COUNTIF('Vehicle numbers'!$A$5:$A$162,J2909),4),
    MATCH(K$8,'Vehicle numbers'!$B$4:$D$4,0))*1000</f>
        <v>1248074</v>
      </c>
      <c r="L2909" s="183">
        <f ca="1">VLOOKUP(F2909,
    OFFSET(INDIRECT(ADDRESS(MATCH(J2909,'Vehicle numbers'!$A$5:$A$162,0),1,1,1,$L$6)),4,1,COUNTIF('Vehicle numbers'!$A$5:$A$162,J2909),4),
    MATCH(L$8,'Vehicle numbers'!$B$4:$D$4,0))*1000</f>
        <v>1270216</v>
      </c>
      <c r="M2909" s="184">
        <f>VLOOKUP(F2909,'Annual distance covered (GB)'!$A$8:$H$33,MATCH(J2909,'Annual distance covered (GB)'!$A$7:$H$7,0))</f>
        <v>4.8</v>
      </c>
      <c r="N2909" s="2">
        <f t="shared" ca="1" si="104"/>
        <v>1080.2058028738682</v>
      </c>
      <c r="O2909" s="180">
        <f t="shared" ca="1" si="105"/>
        <v>8.5041111344359396E-4</v>
      </c>
      <c r="P2909" s="180"/>
      <c r="Q2909" s="180"/>
      <c r="R2909" s="180"/>
      <c r="S2909" s="180"/>
      <c r="T2909" s="180"/>
    </row>
    <row r="2910" spans="1:20" x14ac:dyDescent="0.25">
      <c r="A2910" t="s">
        <v>236</v>
      </c>
      <c r="B2910" t="s">
        <v>237</v>
      </c>
      <c r="C2910" t="s">
        <v>238</v>
      </c>
      <c r="D2910" t="s">
        <v>263</v>
      </c>
      <c r="E2910" t="s">
        <v>228</v>
      </c>
      <c r="F2910">
        <v>2016</v>
      </c>
      <c r="G2910">
        <v>2.9239999999999999E-3</v>
      </c>
      <c r="H2910" t="s">
        <v>240</v>
      </c>
      <c r="I2910" t="s">
        <v>241</v>
      </c>
      <c r="J2910" t="s">
        <v>3</v>
      </c>
      <c r="K2910" s="183">
        <f ca="1">VLOOKUP(F2910,
    OFFSET(INDIRECT(ADDRESS(MATCH(J2910,'Vehicle numbers'!$A$5:$A$162,0),1,1,1,$L$6)),4,1,COUNTIF('Vehicle numbers'!$A$5:$A$162,J2910),4),
    MATCH(K$8,'Vehicle numbers'!$B$4:$D$4,0))*1000</f>
        <v>1248074</v>
      </c>
      <c r="L2910" s="183">
        <f ca="1">VLOOKUP(F2910,
    OFFSET(INDIRECT(ADDRESS(MATCH(J2910,'Vehicle numbers'!$A$5:$A$162,0),1,1,1,$L$6)),4,1,COUNTIF('Vehicle numbers'!$A$5:$A$162,J2910),4),
    MATCH(L$8,'Vehicle numbers'!$B$4:$D$4,0))*1000</f>
        <v>1270216</v>
      </c>
      <c r="M2910" s="184">
        <f>VLOOKUP(F2910,'Annual distance covered (GB)'!$A$8:$H$33,MATCH(J2910,'Annual distance covered (GB)'!$A$7:$H$7,0))</f>
        <v>4.8</v>
      </c>
      <c r="N2910" s="2">
        <f t="shared" ca="1" si="104"/>
        <v>14284.197574182301</v>
      </c>
      <c r="O2910" s="180">
        <f t="shared" ca="1" si="105"/>
        <v>1.1245487046441157E-2</v>
      </c>
      <c r="P2910" s="180"/>
      <c r="Q2910" s="180"/>
      <c r="R2910" s="180"/>
      <c r="S2910" s="180"/>
      <c r="T2910" s="180"/>
    </row>
    <row r="2911" spans="1:20" x14ac:dyDescent="0.25">
      <c r="A2911" t="s">
        <v>243</v>
      </c>
      <c r="B2911" t="s">
        <v>237</v>
      </c>
      <c r="C2911" t="s">
        <v>238</v>
      </c>
      <c r="D2911" t="s">
        <v>263</v>
      </c>
      <c r="E2911" t="s">
        <v>228</v>
      </c>
      <c r="F2911">
        <v>2016</v>
      </c>
      <c r="G2911">
        <v>2.0468000000000001E-3</v>
      </c>
      <c r="H2911" t="s">
        <v>240</v>
      </c>
      <c r="I2911" t="s">
        <v>241</v>
      </c>
      <c r="J2911" t="s">
        <v>3</v>
      </c>
      <c r="K2911" s="183">
        <f ca="1">VLOOKUP(F2911,
    OFFSET(INDIRECT(ADDRESS(MATCH(J2911,'Vehicle numbers'!$A$5:$A$162,0),1,1,1,$L$6)),4,1,COUNTIF('Vehicle numbers'!$A$5:$A$162,J2911),4),
    MATCH(K$8,'Vehicle numbers'!$B$4:$D$4,0))*1000</f>
        <v>1248074</v>
      </c>
      <c r="L2911" s="183">
        <f ca="1">VLOOKUP(F2911,
    OFFSET(INDIRECT(ADDRESS(MATCH(J2911,'Vehicle numbers'!$A$5:$A$162,0),1,1,1,$L$6)),4,1,COUNTIF('Vehicle numbers'!$A$5:$A$162,J2911),4),
    MATCH(L$8,'Vehicle numbers'!$B$4:$D$4,0))*1000</f>
        <v>1270216</v>
      </c>
      <c r="M2911" s="184">
        <f>VLOOKUP(F2911,'Annual distance covered (GB)'!$A$8:$H$33,MATCH(J2911,'Annual distance covered (GB)'!$A$7:$H$7,0))</f>
        <v>4.8</v>
      </c>
      <c r="N2911" s="2">
        <f t="shared" ca="1" si="104"/>
        <v>9998.938301927612</v>
      </c>
      <c r="O2911" s="180">
        <f t="shared" ca="1" si="105"/>
        <v>7.8718409325088112E-3</v>
      </c>
      <c r="P2911" s="180"/>
      <c r="Q2911" s="180"/>
      <c r="R2911" s="180"/>
      <c r="S2911" s="180"/>
      <c r="T2911" s="180"/>
    </row>
    <row r="2912" spans="1:20" x14ac:dyDescent="0.25">
      <c r="A2912" t="s">
        <v>244</v>
      </c>
      <c r="B2912" t="s">
        <v>237</v>
      </c>
      <c r="C2912" t="s">
        <v>238</v>
      </c>
      <c r="D2912" t="s">
        <v>263</v>
      </c>
      <c r="E2912" t="s">
        <v>228</v>
      </c>
      <c r="F2912">
        <v>2016</v>
      </c>
      <c r="G2912">
        <v>2.8828169014084501E-4</v>
      </c>
      <c r="H2912" t="s">
        <v>240</v>
      </c>
      <c r="I2912" t="s">
        <v>241</v>
      </c>
      <c r="J2912" t="s">
        <v>3</v>
      </c>
      <c r="K2912" s="183">
        <f ca="1">VLOOKUP(F2912,
    OFFSET(INDIRECT(ADDRESS(MATCH(J2912,'Vehicle numbers'!$A$5:$A$162,0),1,1,1,$L$6)),4,1,COUNTIF('Vehicle numbers'!$A$5:$A$162,J2912),4),
    MATCH(K$8,'Vehicle numbers'!$B$4:$D$4,0))*1000</f>
        <v>1248074</v>
      </c>
      <c r="L2912" s="183">
        <f ca="1">VLOOKUP(F2912,
    OFFSET(INDIRECT(ADDRESS(MATCH(J2912,'Vehicle numbers'!$A$5:$A$162,0),1,1,1,$L$6)),4,1,COUNTIF('Vehicle numbers'!$A$5:$A$162,J2912),4),
    MATCH(L$8,'Vehicle numbers'!$B$4:$D$4,0))*1000</f>
        <v>1270216</v>
      </c>
      <c r="M2912" s="184">
        <f>VLOOKUP(F2912,'Annual distance covered (GB)'!$A$8:$H$33,MATCH(J2912,'Annual distance covered (GB)'!$A$7:$H$7,0))</f>
        <v>4.8</v>
      </c>
      <c r="N2912" s="2">
        <f t="shared" ca="1" si="104"/>
        <v>1408.3011692855787</v>
      </c>
      <c r="O2912" s="180">
        <f t="shared" ca="1" si="105"/>
        <v>1.1087099904941984E-3</v>
      </c>
      <c r="P2912" s="180"/>
      <c r="Q2912" s="180"/>
      <c r="R2912" s="180"/>
      <c r="S2912" s="180"/>
      <c r="T2912" s="180"/>
    </row>
    <row r="2913" spans="1:20" x14ac:dyDescent="0.25">
      <c r="A2913" t="s">
        <v>246</v>
      </c>
      <c r="B2913" t="s">
        <v>237</v>
      </c>
      <c r="C2913" t="s">
        <v>238</v>
      </c>
      <c r="D2913" t="s">
        <v>263</v>
      </c>
      <c r="E2913" t="s">
        <v>228</v>
      </c>
      <c r="F2913">
        <v>2016</v>
      </c>
      <c r="G2913">
        <v>2.3062535211267599E-4</v>
      </c>
      <c r="H2913" t="s">
        <v>240</v>
      </c>
      <c r="I2913" t="s">
        <v>241</v>
      </c>
      <c r="J2913" t="s">
        <v>3</v>
      </c>
      <c r="K2913" s="183">
        <f ca="1">VLOOKUP(F2913,
    OFFSET(INDIRECT(ADDRESS(MATCH(J2913,'Vehicle numbers'!$A$5:$A$162,0),1,1,1,$L$6)),4,1,COUNTIF('Vehicle numbers'!$A$5:$A$162,J2913),4),
    MATCH(K$8,'Vehicle numbers'!$B$4:$D$4,0))*1000</f>
        <v>1248074</v>
      </c>
      <c r="L2913" s="183">
        <f ca="1">VLOOKUP(F2913,
    OFFSET(INDIRECT(ADDRESS(MATCH(J2913,'Vehicle numbers'!$A$5:$A$162,0),1,1,1,$L$6)),4,1,COUNTIF('Vehicle numbers'!$A$5:$A$162,J2913),4),
    MATCH(L$8,'Vehicle numbers'!$B$4:$D$4,0))*1000</f>
        <v>1270216</v>
      </c>
      <c r="M2913" s="184">
        <f>VLOOKUP(F2913,'Annual distance covered (GB)'!$A$8:$H$33,MATCH(J2913,'Annual distance covered (GB)'!$A$7:$H$7,0))</f>
        <v>4.8</v>
      </c>
      <c r="N2913" s="2">
        <f t="shared" ca="1" si="104"/>
        <v>1126.6409354284629</v>
      </c>
      <c r="O2913" s="180">
        <f t="shared" ca="1" si="105"/>
        <v>8.8696799239535861E-4</v>
      </c>
      <c r="P2913" s="180"/>
      <c r="Q2913" s="180"/>
      <c r="R2913" s="180"/>
      <c r="S2913" s="180"/>
      <c r="T2913" s="180"/>
    </row>
    <row r="2914" spans="1:20" x14ac:dyDescent="0.25">
      <c r="A2914" t="s">
        <v>236</v>
      </c>
      <c r="B2914" t="s">
        <v>237</v>
      </c>
      <c r="C2914" t="s">
        <v>238</v>
      </c>
      <c r="D2914" t="s">
        <v>264</v>
      </c>
      <c r="E2914" t="s">
        <v>229</v>
      </c>
      <c r="F2914">
        <v>2016</v>
      </c>
      <c r="G2914">
        <v>5.8400000000000101E-3</v>
      </c>
      <c r="H2914" t="s">
        <v>240</v>
      </c>
      <c r="I2914" t="s">
        <v>241</v>
      </c>
      <c r="J2914" t="s">
        <v>3</v>
      </c>
      <c r="K2914" s="183">
        <f ca="1">VLOOKUP(F2914,
    OFFSET(INDIRECT(ADDRESS(MATCH(J2914,'Vehicle numbers'!$A$5:$A$162,0),1,1,1,$L$6)),4,1,COUNTIF('Vehicle numbers'!$A$5:$A$162,J2914),4),
    MATCH(K$8,'Vehicle numbers'!$B$4:$D$4,0))*1000</f>
        <v>1248074</v>
      </c>
      <c r="L2914" s="183">
        <f ca="1">VLOOKUP(F2914,
    OFFSET(INDIRECT(ADDRESS(MATCH(J2914,'Vehicle numbers'!$A$5:$A$162,0),1,1,1,$L$6)),4,1,COUNTIF('Vehicle numbers'!$A$5:$A$162,J2914),4),
    MATCH(L$8,'Vehicle numbers'!$B$4:$D$4,0))*1000</f>
        <v>1270216</v>
      </c>
      <c r="M2914" s="184">
        <f>VLOOKUP(F2914,'Annual distance covered (GB)'!$A$8:$H$33,MATCH(J2914,'Annual distance covered (GB)'!$A$7:$H$7,0))</f>
        <v>4.8</v>
      </c>
      <c r="N2914" s="2">
        <f t="shared" ca="1" si="104"/>
        <v>28529.313896451706</v>
      </c>
      <c r="O2914" s="180">
        <f t="shared" ca="1" si="105"/>
        <v>2.2460206686462543E-2</v>
      </c>
      <c r="P2914" s="180"/>
      <c r="Q2914" s="180"/>
      <c r="R2914" s="180"/>
      <c r="S2914" s="180"/>
      <c r="T2914" s="180"/>
    </row>
    <row r="2915" spans="1:20" x14ac:dyDescent="0.25">
      <c r="A2915" t="s">
        <v>243</v>
      </c>
      <c r="B2915" t="s">
        <v>237</v>
      </c>
      <c r="C2915" t="s">
        <v>238</v>
      </c>
      <c r="D2915" t="s">
        <v>264</v>
      </c>
      <c r="E2915" t="s">
        <v>229</v>
      </c>
      <c r="F2915">
        <v>2016</v>
      </c>
      <c r="G2915">
        <v>2.336E-3</v>
      </c>
      <c r="H2915" t="s">
        <v>240</v>
      </c>
      <c r="I2915" t="s">
        <v>241</v>
      </c>
      <c r="J2915" t="s">
        <v>3</v>
      </c>
      <c r="K2915" s="183">
        <f ca="1">VLOOKUP(F2915,
    OFFSET(INDIRECT(ADDRESS(MATCH(J2915,'Vehicle numbers'!$A$5:$A$162,0),1,1,1,$L$6)),4,1,COUNTIF('Vehicle numbers'!$A$5:$A$162,J2915),4),
    MATCH(K$8,'Vehicle numbers'!$B$4:$D$4,0))*1000</f>
        <v>1248074</v>
      </c>
      <c r="L2915" s="183">
        <f ca="1">VLOOKUP(F2915,
    OFFSET(INDIRECT(ADDRESS(MATCH(J2915,'Vehicle numbers'!$A$5:$A$162,0),1,1,1,$L$6)),4,1,COUNTIF('Vehicle numbers'!$A$5:$A$162,J2915),4),
    MATCH(L$8,'Vehicle numbers'!$B$4:$D$4,0))*1000</f>
        <v>1270216</v>
      </c>
      <c r="M2915" s="184">
        <f>VLOOKUP(F2915,'Annual distance covered (GB)'!$A$8:$H$33,MATCH(J2915,'Annual distance covered (GB)'!$A$7:$H$7,0))</f>
        <v>4.8</v>
      </c>
      <c r="N2915" s="2">
        <f t="shared" ca="1" si="104"/>
        <v>11411.725558580663</v>
      </c>
      <c r="O2915" s="180">
        <f t="shared" ca="1" si="105"/>
        <v>8.9840826745850016E-3</v>
      </c>
      <c r="P2915" s="180"/>
      <c r="Q2915" s="180"/>
      <c r="R2915" s="180"/>
      <c r="S2915" s="180"/>
      <c r="T2915" s="180"/>
    </row>
    <row r="2916" spans="1:20" x14ac:dyDescent="0.25">
      <c r="A2916" t="s">
        <v>244</v>
      </c>
      <c r="B2916" t="s">
        <v>237</v>
      </c>
      <c r="C2916" t="s">
        <v>238</v>
      </c>
      <c r="D2916" t="s">
        <v>264</v>
      </c>
      <c r="E2916" t="s">
        <v>229</v>
      </c>
      <c r="F2916">
        <v>2016</v>
      </c>
      <c r="G2916">
        <v>5.8399999999999999E-4</v>
      </c>
      <c r="H2916" t="s">
        <v>240</v>
      </c>
      <c r="I2916" t="s">
        <v>241</v>
      </c>
      <c r="J2916" t="s">
        <v>3</v>
      </c>
      <c r="K2916" s="183">
        <f ca="1">VLOOKUP(F2916,
    OFFSET(INDIRECT(ADDRESS(MATCH(J2916,'Vehicle numbers'!$A$5:$A$162,0),1,1,1,$L$6)),4,1,COUNTIF('Vehicle numbers'!$A$5:$A$162,J2916),4),
    MATCH(K$8,'Vehicle numbers'!$B$4:$D$4,0))*1000</f>
        <v>1248074</v>
      </c>
      <c r="L2916" s="183">
        <f ca="1">VLOOKUP(F2916,
    OFFSET(INDIRECT(ADDRESS(MATCH(J2916,'Vehicle numbers'!$A$5:$A$162,0),1,1,1,$L$6)),4,1,COUNTIF('Vehicle numbers'!$A$5:$A$162,J2916),4),
    MATCH(L$8,'Vehicle numbers'!$B$4:$D$4,0))*1000</f>
        <v>1270216</v>
      </c>
      <c r="M2916" s="184">
        <f>VLOOKUP(F2916,'Annual distance covered (GB)'!$A$8:$H$33,MATCH(J2916,'Annual distance covered (GB)'!$A$7:$H$7,0))</f>
        <v>4.8</v>
      </c>
      <c r="N2916" s="2">
        <f t="shared" ca="1" si="104"/>
        <v>2852.9313896451658</v>
      </c>
      <c r="O2916" s="180">
        <f t="shared" ca="1" si="105"/>
        <v>2.2460206686462504E-3</v>
      </c>
      <c r="P2916" s="180"/>
      <c r="Q2916" s="180"/>
      <c r="R2916" s="180"/>
      <c r="S2916" s="180"/>
      <c r="T2916" s="180"/>
    </row>
    <row r="2917" spans="1:20" x14ac:dyDescent="0.25">
      <c r="A2917" t="s">
        <v>246</v>
      </c>
      <c r="B2917" t="s">
        <v>237</v>
      </c>
      <c r="C2917" t="s">
        <v>238</v>
      </c>
      <c r="D2917" t="s">
        <v>264</v>
      </c>
      <c r="E2917" t="s">
        <v>229</v>
      </c>
      <c r="F2917">
        <v>2016</v>
      </c>
      <c r="G2917">
        <v>4.6720000000000003E-4</v>
      </c>
      <c r="H2917" t="s">
        <v>240</v>
      </c>
      <c r="I2917" t="s">
        <v>241</v>
      </c>
      <c r="J2917" t="s">
        <v>3</v>
      </c>
      <c r="K2917" s="183">
        <f ca="1">VLOOKUP(F2917,
    OFFSET(INDIRECT(ADDRESS(MATCH(J2917,'Vehicle numbers'!$A$5:$A$162,0),1,1,1,$L$6)),4,1,COUNTIF('Vehicle numbers'!$A$5:$A$162,J2917),4),
    MATCH(K$8,'Vehicle numbers'!$B$4:$D$4,0))*1000</f>
        <v>1248074</v>
      </c>
      <c r="L2917" s="183">
        <f ca="1">VLOOKUP(F2917,
    OFFSET(INDIRECT(ADDRESS(MATCH(J2917,'Vehicle numbers'!$A$5:$A$162,0),1,1,1,$L$6)),4,1,COUNTIF('Vehicle numbers'!$A$5:$A$162,J2917),4),
    MATCH(L$8,'Vehicle numbers'!$B$4:$D$4,0))*1000</f>
        <v>1270216</v>
      </c>
      <c r="M2917" s="184">
        <f>VLOOKUP(F2917,'Annual distance covered (GB)'!$A$8:$H$33,MATCH(J2917,'Annual distance covered (GB)'!$A$7:$H$7,0))</f>
        <v>4.8</v>
      </c>
      <c r="N2917" s="2">
        <f t="shared" ca="1" si="104"/>
        <v>2282.345111716133</v>
      </c>
      <c r="O2917" s="180">
        <f t="shared" ca="1" si="105"/>
        <v>1.7968165349170008E-3</v>
      </c>
      <c r="P2917" s="180"/>
      <c r="Q2917" s="180"/>
      <c r="R2917" s="180"/>
      <c r="S2917" s="180"/>
      <c r="T2917" s="180"/>
    </row>
    <row r="2918" spans="1:20" x14ac:dyDescent="0.25">
      <c r="A2918" t="s">
        <v>236</v>
      </c>
      <c r="B2918" t="s">
        <v>237</v>
      </c>
      <c r="C2918" t="s">
        <v>238</v>
      </c>
      <c r="D2918" t="s">
        <v>264</v>
      </c>
      <c r="E2918" t="s">
        <v>228</v>
      </c>
      <c r="F2918">
        <v>2016</v>
      </c>
      <c r="G2918">
        <v>3.7570000000000099E-3</v>
      </c>
      <c r="H2918" t="s">
        <v>240</v>
      </c>
      <c r="I2918" t="s">
        <v>241</v>
      </c>
      <c r="J2918" t="s">
        <v>3</v>
      </c>
      <c r="K2918" s="183">
        <f ca="1">VLOOKUP(F2918,
    OFFSET(INDIRECT(ADDRESS(MATCH(J2918,'Vehicle numbers'!$A$5:$A$162,0),1,1,1,$L$6)),4,1,COUNTIF('Vehicle numbers'!$A$5:$A$162,J2918),4),
    MATCH(K$8,'Vehicle numbers'!$B$4:$D$4,0))*1000</f>
        <v>1248074</v>
      </c>
      <c r="L2918" s="183">
        <f ca="1">VLOOKUP(F2918,
    OFFSET(INDIRECT(ADDRESS(MATCH(J2918,'Vehicle numbers'!$A$5:$A$162,0),1,1,1,$L$6)),4,1,COUNTIF('Vehicle numbers'!$A$5:$A$162,J2918),4),
    MATCH(L$8,'Vehicle numbers'!$B$4:$D$4,0))*1000</f>
        <v>1270216</v>
      </c>
      <c r="M2918" s="184">
        <f>VLOOKUP(F2918,'Annual distance covered (GB)'!$A$8:$H$33,MATCH(J2918,'Annual distance covered (GB)'!$A$7:$H$7,0))</f>
        <v>4.8</v>
      </c>
      <c r="N2918" s="2">
        <f t="shared" ca="1" si="104"/>
        <v>18353.532929618003</v>
      </c>
      <c r="O2918" s="180">
        <f t="shared" ca="1" si="105"/>
        <v>1.4449143239904082E-2</v>
      </c>
      <c r="P2918" s="180"/>
      <c r="Q2918" s="180"/>
      <c r="R2918" s="180"/>
      <c r="S2918" s="180"/>
      <c r="T2918" s="180"/>
    </row>
    <row r="2919" spans="1:20" x14ac:dyDescent="0.25">
      <c r="A2919" t="s">
        <v>243</v>
      </c>
      <c r="B2919" t="s">
        <v>237</v>
      </c>
      <c r="C2919" t="s">
        <v>238</v>
      </c>
      <c r="D2919" t="s">
        <v>264</v>
      </c>
      <c r="E2919" t="s">
        <v>228</v>
      </c>
      <c r="F2919">
        <v>2016</v>
      </c>
      <c r="G2919">
        <v>2.6299000000000101E-3</v>
      </c>
      <c r="H2919" t="s">
        <v>240</v>
      </c>
      <c r="I2919" t="s">
        <v>241</v>
      </c>
      <c r="J2919" t="s">
        <v>3</v>
      </c>
      <c r="K2919" s="183">
        <f ca="1">VLOOKUP(F2919,
    OFFSET(INDIRECT(ADDRESS(MATCH(J2919,'Vehicle numbers'!$A$5:$A$162,0),1,1,1,$L$6)),4,1,COUNTIF('Vehicle numbers'!$A$5:$A$162,J2919),4),
    MATCH(K$8,'Vehicle numbers'!$B$4:$D$4,0))*1000</f>
        <v>1248074</v>
      </c>
      <c r="L2919" s="183">
        <f ca="1">VLOOKUP(F2919,
    OFFSET(INDIRECT(ADDRESS(MATCH(J2919,'Vehicle numbers'!$A$5:$A$162,0),1,1,1,$L$6)),4,1,COUNTIF('Vehicle numbers'!$A$5:$A$162,J2919),4),
    MATCH(L$8,'Vehicle numbers'!$B$4:$D$4,0))*1000</f>
        <v>1270216</v>
      </c>
      <c r="M2919" s="184">
        <f>VLOOKUP(F2919,'Annual distance covered (GB)'!$A$8:$H$33,MATCH(J2919,'Annual distance covered (GB)'!$A$7:$H$7,0))</f>
        <v>4.8</v>
      </c>
      <c r="N2919" s="2">
        <f t="shared" ca="1" si="104"/>
        <v>12847.473050732619</v>
      </c>
      <c r="O2919" s="180">
        <f t="shared" ca="1" si="105"/>
        <v>1.0114400267932869E-2</v>
      </c>
      <c r="P2919" s="180"/>
      <c r="Q2919" s="180"/>
      <c r="R2919" s="180"/>
      <c r="S2919" s="180"/>
      <c r="T2919" s="180"/>
    </row>
    <row r="2920" spans="1:20" x14ac:dyDescent="0.25">
      <c r="A2920" t="s">
        <v>244</v>
      </c>
      <c r="B2920" t="s">
        <v>237</v>
      </c>
      <c r="C2920" t="s">
        <v>238</v>
      </c>
      <c r="D2920" t="s">
        <v>264</v>
      </c>
      <c r="E2920" t="s">
        <v>228</v>
      </c>
      <c r="F2920">
        <v>2016</v>
      </c>
      <c r="G2920">
        <v>3.7040845070422602E-4</v>
      </c>
      <c r="H2920" t="s">
        <v>240</v>
      </c>
      <c r="I2920" t="s">
        <v>241</v>
      </c>
      <c r="J2920" t="s">
        <v>3</v>
      </c>
      <c r="K2920" s="183">
        <f ca="1">VLOOKUP(F2920,
    OFFSET(INDIRECT(ADDRESS(MATCH(J2920,'Vehicle numbers'!$A$5:$A$162,0),1,1,1,$L$6)),4,1,COUNTIF('Vehicle numbers'!$A$5:$A$162,J2920),4),
    MATCH(K$8,'Vehicle numbers'!$B$4:$D$4,0))*1000</f>
        <v>1248074</v>
      </c>
      <c r="L2920" s="183">
        <f ca="1">VLOOKUP(F2920,
    OFFSET(INDIRECT(ADDRESS(MATCH(J2920,'Vehicle numbers'!$A$5:$A$162,0),1,1,1,$L$6)),4,1,COUNTIF('Vehicle numbers'!$A$5:$A$162,J2920),4),
    MATCH(L$8,'Vehicle numbers'!$B$4:$D$4,0))*1000</f>
        <v>1270216</v>
      </c>
      <c r="M2920" s="184">
        <f>VLOOKUP(F2920,'Annual distance covered (GB)'!$A$8:$H$33,MATCH(J2920,'Annual distance covered (GB)'!$A$7:$H$7,0))</f>
        <v>4.8</v>
      </c>
      <c r="N2920" s="2">
        <f t="shared" ca="1" si="104"/>
        <v>1809.5032465820552</v>
      </c>
      <c r="O2920" s="180">
        <f t="shared" ca="1" si="105"/>
        <v>1.4245634180187112E-3</v>
      </c>
      <c r="P2920" s="180"/>
      <c r="Q2920" s="180"/>
      <c r="R2920" s="180"/>
      <c r="S2920" s="180"/>
      <c r="T2920" s="180"/>
    </row>
    <row r="2921" spans="1:20" x14ac:dyDescent="0.25">
      <c r="A2921" t="s">
        <v>246</v>
      </c>
      <c r="B2921" t="s">
        <v>237</v>
      </c>
      <c r="C2921" t="s">
        <v>238</v>
      </c>
      <c r="D2921" t="s">
        <v>264</v>
      </c>
      <c r="E2921" t="s">
        <v>228</v>
      </c>
      <c r="F2921">
        <v>2016</v>
      </c>
      <c r="G2921">
        <v>2.9632676056338101E-4</v>
      </c>
      <c r="H2921" t="s">
        <v>240</v>
      </c>
      <c r="I2921" t="s">
        <v>241</v>
      </c>
      <c r="J2921" t="s">
        <v>3</v>
      </c>
      <c r="K2921" s="183">
        <f ca="1">VLOOKUP(F2921,
    OFFSET(INDIRECT(ADDRESS(MATCH(J2921,'Vehicle numbers'!$A$5:$A$162,0),1,1,1,$L$6)),4,1,COUNTIF('Vehicle numbers'!$A$5:$A$162,J2921),4),
    MATCH(K$8,'Vehicle numbers'!$B$4:$D$4,0))*1000</f>
        <v>1248074</v>
      </c>
      <c r="L2921" s="183">
        <f ca="1">VLOOKUP(F2921,
    OFFSET(INDIRECT(ADDRESS(MATCH(J2921,'Vehicle numbers'!$A$5:$A$162,0),1,1,1,$L$6)),4,1,COUNTIF('Vehicle numbers'!$A$5:$A$162,J2921),4),
    MATCH(L$8,'Vehicle numbers'!$B$4:$D$4,0))*1000</f>
        <v>1270216</v>
      </c>
      <c r="M2921" s="184">
        <f>VLOOKUP(F2921,'Annual distance covered (GB)'!$A$8:$H$33,MATCH(J2921,'Annual distance covered (GB)'!$A$7:$H$7,0))</f>
        <v>4.8</v>
      </c>
      <c r="N2921" s="2">
        <f t="shared" ca="1" si="104"/>
        <v>1447.602597265645</v>
      </c>
      <c r="O2921" s="180">
        <f t="shared" ca="1" si="105"/>
        <v>1.1396507344149697E-3</v>
      </c>
      <c r="P2921" s="180"/>
      <c r="Q2921" s="180"/>
      <c r="R2921" s="180"/>
      <c r="S2921" s="180"/>
      <c r="T2921" s="180"/>
    </row>
    <row r="2922" spans="1:20" x14ac:dyDescent="0.25">
      <c r="A2922" t="s">
        <v>236</v>
      </c>
      <c r="B2922" t="s">
        <v>237</v>
      </c>
      <c r="C2922" t="s">
        <v>238</v>
      </c>
      <c r="D2922" t="s">
        <v>239</v>
      </c>
      <c r="E2922" t="s">
        <v>229</v>
      </c>
      <c r="F2922">
        <v>2017</v>
      </c>
      <c r="G2922">
        <v>8.4410000000000093E-3</v>
      </c>
      <c r="H2922" t="s">
        <v>240</v>
      </c>
      <c r="I2922" t="s">
        <v>241</v>
      </c>
      <c r="J2922" t="s">
        <v>242</v>
      </c>
      <c r="K2922" s="183">
        <f ca="1">VLOOKUP(F2922,
    OFFSET(INDIRECT(ADDRESS(MATCH(J2922,'Vehicle numbers'!$A$5:$A$162,0),1,1,1,$L$6)),4,1,COUNTIF('Vehicle numbers'!$A$5:$A$162,J2922),4),
    MATCH(K$8,'Vehicle numbers'!$B$4:$D$4,0))*1000</f>
        <v>158432</v>
      </c>
      <c r="L2922" s="183">
        <f ca="1">VLOOKUP(F2922,
    OFFSET(INDIRECT(ADDRESS(MATCH(J2922,'Vehicle numbers'!$A$5:$A$162,0),1,1,1,$L$6)),4,1,COUNTIF('Vehicle numbers'!$A$5:$A$162,J2922),4),
    MATCH(L$8,'Vehicle numbers'!$B$4:$D$4,0))*1000</f>
        <v>164026</v>
      </c>
      <c r="M2922" s="184">
        <f>VLOOKUP(F2922,'Annual distance covered (GB)'!$A$8:$H$33,MATCH(J2922,'Annual distance covered (GB)'!$A$7:$H$7,0))</f>
        <v>4.0999999999999996</v>
      </c>
      <c r="N2922" s="2">
        <f t="shared" ca="1" si="104"/>
        <v>35830.060913199392</v>
      </c>
      <c r="O2922" s="180">
        <f t="shared" ca="1" si="105"/>
        <v>0.21844135023227654</v>
      </c>
      <c r="P2922" s="180"/>
      <c r="Q2922" s="180"/>
      <c r="R2922" s="180"/>
      <c r="S2922" s="180"/>
      <c r="T2922" s="180"/>
    </row>
    <row r="2923" spans="1:20" x14ac:dyDescent="0.25">
      <c r="A2923" t="s">
        <v>243</v>
      </c>
      <c r="B2923" t="s">
        <v>237</v>
      </c>
      <c r="C2923" t="s">
        <v>238</v>
      </c>
      <c r="D2923" t="s">
        <v>239</v>
      </c>
      <c r="E2923" t="s">
        <v>229</v>
      </c>
      <c r="F2923">
        <v>2017</v>
      </c>
      <c r="G2923">
        <v>3.3763999999999999E-3</v>
      </c>
      <c r="H2923" t="s">
        <v>240</v>
      </c>
      <c r="I2923" t="s">
        <v>241</v>
      </c>
      <c r="J2923" t="s">
        <v>242</v>
      </c>
      <c r="K2923" s="183">
        <f ca="1">VLOOKUP(F2923,
    OFFSET(INDIRECT(ADDRESS(MATCH(J2923,'Vehicle numbers'!$A$5:$A$162,0),1,1,1,$L$6)),4,1,COUNTIF('Vehicle numbers'!$A$5:$A$162,J2923),4),
    MATCH(K$8,'Vehicle numbers'!$B$4:$D$4,0))*1000</f>
        <v>158432</v>
      </c>
      <c r="L2923" s="183">
        <f ca="1">VLOOKUP(F2923,
    OFFSET(INDIRECT(ADDRESS(MATCH(J2923,'Vehicle numbers'!$A$5:$A$162,0),1,1,1,$L$6)),4,1,COUNTIF('Vehicle numbers'!$A$5:$A$162,J2923),4),
    MATCH(L$8,'Vehicle numbers'!$B$4:$D$4,0))*1000</f>
        <v>164026</v>
      </c>
      <c r="M2923" s="184">
        <f>VLOOKUP(F2923,'Annual distance covered (GB)'!$A$8:$H$33,MATCH(J2923,'Annual distance covered (GB)'!$A$7:$H$7,0))</f>
        <v>4.0999999999999996</v>
      </c>
      <c r="N2923" s="2">
        <f t="shared" ca="1" si="104"/>
        <v>14332.02436527974</v>
      </c>
      <c r="O2923" s="180">
        <f t="shared" ca="1" si="105"/>
        <v>8.7376540092910515E-2</v>
      </c>
      <c r="P2923" s="180"/>
      <c r="Q2923" s="180"/>
      <c r="R2923" s="180"/>
      <c r="S2923" s="180"/>
      <c r="T2923" s="180"/>
    </row>
    <row r="2924" spans="1:20" x14ac:dyDescent="0.25">
      <c r="A2924" t="s">
        <v>244</v>
      </c>
      <c r="B2924" t="s">
        <v>237</v>
      </c>
      <c r="C2924" t="s">
        <v>238</v>
      </c>
      <c r="D2924" t="s">
        <v>239</v>
      </c>
      <c r="E2924" t="s">
        <v>229</v>
      </c>
      <c r="F2924">
        <v>2017</v>
      </c>
      <c r="G2924">
        <v>8.4409999999999997E-4</v>
      </c>
      <c r="H2924" t="s">
        <v>240</v>
      </c>
      <c r="I2924" t="s">
        <v>241</v>
      </c>
      <c r="J2924" t="s">
        <v>242</v>
      </c>
      <c r="K2924" s="183">
        <f ca="1">VLOOKUP(F2924,
    OFFSET(INDIRECT(ADDRESS(MATCH(J2924,'Vehicle numbers'!$A$5:$A$162,0),1,1,1,$L$6)),4,1,COUNTIF('Vehicle numbers'!$A$5:$A$162,J2924),4),
    MATCH(K$8,'Vehicle numbers'!$B$4:$D$4,0))*1000</f>
        <v>158432</v>
      </c>
      <c r="L2924" s="183">
        <f ca="1">VLOOKUP(F2924,
    OFFSET(INDIRECT(ADDRESS(MATCH(J2924,'Vehicle numbers'!$A$5:$A$162,0),1,1,1,$L$6)),4,1,COUNTIF('Vehicle numbers'!$A$5:$A$162,J2924),4),
    MATCH(L$8,'Vehicle numbers'!$B$4:$D$4,0))*1000</f>
        <v>164026</v>
      </c>
      <c r="M2924" s="184">
        <f>VLOOKUP(F2924,'Annual distance covered (GB)'!$A$8:$H$33,MATCH(J2924,'Annual distance covered (GB)'!$A$7:$H$7,0))</f>
        <v>4.0999999999999996</v>
      </c>
      <c r="N2924" s="2">
        <f t="shared" ca="1" si="104"/>
        <v>3583.006091319935</v>
      </c>
      <c r="O2924" s="180">
        <f t="shared" ca="1" si="105"/>
        <v>2.1844135023227629E-2</v>
      </c>
      <c r="P2924" s="180"/>
      <c r="Q2924" s="180"/>
      <c r="R2924" s="180"/>
      <c r="S2924" s="180"/>
      <c r="T2924" s="180"/>
    </row>
    <row r="2925" spans="1:20" x14ac:dyDescent="0.25">
      <c r="A2925" t="s">
        <v>246</v>
      </c>
      <c r="B2925" t="s">
        <v>237</v>
      </c>
      <c r="C2925" t="s">
        <v>238</v>
      </c>
      <c r="D2925" t="s">
        <v>239</v>
      </c>
      <c r="E2925" t="s">
        <v>229</v>
      </c>
      <c r="F2925">
        <v>2017</v>
      </c>
      <c r="G2925">
        <v>6.7528E-4</v>
      </c>
      <c r="H2925" t="s">
        <v>240</v>
      </c>
      <c r="I2925" t="s">
        <v>241</v>
      </c>
      <c r="J2925" t="s">
        <v>242</v>
      </c>
      <c r="K2925" s="183">
        <f ca="1">VLOOKUP(F2925,
    OFFSET(INDIRECT(ADDRESS(MATCH(J2925,'Vehicle numbers'!$A$5:$A$162,0),1,1,1,$L$6)),4,1,COUNTIF('Vehicle numbers'!$A$5:$A$162,J2925),4),
    MATCH(K$8,'Vehicle numbers'!$B$4:$D$4,0))*1000</f>
        <v>158432</v>
      </c>
      <c r="L2925" s="183">
        <f ca="1">VLOOKUP(F2925,
    OFFSET(INDIRECT(ADDRESS(MATCH(J2925,'Vehicle numbers'!$A$5:$A$162,0),1,1,1,$L$6)),4,1,COUNTIF('Vehicle numbers'!$A$5:$A$162,J2925),4),
    MATCH(L$8,'Vehicle numbers'!$B$4:$D$4,0))*1000</f>
        <v>164026</v>
      </c>
      <c r="M2925" s="184">
        <f>VLOOKUP(F2925,'Annual distance covered (GB)'!$A$8:$H$33,MATCH(J2925,'Annual distance covered (GB)'!$A$7:$H$7,0))</f>
        <v>4.0999999999999996</v>
      </c>
      <c r="N2925" s="2">
        <f t="shared" ca="1" si="104"/>
        <v>2866.404873055948</v>
      </c>
      <c r="O2925" s="180">
        <f t="shared" ca="1" si="105"/>
        <v>1.7475308018582103E-2</v>
      </c>
      <c r="P2925" s="180"/>
      <c r="Q2925" s="180"/>
      <c r="R2925" s="180"/>
      <c r="S2925" s="180"/>
      <c r="T2925" s="180"/>
    </row>
    <row r="2926" spans="1:20" x14ac:dyDescent="0.25">
      <c r="A2926" t="s">
        <v>236</v>
      </c>
      <c r="B2926" t="s">
        <v>237</v>
      </c>
      <c r="C2926" t="s">
        <v>238</v>
      </c>
      <c r="D2926" t="s">
        <v>239</v>
      </c>
      <c r="E2926" t="s">
        <v>228</v>
      </c>
      <c r="F2926">
        <v>2017</v>
      </c>
      <c r="G2926">
        <v>1.3984E-2</v>
      </c>
      <c r="H2926" t="s">
        <v>240</v>
      </c>
      <c r="I2926" t="s">
        <v>241</v>
      </c>
      <c r="J2926" t="s">
        <v>242</v>
      </c>
      <c r="K2926" s="183">
        <f ca="1">VLOOKUP(F2926,
    OFFSET(INDIRECT(ADDRESS(MATCH(J2926,'Vehicle numbers'!$A$5:$A$162,0),1,1,1,$L$6)),4,1,COUNTIF('Vehicle numbers'!$A$5:$A$162,J2926),4),
    MATCH(K$8,'Vehicle numbers'!$B$4:$D$4,0))*1000</f>
        <v>158432</v>
      </c>
      <c r="L2926" s="183">
        <f ca="1">VLOOKUP(F2926,
    OFFSET(INDIRECT(ADDRESS(MATCH(J2926,'Vehicle numbers'!$A$5:$A$162,0),1,1,1,$L$6)),4,1,COUNTIF('Vehicle numbers'!$A$5:$A$162,J2926),4),
    MATCH(L$8,'Vehicle numbers'!$B$4:$D$4,0))*1000</f>
        <v>164026</v>
      </c>
      <c r="M2926" s="184">
        <f>VLOOKUP(F2926,'Annual distance covered (GB)'!$A$8:$H$33,MATCH(J2926,'Annual distance covered (GB)'!$A$7:$H$7,0))</f>
        <v>4.0999999999999996</v>
      </c>
      <c r="N2926" s="2">
        <f t="shared" ca="1" si="104"/>
        <v>59358.793011512818</v>
      </c>
      <c r="O2926" s="180">
        <f t="shared" ca="1" si="105"/>
        <v>0.36188648757826697</v>
      </c>
      <c r="P2926" s="180"/>
      <c r="Q2926" s="180"/>
      <c r="R2926" s="180"/>
      <c r="S2926" s="180"/>
      <c r="T2926" s="180"/>
    </row>
    <row r="2927" spans="1:20" x14ac:dyDescent="0.25">
      <c r="A2927" t="s">
        <v>243</v>
      </c>
      <c r="B2927" t="s">
        <v>237</v>
      </c>
      <c r="C2927" t="s">
        <v>238</v>
      </c>
      <c r="D2927" t="s">
        <v>239</v>
      </c>
      <c r="E2927" t="s">
        <v>228</v>
      </c>
      <c r="F2927">
        <v>2017</v>
      </c>
      <c r="G2927">
        <v>9.7888000000000003E-3</v>
      </c>
      <c r="H2927" t="s">
        <v>240</v>
      </c>
      <c r="I2927" t="s">
        <v>241</v>
      </c>
      <c r="J2927" t="s">
        <v>242</v>
      </c>
      <c r="K2927" s="183">
        <f ca="1">VLOOKUP(F2927,
    OFFSET(INDIRECT(ADDRESS(MATCH(J2927,'Vehicle numbers'!$A$5:$A$162,0),1,1,1,$L$6)),4,1,COUNTIF('Vehicle numbers'!$A$5:$A$162,J2927),4),
    MATCH(K$8,'Vehicle numbers'!$B$4:$D$4,0))*1000</f>
        <v>158432</v>
      </c>
      <c r="L2927" s="183">
        <f ca="1">VLOOKUP(F2927,
    OFFSET(INDIRECT(ADDRESS(MATCH(J2927,'Vehicle numbers'!$A$5:$A$162,0),1,1,1,$L$6)),4,1,COUNTIF('Vehicle numbers'!$A$5:$A$162,J2927),4),
    MATCH(L$8,'Vehicle numbers'!$B$4:$D$4,0))*1000</f>
        <v>164026</v>
      </c>
      <c r="M2927" s="184">
        <f>VLOOKUP(F2927,'Annual distance covered (GB)'!$A$8:$H$33,MATCH(J2927,'Annual distance covered (GB)'!$A$7:$H$7,0))</f>
        <v>4.0999999999999996</v>
      </c>
      <c r="N2927" s="2">
        <f t="shared" ca="1" si="104"/>
        <v>41551.155108058971</v>
      </c>
      <c r="O2927" s="180">
        <f t="shared" ca="1" si="105"/>
        <v>0.25332054130478687</v>
      </c>
      <c r="P2927" s="180"/>
      <c r="Q2927" s="180"/>
      <c r="R2927" s="180"/>
      <c r="S2927" s="180"/>
      <c r="T2927" s="180"/>
    </row>
    <row r="2928" spans="1:20" x14ac:dyDescent="0.25">
      <c r="A2928" t="s">
        <v>244</v>
      </c>
      <c r="B2928" t="s">
        <v>237</v>
      </c>
      <c r="C2928" t="s">
        <v>238</v>
      </c>
      <c r="D2928" t="s">
        <v>239</v>
      </c>
      <c r="E2928" t="s">
        <v>228</v>
      </c>
      <c r="F2928">
        <v>2017</v>
      </c>
      <c r="G2928">
        <v>1.3787042253521099E-3</v>
      </c>
      <c r="H2928" t="s">
        <v>240</v>
      </c>
      <c r="I2928" t="s">
        <v>241</v>
      </c>
      <c r="J2928" t="s">
        <v>242</v>
      </c>
      <c r="K2928" s="183">
        <f ca="1">VLOOKUP(F2928,
    OFFSET(INDIRECT(ADDRESS(MATCH(J2928,'Vehicle numbers'!$A$5:$A$162,0),1,1,1,$L$6)),4,1,COUNTIF('Vehicle numbers'!$A$5:$A$162,J2928),4),
    MATCH(K$8,'Vehicle numbers'!$B$4:$D$4,0))*1000</f>
        <v>158432</v>
      </c>
      <c r="L2928" s="183">
        <f ca="1">VLOOKUP(F2928,
    OFFSET(INDIRECT(ADDRESS(MATCH(J2928,'Vehicle numbers'!$A$5:$A$162,0),1,1,1,$L$6)),4,1,COUNTIF('Vehicle numbers'!$A$5:$A$162,J2928),4),
    MATCH(L$8,'Vehicle numbers'!$B$4:$D$4,0))*1000</f>
        <v>164026</v>
      </c>
      <c r="M2928" s="184">
        <f>VLOOKUP(F2928,'Annual distance covered (GB)'!$A$8:$H$33,MATCH(J2928,'Annual distance covered (GB)'!$A$7:$H$7,0))</f>
        <v>4.0999999999999996</v>
      </c>
      <c r="N2928" s="2">
        <f t="shared" ca="1" si="104"/>
        <v>5852.2753673322386</v>
      </c>
      <c r="O2928" s="180">
        <f t="shared" ca="1" si="105"/>
        <v>3.5678949479547382E-2</v>
      </c>
      <c r="P2928" s="180"/>
      <c r="Q2928" s="180"/>
      <c r="R2928" s="180"/>
      <c r="S2928" s="180"/>
      <c r="T2928" s="180"/>
    </row>
    <row r="2929" spans="1:20" x14ac:dyDescent="0.25">
      <c r="A2929" t="s">
        <v>246</v>
      </c>
      <c r="B2929" t="s">
        <v>237</v>
      </c>
      <c r="C2929" t="s">
        <v>238</v>
      </c>
      <c r="D2929" t="s">
        <v>239</v>
      </c>
      <c r="E2929" t="s">
        <v>228</v>
      </c>
      <c r="F2929">
        <v>2017</v>
      </c>
      <c r="G2929">
        <v>1.10296338028169E-3</v>
      </c>
      <c r="H2929" t="s">
        <v>240</v>
      </c>
      <c r="I2929" t="s">
        <v>241</v>
      </c>
      <c r="J2929" t="s">
        <v>242</v>
      </c>
      <c r="K2929" s="183">
        <f ca="1">VLOOKUP(F2929,
    OFFSET(INDIRECT(ADDRESS(MATCH(J2929,'Vehicle numbers'!$A$5:$A$162,0),1,1,1,$L$6)),4,1,COUNTIF('Vehicle numbers'!$A$5:$A$162,J2929),4),
    MATCH(K$8,'Vehicle numbers'!$B$4:$D$4,0))*1000</f>
        <v>158432</v>
      </c>
      <c r="L2929" s="183">
        <f ca="1">VLOOKUP(F2929,
    OFFSET(INDIRECT(ADDRESS(MATCH(J2929,'Vehicle numbers'!$A$5:$A$162,0),1,1,1,$L$6)),4,1,COUNTIF('Vehicle numbers'!$A$5:$A$162,J2929),4),
    MATCH(L$8,'Vehicle numbers'!$B$4:$D$4,0))*1000</f>
        <v>164026</v>
      </c>
      <c r="M2929" s="184">
        <f>VLOOKUP(F2929,'Annual distance covered (GB)'!$A$8:$H$33,MATCH(J2929,'Annual distance covered (GB)'!$A$7:$H$7,0))</f>
        <v>4.0999999999999996</v>
      </c>
      <c r="N2929" s="2">
        <f t="shared" ca="1" si="104"/>
        <v>4681.8202938657996</v>
      </c>
      <c r="O2929" s="180">
        <f t="shared" ca="1" si="105"/>
        <v>2.8543159583637956E-2</v>
      </c>
      <c r="P2929" s="180"/>
      <c r="Q2929" s="180"/>
      <c r="R2929" s="180"/>
      <c r="S2929" s="180"/>
      <c r="T2929" s="180"/>
    </row>
    <row r="2930" spans="1:20" x14ac:dyDescent="0.25">
      <c r="A2930" t="s">
        <v>236</v>
      </c>
      <c r="B2930" t="s">
        <v>237</v>
      </c>
      <c r="C2930" t="s">
        <v>238</v>
      </c>
      <c r="D2930" t="s">
        <v>248</v>
      </c>
      <c r="E2930" t="s">
        <v>229</v>
      </c>
      <c r="F2930">
        <v>2017</v>
      </c>
      <c r="G2930">
        <v>2.7143E-2</v>
      </c>
      <c r="H2930" t="s">
        <v>240</v>
      </c>
      <c r="I2930" t="s">
        <v>241</v>
      </c>
      <c r="J2930" t="s">
        <v>242</v>
      </c>
      <c r="K2930" s="183">
        <f ca="1">VLOOKUP(F2930,
    OFFSET(INDIRECT(ADDRESS(MATCH(J2930,'Vehicle numbers'!$A$5:$A$162,0),1,1,1,$L$6)),4,1,COUNTIF('Vehicle numbers'!$A$5:$A$162,J2930),4),
    MATCH(K$8,'Vehicle numbers'!$B$4:$D$4,0))*1000</f>
        <v>158432</v>
      </c>
      <c r="L2930" s="183">
        <f ca="1">VLOOKUP(F2930,
    OFFSET(INDIRECT(ADDRESS(MATCH(J2930,'Vehicle numbers'!$A$5:$A$162,0),1,1,1,$L$6)),4,1,COUNTIF('Vehicle numbers'!$A$5:$A$162,J2930),4),
    MATCH(L$8,'Vehicle numbers'!$B$4:$D$4,0))*1000</f>
        <v>164026</v>
      </c>
      <c r="M2930" s="184">
        <f>VLOOKUP(F2930,'Annual distance covered (GB)'!$A$8:$H$33,MATCH(J2930,'Annual distance covered (GB)'!$A$7:$H$7,0))</f>
        <v>4.0999999999999996</v>
      </c>
      <c r="N2930" s="2">
        <f t="shared" ca="1" si="104"/>
        <v>115215.65494218339</v>
      </c>
      <c r="O2930" s="180">
        <f t="shared" ca="1" si="105"/>
        <v>0.70242312159159759</v>
      </c>
      <c r="P2930" s="180"/>
      <c r="Q2930" s="180"/>
      <c r="R2930" s="180"/>
      <c r="S2930" s="180"/>
      <c r="T2930" s="180"/>
    </row>
    <row r="2931" spans="1:20" x14ac:dyDescent="0.25">
      <c r="A2931" t="s">
        <v>243</v>
      </c>
      <c r="B2931" t="s">
        <v>237</v>
      </c>
      <c r="C2931" t="s">
        <v>238</v>
      </c>
      <c r="D2931" t="s">
        <v>248</v>
      </c>
      <c r="E2931" t="s">
        <v>229</v>
      </c>
      <c r="F2931">
        <v>2017</v>
      </c>
      <c r="G2931">
        <v>1.0857199999999999E-2</v>
      </c>
      <c r="H2931" t="s">
        <v>240</v>
      </c>
      <c r="I2931" t="s">
        <v>241</v>
      </c>
      <c r="J2931" t="s">
        <v>242</v>
      </c>
      <c r="K2931" s="183">
        <f ca="1">VLOOKUP(F2931,
    OFFSET(INDIRECT(ADDRESS(MATCH(J2931,'Vehicle numbers'!$A$5:$A$162,0),1,1,1,$L$6)),4,1,COUNTIF('Vehicle numbers'!$A$5:$A$162,J2931),4),
    MATCH(K$8,'Vehicle numbers'!$B$4:$D$4,0))*1000</f>
        <v>158432</v>
      </c>
      <c r="L2931" s="183">
        <f ca="1">VLOOKUP(F2931,
    OFFSET(INDIRECT(ADDRESS(MATCH(J2931,'Vehicle numbers'!$A$5:$A$162,0),1,1,1,$L$6)),4,1,COUNTIF('Vehicle numbers'!$A$5:$A$162,J2931),4),
    MATCH(L$8,'Vehicle numbers'!$B$4:$D$4,0))*1000</f>
        <v>164026</v>
      </c>
      <c r="M2931" s="184">
        <f>VLOOKUP(F2931,'Annual distance covered (GB)'!$A$8:$H$33,MATCH(J2931,'Annual distance covered (GB)'!$A$7:$H$7,0))</f>
        <v>4.0999999999999996</v>
      </c>
      <c r="N2931" s="2">
        <f t="shared" ca="1" si="104"/>
        <v>46086.261976873357</v>
      </c>
      <c r="O2931" s="180">
        <f t="shared" ca="1" si="105"/>
        <v>0.28096924863663902</v>
      </c>
      <c r="P2931" s="180"/>
      <c r="Q2931" s="180"/>
      <c r="R2931" s="180"/>
      <c r="S2931" s="180"/>
      <c r="T2931" s="180"/>
    </row>
    <row r="2932" spans="1:20" x14ac:dyDescent="0.25">
      <c r="A2932" t="s">
        <v>244</v>
      </c>
      <c r="B2932" t="s">
        <v>237</v>
      </c>
      <c r="C2932" t="s">
        <v>238</v>
      </c>
      <c r="D2932" t="s">
        <v>248</v>
      </c>
      <c r="E2932" t="s">
        <v>229</v>
      </c>
      <c r="F2932">
        <v>2017</v>
      </c>
      <c r="G2932">
        <v>2.7142999999999998E-3</v>
      </c>
      <c r="H2932" t="s">
        <v>240</v>
      </c>
      <c r="I2932" t="s">
        <v>241</v>
      </c>
      <c r="J2932" t="s">
        <v>242</v>
      </c>
      <c r="K2932" s="183">
        <f ca="1">VLOOKUP(F2932,
    OFFSET(INDIRECT(ADDRESS(MATCH(J2932,'Vehicle numbers'!$A$5:$A$162,0),1,1,1,$L$6)),4,1,COUNTIF('Vehicle numbers'!$A$5:$A$162,J2932),4),
    MATCH(K$8,'Vehicle numbers'!$B$4:$D$4,0))*1000</f>
        <v>158432</v>
      </c>
      <c r="L2932" s="183">
        <f ca="1">VLOOKUP(F2932,
    OFFSET(INDIRECT(ADDRESS(MATCH(J2932,'Vehicle numbers'!$A$5:$A$162,0),1,1,1,$L$6)),4,1,COUNTIF('Vehicle numbers'!$A$5:$A$162,J2932),4),
    MATCH(L$8,'Vehicle numbers'!$B$4:$D$4,0))*1000</f>
        <v>164026</v>
      </c>
      <c r="M2932" s="184">
        <f>VLOOKUP(F2932,'Annual distance covered (GB)'!$A$8:$H$33,MATCH(J2932,'Annual distance covered (GB)'!$A$7:$H$7,0))</f>
        <v>4.0999999999999996</v>
      </c>
      <c r="N2932" s="2">
        <f t="shared" ca="1" si="104"/>
        <v>11521.565494218339</v>
      </c>
      <c r="O2932" s="180">
        <f t="shared" ca="1" si="105"/>
        <v>7.0242312159159756E-2</v>
      </c>
      <c r="P2932" s="180"/>
      <c r="Q2932" s="180"/>
      <c r="R2932" s="180"/>
      <c r="S2932" s="180"/>
      <c r="T2932" s="180"/>
    </row>
    <row r="2933" spans="1:20" x14ac:dyDescent="0.25">
      <c r="A2933" t="s">
        <v>246</v>
      </c>
      <c r="B2933" t="s">
        <v>237</v>
      </c>
      <c r="C2933" t="s">
        <v>238</v>
      </c>
      <c r="D2933" t="s">
        <v>248</v>
      </c>
      <c r="E2933" t="s">
        <v>229</v>
      </c>
      <c r="F2933">
        <v>2017</v>
      </c>
      <c r="G2933">
        <v>2.1714400000000002E-3</v>
      </c>
      <c r="H2933" t="s">
        <v>240</v>
      </c>
      <c r="I2933" t="s">
        <v>241</v>
      </c>
      <c r="J2933" t="s">
        <v>242</v>
      </c>
      <c r="K2933" s="183">
        <f ca="1">VLOOKUP(F2933,
    OFFSET(INDIRECT(ADDRESS(MATCH(J2933,'Vehicle numbers'!$A$5:$A$162,0),1,1,1,$L$6)),4,1,COUNTIF('Vehicle numbers'!$A$5:$A$162,J2933),4),
    MATCH(K$8,'Vehicle numbers'!$B$4:$D$4,0))*1000</f>
        <v>158432</v>
      </c>
      <c r="L2933" s="183">
        <f ca="1">VLOOKUP(F2933,
    OFFSET(INDIRECT(ADDRESS(MATCH(J2933,'Vehicle numbers'!$A$5:$A$162,0),1,1,1,$L$6)),4,1,COUNTIF('Vehicle numbers'!$A$5:$A$162,J2933),4),
    MATCH(L$8,'Vehicle numbers'!$B$4:$D$4,0))*1000</f>
        <v>164026</v>
      </c>
      <c r="M2933" s="184">
        <f>VLOOKUP(F2933,'Annual distance covered (GB)'!$A$8:$H$33,MATCH(J2933,'Annual distance covered (GB)'!$A$7:$H$7,0))</f>
        <v>4.0999999999999996</v>
      </c>
      <c r="N2933" s="2">
        <f t="shared" ca="1" si="104"/>
        <v>9217.2523953746731</v>
      </c>
      <c r="O2933" s="180">
        <f t="shared" ca="1" si="105"/>
        <v>5.619384972732782E-2</v>
      </c>
      <c r="P2933" s="180"/>
      <c r="Q2933" s="180"/>
      <c r="R2933" s="180"/>
      <c r="S2933" s="180"/>
      <c r="T2933" s="180"/>
    </row>
    <row r="2934" spans="1:20" x14ac:dyDescent="0.25">
      <c r="A2934" t="s">
        <v>236</v>
      </c>
      <c r="B2934" t="s">
        <v>237</v>
      </c>
      <c r="C2934" t="s">
        <v>238</v>
      </c>
      <c r="D2934" t="s">
        <v>248</v>
      </c>
      <c r="E2934" t="s">
        <v>228</v>
      </c>
      <c r="F2934">
        <v>2017</v>
      </c>
      <c r="G2934">
        <v>1.6857898777956799E-2</v>
      </c>
      <c r="H2934" t="s">
        <v>240</v>
      </c>
      <c r="I2934" t="s">
        <v>241</v>
      </c>
      <c r="J2934" t="s">
        <v>242</v>
      </c>
      <c r="K2934" s="183">
        <f ca="1">VLOOKUP(F2934,
    OFFSET(INDIRECT(ADDRESS(MATCH(J2934,'Vehicle numbers'!$A$5:$A$162,0),1,1,1,$L$6)),4,1,COUNTIF('Vehicle numbers'!$A$5:$A$162,J2934),4),
    MATCH(K$8,'Vehicle numbers'!$B$4:$D$4,0))*1000</f>
        <v>158432</v>
      </c>
      <c r="L2934" s="183">
        <f ca="1">VLOOKUP(F2934,
    OFFSET(INDIRECT(ADDRESS(MATCH(J2934,'Vehicle numbers'!$A$5:$A$162,0),1,1,1,$L$6)),4,1,COUNTIF('Vehicle numbers'!$A$5:$A$162,J2934),4),
    MATCH(L$8,'Vehicle numbers'!$B$4:$D$4,0))*1000</f>
        <v>164026</v>
      </c>
      <c r="M2934" s="184">
        <f>VLOOKUP(F2934,'Annual distance covered (GB)'!$A$8:$H$33,MATCH(J2934,'Annual distance covered (GB)'!$A$7:$H$7,0))</f>
        <v>4.0999999999999996</v>
      </c>
      <c r="N2934" s="2">
        <f t="shared" ca="1" si="104"/>
        <v>71557.817803902508</v>
      </c>
      <c r="O2934" s="180">
        <f t="shared" ca="1" si="105"/>
        <v>0.43625899432957282</v>
      </c>
      <c r="P2934" s="180"/>
      <c r="Q2934" s="180"/>
      <c r="R2934" s="180"/>
      <c r="S2934" s="180"/>
      <c r="T2934" s="180"/>
    </row>
    <row r="2935" spans="1:20" x14ac:dyDescent="0.25">
      <c r="A2935" t="s">
        <v>243</v>
      </c>
      <c r="B2935" t="s">
        <v>237</v>
      </c>
      <c r="C2935" t="s">
        <v>238</v>
      </c>
      <c r="D2935" t="s">
        <v>248</v>
      </c>
      <c r="E2935" t="s">
        <v>228</v>
      </c>
      <c r="F2935">
        <v>2017</v>
      </c>
      <c r="G2935">
        <v>1.1800529144569799E-2</v>
      </c>
      <c r="H2935" t="s">
        <v>240</v>
      </c>
      <c r="I2935" t="s">
        <v>241</v>
      </c>
      <c r="J2935" t="s">
        <v>242</v>
      </c>
      <c r="K2935" s="183">
        <f ca="1">VLOOKUP(F2935,
    OFFSET(INDIRECT(ADDRESS(MATCH(J2935,'Vehicle numbers'!$A$5:$A$162,0),1,1,1,$L$6)),4,1,COUNTIF('Vehicle numbers'!$A$5:$A$162,J2935),4),
    MATCH(K$8,'Vehicle numbers'!$B$4:$D$4,0))*1000</f>
        <v>158432</v>
      </c>
      <c r="L2935" s="183">
        <f ca="1">VLOOKUP(F2935,
    OFFSET(INDIRECT(ADDRESS(MATCH(J2935,'Vehicle numbers'!$A$5:$A$162,0),1,1,1,$L$6)),4,1,COUNTIF('Vehicle numbers'!$A$5:$A$162,J2935),4),
    MATCH(L$8,'Vehicle numbers'!$B$4:$D$4,0))*1000</f>
        <v>164026</v>
      </c>
      <c r="M2935" s="184">
        <f>VLOOKUP(F2935,'Annual distance covered (GB)'!$A$8:$H$33,MATCH(J2935,'Annual distance covered (GB)'!$A$7:$H$7,0))</f>
        <v>4.0999999999999996</v>
      </c>
      <c r="N2935" s="2">
        <f t="shared" ca="1" si="104"/>
        <v>50090.472462731923</v>
      </c>
      <c r="O2935" s="180">
        <f t="shared" ca="1" si="105"/>
        <v>0.30538129603070197</v>
      </c>
      <c r="P2935" s="180"/>
      <c r="Q2935" s="180"/>
      <c r="R2935" s="180"/>
      <c r="S2935" s="180"/>
      <c r="T2935" s="180"/>
    </row>
    <row r="2936" spans="1:20" x14ac:dyDescent="0.25">
      <c r="A2936" t="s">
        <v>244</v>
      </c>
      <c r="B2936" t="s">
        <v>237</v>
      </c>
      <c r="C2936" t="s">
        <v>238</v>
      </c>
      <c r="D2936" t="s">
        <v>248</v>
      </c>
      <c r="E2936" t="s">
        <v>228</v>
      </c>
      <c r="F2936">
        <v>2017</v>
      </c>
      <c r="G2936">
        <v>1.66204635839011E-3</v>
      </c>
      <c r="H2936" t="s">
        <v>240</v>
      </c>
      <c r="I2936" t="s">
        <v>241</v>
      </c>
      <c r="J2936" t="s">
        <v>242</v>
      </c>
      <c r="K2936" s="183">
        <f ca="1">VLOOKUP(F2936,
    OFFSET(INDIRECT(ADDRESS(MATCH(J2936,'Vehicle numbers'!$A$5:$A$162,0),1,1,1,$L$6)),4,1,COUNTIF('Vehicle numbers'!$A$5:$A$162,J2936),4),
    MATCH(K$8,'Vehicle numbers'!$B$4:$D$4,0))*1000</f>
        <v>158432</v>
      </c>
      <c r="L2936" s="183">
        <f ca="1">VLOOKUP(F2936,
    OFFSET(INDIRECT(ADDRESS(MATCH(J2936,'Vehicle numbers'!$A$5:$A$162,0),1,1,1,$L$6)),4,1,COUNTIF('Vehicle numbers'!$A$5:$A$162,J2936),4),
    MATCH(L$8,'Vehicle numbers'!$B$4:$D$4,0))*1000</f>
        <v>164026</v>
      </c>
      <c r="M2936" s="184">
        <f>VLOOKUP(F2936,'Annual distance covered (GB)'!$A$8:$H$33,MATCH(J2936,'Annual distance covered (GB)'!$A$7:$H$7,0))</f>
        <v>4.0999999999999996</v>
      </c>
      <c r="N2936" s="2">
        <f t="shared" ca="1" si="104"/>
        <v>7054.9961215115272</v>
      </c>
      <c r="O2936" s="180">
        <f t="shared" ca="1" si="105"/>
        <v>4.3011450145169224E-2</v>
      </c>
      <c r="P2936" s="180"/>
      <c r="Q2936" s="180"/>
      <c r="R2936" s="180"/>
      <c r="S2936" s="180"/>
      <c r="T2936" s="180"/>
    </row>
    <row r="2937" spans="1:20" x14ac:dyDescent="0.25">
      <c r="A2937" t="s">
        <v>246</v>
      </c>
      <c r="B2937" t="s">
        <v>237</v>
      </c>
      <c r="C2937" t="s">
        <v>238</v>
      </c>
      <c r="D2937" t="s">
        <v>248</v>
      </c>
      <c r="E2937" t="s">
        <v>228</v>
      </c>
      <c r="F2937">
        <v>2017</v>
      </c>
      <c r="G2937">
        <v>1.32963708671209E-3</v>
      </c>
      <c r="H2937" t="s">
        <v>240</v>
      </c>
      <c r="I2937" t="s">
        <v>241</v>
      </c>
      <c r="J2937" t="s">
        <v>242</v>
      </c>
      <c r="K2937" s="183">
        <f ca="1">VLOOKUP(F2937,
    OFFSET(INDIRECT(ADDRESS(MATCH(J2937,'Vehicle numbers'!$A$5:$A$162,0),1,1,1,$L$6)),4,1,COUNTIF('Vehicle numbers'!$A$5:$A$162,J2937),4),
    MATCH(K$8,'Vehicle numbers'!$B$4:$D$4,0))*1000</f>
        <v>158432</v>
      </c>
      <c r="L2937" s="183">
        <f ca="1">VLOOKUP(F2937,
    OFFSET(INDIRECT(ADDRESS(MATCH(J2937,'Vehicle numbers'!$A$5:$A$162,0),1,1,1,$L$6)),4,1,COUNTIF('Vehicle numbers'!$A$5:$A$162,J2937),4),
    MATCH(L$8,'Vehicle numbers'!$B$4:$D$4,0))*1000</f>
        <v>164026</v>
      </c>
      <c r="M2937" s="184">
        <f>VLOOKUP(F2937,'Annual distance covered (GB)'!$A$8:$H$33,MATCH(J2937,'Annual distance covered (GB)'!$A$7:$H$7,0))</f>
        <v>4.0999999999999996</v>
      </c>
      <c r="N2937" s="2">
        <f t="shared" ca="1" si="104"/>
        <v>5643.9968972092292</v>
      </c>
      <c r="O2937" s="180">
        <f t="shared" ca="1" si="105"/>
        <v>3.4409160116135422E-2</v>
      </c>
      <c r="P2937" s="180"/>
      <c r="Q2937" s="180"/>
      <c r="R2937" s="180"/>
      <c r="S2937" s="180"/>
      <c r="T2937" s="180"/>
    </row>
    <row r="2938" spans="1:20" x14ac:dyDescent="0.25">
      <c r="A2938" t="s">
        <v>236</v>
      </c>
      <c r="B2938" t="s">
        <v>237</v>
      </c>
      <c r="C2938" t="s">
        <v>238</v>
      </c>
      <c r="D2938" t="s">
        <v>249</v>
      </c>
      <c r="E2938" t="s">
        <v>229</v>
      </c>
      <c r="F2938">
        <v>2017</v>
      </c>
      <c r="G2938">
        <v>5.3594999999999997E-2</v>
      </c>
      <c r="H2938" t="s">
        <v>240</v>
      </c>
      <c r="I2938" t="s">
        <v>241</v>
      </c>
      <c r="J2938" t="s">
        <v>242</v>
      </c>
      <c r="K2938" s="183">
        <f ca="1">VLOOKUP(F2938,
    OFFSET(INDIRECT(ADDRESS(MATCH(J2938,'Vehicle numbers'!$A$5:$A$162,0),1,1,1,$L$6)),4,1,COUNTIF('Vehicle numbers'!$A$5:$A$162,J2938),4),
    MATCH(K$8,'Vehicle numbers'!$B$4:$D$4,0))*1000</f>
        <v>158432</v>
      </c>
      <c r="L2938" s="183">
        <f ca="1">VLOOKUP(F2938,
    OFFSET(INDIRECT(ADDRESS(MATCH(J2938,'Vehicle numbers'!$A$5:$A$162,0),1,1,1,$L$6)),4,1,COUNTIF('Vehicle numbers'!$A$5:$A$162,J2938),4),
    MATCH(L$8,'Vehicle numbers'!$B$4:$D$4,0))*1000</f>
        <v>164026</v>
      </c>
      <c r="M2938" s="184">
        <f>VLOOKUP(F2938,'Annual distance covered (GB)'!$A$8:$H$33,MATCH(J2938,'Annual distance covered (GB)'!$A$7:$H$7,0))</f>
        <v>4.0999999999999996</v>
      </c>
      <c r="N2938" s="2">
        <f t="shared" ca="1" si="104"/>
        <v>227498.17730635221</v>
      </c>
      <c r="O2938" s="180">
        <f t="shared" ca="1" si="105"/>
        <v>1.3869641234094121</v>
      </c>
      <c r="P2938" s="180"/>
      <c r="Q2938" s="180"/>
      <c r="R2938" s="180"/>
      <c r="S2938" s="180"/>
      <c r="T2938" s="180"/>
    </row>
    <row r="2939" spans="1:20" x14ac:dyDescent="0.25">
      <c r="A2939" t="s">
        <v>243</v>
      </c>
      <c r="B2939" t="s">
        <v>237</v>
      </c>
      <c r="C2939" t="s">
        <v>238</v>
      </c>
      <c r="D2939" t="s">
        <v>249</v>
      </c>
      <c r="E2939" t="s">
        <v>229</v>
      </c>
      <c r="F2939">
        <v>2017</v>
      </c>
      <c r="G2939">
        <v>2.1437999999999999E-2</v>
      </c>
      <c r="H2939" t="s">
        <v>240</v>
      </c>
      <c r="I2939" t="s">
        <v>241</v>
      </c>
      <c r="J2939" t="s">
        <v>242</v>
      </c>
      <c r="K2939" s="183">
        <f ca="1">VLOOKUP(F2939,
    OFFSET(INDIRECT(ADDRESS(MATCH(J2939,'Vehicle numbers'!$A$5:$A$162,0),1,1,1,$L$6)),4,1,COUNTIF('Vehicle numbers'!$A$5:$A$162,J2939),4),
    MATCH(K$8,'Vehicle numbers'!$B$4:$D$4,0))*1000</f>
        <v>158432</v>
      </c>
      <c r="L2939" s="183">
        <f ca="1">VLOOKUP(F2939,
    OFFSET(INDIRECT(ADDRESS(MATCH(J2939,'Vehicle numbers'!$A$5:$A$162,0),1,1,1,$L$6)),4,1,COUNTIF('Vehicle numbers'!$A$5:$A$162,J2939),4),
    MATCH(L$8,'Vehicle numbers'!$B$4:$D$4,0))*1000</f>
        <v>164026</v>
      </c>
      <c r="M2939" s="184">
        <f>VLOOKUP(F2939,'Annual distance covered (GB)'!$A$8:$H$33,MATCH(J2939,'Annual distance covered (GB)'!$A$7:$H$7,0))</f>
        <v>4.0999999999999996</v>
      </c>
      <c r="N2939" s="2">
        <f t="shared" ca="1" si="104"/>
        <v>90999.270922540891</v>
      </c>
      <c r="O2939" s="180">
        <f t="shared" ca="1" si="105"/>
        <v>0.55478564936376484</v>
      </c>
      <c r="P2939" s="180"/>
      <c r="Q2939" s="180"/>
      <c r="R2939" s="180"/>
      <c r="S2939" s="180"/>
      <c r="T2939" s="180"/>
    </row>
    <row r="2940" spans="1:20" x14ac:dyDescent="0.25">
      <c r="A2940" t="s">
        <v>244</v>
      </c>
      <c r="B2940" t="s">
        <v>237</v>
      </c>
      <c r="C2940" t="s">
        <v>238</v>
      </c>
      <c r="D2940" t="s">
        <v>249</v>
      </c>
      <c r="E2940" t="s">
        <v>229</v>
      </c>
      <c r="F2940">
        <v>2017</v>
      </c>
      <c r="G2940">
        <v>5.3594999999999997E-3</v>
      </c>
      <c r="H2940" t="s">
        <v>240</v>
      </c>
      <c r="I2940" t="s">
        <v>241</v>
      </c>
      <c r="J2940" t="s">
        <v>242</v>
      </c>
      <c r="K2940" s="183">
        <f ca="1">VLOOKUP(F2940,
    OFFSET(INDIRECT(ADDRESS(MATCH(J2940,'Vehicle numbers'!$A$5:$A$162,0),1,1,1,$L$6)),4,1,COUNTIF('Vehicle numbers'!$A$5:$A$162,J2940),4),
    MATCH(K$8,'Vehicle numbers'!$B$4:$D$4,0))*1000</f>
        <v>158432</v>
      </c>
      <c r="L2940" s="183">
        <f ca="1">VLOOKUP(F2940,
    OFFSET(INDIRECT(ADDRESS(MATCH(J2940,'Vehicle numbers'!$A$5:$A$162,0),1,1,1,$L$6)),4,1,COUNTIF('Vehicle numbers'!$A$5:$A$162,J2940),4),
    MATCH(L$8,'Vehicle numbers'!$B$4:$D$4,0))*1000</f>
        <v>164026</v>
      </c>
      <c r="M2940" s="184">
        <f>VLOOKUP(F2940,'Annual distance covered (GB)'!$A$8:$H$33,MATCH(J2940,'Annual distance covered (GB)'!$A$7:$H$7,0))</f>
        <v>4.0999999999999996</v>
      </c>
      <c r="N2940" s="2">
        <f t="shared" ca="1" si="104"/>
        <v>22749.817730635223</v>
      </c>
      <c r="O2940" s="180">
        <f t="shared" ca="1" si="105"/>
        <v>0.13869641234094121</v>
      </c>
      <c r="P2940" s="180"/>
      <c r="Q2940" s="180"/>
      <c r="R2940" s="180"/>
      <c r="S2940" s="180"/>
      <c r="T2940" s="180"/>
    </row>
    <row r="2941" spans="1:20" x14ac:dyDescent="0.25">
      <c r="A2941" t="s">
        <v>246</v>
      </c>
      <c r="B2941" t="s">
        <v>237</v>
      </c>
      <c r="C2941" t="s">
        <v>238</v>
      </c>
      <c r="D2941" t="s">
        <v>249</v>
      </c>
      <c r="E2941" t="s">
        <v>229</v>
      </c>
      <c r="F2941">
        <v>2017</v>
      </c>
      <c r="G2941">
        <v>4.2875999999999999E-3</v>
      </c>
      <c r="H2941" t="s">
        <v>240</v>
      </c>
      <c r="I2941" t="s">
        <v>241</v>
      </c>
      <c r="J2941" t="s">
        <v>242</v>
      </c>
      <c r="K2941" s="183">
        <f ca="1">VLOOKUP(F2941,
    OFFSET(INDIRECT(ADDRESS(MATCH(J2941,'Vehicle numbers'!$A$5:$A$162,0),1,1,1,$L$6)),4,1,COUNTIF('Vehicle numbers'!$A$5:$A$162,J2941),4),
    MATCH(K$8,'Vehicle numbers'!$B$4:$D$4,0))*1000</f>
        <v>158432</v>
      </c>
      <c r="L2941" s="183">
        <f ca="1">VLOOKUP(F2941,
    OFFSET(INDIRECT(ADDRESS(MATCH(J2941,'Vehicle numbers'!$A$5:$A$162,0),1,1,1,$L$6)),4,1,COUNTIF('Vehicle numbers'!$A$5:$A$162,J2941),4),
    MATCH(L$8,'Vehicle numbers'!$B$4:$D$4,0))*1000</f>
        <v>164026</v>
      </c>
      <c r="M2941" s="184">
        <f>VLOOKUP(F2941,'Annual distance covered (GB)'!$A$8:$H$33,MATCH(J2941,'Annual distance covered (GB)'!$A$7:$H$7,0))</f>
        <v>4.0999999999999996</v>
      </c>
      <c r="N2941" s="2">
        <f t="shared" ca="1" si="104"/>
        <v>18199.854184508175</v>
      </c>
      <c r="O2941" s="180">
        <f t="shared" ca="1" si="105"/>
        <v>0.11095712987275294</v>
      </c>
      <c r="P2941" s="180"/>
      <c r="Q2941" s="180"/>
      <c r="R2941" s="180"/>
      <c r="S2941" s="180"/>
      <c r="T2941" s="180"/>
    </row>
    <row r="2942" spans="1:20" x14ac:dyDescent="0.25">
      <c r="A2942" t="s">
        <v>236</v>
      </c>
      <c r="B2942" t="s">
        <v>237</v>
      </c>
      <c r="C2942" t="s">
        <v>238</v>
      </c>
      <c r="D2942" t="s">
        <v>249</v>
      </c>
      <c r="E2942" t="s">
        <v>228</v>
      </c>
      <c r="F2942">
        <v>2017</v>
      </c>
      <c r="G2942">
        <v>2.13854901444583E-2</v>
      </c>
      <c r="H2942" t="s">
        <v>240</v>
      </c>
      <c r="I2942" t="s">
        <v>241</v>
      </c>
      <c r="J2942" t="s">
        <v>242</v>
      </c>
      <c r="K2942" s="183">
        <f ca="1">VLOOKUP(F2942,
    OFFSET(INDIRECT(ADDRESS(MATCH(J2942,'Vehicle numbers'!$A$5:$A$162,0),1,1,1,$L$6)),4,1,COUNTIF('Vehicle numbers'!$A$5:$A$162,J2942),4),
    MATCH(K$8,'Vehicle numbers'!$B$4:$D$4,0))*1000</f>
        <v>158432</v>
      </c>
      <c r="L2942" s="183">
        <f ca="1">VLOOKUP(F2942,
    OFFSET(INDIRECT(ADDRESS(MATCH(J2942,'Vehicle numbers'!$A$5:$A$162,0),1,1,1,$L$6)),4,1,COUNTIF('Vehicle numbers'!$A$5:$A$162,J2942),4),
    MATCH(L$8,'Vehicle numbers'!$B$4:$D$4,0))*1000</f>
        <v>164026</v>
      </c>
      <c r="M2942" s="184">
        <f>VLOOKUP(F2942,'Annual distance covered (GB)'!$A$8:$H$33,MATCH(J2942,'Annual distance covered (GB)'!$A$7:$H$7,0))</f>
        <v>4.0999999999999996</v>
      </c>
      <c r="N2942" s="2">
        <f t="shared" ca="1" si="104"/>
        <v>90776.378928392995</v>
      </c>
      <c r="O2942" s="180">
        <f t="shared" ca="1" si="105"/>
        <v>0.55342676727099971</v>
      </c>
      <c r="P2942" s="180"/>
      <c r="Q2942" s="180"/>
      <c r="R2942" s="180"/>
      <c r="S2942" s="180"/>
      <c r="T2942" s="180"/>
    </row>
    <row r="2943" spans="1:20" x14ac:dyDescent="0.25">
      <c r="A2943" t="s">
        <v>243</v>
      </c>
      <c r="B2943" t="s">
        <v>237</v>
      </c>
      <c r="C2943" t="s">
        <v>238</v>
      </c>
      <c r="D2943" t="s">
        <v>249</v>
      </c>
      <c r="E2943" t="s">
        <v>228</v>
      </c>
      <c r="F2943">
        <v>2017</v>
      </c>
      <c r="G2943">
        <v>1.4969843101120799E-2</v>
      </c>
      <c r="H2943" t="s">
        <v>240</v>
      </c>
      <c r="I2943" t="s">
        <v>241</v>
      </c>
      <c r="J2943" t="s">
        <v>242</v>
      </c>
      <c r="K2943" s="183">
        <f ca="1">VLOOKUP(F2943,
    OFFSET(INDIRECT(ADDRESS(MATCH(J2943,'Vehicle numbers'!$A$5:$A$162,0),1,1,1,$L$6)),4,1,COUNTIF('Vehicle numbers'!$A$5:$A$162,J2943),4),
    MATCH(K$8,'Vehicle numbers'!$B$4:$D$4,0))*1000</f>
        <v>158432</v>
      </c>
      <c r="L2943" s="183">
        <f ca="1">VLOOKUP(F2943,
    OFFSET(INDIRECT(ADDRESS(MATCH(J2943,'Vehicle numbers'!$A$5:$A$162,0),1,1,1,$L$6)),4,1,COUNTIF('Vehicle numbers'!$A$5:$A$162,J2943),4),
    MATCH(L$8,'Vehicle numbers'!$B$4:$D$4,0))*1000</f>
        <v>164026</v>
      </c>
      <c r="M2943" s="184">
        <f>VLOOKUP(F2943,'Annual distance covered (GB)'!$A$8:$H$33,MATCH(J2943,'Annual distance covered (GB)'!$A$7:$H$7,0))</f>
        <v>4.0999999999999996</v>
      </c>
      <c r="N2943" s="2">
        <f t="shared" ca="1" si="104"/>
        <v>63543.465249875051</v>
      </c>
      <c r="O2943" s="180">
        <f t="shared" ca="1" si="105"/>
        <v>0.38739873708969952</v>
      </c>
      <c r="P2943" s="180"/>
      <c r="Q2943" s="180"/>
      <c r="R2943" s="180"/>
      <c r="S2943" s="180"/>
      <c r="T2943" s="180"/>
    </row>
    <row r="2944" spans="1:20" x14ac:dyDescent="0.25">
      <c r="A2944" t="s">
        <v>244</v>
      </c>
      <c r="B2944" t="s">
        <v>237</v>
      </c>
      <c r="C2944" t="s">
        <v>238</v>
      </c>
      <c r="D2944" t="s">
        <v>249</v>
      </c>
      <c r="E2944" t="s">
        <v>228</v>
      </c>
      <c r="F2944">
        <v>2017</v>
      </c>
      <c r="G2944">
        <v>2.1084286057916602E-3</v>
      </c>
      <c r="H2944" t="s">
        <v>240</v>
      </c>
      <c r="I2944" t="s">
        <v>241</v>
      </c>
      <c r="J2944" t="s">
        <v>242</v>
      </c>
      <c r="K2944" s="183">
        <f ca="1">VLOOKUP(F2944,
    OFFSET(INDIRECT(ADDRESS(MATCH(J2944,'Vehicle numbers'!$A$5:$A$162,0),1,1,1,$L$6)),4,1,COUNTIF('Vehicle numbers'!$A$5:$A$162,J2944),4),
    MATCH(K$8,'Vehicle numbers'!$B$4:$D$4,0))*1000</f>
        <v>158432</v>
      </c>
      <c r="L2944" s="183">
        <f ca="1">VLOOKUP(F2944,
    OFFSET(INDIRECT(ADDRESS(MATCH(J2944,'Vehicle numbers'!$A$5:$A$162,0),1,1,1,$L$6)),4,1,COUNTIF('Vehicle numbers'!$A$5:$A$162,J2944),4),
    MATCH(L$8,'Vehicle numbers'!$B$4:$D$4,0))*1000</f>
        <v>164026</v>
      </c>
      <c r="M2944" s="184">
        <f>VLOOKUP(F2944,'Annual distance covered (GB)'!$A$8:$H$33,MATCH(J2944,'Annual distance covered (GB)'!$A$7:$H$7,0))</f>
        <v>4.0999999999999996</v>
      </c>
      <c r="N2944" s="2">
        <f t="shared" ca="1" si="104"/>
        <v>8949.7838380105622</v>
      </c>
      <c r="O2944" s="180">
        <f t="shared" ca="1" si="105"/>
        <v>5.4563202406999876E-2</v>
      </c>
      <c r="P2944" s="180"/>
      <c r="Q2944" s="180"/>
      <c r="R2944" s="180"/>
      <c r="S2944" s="180"/>
      <c r="T2944" s="180"/>
    </row>
    <row r="2945" spans="1:20" x14ac:dyDescent="0.25">
      <c r="A2945" t="s">
        <v>246</v>
      </c>
      <c r="B2945" t="s">
        <v>237</v>
      </c>
      <c r="C2945" t="s">
        <v>238</v>
      </c>
      <c r="D2945" t="s">
        <v>249</v>
      </c>
      <c r="E2945" t="s">
        <v>228</v>
      </c>
      <c r="F2945">
        <v>2017</v>
      </c>
      <c r="G2945">
        <v>1.6867428846333301E-3</v>
      </c>
      <c r="H2945" t="s">
        <v>240</v>
      </c>
      <c r="I2945" t="s">
        <v>241</v>
      </c>
      <c r="J2945" t="s">
        <v>242</v>
      </c>
      <c r="K2945" s="183">
        <f ca="1">VLOOKUP(F2945,
    OFFSET(INDIRECT(ADDRESS(MATCH(J2945,'Vehicle numbers'!$A$5:$A$162,0),1,1,1,$L$6)),4,1,COUNTIF('Vehicle numbers'!$A$5:$A$162,J2945),4),
    MATCH(K$8,'Vehicle numbers'!$B$4:$D$4,0))*1000</f>
        <v>158432</v>
      </c>
      <c r="L2945" s="183">
        <f ca="1">VLOOKUP(F2945,
    OFFSET(INDIRECT(ADDRESS(MATCH(J2945,'Vehicle numbers'!$A$5:$A$162,0),1,1,1,$L$6)),4,1,COUNTIF('Vehicle numbers'!$A$5:$A$162,J2945),4),
    MATCH(L$8,'Vehicle numbers'!$B$4:$D$4,0))*1000</f>
        <v>164026</v>
      </c>
      <c r="M2945" s="184">
        <f>VLOOKUP(F2945,'Annual distance covered (GB)'!$A$8:$H$33,MATCH(J2945,'Annual distance covered (GB)'!$A$7:$H$7,0))</f>
        <v>4.0999999999999996</v>
      </c>
      <c r="N2945" s="2">
        <f t="shared" ca="1" si="104"/>
        <v>7159.8270704084598</v>
      </c>
      <c r="O2945" s="180">
        <f t="shared" ca="1" si="105"/>
        <v>4.3650561925599962E-2</v>
      </c>
      <c r="P2945" s="180"/>
      <c r="Q2945" s="180"/>
      <c r="R2945" s="180"/>
      <c r="S2945" s="180"/>
      <c r="T2945" s="180"/>
    </row>
    <row r="2946" spans="1:20" x14ac:dyDescent="0.25">
      <c r="A2946" t="s">
        <v>236</v>
      </c>
      <c r="B2946" t="s">
        <v>237</v>
      </c>
      <c r="C2946" t="s">
        <v>238</v>
      </c>
      <c r="D2946" t="s">
        <v>250</v>
      </c>
      <c r="E2946" t="s">
        <v>229</v>
      </c>
      <c r="F2946">
        <v>2017</v>
      </c>
      <c r="G2946">
        <v>1.3600000000000001E-3</v>
      </c>
      <c r="H2946" t="s">
        <v>240</v>
      </c>
      <c r="I2946" t="s">
        <v>241</v>
      </c>
      <c r="J2946" t="s">
        <v>2</v>
      </c>
      <c r="K2946" s="183">
        <f ca="1">VLOOKUP(F2946,
    OFFSET(INDIRECT(ADDRESS(MATCH(J2946,'Vehicle numbers'!$A$5:$A$162,0),1,1,1,$L$6)),4,1,COUNTIF('Vehicle numbers'!$A$5:$A$162,J2946),4),
    MATCH(K$8,'Vehicle numbers'!$B$4:$D$4,0))*1000</f>
        <v>31200182</v>
      </c>
      <c r="L2946" s="183">
        <f ca="1">VLOOKUP(F2946,
    OFFSET(INDIRECT(ADDRESS(MATCH(J2946,'Vehicle numbers'!$A$5:$A$162,0),1,1,1,$L$6)),4,1,COUNTIF('Vehicle numbers'!$A$5:$A$162,J2946),4),
    MATCH(L$8,'Vehicle numbers'!$B$4:$D$4,0))*1000</f>
        <v>32159943</v>
      </c>
      <c r="M2946" s="184">
        <f>VLOOKUP(F2946,'Annual distance covered (GB)'!$A$8:$H$33,MATCH(J2946,'Annual distance covered (GB)'!$A$7:$H$7,0))</f>
        <v>432.9</v>
      </c>
      <c r="N2946" s="2">
        <f t="shared" ca="1" si="104"/>
        <v>606854.58442492422</v>
      </c>
      <c r="O2946" s="180">
        <f t="shared" ca="1" si="105"/>
        <v>1.8869889925642102E-2</v>
      </c>
      <c r="P2946" s="180"/>
      <c r="Q2946" s="180"/>
      <c r="R2946" s="180"/>
      <c r="S2946" s="180"/>
      <c r="T2946" s="180"/>
    </row>
    <row r="2947" spans="1:20" x14ac:dyDescent="0.25">
      <c r="A2947" t="s">
        <v>243</v>
      </c>
      <c r="B2947" t="s">
        <v>237</v>
      </c>
      <c r="C2947" t="s">
        <v>238</v>
      </c>
      <c r="D2947" t="s">
        <v>250</v>
      </c>
      <c r="E2947" t="s">
        <v>229</v>
      </c>
      <c r="F2947">
        <v>2017</v>
      </c>
      <c r="G2947">
        <v>5.44E-4</v>
      </c>
      <c r="H2947" t="s">
        <v>240</v>
      </c>
      <c r="I2947" t="s">
        <v>241</v>
      </c>
      <c r="J2947" t="s">
        <v>2</v>
      </c>
      <c r="K2947" s="183">
        <f ca="1">VLOOKUP(F2947,
    OFFSET(INDIRECT(ADDRESS(MATCH(J2947,'Vehicle numbers'!$A$5:$A$162,0),1,1,1,$L$6)),4,1,COUNTIF('Vehicle numbers'!$A$5:$A$162,J2947),4),
    MATCH(K$8,'Vehicle numbers'!$B$4:$D$4,0))*1000</f>
        <v>31200182</v>
      </c>
      <c r="L2947" s="183">
        <f ca="1">VLOOKUP(F2947,
    OFFSET(INDIRECT(ADDRESS(MATCH(J2947,'Vehicle numbers'!$A$5:$A$162,0),1,1,1,$L$6)),4,1,COUNTIF('Vehicle numbers'!$A$5:$A$162,J2947),4),
    MATCH(L$8,'Vehicle numbers'!$B$4:$D$4,0))*1000</f>
        <v>32159943</v>
      </c>
      <c r="M2947" s="184">
        <f>VLOOKUP(F2947,'Annual distance covered (GB)'!$A$8:$H$33,MATCH(J2947,'Annual distance covered (GB)'!$A$7:$H$7,0))</f>
        <v>432.9</v>
      </c>
      <c r="N2947" s="2">
        <f t="shared" ca="1" si="104"/>
        <v>242741.83376996967</v>
      </c>
      <c r="O2947" s="180">
        <f t="shared" ca="1" si="105"/>
        <v>7.5479559702568404E-3</v>
      </c>
      <c r="P2947" s="180"/>
      <c r="Q2947" s="180"/>
      <c r="R2947" s="180"/>
      <c r="S2947" s="180"/>
      <c r="T2947" s="180"/>
    </row>
    <row r="2948" spans="1:20" x14ac:dyDescent="0.25">
      <c r="A2948" t="s">
        <v>244</v>
      </c>
      <c r="B2948" t="s">
        <v>237</v>
      </c>
      <c r="C2948" t="s">
        <v>238</v>
      </c>
      <c r="D2948" t="s">
        <v>250</v>
      </c>
      <c r="E2948" t="s">
        <v>229</v>
      </c>
      <c r="F2948">
        <v>2017</v>
      </c>
      <c r="G2948">
        <v>1.36E-4</v>
      </c>
      <c r="H2948" t="s">
        <v>240</v>
      </c>
      <c r="I2948" t="s">
        <v>241</v>
      </c>
      <c r="J2948" t="s">
        <v>2</v>
      </c>
      <c r="K2948" s="183">
        <f ca="1">VLOOKUP(F2948,
    OFFSET(INDIRECT(ADDRESS(MATCH(J2948,'Vehicle numbers'!$A$5:$A$162,0),1,1,1,$L$6)),4,1,COUNTIF('Vehicle numbers'!$A$5:$A$162,J2948),4),
    MATCH(K$8,'Vehicle numbers'!$B$4:$D$4,0))*1000</f>
        <v>31200182</v>
      </c>
      <c r="L2948" s="183">
        <f ca="1">VLOOKUP(F2948,
    OFFSET(INDIRECT(ADDRESS(MATCH(J2948,'Vehicle numbers'!$A$5:$A$162,0),1,1,1,$L$6)),4,1,COUNTIF('Vehicle numbers'!$A$5:$A$162,J2948),4),
    MATCH(L$8,'Vehicle numbers'!$B$4:$D$4,0))*1000</f>
        <v>32159943</v>
      </c>
      <c r="M2948" s="184">
        <f>VLOOKUP(F2948,'Annual distance covered (GB)'!$A$8:$H$33,MATCH(J2948,'Annual distance covered (GB)'!$A$7:$H$7,0))</f>
        <v>432.9</v>
      </c>
      <c r="N2948" s="2">
        <f t="shared" ca="1" si="104"/>
        <v>60685.458442492418</v>
      </c>
      <c r="O2948" s="180">
        <f t="shared" ca="1" si="105"/>
        <v>1.8869889925642101E-3</v>
      </c>
      <c r="P2948" s="180"/>
      <c r="Q2948" s="180"/>
      <c r="R2948" s="180"/>
      <c r="S2948" s="180"/>
      <c r="T2948" s="180"/>
    </row>
    <row r="2949" spans="1:20" x14ac:dyDescent="0.25">
      <c r="A2949" t="s">
        <v>246</v>
      </c>
      <c r="B2949" t="s">
        <v>237</v>
      </c>
      <c r="C2949" t="s">
        <v>238</v>
      </c>
      <c r="D2949" t="s">
        <v>250</v>
      </c>
      <c r="E2949" t="s">
        <v>229</v>
      </c>
      <c r="F2949">
        <v>2017</v>
      </c>
      <c r="G2949">
        <v>1.088E-4</v>
      </c>
      <c r="H2949" t="s">
        <v>240</v>
      </c>
      <c r="I2949" t="s">
        <v>241</v>
      </c>
      <c r="J2949" t="s">
        <v>2</v>
      </c>
      <c r="K2949" s="183">
        <f ca="1">VLOOKUP(F2949,
    OFFSET(INDIRECT(ADDRESS(MATCH(J2949,'Vehicle numbers'!$A$5:$A$162,0),1,1,1,$L$6)),4,1,COUNTIF('Vehicle numbers'!$A$5:$A$162,J2949),4),
    MATCH(K$8,'Vehicle numbers'!$B$4:$D$4,0))*1000</f>
        <v>31200182</v>
      </c>
      <c r="L2949" s="183">
        <f ca="1">VLOOKUP(F2949,
    OFFSET(INDIRECT(ADDRESS(MATCH(J2949,'Vehicle numbers'!$A$5:$A$162,0),1,1,1,$L$6)),4,1,COUNTIF('Vehicle numbers'!$A$5:$A$162,J2949),4),
    MATCH(L$8,'Vehicle numbers'!$B$4:$D$4,0))*1000</f>
        <v>32159943</v>
      </c>
      <c r="M2949" s="184">
        <f>VLOOKUP(F2949,'Annual distance covered (GB)'!$A$8:$H$33,MATCH(J2949,'Annual distance covered (GB)'!$A$7:$H$7,0))</f>
        <v>432.9</v>
      </c>
      <c r="N2949" s="2">
        <f t="shared" ca="1" si="104"/>
        <v>48548.366753993934</v>
      </c>
      <c r="O2949" s="180">
        <f t="shared" ca="1" si="105"/>
        <v>1.5095911940513681E-3</v>
      </c>
      <c r="P2949" s="180"/>
      <c r="Q2949" s="180"/>
      <c r="R2949" s="180"/>
      <c r="S2949" s="180"/>
      <c r="T2949" s="180"/>
    </row>
    <row r="2950" spans="1:20" x14ac:dyDescent="0.25">
      <c r="A2950" t="s">
        <v>236</v>
      </c>
      <c r="B2950" t="s">
        <v>237</v>
      </c>
      <c r="C2950" t="s">
        <v>238</v>
      </c>
      <c r="D2950" t="s">
        <v>250</v>
      </c>
      <c r="E2950" t="s">
        <v>228</v>
      </c>
      <c r="F2950">
        <v>2017</v>
      </c>
      <c r="G2950">
        <v>5.7910000000000001E-3</v>
      </c>
      <c r="H2950" t="s">
        <v>240</v>
      </c>
      <c r="I2950" t="s">
        <v>241</v>
      </c>
      <c r="J2950" t="s">
        <v>2</v>
      </c>
      <c r="K2950" s="183">
        <f ca="1">VLOOKUP(F2950,
    OFFSET(INDIRECT(ADDRESS(MATCH(J2950,'Vehicle numbers'!$A$5:$A$162,0),1,1,1,$L$6)),4,1,COUNTIF('Vehicle numbers'!$A$5:$A$162,J2950),4),
    MATCH(K$8,'Vehicle numbers'!$B$4:$D$4,0))*1000</f>
        <v>31200182</v>
      </c>
      <c r="L2950" s="183">
        <f ca="1">VLOOKUP(F2950,
    OFFSET(INDIRECT(ADDRESS(MATCH(J2950,'Vehicle numbers'!$A$5:$A$162,0),1,1,1,$L$6)),4,1,COUNTIF('Vehicle numbers'!$A$5:$A$162,J2950),4),
    MATCH(L$8,'Vehicle numbers'!$B$4:$D$4,0))*1000</f>
        <v>32159943</v>
      </c>
      <c r="M2950" s="184">
        <f>VLOOKUP(F2950,'Annual distance covered (GB)'!$A$8:$H$33,MATCH(J2950,'Annual distance covered (GB)'!$A$7:$H$7,0))</f>
        <v>432.9</v>
      </c>
      <c r="N2950" s="2">
        <f t="shared" ca="1" si="104"/>
        <v>2584040.3664740706</v>
      </c>
      <c r="O2950" s="180">
        <f t="shared" ca="1" si="105"/>
        <v>8.034965629367162E-2</v>
      </c>
      <c r="P2950" s="180"/>
      <c r="Q2950" s="180"/>
      <c r="R2950" s="180"/>
      <c r="S2950" s="180"/>
      <c r="T2950" s="180"/>
    </row>
    <row r="2951" spans="1:20" x14ac:dyDescent="0.25">
      <c r="A2951" t="s">
        <v>243</v>
      </c>
      <c r="B2951" t="s">
        <v>237</v>
      </c>
      <c r="C2951" t="s">
        <v>238</v>
      </c>
      <c r="D2951" t="s">
        <v>250</v>
      </c>
      <c r="E2951" t="s">
        <v>228</v>
      </c>
      <c r="F2951">
        <v>2017</v>
      </c>
      <c r="G2951">
        <v>4.0537000000000004E-3</v>
      </c>
      <c r="H2951" t="s">
        <v>240</v>
      </c>
      <c r="I2951" t="s">
        <v>241</v>
      </c>
      <c r="J2951" t="s">
        <v>2</v>
      </c>
      <c r="K2951" s="183">
        <f ca="1">VLOOKUP(F2951,
    OFFSET(INDIRECT(ADDRESS(MATCH(J2951,'Vehicle numbers'!$A$5:$A$162,0),1,1,1,$L$6)),4,1,COUNTIF('Vehicle numbers'!$A$5:$A$162,J2951),4),
    MATCH(K$8,'Vehicle numbers'!$B$4:$D$4,0))*1000</f>
        <v>31200182</v>
      </c>
      <c r="L2951" s="183">
        <f ca="1">VLOOKUP(F2951,
    OFFSET(INDIRECT(ADDRESS(MATCH(J2951,'Vehicle numbers'!$A$5:$A$162,0),1,1,1,$L$6)),4,1,COUNTIF('Vehicle numbers'!$A$5:$A$162,J2951),4),
    MATCH(L$8,'Vehicle numbers'!$B$4:$D$4,0))*1000</f>
        <v>32159943</v>
      </c>
      <c r="M2951" s="184">
        <f>VLOOKUP(F2951,'Annual distance covered (GB)'!$A$8:$H$33,MATCH(J2951,'Annual distance covered (GB)'!$A$7:$H$7,0))</f>
        <v>432.9</v>
      </c>
      <c r="N2951" s="2">
        <f t="shared" ca="1" si="104"/>
        <v>1808828.2565318497</v>
      </c>
      <c r="O2951" s="180">
        <f t="shared" ca="1" si="105"/>
        <v>5.6244759405570145E-2</v>
      </c>
      <c r="P2951" s="180"/>
      <c r="Q2951" s="180"/>
      <c r="R2951" s="180"/>
      <c r="S2951" s="180"/>
      <c r="T2951" s="180"/>
    </row>
    <row r="2952" spans="1:20" x14ac:dyDescent="0.25">
      <c r="A2952" t="s">
        <v>244</v>
      </c>
      <c r="B2952" t="s">
        <v>237</v>
      </c>
      <c r="C2952" t="s">
        <v>238</v>
      </c>
      <c r="D2952" t="s">
        <v>250</v>
      </c>
      <c r="E2952" t="s">
        <v>228</v>
      </c>
      <c r="F2952">
        <v>2017</v>
      </c>
      <c r="G2952">
        <v>5.7094366197182997E-4</v>
      </c>
      <c r="H2952" t="s">
        <v>240</v>
      </c>
      <c r="I2952" t="s">
        <v>241</v>
      </c>
      <c r="J2952" t="s">
        <v>2</v>
      </c>
      <c r="K2952" s="183">
        <f ca="1">VLOOKUP(F2952,
    OFFSET(INDIRECT(ADDRESS(MATCH(J2952,'Vehicle numbers'!$A$5:$A$162,0),1,1,1,$L$6)),4,1,COUNTIF('Vehicle numbers'!$A$5:$A$162,J2952),4),
    MATCH(K$8,'Vehicle numbers'!$B$4:$D$4,0))*1000</f>
        <v>31200182</v>
      </c>
      <c r="L2952" s="183">
        <f ca="1">VLOOKUP(F2952,
    OFFSET(INDIRECT(ADDRESS(MATCH(J2952,'Vehicle numbers'!$A$5:$A$162,0),1,1,1,$L$6)),4,1,COUNTIF('Vehicle numbers'!$A$5:$A$162,J2952),4),
    MATCH(L$8,'Vehicle numbers'!$B$4:$D$4,0))*1000</f>
        <v>32159943</v>
      </c>
      <c r="M2952" s="184">
        <f>VLOOKUP(F2952,'Annual distance covered (GB)'!$A$8:$H$33,MATCH(J2952,'Annual distance covered (GB)'!$A$7:$H$7,0))</f>
        <v>432.9</v>
      </c>
      <c r="N2952" s="2">
        <f t="shared" ca="1" si="104"/>
        <v>254764.54317349946</v>
      </c>
      <c r="O2952" s="180">
        <f t="shared" ca="1" si="105"/>
        <v>7.9217970993760607E-3</v>
      </c>
      <c r="P2952" s="180"/>
      <c r="Q2952" s="180"/>
      <c r="R2952" s="180"/>
      <c r="S2952" s="180"/>
      <c r="T2952" s="180"/>
    </row>
    <row r="2953" spans="1:20" x14ac:dyDescent="0.25">
      <c r="A2953" t="s">
        <v>246</v>
      </c>
      <c r="B2953" t="s">
        <v>237</v>
      </c>
      <c r="C2953" t="s">
        <v>238</v>
      </c>
      <c r="D2953" t="s">
        <v>250</v>
      </c>
      <c r="E2953" t="s">
        <v>228</v>
      </c>
      <c r="F2953">
        <v>2017</v>
      </c>
      <c r="G2953">
        <v>4.5675492957746402E-4</v>
      </c>
      <c r="H2953" t="s">
        <v>240</v>
      </c>
      <c r="I2953" t="s">
        <v>241</v>
      </c>
      <c r="J2953" t="s">
        <v>2</v>
      </c>
      <c r="K2953" s="183">
        <f ca="1">VLOOKUP(F2953,
    OFFSET(INDIRECT(ADDRESS(MATCH(J2953,'Vehicle numbers'!$A$5:$A$162,0),1,1,1,$L$6)),4,1,COUNTIF('Vehicle numbers'!$A$5:$A$162,J2953),4),
    MATCH(K$8,'Vehicle numbers'!$B$4:$D$4,0))*1000</f>
        <v>31200182</v>
      </c>
      <c r="L2953" s="183">
        <f ca="1">VLOOKUP(F2953,
    OFFSET(INDIRECT(ADDRESS(MATCH(J2953,'Vehicle numbers'!$A$5:$A$162,0),1,1,1,$L$6)),4,1,COUNTIF('Vehicle numbers'!$A$5:$A$162,J2953),4),
    MATCH(L$8,'Vehicle numbers'!$B$4:$D$4,0))*1000</f>
        <v>32159943</v>
      </c>
      <c r="M2953" s="184">
        <f>VLOOKUP(F2953,'Annual distance covered (GB)'!$A$8:$H$33,MATCH(J2953,'Annual distance covered (GB)'!$A$7:$H$7,0))</f>
        <v>432.9</v>
      </c>
      <c r="N2953" s="2">
        <f t="shared" ca="1" si="104"/>
        <v>203811.63453879958</v>
      </c>
      <c r="O2953" s="180">
        <f t="shared" ca="1" si="105"/>
        <v>6.3374376795008493E-3</v>
      </c>
      <c r="P2953" s="180"/>
      <c r="Q2953" s="180"/>
      <c r="R2953" s="180"/>
      <c r="S2953" s="180"/>
      <c r="T2953" s="180"/>
    </row>
    <row r="2954" spans="1:20" x14ac:dyDescent="0.25">
      <c r="A2954" t="s">
        <v>236</v>
      </c>
      <c r="B2954" t="s">
        <v>237</v>
      </c>
      <c r="C2954" t="s">
        <v>238</v>
      </c>
      <c r="D2954" t="s">
        <v>255</v>
      </c>
      <c r="E2954" t="s">
        <v>229</v>
      </c>
      <c r="F2954">
        <v>2017</v>
      </c>
      <c r="G2954">
        <v>5.5270000000000102E-3</v>
      </c>
      <c r="H2954" t="s">
        <v>240</v>
      </c>
      <c r="I2954" t="s">
        <v>241</v>
      </c>
      <c r="J2954" t="s">
        <v>2</v>
      </c>
      <c r="K2954" s="183">
        <f ca="1">VLOOKUP(F2954,
    OFFSET(INDIRECT(ADDRESS(MATCH(J2954,'Vehicle numbers'!$A$5:$A$162,0),1,1,1,$L$6)),4,1,COUNTIF('Vehicle numbers'!$A$5:$A$162,J2954),4),
    MATCH(K$8,'Vehicle numbers'!$B$4:$D$4,0))*1000</f>
        <v>31200182</v>
      </c>
      <c r="L2954" s="183">
        <f ca="1">VLOOKUP(F2954,
    OFFSET(INDIRECT(ADDRESS(MATCH(J2954,'Vehicle numbers'!$A$5:$A$162,0),1,1,1,$L$6)),4,1,COUNTIF('Vehicle numbers'!$A$5:$A$162,J2954),4),
    MATCH(L$8,'Vehicle numbers'!$B$4:$D$4,0))*1000</f>
        <v>32159943</v>
      </c>
      <c r="M2954" s="184">
        <f>VLOOKUP(F2954,'Annual distance covered (GB)'!$A$8:$H$33,MATCH(J2954,'Annual distance covered (GB)'!$A$7:$H$7,0))</f>
        <v>432.9</v>
      </c>
      <c r="N2954" s="2">
        <f t="shared" ca="1" si="104"/>
        <v>2466239.1824386483</v>
      </c>
      <c r="O2954" s="180">
        <f t="shared" ca="1" si="105"/>
        <v>7.6686677661047115E-2</v>
      </c>
      <c r="P2954" s="180"/>
      <c r="Q2954" s="180"/>
      <c r="R2954" s="180"/>
      <c r="S2954" s="180"/>
      <c r="T2954" s="180"/>
    </row>
    <row r="2955" spans="1:20" x14ac:dyDescent="0.25">
      <c r="A2955" t="s">
        <v>243</v>
      </c>
      <c r="B2955" t="s">
        <v>237</v>
      </c>
      <c r="C2955" t="s">
        <v>238</v>
      </c>
      <c r="D2955" t="s">
        <v>255</v>
      </c>
      <c r="E2955" t="s">
        <v>229</v>
      </c>
      <c r="F2955">
        <v>2017</v>
      </c>
      <c r="G2955">
        <v>2.2108000000000002E-3</v>
      </c>
      <c r="H2955" t="s">
        <v>240</v>
      </c>
      <c r="I2955" t="s">
        <v>241</v>
      </c>
      <c r="J2955" t="s">
        <v>2</v>
      </c>
      <c r="K2955" s="183">
        <f ca="1">VLOOKUP(F2955,
    OFFSET(INDIRECT(ADDRESS(MATCH(J2955,'Vehicle numbers'!$A$5:$A$162,0),1,1,1,$L$6)),4,1,COUNTIF('Vehicle numbers'!$A$5:$A$162,J2955),4),
    MATCH(K$8,'Vehicle numbers'!$B$4:$D$4,0))*1000</f>
        <v>31200182</v>
      </c>
      <c r="L2955" s="183">
        <f ca="1">VLOOKUP(F2955,
    OFFSET(INDIRECT(ADDRESS(MATCH(J2955,'Vehicle numbers'!$A$5:$A$162,0),1,1,1,$L$6)),4,1,COUNTIF('Vehicle numbers'!$A$5:$A$162,J2955),4),
    MATCH(L$8,'Vehicle numbers'!$B$4:$D$4,0))*1000</f>
        <v>32159943</v>
      </c>
      <c r="M2955" s="184">
        <f>VLOOKUP(F2955,'Annual distance covered (GB)'!$A$8:$H$33,MATCH(J2955,'Annual distance covered (GB)'!$A$7:$H$7,0))</f>
        <v>432.9</v>
      </c>
      <c r="N2955" s="2">
        <f t="shared" ref="N2955:N3018" ca="1" si="106">M2955*G2955*1000000*(L2955/K2955)</f>
        <v>986495.67297545774</v>
      </c>
      <c r="O2955" s="180">
        <f t="shared" ref="O2955:O3018" ca="1" si="107">N2955/L2955</f>
        <v>3.0674671064418794E-2</v>
      </c>
      <c r="P2955" s="180"/>
      <c r="Q2955" s="180"/>
      <c r="R2955" s="180"/>
      <c r="S2955" s="180"/>
      <c r="T2955" s="180"/>
    </row>
    <row r="2956" spans="1:20" x14ac:dyDescent="0.25">
      <c r="A2956" t="s">
        <v>244</v>
      </c>
      <c r="B2956" t="s">
        <v>237</v>
      </c>
      <c r="C2956" t="s">
        <v>238</v>
      </c>
      <c r="D2956" t="s">
        <v>255</v>
      </c>
      <c r="E2956" t="s">
        <v>229</v>
      </c>
      <c r="F2956">
        <v>2017</v>
      </c>
      <c r="G2956">
        <v>5.5270000000000004E-4</v>
      </c>
      <c r="H2956" t="s">
        <v>240</v>
      </c>
      <c r="I2956" t="s">
        <v>241</v>
      </c>
      <c r="J2956" t="s">
        <v>2</v>
      </c>
      <c r="K2956" s="183">
        <f ca="1">VLOOKUP(F2956,
    OFFSET(INDIRECT(ADDRESS(MATCH(J2956,'Vehicle numbers'!$A$5:$A$162,0),1,1,1,$L$6)),4,1,COUNTIF('Vehicle numbers'!$A$5:$A$162,J2956),4),
    MATCH(K$8,'Vehicle numbers'!$B$4:$D$4,0))*1000</f>
        <v>31200182</v>
      </c>
      <c r="L2956" s="183">
        <f ca="1">VLOOKUP(F2956,
    OFFSET(INDIRECT(ADDRESS(MATCH(J2956,'Vehicle numbers'!$A$5:$A$162,0),1,1,1,$L$6)),4,1,COUNTIF('Vehicle numbers'!$A$5:$A$162,J2956),4),
    MATCH(L$8,'Vehicle numbers'!$B$4:$D$4,0))*1000</f>
        <v>32159943</v>
      </c>
      <c r="M2956" s="184">
        <f>VLOOKUP(F2956,'Annual distance covered (GB)'!$A$8:$H$33,MATCH(J2956,'Annual distance covered (GB)'!$A$7:$H$7,0))</f>
        <v>432.9</v>
      </c>
      <c r="N2956" s="2">
        <f t="shared" ca="1" si="106"/>
        <v>246623.91824386443</v>
      </c>
      <c r="O2956" s="180">
        <f t="shared" ca="1" si="107"/>
        <v>7.6686677661046984E-3</v>
      </c>
      <c r="P2956" s="180"/>
      <c r="Q2956" s="180"/>
      <c r="R2956" s="180"/>
      <c r="S2956" s="180"/>
      <c r="T2956" s="180"/>
    </row>
    <row r="2957" spans="1:20" x14ac:dyDescent="0.25">
      <c r="A2957" t="s">
        <v>246</v>
      </c>
      <c r="B2957" t="s">
        <v>237</v>
      </c>
      <c r="C2957" t="s">
        <v>238</v>
      </c>
      <c r="D2957" t="s">
        <v>255</v>
      </c>
      <c r="E2957" t="s">
        <v>229</v>
      </c>
      <c r="F2957">
        <v>2017</v>
      </c>
      <c r="G2957">
        <v>4.4215999999999998E-4</v>
      </c>
      <c r="H2957" t="s">
        <v>240</v>
      </c>
      <c r="I2957" t="s">
        <v>241</v>
      </c>
      <c r="J2957" t="s">
        <v>2</v>
      </c>
      <c r="K2957" s="183">
        <f ca="1">VLOOKUP(F2957,
    OFFSET(INDIRECT(ADDRESS(MATCH(J2957,'Vehicle numbers'!$A$5:$A$162,0),1,1,1,$L$6)),4,1,COUNTIF('Vehicle numbers'!$A$5:$A$162,J2957),4),
    MATCH(K$8,'Vehicle numbers'!$B$4:$D$4,0))*1000</f>
        <v>31200182</v>
      </c>
      <c r="L2957" s="183">
        <f ca="1">VLOOKUP(F2957,
    OFFSET(INDIRECT(ADDRESS(MATCH(J2957,'Vehicle numbers'!$A$5:$A$162,0),1,1,1,$L$6)),4,1,COUNTIF('Vehicle numbers'!$A$5:$A$162,J2957),4),
    MATCH(L$8,'Vehicle numbers'!$B$4:$D$4,0))*1000</f>
        <v>32159943</v>
      </c>
      <c r="M2957" s="184">
        <f>VLOOKUP(F2957,'Annual distance covered (GB)'!$A$8:$H$33,MATCH(J2957,'Annual distance covered (GB)'!$A$7:$H$7,0))</f>
        <v>432.9</v>
      </c>
      <c r="N2957" s="2">
        <f t="shared" ca="1" si="106"/>
        <v>197299.13459509151</v>
      </c>
      <c r="O2957" s="180">
        <f t="shared" ca="1" si="107"/>
        <v>6.1349342128837574E-3</v>
      </c>
      <c r="P2957" s="180"/>
      <c r="Q2957" s="180"/>
      <c r="R2957" s="180"/>
      <c r="S2957" s="180"/>
      <c r="T2957" s="180"/>
    </row>
    <row r="2958" spans="1:20" x14ac:dyDescent="0.25">
      <c r="A2958" t="s">
        <v>236</v>
      </c>
      <c r="B2958" t="s">
        <v>237</v>
      </c>
      <c r="C2958" t="s">
        <v>238</v>
      </c>
      <c r="D2958" t="s">
        <v>255</v>
      </c>
      <c r="E2958" t="s">
        <v>228</v>
      </c>
      <c r="F2958">
        <v>2017</v>
      </c>
      <c r="G2958">
        <v>6.80000000000001E-3</v>
      </c>
      <c r="H2958" t="s">
        <v>240</v>
      </c>
      <c r="I2958" t="s">
        <v>241</v>
      </c>
      <c r="J2958" t="s">
        <v>2</v>
      </c>
      <c r="K2958" s="183">
        <f ca="1">VLOOKUP(F2958,
    OFFSET(INDIRECT(ADDRESS(MATCH(J2958,'Vehicle numbers'!$A$5:$A$162,0),1,1,1,$L$6)),4,1,COUNTIF('Vehicle numbers'!$A$5:$A$162,J2958),4),
    MATCH(K$8,'Vehicle numbers'!$B$4:$D$4,0))*1000</f>
        <v>31200182</v>
      </c>
      <c r="L2958" s="183">
        <f ca="1">VLOOKUP(F2958,
    OFFSET(INDIRECT(ADDRESS(MATCH(J2958,'Vehicle numbers'!$A$5:$A$162,0),1,1,1,$L$6)),4,1,COUNTIF('Vehicle numbers'!$A$5:$A$162,J2958),4),
    MATCH(L$8,'Vehicle numbers'!$B$4:$D$4,0))*1000</f>
        <v>32159943</v>
      </c>
      <c r="M2958" s="184">
        <f>VLOOKUP(F2958,'Annual distance covered (GB)'!$A$8:$H$33,MATCH(J2958,'Annual distance covered (GB)'!$A$7:$H$7,0))</f>
        <v>432.9</v>
      </c>
      <c r="N2958" s="2">
        <f t="shared" ca="1" si="106"/>
        <v>3034272.9221246256</v>
      </c>
      <c r="O2958" s="180">
        <f t="shared" ca="1" si="107"/>
        <v>9.4349449628210652E-2</v>
      </c>
      <c r="P2958" s="180"/>
      <c r="Q2958" s="180"/>
      <c r="R2958" s="180"/>
      <c r="S2958" s="180"/>
      <c r="T2958" s="180"/>
    </row>
    <row r="2959" spans="1:20" x14ac:dyDescent="0.25">
      <c r="A2959" t="s">
        <v>243</v>
      </c>
      <c r="B2959" t="s">
        <v>237</v>
      </c>
      <c r="C2959" t="s">
        <v>238</v>
      </c>
      <c r="D2959" t="s">
        <v>255</v>
      </c>
      <c r="E2959" t="s">
        <v>228</v>
      </c>
      <c r="F2959">
        <v>2017</v>
      </c>
      <c r="G2959">
        <v>4.7600000000000099E-3</v>
      </c>
      <c r="H2959" t="s">
        <v>240</v>
      </c>
      <c r="I2959" t="s">
        <v>241</v>
      </c>
      <c r="J2959" t="s">
        <v>2</v>
      </c>
      <c r="K2959" s="183">
        <f ca="1">VLOOKUP(F2959,
    OFFSET(INDIRECT(ADDRESS(MATCH(J2959,'Vehicle numbers'!$A$5:$A$162,0),1,1,1,$L$6)),4,1,COUNTIF('Vehicle numbers'!$A$5:$A$162,J2959),4),
    MATCH(K$8,'Vehicle numbers'!$B$4:$D$4,0))*1000</f>
        <v>31200182</v>
      </c>
      <c r="L2959" s="183">
        <f ca="1">VLOOKUP(F2959,
    OFFSET(INDIRECT(ADDRESS(MATCH(J2959,'Vehicle numbers'!$A$5:$A$162,0),1,1,1,$L$6)),4,1,COUNTIF('Vehicle numbers'!$A$5:$A$162,J2959),4),
    MATCH(L$8,'Vehicle numbers'!$B$4:$D$4,0))*1000</f>
        <v>32159943</v>
      </c>
      <c r="M2959" s="184">
        <f>VLOOKUP(F2959,'Annual distance covered (GB)'!$A$8:$H$33,MATCH(J2959,'Annual distance covered (GB)'!$A$7:$H$7,0))</f>
        <v>432.9</v>
      </c>
      <c r="N2959" s="2">
        <f t="shared" ca="1" si="106"/>
        <v>2123991.045487239</v>
      </c>
      <c r="O2959" s="180">
        <f t="shared" ca="1" si="107"/>
        <v>6.6044614739747487E-2</v>
      </c>
      <c r="P2959" s="180"/>
      <c r="Q2959" s="180"/>
      <c r="R2959" s="180"/>
      <c r="S2959" s="180"/>
      <c r="T2959" s="180"/>
    </row>
    <row r="2960" spans="1:20" x14ac:dyDescent="0.25">
      <c r="A2960" t="s">
        <v>244</v>
      </c>
      <c r="B2960" t="s">
        <v>237</v>
      </c>
      <c r="C2960" t="s">
        <v>238</v>
      </c>
      <c r="D2960" t="s">
        <v>255</v>
      </c>
      <c r="E2960" t="s">
        <v>228</v>
      </c>
      <c r="F2960">
        <v>2017</v>
      </c>
      <c r="G2960">
        <v>6.7042253521126804E-4</v>
      </c>
      <c r="H2960" t="s">
        <v>240</v>
      </c>
      <c r="I2960" t="s">
        <v>241</v>
      </c>
      <c r="J2960" t="s">
        <v>2</v>
      </c>
      <c r="K2960" s="183">
        <f ca="1">VLOOKUP(F2960,
    OFFSET(INDIRECT(ADDRESS(MATCH(J2960,'Vehicle numbers'!$A$5:$A$162,0),1,1,1,$L$6)),4,1,COUNTIF('Vehicle numbers'!$A$5:$A$162,J2960),4),
    MATCH(K$8,'Vehicle numbers'!$B$4:$D$4,0))*1000</f>
        <v>31200182</v>
      </c>
      <c r="L2960" s="183">
        <f ca="1">VLOOKUP(F2960,
    OFFSET(INDIRECT(ADDRESS(MATCH(J2960,'Vehicle numbers'!$A$5:$A$162,0),1,1,1,$L$6)),4,1,COUNTIF('Vehicle numbers'!$A$5:$A$162,J2960),4),
    MATCH(L$8,'Vehicle numbers'!$B$4:$D$4,0))*1000</f>
        <v>32159943</v>
      </c>
      <c r="M2960" s="184">
        <f>VLOOKUP(F2960,'Annual distance covered (GB)'!$A$8:$H$33,MATCH(J2960,'Annual distance covered (GB)'!$A$7:$H$7,0))</f>
        <v>432.9</v>
      </c>
      <c r="N2960" s="2">
        <f t="shared" ca="1" si="106"/>
        <v>299153.66837848397</v>
      </c>
      <c r="O2960" s="180">
        <f t="shared" ca="1" si="107"/>
        <v>9.302058414048929E-3</v>
      </c>
      <c r="P2960" s="180"/>
      <c r="Q2960" s="180"/>
      <c r="R2960" s="180"/>
      <c r="S2960" s="180"/>
      <c r="T2960" s="180"/>
    </row>
    <row r="2961" spans="1:20" x14ac:dyDescent="0.25">
      <c r="A2961" t="s">
        <v>246</v>
      </c>
      <c r="B2961" t="s">
        <v>237</v>
      </c>
      <c r="C2961" t="s">
        <v>238</v>
      </c>
      <c r="D2961" t="s">
        <v>255</v>
      </c>
      <c r="E2961" t="s">
        <v>228</v>
      </c>
      <c r="F2961">
        <v>2017</v>
      </c>
      <c r="G2961">
        <v>5.3633802816901402E-4</v>
      </c>
      <c r="H2961" t="s">
        <v>240</v>
      </c>
      <c r="I2961" t="s">
        <v>241</v>
      </c>
      <c r="J2961" t="s">
        <v>2</v>
      </c>
      <c r="K2961" s="183">
        <f ca="1">VLOOKUP(F2961,
    OFFSET(INDIRECT(ADDRESS(MATCH(J2961,'Vehicle numbers'!$A$5:$A$162,0),1,1,1,$L$6)),4,1,COUNTIF('Vehicle numbers'!$A$5:$A$162,J2961),4),
    MATCH(K$8,'Vehicle numbers'!$B$4:$D$4,0))*1000</f>
        <v>31200182</v>
      </c>
      <c r="L2961" s="183">
        <f ca="1">VLOOKUP(F2961,
    OFFSET(INDIRECT(ADDRESS(MATCH(J2961,'Vehicle numbers'!$A$5:$A$162,0),1,1,1,$L$6)),4,1,COUNTIF('Vehicle numbers'!$A$5:$A$162,J2961),4),
    MATCH(L$8,'Vehicle numbers'!$B$4:$D$4,0))*1000</f>
        <v>32159943</v>
      </c>
      <c r="M2961" s="184">
        <f>VLOOKUP(F2961,'Annual distance covered (GB)'!$A$8:$H$33,MATCH(J2961,'Annual distance covered (GB)'!$A$7:$H$7,0))</f>
        <v>432.9</v>
      </c>
      <c r="N2961" s="2">
        <f t="shared" ca="1" si="106"/>
        <v>239322.93470278697</v>
      </c>
      <c r="O2961" s="180">
        <f t="shared" ca="1" si="107"/>
        <v>7.4416467312391366E-3</v>
      </c>
      <c r="P2961" s="180"/>
      <c r="Q2961" s="180"/>
      <c r="R2961" s="180"/>
      <c r="S2961" s="180"/>
      <c r="T2961" s="180"/>
    </row>
    <row r="2962" spans="1:20" x14ac:dyDescent="0.25">
      <c r="A2962" t="s">
        <v>236</v>
      </c>
      <c r="B2962" t="s">
        <v>237</v>
      </c>
      <c r="C2962" t="s">
        <v>238</v>
      </c>
      <c r="D2962" t="s">
        <v>256</v>
      </c>
      <c r="E2962" t="s">
        <v>229</v>
      </c>
      <c r="F2962">
        <v>2017</v>
      </c>
      <c r="G2962">
        <v>1.1723044288633201E-2</v>
      </c>
      <c r="H2962" t="s">
        <v>240</v>
      </c>
      <c r="I2962" t="s">
        <v>241</v>
      </c>
      <c r="J2962" t="s">
        <v>2</v>
      </c>
      <c r="K2962" s="183">
        <f ca="1">VLOOKUP(F2962,
    OFFSET(INDIRECT(ADDRESS(MATCH(J2962,'Vehicle numbers'!$A$5:$A$162,0),1,1,1,$L$6)),4,1,COUNTIF('Vehicle numbers'!$A$5:$A$162,J2962),4),
    MATCH(K$8,'Vehicle numbers'!$B$4:$D$4,0))*1000</f>
        <v>31200182</v>
      </c>
      <c r="L2962" s="183">
        <f ca="1">VLOOKUP(F2962,
    OFFSET(INDIRECT(ADDRESS(MATCH(J2962,'Vehicle numbers'!$A$5:$A$162,0),1,1,1,$L$6)),4,1,COUNTIF('Vehicle numbers'!$A$5:$A$162,J2962),4),
    MATCH(L$8,'Vehicle numbers'!$B$4:$D$4,0))*1000</f>
        <v>32159943</v>
      </c>
      <c r="M2962" s="184">
        <f>VLOOKUP(F2962,'Annual distance covered (GB)'!$A$8:$H$33,MATCH(J2962,'Annual distance covered (GB)'!$A$7:$H$7,0))</f>
        <v>432.9</v>
      </c>
      <c r="N2962" s="2">
        <f t="shared" ca="1" si="106"/>
        <v>5231017.0367452074</v>
      </c>
      <c r="O2962" s="180">
        <f t="shared" ca="1" si="107"/>
        <v>0.16265629067642337</v>
      </c>
      <c r="P2962" s="180"/>
      <c r="Q2962" s="180"/>
      <c r="R2962" s="180"/>
      <c r="S2962" s="180"/>
      <c r="T2962" s="180"/>
    </row>
    <row r="2963" spans="1:20" x14ac:dyDescent="0.25">
      <c r="A2963" t="s">
        <v>243</v>
      </c>
      <c r="B2963" t="s">
        <v>237</v>
      </c>
      <c r="C2963" t="s">
        <v>238</v>
      </c>
      <c r="D2963" t="s">
        <v>256</v>
      </c>
      <c r="E2963" t="s">
        <v>229</v>
      </c>
      <c r="F2963">
        <v>2017</v>
      </c>
      <c r="G2963">
        <v>4.6892177154532798E-3</v>
      </c>
      <c r="H2963" t="s">
        <v>240</v>
      </c>
      <c r="I2963" t="s">
        <v>241</v>
      </c>
      <c r="J2963" t="s">
        <v>2</v>
      </c>
      <c r="K2963" s="183">
        <f ca="1">VLOOKUP(F2963,
    OFFSET(INDIRECT(ADDRESS(MATCH(J2963,'Vehicle numbers'!$A$5:$A$162,0),1,1,1,$L$6)),4,1,COUNTIF('Vehicle numbers'!$A$5:$A$162,J2963),4),
    MATCH(K$8,'Vehicle numbers'!$B$4:$D$4,0))*1000</f>
        <v>31200182</v>
      </c>
      <c r="L2963" s="183">
        <f ca="1">VLOOKUP(F2963,
    OFFSET(INDIRECT(ADDRESS(MATCH(J2963,'Vehicle numbers'!$A$5:$A$162,0),1,1,1,$L$6)),4,1,COUNTIF('Vehicle numbers'!$A$5:$A$162,J2963),4),
    MATCH(L$8,'Vehicle numbers'!$B$4:$D$4,0))*1000</f>
        <v>32159943</v>
      </c>
      <c r="M2963" s="184">
        <f>VLOOKUP(F2963,'Annual distance covered (GB)'!$A$8:$H$33,MATCH(J2963,'Annual distance covered (GB)'!$A$7:$H$7,0))</f>
        <v>432.9</v>
      </c>
      <c r="N2963" s="2">
        <f t="shared" ca="1" si="106"/>
        <v>2092406.8146980829</v>
      </c>
      <c r="O2963" s="180">
        <f t="shared" ca="1" si="107"/>
        <v>6.5062516270569346E-2</v>
      </c>
      <c r="P2963" s="180"/>
      <c r="Q2963" s="180"/>
      <c r="R2963" s="180"/>
      <c r="S2963" s="180"/>
      <c r="T2963" s="180"/>
    </row>
    <row r="2964" spans="1:20" x14ac:dyDescent="0.25">
      <c r="A2964" t="s">
        <v>244</v>
      </c>
      <c r="B2964" t="s">
        <v>237</v>
      </c>
      <c r="C2964" t="s">
        <v>238</v>
      </c>
      <c r="D2964" t="s">
        <v>256</v>
      </c>
      <c r="E2964" t="s">
        <v>229</v>
      </c>
      <c r="F2964">
        <v>2017</v>
      </c>
      <c r="G2964">
        <v>1.17230442886332E-3</v>
      </c>
      <c r="H2964" t="s">
        <v>240</v>
      </c>
      <c r="I2964" t="s">
        <v>241</v>
      </c>
      <c r="J2964" t="s">
        <v>2</v>
      </c>
      <c r="K2964" s="183">
        <f ca="1">VLOOKUP(F2964,
    OFFSET(INDIRECT(ADDRESS(MATCH(J2964,'Vehicle numbers'!$A$5:$A$162,0),1,1,1,$L$6)),4,1,COUNTIF('Vehicle numbers'!$A$5:$A$162,J2964),4),
    MATCH(K$8,'Vehicle numbers'!$B$4:$D$4,0))*1000</f>
        <v>31200182</v>
      </c>
      <c r="L2964" s="183">
        <f ca="1">VLOOKUP(F2964,
    OFFSET(INDIRECT(ADDRESS(MATCH(J2964,'Vehicle numbers'!$A$5:$A$162,0),1,1,1,$L$6)),4,1,COUNTIF('Vehicle numbers'!$A$5:$A$162,J2964),4),
    MATCH(L$8,'Vehicle numbers'!$B$4:$D$4,0))*1000</f>
        <v>32159943</v>
      </c>
      <c r="M2964" s="184">
        <f>VLOOKUP(F2964,'Annual distance covered (GB)'!$A$8:$H$33,MATCH(J2964,'Annual distance covered (GB)'!$A$7:$H$7,0))</f>
        <v>432.9</v>
      </c>
      <c r="N2964" s="2">
        <f t="shared" ca="1" si="106"/>
        <v>523101.70367452072</v>
      </c>
      <c r="O2964" s="180">
        <f t="shared" ca="1" si="107"/>
        <v>1.6265629067642336E-2</v>
      </c>
      <c r="P2964" s="180"/>
      <c r="Q2964" s="180"/>
      <c r="R2964" s="180"/>
      <c r="S2964" s="180"/>
      <c r="T2964" s="180"/>
    </row>
    <row r="2965" spans="1:20" x14ac:dyDescent="0.25">
      <c r="A2965" t="s">
        <v>246</v>
      </c>
      <c r="B2965" t="s">
        <v>237</v>
      </c>
      <c r="C2965" t="s">
        <v>238</v>
      </c>
      <c r="D2965" t="s">
        <v>256</v>
      </c>
      <c r="E2965" t="s">
        <v>229</v>
      </c>
      <c r="F2965">
        <v>2017</v>
      </c>
      <c r="G2965">
        <v>9.3784354309065605E-4</v>
      </c>
      <c r="H2965" t="s">
        <v>240</v>
      </c>
      <c r="I2965" t="s">
        <v>241</v>
      </c>
      <c r="J2965" t="s">
        <v>2</v>
      </c>
      <c r="K2965" s="183">
        <f ca="1">VLOOKUP(F2965,
    OFFSET(INDIRECT(ADDRESS(MATCH(J2965,'Vehicle numbers'!$A$5:$A$162,0),1,1,1,$L$6)),4,1,COUNTIF('Vehicle numbers'!$A$5:$A$162,J2965),4),
    MATCH(K$8,'Vehicle numbers'!$B$4:$D$4,0))*1000</f>
        <v>31200182</v>
      </c>
      <c r="L2965" s="183">
        <f ca="1">VLOOKUP(F2965,
    OFFSET(INDIRECT(ADDRESS(MATCH(J2965,'Vehicle numbers'!$A$5:$A$162,0),1,1,1,$L$6)),4,1,COUNTIF('Vehicle numbers'!$A$5:$A$162,J2965),4),
    MATCH(L$8,'Vehicle numbers'!$B$4:$D$4,0))*1000</f>
        <v>32159943</v>
      </c>
      <c r="M2965" s="184">
        <f>VLOOKUP(F2965,'Annual distance covered (GB)'!$A$8:$H$33,MATCH(J2965,'Annual distance covered (GB)'!$A$7:$H$7,0))</f>
        <v>432.9</v>
      </c>
      <c r="N2965" s="2">
        <f t="shared" ca="1" si="106"/>
        <v>418481.36293961661</v>
      </c>
      <c r="O2965" s="180">
        <f t="shared" ca="1" si="107"/>
        <v>1.301250325411387E-2</v>
      </c>
      <c r="P2965" s="180"/>
      <c r="Q2965" s="180"/>
      <c r="R2965" s="180"/>
      <c r="S2965" s="180"/>
      <c r="T2965" s="180"/>
    </row>
    <row r="2966" spans="1:20" x14ac:dyDescent="0.25">
      <c r="A2966" t="s">
        <v>236</v>
      </c>
      <c r="B2966" t="s">
        <v>237</v>
      </c>
      <c r="C2966" t="s">
        <v>238</v>
      </c>
      <c r="D2966" t="s">
        <v>256</v>
      </c>
      <c r="E2966" t="s">
        <v>228</v>
      </c>
      <c r="F2966">
        <v>2017</v>
      </c>
      <c r="G2966">
        <v>8.7730972833868302E-3</v>
      </c>
      <c r="H2966" t="s">
        <v>240</v>
      </c>
      <c r="I2966" t="s">
        <v>241</v>
      </c>
      <c r="J2966" t="s">
        <v>2</v>
      </c>
      <c r="K2966" s="183">
        <f ca="1">VLOOKUP(F2966,
    OFFSET(INDIRECT(ADDRESS(MATCH(J2966,'Vehicle numbers'!$A$5:$A$162,0),1,1,1,$L$6)),4,1,COUNTIF('Vehicle numbers'!$A$5:$A$162,J2966),4),
    MATCH(K$8,'Vehicle numbers'!$B$4:$D$4,0))*1000</f>
        <v>31200182</v>
      </c>
      <c r="L2966" s="183">
        <f ca="1">VLOOKUP(F2966,
    OFFSET(INDIRECT(ADDRESS(MATCH(J2966,'Vehicle numbers'!$A$5:$A$162,0),1,1,1,$L$6)),4,1,COUNTIF('Vehicle numbers'!$A$5:$A$162,J2966),4),
    MATCH(L$8,'Vehicle numbers'!$B$4:$D$4,0))*1000</f>
        <v>32159943</v>
      </c>
      <c r="M2966" s="184">
        <f>VLOOKUP(F2966,'Annual distance covered (GB)'!$A$8:$H$33,MATCH(J2966,'Annual distance covered (GB)'!$A$7:$H$7,0))</f>
        <v>432.9</v>
      </c>
      <c r="N2966" s="2">
        <f t="shared" ca="1" si="106"/>
        <v>3914701.6956096664</v>
      </c>
      <c r="O2966" s="180">
        <f t="shared" ca="1" si="107"/>
        <v>0.12172601473857296</v>
      </c>
      <c r="P2966" s="180"/>
      <c r="Q2966" s="180"/>
      <c r="R2966" s="180"/>
      <c r="S2966" s="180"/>
      <c r="T2966" s="180"/>
    </row>
    <row r="2967" spans="1:20" x14ac:dyDescent="0.25">
      <c r="A2967" t="s">
        <v>243</v>
      </c>
      <c r="B2967" t="s">
        <v>237</v>
      </c>
      <c r="C2967" t="s">
        <v>238</v>
      </c>
      <c r="D2967" t="s">
        <v>256</v>
      </c>
      <c r="E2967" t="s">
        <v>228</v>
      </c>
      <c r="F2967">
        <v>2017</v>
      </c>
      <c r="G2967">
        <v>6.1411680983707801E-3</v>
      </c>
      <c r="H2967" t="s">
        <v>240</v>
      </c>
      <c r="I2967" t="s">
        <v>241</v>
      </c>
      <c r="J2967" t="s">
        <v>2</v>
      </c>
      <c r="K2967" s="183">
        <f ca="1">VLOOKUP(F2967,
    OFFSET(INDIRECT(ADDRESS(MATCH(J2967,'Vehicle numbers'!$A$5:$A$162,0),1,1,1,$L$6)),4,1,COUNTIF('Vehicle numbers'!$A$5:$A$162,J2967),4),
    MATCH(K$8,'Vehicle numbers'!$B$4:$D$4,0))*1000</f>
        <v>31200182</v>
      </c>
      <c r="L2967" s="183">
        <f ca="1">VLOOKUP(F2967,
    OFFSET(INDIRECT(ADDRESS(MATCH(J2967,'Vehicle numbers'!$A$5:$A$162,0),1,1,1,$L$6)),4,1,COUNTIF('Vehicle numbers'!$A$5:$A$162,J2967),4),
    MATCH(L$8,'Vehicle numbers'!$B$4:$D$4,0))*1000</f>
        <v>32159943</v>
      </c>
      <c r="M2967" s="184">
        <f>VLOOKUP(F2967,'Annual distance covered (GB)'!$A$8:$H$33,MATCH(J2967,'Annual distance covered (GB)'!$A$7:$H$7,0))</f>
        <v>432.9</v>
      </c>
      <c r="N2967" s="2">
        <f t="shared" ca="1" si="106"/>
        <v>2740291.1869267663</v>
      </c>
      <c r="O2967" s="180">
        <f t="shared" ca="1" si="107"/>
        <v>8.5208210317001071E-2</v>
      </c>
      <c r="P2967" s="180"/>
      <c r="Q2967" s="180"/>
      <c r="R2967" s="180"/>
      <c r="S2967" s="180"/>
      <c r="T2967" s="180"/>
    </row>
    <row r="2968" spans="1:20" x14ac:dyDescent="0.25">
      <c r="A2968" t="s">
        <v>244</v>
      </c>
      <c r="B2968" t="s">
        <v>237</v>
      </c>
      <c r="C2968" t="s">
        <v>238</v>
      </c>
      <c r="D2968" t="s">
        <v>256</v>
      </c>
      <c r="E2968" t="s">
        <v>228</v>
      </c>
      <c r="F2968">
        <v>2017</v>
      </c>
      <c r="G2968">
        <v>8.6495325329165795E-4</v>
      </c>
      <c r="H2968" t="s">
        <v>240</v>
      </c>
      <c r="I2968" t="s">
        <v>241</v>
      </c>
      <c r="J2968" t="s">
        <v>2</v>
      </c>
      <c r="K2968" s="183">
        <f ca="1">VLOOKUP(F2968,
    OFFSET(INDIRECT(ADDRESS(MATCH(J2968,'Vehicle numbers'!$A$5:$A$162,0),1,1,1,$L$6)),4,1,COUNTIF('Vehicle numbers'!$A$5:$A$162,J2968),4),
    MATCH(K$8,'Vehicle numbers'!$B$4:$D$4,0))*1000</f>
        <v>31200182</v>
      </c>
      <c r="L2968" s="183">
        <f ca="1">VLOOKUP(F2968,
    OFFSET(INDIRECT(ADDRESS(MATCH(J2968,'Vehicle numbers'!$A$5:$A$162,0),1,1,1,$L$6)),4,1,COUNTIF('Vehicle numbers'!$A$5:$A$162,J2968),4),
    MATCH(L$8,'Vehicle numbers'!$B$4:$D$4,0))*1000</f>
        <v>32159943</v>
      </c>
      <c r="M2968" s="184">
        <f>VLOOKUP(F2968,'Annual distance covered (GB)'!$A$8:$H$33,MATCH(J2968,'Annual distance covered (GB)'!$A$7:$H$7,0))</f>
        <v>432.9</v>
      </c>
      <c r="N2968" s="2">
        <f t="shared" ca="1" si="106"/>
        <v>385956.50520095241</v>
      </c>
      <c r="O2968" s="180">
        <f t="shared" ca="1" si="107"/>
        <v>1.2001156382676188E-2</v>
      </c>
      <c r="P2968" s="180"/>
      <c r="Q2968" s="180"/>
      <c r="R2968" s="180"/>
      <c r="S2968" s="180"/>
      <c r="T2968" s="180"/>
    </row>
    <row r="2969" spans="1:20" x14ac:dyDescent="0.25">
      <c r="A2969" t="s">
        <v>246</v>
      </c>
      <c r="B2969" t="s">
        <v>237</v>
      </c>
      <c r="C2969" t="s">
        <v>238</v>
      </c>
      <c r="D2969" t="s">
        <v>256</v>
      </c>
      <c r="E2969" t="s">
        <v>228</v>
      </c>
      <c r="F2969">
        <v>2017</v>
      </c>
      <c r="G2969">
        <v>6.9196260263332601E-4</v>
      </c>
      <c r="H2969" t="s">
        <v>240</v>
      </c>
      <c r="I2969" t="s">
        <v>241</v>
      </c>
      <c r="J2969" t="s">
        <v>2</v>
      </c>
      <c r="K2969" s="183">
        <f ca="1">VLOOKUP(F2969,
    OFFSET(INDIRECT(ADDRESS(MATCH(J2969,'Vehicle numbers'!$A$5:$A$162,0),1,1,1,$L$6)),4,1,COUNTIF('Vehicle numbers'!$A$5:$A$162,J2969),4),
    MATCH(K$8,'Vehicle numbers'!$B$4:$D$4,0))*1000</f>
        <v>31200182</v>
      </c>
      <c r="L2969" s="183">
        <f ca="1">VLOOKUP(F2969,
    OFFSET(INDIRECT(ADDRESS(MATCH(J2969,'Vehicle numbers'!$A$5:$A$162,0),1,1,1,$L$6)),4,1,COUNTIF('Vehicle numbers'!$A$5:$A$162,J2969),4),
    MATCH(L$8,'Vehicle numbers'!$B$4:$D$4,0))*1000</f>
        <v>32159943</v>
      </c>
      <c r="M2969" s="184">
        <f>VLOOKUP(F2969,'Annual distance covered (GB)'!$A$8:$H$33,MATCH(J2969,'Annual distance covered (GB)'!$A$7:$H$7,0))</f>
        <v>432.9</v>
      </c>
      <c r="N2969" s="2">
        <f t="shared" ca="1" si="106"/>
        <v>308765.20416076179</v>
      </c>
      <c r="O2969" s="180">
        <f t="shared" ca="1" si="107"/>
        <v>9.6009251061409465E-3</v>
      </c>
      <c r="P2969" s="180"/>
      <c r="Q2969" s="180"/>
      <c r="R2969" s="180"/>
      <c r="S2969" s="180"/>
      <c r="T2969" s="180"/>
    </row>
    <row r="2970" spans="1:20" x14ac:dyDescent="0.25">
      <c r="A2970" t="s">
        <v>236</v>
      </c>
      <c r="B2970" t="s">
        <v>237</v>
      </c>
      <c r="C2970" t="s">
        <v>238</v>
      </c>
      <c r="D2970" t="s">
        <v>265</v>
      </c>
      <c r="E2970" t="s">
        <v>229</v>
      </c>
      <c r="F2970">
        <v>2017</v>
      </c>
      <c r="G2970">
        <v>8.4410000000000006E-3</v>
      </c>
      <c r="H2970" t="s">
        <v>240</v>
      </c>
      <c r="I2970" t="s">
        <v>241</v>
      </c>
      <c r="J2970" t="s">
        <v>247</v>
      </c>
      <c r="K2970" s="183">
        <f ca="1">VLOOKUP(F2970,
    OFFSET(INDIRECT(ADDRESS(MATCH(J2970,'Vehicle numbers'!$A$5:$A$162,0),1,1,1,$L$6)),4,1,COUNTIF('Vehicle numbers'!$A$5:$A$162,J2970),4),
    MATCH(K$8,'Vehicle numbers'!$B$4:$D$4,0))*1000</f>
        <v>127979</v>
      </c>
      <c r="L2970" s="183">
        <f ca="1">VLOOKUP(F2970,
    OFFSET(INDIRECT(ADDRESS(MATCH(J2970,'Vehicle numbers'!$A$5:$A$162,0),1,1,1,$L$6)),4,1,COUNTIF('Vehicle numbers'!$A$5:$A$162,J2970),4),
    MATCH(L$8,'Vehicle numbers'!$B$4:$D$4,0))*1000</f>
        <v>134719</v>
      </c>
      <c r="M2970" s="184">
        <f ca="1">VLOOKUP(F2970,'Annual distance covered (GB)'!$A$8:$H$33,MATCH(J2970,'Annual distance covered (GB)'!$A$7:$H$7,0))</f>
        <v>15.1</v>
      </c>
      <c r="N2970" s="2">
        <f t="shared" ca="1" si="106"/>
        <v>134171.71952351558</v>
      </c>
      <c r="O2970" s="180">
        <f t="shared" ca="1" si="107"/>
        <v>0.99593761476492237</v>
      </c>
      <c r="P2970" s="180"/>
      <c r="Q2970" s="180"/>
      <c r="R2970" s="180"/>
      <c r="S2970" s="180"/>
      <c r="T2970" s="180"/>
    </row>
    <row r="2971" spans="1:20" x14ac:dyDescent="0.25">
      <c r="A2971" t="s">
        <v>243</v>
      </c>
      <c r="B2971" t="s">
        <v>237</v>
      </c>
      <c r="C2971" t="s">
        <v>238</v>
      </c>
      <c r="D2971" t="s">
        <v>265</v>
      </c>
      <c r="E2971" t="s">
        <v>229</v>
      </c>
      <c r="F2971">
        <v>2017</v>
      </c>
      <c r="G2971">
        <v>3.3763999999999999E-3</v>
      </c>
      <c r="H2971" t="s">
        <v>240</v>
      </c>
      <c r="I2971" t="s">
        <v>241</v>
      </c>
      <c r="J2971" t="s">
        <v>247</v>
      </c>
      <c r="K2971" s="183">
        <f ca="1">VLOOKUP(F2971,
    OFFSET(INDIRECT(ADDRESS(MATCH(J2971,'Vehicle numbers'!$A$5:$A$162,0),1,1,1,$L$6)),4,1,COUNTIF('Vehicle numbers'!$A$5:$A$162,J2971),4),
    MATCH(K$8,'Vehicle numbers'!$B$4:$D$4,0))*1000</f>
        <v>127979</v>
      </c>
      <c r="L2971" s="183">
        <f ca="1">VLOOKUP(F2971,
    OFFSET(INDIRECT(ADDRESS(MATCH(J2971,'Vehicle numbers'!$A$5:$A$162,0),1,1,1,$L$6)),4,1,COUNTIF('Vehicle numbers'!$A$5:$A$162,J2971),4),
    MATCH(L$8,'Vehicle numbers'!$B$4:$D$4,0))*1000</f>
        <v>134719</v>
      </c>
      <c r="M2971" s="184">
        <f ca="1">VLOOKUP(F2971,'Annual distance covered (GB)'!$A$8:$H$33,MATCH(J2971,'Annual distance covered (GB)'!$A$7:$H$7,0))</f>
        <v>15.1</v>
      </c>
      <c r="N2971" s="2">
        <f t="shared" ca="1" si="106"/>
        <v>53668.687809406227</v>
      </c>
      <c r="O2971" s="180">
        <f t="shared" ca="1" si="107"/>
        <v>0.39837504590596889</v>
      </c>
      <c r="P2971" s="180"/>
      <c r="Q2971" s="180"/>
      <c r="R2971" s="180"/>
      <c r="S2971" s="180"/>
      <c r="T2971" s="180"/>
    </row>
    <row r="2972" spans="1:20" x14ac:dyDescent="0.25">
      <c r="A2972" t="s">
        <v>244</v>
      </c>
      <c r="B2972" t="s">
        <v>237</v>
      </c>
      <c r="C2972" t="s">
        <v>238</v>
      </c>
      <c r="D2972" t="s">
        <v>265</v>
      </c>
      <c r="E2972" t="s">
        <v>229</v>
      </c>
      <c r="F2972">
        <v>2017</v>
      </c>
      <c r="G2972">
        <v>8.4409999999999997E-4</v>
      </c>
      <c r="H2972" t="s">
        <v>240</v>
      </c>
      <c r="I2972" t="s">
        <v>241</v>
      </c>
      <c r="J2972" t="s">
        <v>247</v>
      </c>
      <c r="K2972" s="183">
        <f ca="1">VLOOKUP(F2972,
    OFFSET(INDIRECT(ADDRESS(MATCH(J2972,'Vehicle numbers'!$A$5:$A$162,0),1,1,1,$L$6)),4,1,COUNTIF('Vehicle numbers'!$A$5:$A$162,J2972),4),
    MATCH(K$8,'Vehicle numbers'!$B$4:$D$4,0))*1000</f>
        <v>127979</v>
      </c>
      <c r="L2972" s="183">
        <f ca="1">VLOOKUP(F2972,
    OFFSET(INDIRECT(ADDRESS(MATCH(J2972,'Vehicle numbers'!$A$5:$A$162,0),1,1,1,$L$6)),4,1,COUNTIF('Vehicle numbers'!$A$5:$A$162,J2972),4),
    MATCH(L$8,'Vehicle numbers'!$B$4:$D$4,0))*1000</f>
        <v>134719</v>
      </c>
      <c r="M2972" s="184">
        <f ca="1">VLOOKUP(F2972,'Annual distance covered (GB)'!$A$8:$H$33,MATCH(J2972,'Annual distance covered (GB)'!$A$7:$H$7,0))</f>
        <v>15.1</v>
      </c>
      <c r="N2972" s="2">
        <f t="shared" ca="1" si="106"/>
        <v>13417.171952351557</v>
      </c>
      <c r="O2972" s="180">
        <f t="shared" ca="1" si="107"/>
        <v>9.9593761476492224E-2</v>
      </c>
      <c r="P2972" s="180"/>
      <c r="Q2972" s="180"/>
      <c r="R2972" s="180"/>
      <c r="S2972" s="180"/>
      <c r="T2972" s="180"/>
    </row>
    <row r="2973" spans="1:20" x14ac:dyDescent="0.25">
      <c r="A2973" t="s">
        <v>246</v>
      </c>
      <c r="B2973" t="s">
        <v>237</v>
      </c>
      <c r="C2973" t="s">
        <v>238</v>
      </c>
      <c r="D2973" t="s">
        <v>265</v>
      </c>
      <c r="E2973" t="s">
        <v>229</v>
      </c>
      <c r="F2973">
        <v>2017</v>
      </c>
      <c r="G2973">
        <v>6.7528E-4</v>
      </c>
      <c r="H2973" t="s">
        <v>240</v>
      </c>
      <c r="I2973" t="s">
        <v>241</v>
      </c>
      <c r="J2973" t="s">
        <v>247</v>
      </c>
      <c r="K2973" s="183">
        <f ca="1">VLOOKUP(F2973,
    OFFSET(INDIRECT(ADDRESS(MATCH(J2973,'Vehicle numbers'!$A$5:$A$162,0),1,1,1,$L$6)),4,1,COUNTIF('Vehicle numbers'!$A$5:$A$162,J2973),4),
    MATCH(K$8,'Vehicle numbers'!$B$4:$D$4,0))*1000</f>
        <v>127979</v>
      </c>
      <c r="L2973" s="183">
        <f ca="1">VLOOKUP(F2973,
    OFFSET(INDIRECT(ADDRESS(MATCH(J2973,'Vehicle numbers'!$A$5:$A$162,0),1,1,1,$L$6)),4,1,COUNTIF('Vehicle numbers'!$A$5:$A$162,J2973),4),
    MATCH(L$8,'Vehicle numbers'!$B$4:$D$4,0))*1000</f>
        <v>134719</v>
      </c>
      <c r="M2973" s="184">
        <f ca="1">VLOOKUP(F2973,'Annual distance covered (GB)'!$A$8:$H$33,MATCH(J2973,'Annual distance covered (GB)'!$A$7:$H$7,0))</f>
        <v>15.1</v>
      </c>
      <c r="N2973" s="2">
        <f t="shared" ca="1" si="106"/>
        <v>10733.737561881246</v>
      </c>
      <c r="O2973" s="180">
        <f t="shared" ca="1" si="107"/>
        <v>7.9675009181193787E-2</v>
      </c>
      <c r="P2973" s="180"/>
      <c r="Q2973" s="180"/>
      <c r="R2973" s="180"/>
      <c r="S2973" s="180"/>
      <c r="T2973" s="180"/>
    </row>
    <row r="2974" spans="1:20" x14ac:dyDescent="0.25">
      <c r="A2974" t="s">
        <v>236</v>
      </c>
      <c r="B2974" t="s">
        <v>237</v>
      </c>
      <c r="C2974" t="s">
        <v>238</v>
      </c>
      <c r="D2974" t="s">
        <v>265</v>
      </c>
      <c r="E2974" t="s">
        <v>228</v>
      </c>
      <c r="F2974">
        <v>2017</v>
      </c>
      <c r="G2974">
        <v>3.1494399999999999E-2</v>
      </c>
      <c r="H2974" t="s">
        <v>240</v>
      </c>
      <c r="I2974" t="s">
        <v>241</v>
      </c>
      <c r="J2974" t="s">
        <v>247</v>
      </c>
      <c r="K2974" s="183">
        <f ca="1">VLOOKUP(F2974,
    OFFSET(INDIRECT(ADDRESS(MATCH(J2974,'Vehicle numbers'!$A$5:$A$162,0),1,1,1,$L$6)),4,1,COUNTIF('Vehicle numbers'!$A$5:$A$162,J2974),4),
    MATCH(K$8,'Vehicle numbers'!$B$4:$D$4,0))*1000</f>
        <v>127979</v>
      </c>
      <c r="L2974" s="183">
        <f ca="1">VLOOKUP(F2974,
    OFFSET(INDIRECT(ADDRESS(MATCH(J2974,'Vehicle numbers'!$A$5:$A$162,0),1,1,1,$L$6)),4,1,COUNTIF('Vehicle numbers'!$A$5:$A$162,J2974),4),
    MATCH(L$8,'Vehicle numbers'!$B$4:$D$4,0))*1000</f>
        <v>134719</v>
      </c>
      <c r="M2974" s="184">
        <f ca="1">VLOOKUP(F2974,'Annual distance covered (GB)'!$A$8:$H$33,MATCH(J2974,'Annual distance covered (GB)'!$A$7:$H$7,0))</f>
        <v>15.1</v>
      </c>
      <c r="N2974" s="2">
        <f t="shared" ca="1" si="106"/>
        <v>500611.04174403602</v>
      </c>
      <c r="O2974" s="180">
        <f t="shared" ca="1" si="107"/>
        <v>3.7159646504504638</v>
      </c>
      <c r="P2974" s="180"/>
      <c r="Q2974" s="180"/>
      <c r="R2974" s="180"/>
      <c r="S2974" s="180"/>
      <c r="T2974" s="180"/>
    </row>
    <row r="2975" spans="1:20" x14ac:dyDescent="0.25">
      <c r="A2975" t="s">
        <v>243</v>
      </c>
      <c r="B2975" t="s">
        <v>237</v>
      </c>
      <c r="C2975" t="s">
        <v>238</v>
      </c>
      <c r="D2975" t="s">
        <v>265</v>
      </c>
      <c r="E2975" t="s">
        <v>228</v>
      </c>
      <c r="F2975">
        <v>2017</v>
      </c>
      <c r="G2975">
        <v>2.2046079999999999E-2</v>
      </c>
      <c r="H2975" t="s">
        <v>240</v>
      </c>
      <c r="I2975" t="s">
        <v>241</v>
      </c>
      <c r="J2975" t="s">
        <v>247</v>
      </c>
      <c r="K2975" s="183">
        <f ca="1">VLOOKUP(F2975,
    OFFSET(INDIRECT(ADDRESS(MATCH(J2975,'Vehicle numbers'!$A$5:$A$162,0),1,1,1,$L$6)),4,1,COUNTIF('Vehicle numbers'!$A$5:$A$162,J2975),4),
    MATCH(K$8,'Vehicle numbers'!$B$4:$D$4,0))*1000</f>
        <v>127979</v>
      </c>
      <c r="L2975" s="183">
        <f ca="1">VLOOKUP(F2975,
    OFFSET(INDIRECT(ADDRESS(MATCH(J2975,'Vehicle numbers'!$A$5:$A$162,0),1,1,1,$L$6)),4,1,COUNTIF('Vehicle numbers'!$A$5:$A$162,J2975),4),
    MATCH(L$8,'Vehicle numbers'!$B$4:$D$4,0))*1000</f>
        <v>134719</v>
      </c>
      <c r="M2975" s="184">
        <f ca="1">VLOOKUP(F2975,'Annual distance covered (GB)'!$A$8:$H$33,MATCH(J2975,'Annual distance covered (GB)'!$A$7:$H$7,0))</f>
        <v>15.1</v>
      </c>
      <c r="N2975" s="2">
        <f t="shared" ca="1" si="106"/>
        <v>350427.72922082519</v>
      </c>
      <c r="O2975" s="180">
        <f t="shared" ca="1" si="107"/>
        <v>2.6011752553153245</v>
      </c>
      <c r="P2975" s="180"/>
      <c r="Q2975" s="180"/>
      <c r="R2975" s="180"/>
      <c r="S2975" s="180"/>
      <c r="T2975" s="180"/>
    </row>
    <row r="2976" spans="1:20" x14ac:dyDescent="0.25">
      <c r="A2976" t="s">
        <v>244</v>
      </c>
      <c r="B2976" t="s">
        <v>237</v>
      </c>
      <c r="C2976" t="s">
        <v>238</v>
      </c>
      <c r="D2976" t="s">
        <v>265</v>
      </c>
      <c r="E2976" t="s">
        <v>228</v>
      </c>
      <c r="F2976">
        <v>2017</v>
      </c>
      <c r="G2976">
        <v>3.1050816901408399E-3</v>
      </c>
      <c r="H2976" t="s">
        <v>240</v>
      </c>
      <c r="I2976" t="s">
        <v>241</v>
      </c>
      <c r="J2976" t="s">
        <v>247</v>
      </c>
      <c r="K2976" s="183">
        <f ca="1">VLOOKUP(F2976,
    OFFSET(INDIRECT(ADDRESS(MATCH(J2976,'Vehicle numbers'!$A$5:$A$162,0),1,1,1,$L$6)),4,1,COUNTIF('Vehicle numbers'!$A$5:$A$162,J2976),4),
    MATCH(K$8,'Vehicle numbers'!$B$4:$D$4,0))*1000</f>
        <v>127979</v>
      </c>
      <c r="L2976" s="183">
        <f ca="1">VLOOKUP(F2976,
    OFFSET(INDIRECT(ADDRESS(MATCH(J2976,'Vehicle numbers'!$A$5:$A$162,0),1,1,1,$L$6)),4,1,COUNTIF('Vehicle numbers'!$A$5:$A$162,J2976),4),
    MATCH(L$8,'Vehicle numbers'!$B$4:$D$4,0))*1000</f>
        <v>134719</v>
      </c>
      <c r="M2976" s="184">
        <f ca="1">VLOOKUP(F2976,'Annual distance covered (GB)'!$A$8:$H$33,MATCH(J2976,'Annual distance covered (GB)'!$A$7:$H$7,0))</f>
        <v>15.1</v>
      </c>
      <c r="N2976" s="2">
        <f t="shared" ca="1" si="106"/>
        <v>49356.018200116152</v>
      </c>
      <c r="O2976" s="180">
        <f t="shared" ca="1" si="107"/>
        <v>0.36636271201624232</v>
      </c>
      <c r="P2976" s="180"/>
      <c r="Q2976" s="180"/>
      <c r="R2976" s="180"/>
      <c r="S2976" s="180"/>
      <c r="T2976" s="180"/>
    </row>
    <row r="2977" spans="1:20" x14ac:dyDescent="0.25">
      <c r="A2977" t="s">
        <v>246</v>
      </c>
      <c r="B2977" t="s">
        <v>237</v>
      </c>
      <c r="C2977" t="s">
        <v>238</v>
      </c>
      <c r="D2977" t="s">
        <v>265</v>
      </c>
      <c r="E2977" t="s">
        <v>228</v>
      </c>
      <c r="F2977">
        <v>2017</v>
      </c>
      <c r="G2977">
        <v>2.4840653521126699E-3</v>
      </c>
      <c r="H2977" t="s">
        <v>240</v>
      </c>
      <c r="I2977" t="s">
        <v>241</v>
      </c>
      <c r="J2977" t="s">
        <v>247</v>
      </c>
      <c r="K2977" s="183">
        <f ca="1">VLOOKUP(F2977,
    OFFSET(INDIRECT(ADDRESS(MATCH(J2977,'Vehicle numbers'!$A$5:$A$162,0),1,1,1,$L$6)),4,1,COUNTIF('Vehicle numbers'!$A$5:$A$162,J2977),4),
    MATCH(K$8,'Vehicle numbers'!$B$4:$D$4,0))*1000</f>
        <v>127979</v>
      </c>
      <c r="L2977" s="183">
        <f ca="1">VLOOKUP(F2977,
    OFFSET(INDIRECT(ADDRESS(MATCH(J2977,'Vehicle numbers'!$A$5:$A$162,0),1,1,1,$L$6)),4,1,COUNTIF('Vehicle numbers'!$A$5:$A$162,J2977),4),
    MATCH(L$8,'Vehicle numbers'!$B$4:$D$4,0))*1000</f>
        <v>134719</v>
      </c>
      <c r="M2977" s="184">
        <f ca="1">VLOOKUP(F2977,'Annual distance covered (GB)'!$A$8:$H$33,MATCH(J2977,'Annual distance covered (GB)'!$A$7:$H$7,0))</f>
        <v>15.1</v>
      </c>
      <c r="N2977" s="2">
        <f t="shared" ca="1" si="106"/>
        <v>39484.814560092891</v>
      </c>
      <c r="O2977" s="180">
        <f t="shared" ca="1" si="107"/>
        <v>0.29309016961299367</v>
      </c>
      <c r="P2977" s="180"/>
      <c r="Q2977" s="180"/>
      <c r="R2977" s="180"/>
      <c r="S2977" s="180"/>
      <c r="T2977" s="180"/>
    </row>
    <row r="2978" spans="1:20" x14ac:dyDescent="0.25">
      <c r="A2978" t="s">
        <v>236</v>
      </c>
      <c r="B2978" t="s">
        <v>237</v>
      </c>
      <c r="C2978" t="s">
        <v>238</v>
      </c>
      <c r="D2978" t="s">
        <v>266</v>
      </c>
      <c r="E2978" t="s">
        <v>229</v>
      </c>
      <c r="F2978">
        <v>2017</v>
      </c>
      <c r="G2978">
        <v>2.7143E-2</v>
      </c>
      <c r="H2978" t="s">
        <v>240</v>
      </c>
      <c r="I2978" t="s">
        <v>241</v>
      </c>
      <c r="J2978" t="s">
        <v>247</v>
      </c>
      <c r="K2978" s="183">
        <f ca="1">VLOOKUP(F2978,
    OFFSET(INDIRECT(ADDRESS(MATCH(J2978,'Vehicle numbers'!$A$5:$A$162,0),1,1,1,$L$6)),4,1,COUNTIF('Vehicle numbers'!$A$5:$A$162,J2978),4),
    MATCH(K$8,'Vehicle numbers'!$B$4:$D$4,0))*1000</f>
        <v>127979</v>
      </c>
      <c r="L2978" s="183">
        <f ca="1">VLOOKUP(F2978,
    OFFSET(INDIRECT(ADDRESS(MATCH(J2978,'Vehicle numbers'!$A$5:$A$162,0),1,1,1,$L$6)),4,1,COUNTIF('Vehicle numbers'!$A$5:$A$162,J2978),4),
    MATCH(L$8,'Vehicle numbers'!$B$4:$D$4,0))*1000</f>
        <v>134719</v>
      </c>
      <c r="M2978" s="184">
        <f ca="1">VLOOKUP(F2978,'Annual distance covered (GB)'!$A$8:$H$33,MATCH(J2978,'Annual distance covered (GB)'!$A$7:$H$7,0))</f>
        <v>15.1</v>
      </c>
      <c r="N2978" s="2">
        <f t="shared" ca="1" si="106"/>
        <v>431444.49508669385</v>
      </c>
      <c r="O2978" s="180">
        <f t="shared" ca="1" si="107"/>
        <v>3.2025511998062179</v>
      </c>
      <c r="P2978" s="180"/>
      <c r="Q2978" s="180"/>
      <c r="R2978" s="180"/>
      <c r="S2978" s="180"/>
      <c r="T2978" s="180"/>
    </row>
    <row r="2979" spans="1:20" x14ac:dyDescent="0.25">
      <c r="A2979" t="s">
        <v>243</v>
      </c>
      <c r="B2979" t="s">
        <v>237</v>
      </c>
      <c r="C2979" t="s">
        <v>238</v>
      </c>
      <c r="D2979" t="s">
        <v>266</v>
      </c>
      <c r="E2979" t="s">
        <v>229</v>
      </c>
      <c r="F2979">
        <v>2017</v>
      </c>
      <c r="G2979">
        <v>1.0857199999999999E-2</v>
      </c>
      <c r="H2979" t="s">
        <v>240</v>
      </c>
      <c r="I2979" t="s">
        <v>241</v>
      </c>
      <c r="J2979" t="s">
        <v>247</v>
      </c>
      <c r="K2979" s="183">
        <f ca="1">VLOOKUP(F2979,
    OFFSET(INDIRECT(ADDRESS(MATCH(J2979,'Vehicle numbers'!$A$5:$A$162,0),1,1,1,$L$6)),4,1,COUNTIF('Vehicle numbers'!$A$5:$A$162,J2979),4),
    MATCH(K$8,'Vehicle numbers'!$B$4:$D$4,0))*1000</f>
        <v>127979</v>
      </c>
      <c r="L2979" s="183">
        <f ca="1">VLOOKUP(F2979,
    OFFSET(INDIRECT(ADDRESS(MATCH(J2979,'Vehicle numbers'!$A$5:$A$162,0),1,1,1,$L$6)),4,1,COUNTIF('Vehicle numbers'!$A$5:$A$162,J2979),4),
    MATCH(L$8,'Vehicle numbers'!$B$4:$D$4,0))*1000</f>
        <v>134719</v>
      </c>
      <c r="M2979" s="184">
        <f ca="1">VLOOKUP(F2979,'Annual distance covered (GB)'!$A$8:$H$33,MATCH(J2979,'Annual distance covered (GB)'!$A$7:$H$7,0))</f>
        <v>15.1</v>
      </c>
      <c r="N2979" s="2">
        <f t="shared" ca="1" si="106"/>
        <v>172577.79803467754</v>
      </c>
      <c r="O2979" s="180">
        <f t="shared" ca="1" si="107"/>
        <v>1.2810204799224871</v>
      </c>
      <c r="P2979" s="180"/>
      <c r="Q2979" s="180"/>
      <c r="R2979" s="180"/>
      <c r="S2979" s="180"/>
      <c r="T2979" s="180"/>
    </row>
    <row r="2980" spans="1:20" x14ac:dyDescent="0.25">
      <c r="A2980" t="s">
        <v>244</v>
      </c>
      <c r="B2980" t="s">
        <v>237</v>
      </c>
      <c r="C2980" t="s">
        <v>238</v>
      </c>
      <c r="D2980" t="s">
        <v>266</v>
      </c>
      <c r="E2980" t="s">
        <v>229</v>
      </c>
      <c r="F2980">
        <v>2017</v>
      </c>
      <c r="G2980">
        <v>2.7142999999999998E-3</v>
      </c>
      <c r="H2980" t="s">
        <v>240</v>
      </c>
      <c r="I2980" t="s">
        <v>241</v>
      </c>
      <c r="J2980" t="s">
        <v>247</v>
      </c>
      <c r="K2980" s="183">
        <f ca="1">VLOOKUP(F2980,
    OFFSET(INDIRECT(ADDRESS(MATCH(J2980,'Vehicle numbers'!$A$5:$A$162,0),1,1,1,$L$6)),4,1,COUNTIF('Vehicle numbers'!$A$5:$A$162,J2980),4),
    MATCH(K$8,'Vehicle numbers'!$B$4:$D$4,0))*1000</f>
        <v>127979</v>
      </c>
      <c r="L2980" s="183">
        <f ca="1">VLOOKUP(F2980,
    OFFSET(INDIRECT(ADDRESS(MATCH(J2980,'Vehicle numbers'!$A$5:$A$162,0),1,1,1,$L$6)),4,1,COUNTIF('Vehicle numbers'!$A$5:$A$162,J2980),4),
    MATCH(L$8,'Vehicle numbers'!$B$4:$D$4,0))*1000</f>
        <v>134719</v>
      </c>
      <c r="M2980" s="184">
        <f ca="1">VLOOKUP(F2980,'Annual distance covered (GB)'!$A$8:$H$33,MATCH(J2980,'Annual distance covered (GB)'!$A$7:$H$7,0))</f>
        <v>15.1</v>
      </c>
      <c r="N2980" s="2">
        <f t="shared" ca="1" si="106"/>
        <v>43144.449508669386</v>
      </c>
      <c r="O2980" s="180">
        <f t="shared" ca="1" si="107"/>
        <v>0.32025511998062178</v>
      </c>
      <c r="P2980" s="180"/>
      <c r="Q2980" s="180"/>
      <c r="R2980" s="180"/>
      <c r="S2980" s="180"/>
      <c r="T2980" s="180"/>
    </row>
    <row r="2981" spans="1:20" x14ac:dyDescent="0.25">
      <c r="A2981" t="s">
        <v>246</v>
      </c>
      <c r="B2981" t="s">
        <v>237</v>
      </c>
      <c r="C2981" t="s">
        <v>238</v>
      </c>
      <c r="D2981" t="s">
        <v>266</v>
      </c>
      <c r="E2981" t="s">
        <v>229</v>
      </c>
      <c r="F2981">
        <v>2017</v>
      </c>
      <c r="G2981">
        <v>2.1714400000000002E-3</v>
      </c>
      <c r="H2981" t="s">
        <v>240</v>
      </c>
      <c r="I2981" t="s">
        <v>241</v>
      </c>
      <c r="J2981" t="s">
        <v>247</v>
      </c>
      <c r="K2981" s="183">
        <f ca="1">VLOOKUP(F2981,
    OFFSET(INDIRECT(ADDRESS(MATCH(J2981,'Vehicle numbers'!$A$5:$A$162,0),1,1,1,$L$6)),4,1,COUNTIF('Vehicle numbers'!$A$5:$A$162,J2981),4),
    MATCH(K$8,'Vehicle numbers'!$B$4:$D$4,0))*1000</f>
        <v>127979</v>
      </c>
      <c r="L2981" s="183">
        <f ca="1">VLOOKUP(F2981,
    OFFSET(INDIRECT(ADDRESS(MATCH(J2981,'Vehicle numbers'!$A$5:$A$162,0),1,1,1,$L$6)),4,1,COUNTIF('Vehicle numbers'!$A$5:$A$162,J2981),4),
    MATCH(L$8,'Vehicle numbers'!$B$4:$D$4,0))*1000</f>
        <v>134719</v>
      </c>
      <c r="M2981" s="184">
        <f ca="1">VLOOKUP(F2981,'Annual distance covered (GB)'!$A$8:$H$33,MATCH(J2981,'Annual distance covered (GB)'!$A$7:$H$7,0))</f>
        <v>15.1</v>
      </c>
      <c r="N2981" s="2">
        <f t="shared" ca="1" si="106"/>
        <v>34515.559606935509</v>
      </c>
      <c r="O2981" s="180">
        <f t="shared" ca="1" si="107"/>
        <v>0.25620409598449745</v>
      </c>
      <c r="P2981" s="180"/>
      <c r="Q2981" s="180"/>
      <c r="R2981" s="180"/>
      <c r="S2981" s="180"/>
      <c r="T2981" s="180"/>
    </row>
    <row r="2982" spans="1:20" x14ac:dyDescent="0.25">
      <c r="A2982" t="s">
        <v>236</v>
      </c>
      <c r="B2982" t="s">
        <v>237</v>
      </c>
      <c r="C2982" t="s">
        <v>238</v>
      </c>
      <c r="D2982" t="s">
        <v>266</v>
      </c>
      <c r="E2982" t="s">
        <v>228</v>
      </c>
      <c r="F2982">
        <v>2017</v>
      </c>
      <c r="G2982">
        <v>3.8239919999999997E-2</v>
      </c>
      <c r="H2982" t="s">
        <v>240</v>
      </c>
      <c r="I2982" t="s">
        <v>241</v>
      </c>
      <c r="J2982" t="s">
        <v>247</v>
      </c>
      <c r="K2982" s="183">
        <f ca="1">VLOOKUP(F2982,
    OFFSET(INDIRECT(ADDRESS(MATCH(J2982,'Vehicle numbers'!$A$5:$A$162,0),1,1,1,$L$6)),4,1,COUNTIF('Vehicle numbers'!$A$5:$A$162,J2982),4),
    MATCH(K$8,'Vehicle numbers'!$B$4:$D$4,0))*1000</f>
        <v>127979</v>
      </c>
      <c r="L2982" s="183">
        <f ca="1">VLOOKUP(F2982,
    OFFSET(INDIRECT(ADDRESS(MATCH(J2982,'Vehicle numbers'!$A$5:$A$162,0),1,1,1,$L$6)),4,1,COUNTIF('Vehicle numbers'!$A$5:$A$162,J2982),4),
    MATCH(L$8,'Vehicle numbers'!$B$4:$D$4,0))*1000</f>
        <v>134719</v>
      </c>
      <c r="M2982" s="184">
        <f ca="1">VLOOKUP(F2982,'Annual distance covered (GB)'!$A$8:$H$33,MATCH(J2982,'Annual distance covered (GB)'!$A$7:$H$7,0))</f>
        <v>15.1</v>
      </c>
      <c r="N2982" s="2">
        <f t="shared" ca="1" si="106"/>
        <v>607832.70001678378</v>
      </c>
      <c r="O2982" s="180">
        <f t="shared" ca="1" si="107"/>
        <v>4.5118557888403545</v>
      </c>
      <c r="P2982" s="180"/>
      <c r="Q2982" s="180"/>
      <c r="R2982" s="180"/>
      <c r="S2982" s="180"/>
      <c r="T2982" s="180"/>
    </row>
    <row r="2983" spans="1:20" x14ac:dyDescent="0.25">
      <c r="A2983" t="s">
        <v>243</v>
      </c>
      <c r="B2983" t="s">
        <v>237</v>
      </c>
      <c r="C2983" t="s">
        <v>238</v>
      </c>
      <c r="D2983" t="s">
        <v>266</v>
      </c>
      <c r="E2983" t="s">
        <v>228</v>
      </c>
      <c r="F2983">
        <v>2017</v>
      </c>
      <c r="G2983">
        <v>2.6767943999999998E-2</v>
      </c>
      <c r="H2983" t="s">
        <v>240</v>
      </c>
      <c r="I2983" t="s">
        <v>241</v>
      </c>
      <c r="J2983" t="s">
        <v>247</v>
      </c>
      <c r="K2983" s="183">
        <f ca="1">VLOOKUP(F2983,
    OFFSET(INDIRECT(ADDRESS(MATCH(J2983,'Vehicle numbers'!$A$5:$A$162,0),1,1,1,$L$6)),4,1,COUNTIF('Vehicle numbers'!$A$5:$A$162,J2983),4),
    MATCH(K$8,'Vehicle numbers'!$B$4:$D$4,0))*1000</f>
        <v>127979</v>
      </c>
      <c r="L2983" s="183">
        <f ca="1">VLOOKUP(F2983,
    OFFSET(INDIRECT(ADDRESS(MATCH(J2983,'Vehicle numbers'!$A$5:$A$162,0),1,1,1,$L$6)),4,1,COUNTIF('Vehicle numbers'!$A$5:$A$162,J2983),4),
    MATCH(L$8,'Vehicle numbers'!$B$4:$D$4,0))*1000</f>
        <v>134719</v>
      </c>
      <c r="M2983" s="184">
        <f ca="1">VLOOKUP(F2983,'Annual distance covered (GB)'!$A$8:$H$33,MATCH(J2983,'Annual distance covered (GB)'!$A$7:$H$7,0))</f>
        <v>15.1</v>
      </c>
      <c r="N2983" s="2">
        <f t="shared" ca="1" si="106"/>
        <v>425482.89001174871</v>
      </c>
      <c r="O2983" s="180">
        <f t="shared" ca="1" si="107"/>
        <v>3.1582990521882488</v>
      </c>
      <c r="P2983" s="180"/>
      <c r="Q2983" s="180"/>
      <c r="R2983" s="180"/>
      <c r="S2983" s="180"/>
      <c r="T2983" s="180"/>
    </row>
    <row r="2984" spans="1:20" x14ac:dyDescent="0.25">
      <c r="A2984" t="s">
        <v>244</v>
      </c>
      <c r="B2984" t="s">
        <v>237</v>
      </c>
      <c r="C2984" t="s">
        <v>238</v>
      </c>
      <c r="D2984" t="s">
        <v>266</v>
      </c>
      <c r="E2984" t="s">
        <v>228</v>
      </c>
      <c r="F2984">
        <v>2017</v>
      </c>
      <c r="G2984">
        <v>3.7701329577464701E-3</v>
      </c>
      <c r="H2984" t="s">
        <v>240</v>
      </c>
      <c r="I2984" t="s">
        <v>241</v>
      </c>
      <c r="J2984" t="s">
        <v>247</v>
      </c>
      <c r="K2984" s="183">
        <f ca="1">VLOOKUP(F2984,
    OFFSET(INDIRECT(ADDRESS(MATCH(J2984,'Vehicle numbers'!$A$5:$A$162,0),1,1,1,$L$6)),4,1,COUNTIF('Vehicle numbers'!$A$5:$A$162,J2984),4),
    MATCH(K$8,'Vehicle numbers'!$B$4:$D$4,0))*1000</f>
        <v>127979</v>
      </c>
      <c r="L2984" s="183">
        <f ca="1">VLOOKUP(F2984,
    OFFSET(INDIRECT(ADDRESS(MATCH(J2984,'Vehicle numbers'!$A$5:$A$162,0),1,1,1,$L$6)),4,1,COUNTIF('Vehicle numbers'!$A$5:$A$162,J2984),4),
    MATCH(L$8,'Vehicle numbers'!$B$4:$D$4,0))*1000</f>
        <v>134719</v>
      </c>
      <c r="M2984" s="184">
        <f ca="1">VLOOKUP(F2984,'Annual distance covered (GB)'!$A$8:$H$33,MATCH(J2984,'Annual distance covered (GB)'!$A$7:$H$7,0))</f>
        <v>15.1</v>
      </c>
      <c r="N2984" s="2">
        <f t="shared" ca="1" si="106"/>
        <v>59927.167607288415</v>
      </c>
      <c r="O2984" s="180">
        <f t="shared" ca="1" si="107"/>
        <v>0.44483085242087911</v>
      </c>
      <c r="P2984" s="180"/>
      <c r="Q2984" s="180"/>
      <c r="R2984" s="180"/>
      <c r="S2984" s="180"/>
      <c r="T2984" s="180"/>
    </row>
    <row r="2985" spans="1:20" x14ac:dyDescent="0.25">
      <c r="A2985" t="s">
        <v>246</v>
      </c>
      <c r="B2985" t="s">
        <v>237</v>
      </c>
      <c r="C2985" t="s">
        <v>238</v>
      </c>
      <c r="D2985" t="s">
        <v>266</v>
      </c>
      <c r="E2985" t="s">
        <v>228</v>
      </c>
      <c r="F2985">
        <v>2017</v>
      </c>
      <c r="G2985">
        <v>3.01610636619718E-3</v>
      </c>
      <c r="H2985" t="s">
        <v>240</v>
      </c>
      <c r="I2985" t="s">
        <v>241</v>
      </c>
      <c r="J2985" t="s">
        <v>247</v>
      </c>
      <c r="K2985" s="183">
        <f ca="1">VLOOKUP(F2985,
    OFFSET(INDIRECT(ADDRESS(MATCH(J2985,'Vehicle numbers'!$A$5:$A$162,0),1,1,1,$L$6)),4,1,COUNTIF('Vehicle numbers'!$A$5:$A$162,J2985),4),
    MATCH(K$8,'Vehicle numbers'!$B$4:$D$4,0))*1000</f>
        <v>127979</v>
      </c>
      <c r="L2985" s="183">
        <f ca="1">VLOOKUP(F2985,
    OFFSET(INDIRECT(ADDRESS(MATCH(J2985,'Vehicle numbers'!$A$5:$A$162,0),1,1,1,$L$6)),4,1,COUNTIF('Vehicle numbers'!$A$5:$A$162,J2985),4),
    MATCH(L$8,'Vehicle numbers'!$B$4:$D$4,0))*1000</f>
        <v>134719</v>
      </c>
      <c r="M2985" s="184">
        <f ca="1">VLOOKUP(F2985,'Annual distance covered (GB)'!$A$8:$H$33,MATCH(J2985,'Annual distance covered (GB)'!$A$7:$H$7,0))</f>
        <v>15.1</v>
      </c>
      <c r="N2985" s="2">
        <f t="shared" ca="1" si="106"/>
        <v>47941.734085830787</v>
      </c>
      <c r="O2985" s="180">
        <f t="shared" ca="1" si="107"/>
        <v>0.35586468193670373</v>
      </c>
      <c r="P2985" s="180"/>
      <c r="Q2985" s="180"/>
      <c r="R2985" s="180"/>
      <c r="S2985" s="180"/>
      <c r="T2985" s="180"/>
    </row>
    <row r="2986" spans="1:20" x14ac:dyDescent="0.25">
      <c r="A2986" t="s">
        <v>236</v>
      </c>
      <c r="B2986" t="s">
        <v>237</v>
      </c>
      <c r="C2986" t="s">
        <v>238</v>
      </c>
      <c r="D2986" t="s">
        <v>267</v>
      </c>
      <c r="E2986" t="s">
        <v>229</v>
      </c>
      <c r="F2986">
        <v>2017</v>
      </c>
      <c r="G2986">
        <v>5.0994999999999999E-2</v>
      </c>
      <c r="H2986" t="s">
        <v>240</v>
      </c>
      <c r="I2986" t="s">
        <v>241</v>
      </c>
      <c r="J2986" t="s">
        <v>247</v>
      </c>
      <c r="K2986" s="183">
        <f ca="1">VLOOKUP(F2986,
    OFFSET(INDIRECT(ADDRESS(MATCH(J2986,'Vehicle numbers'!$A$5:$A$162,0),1,1,1,$L$6)),4,1,COUNTIF('Vehicle numbers'!$A$5:$A$162,J2986),4),
    MATCH(K$8,'Vehicle numbers'!$B$4:$D$4,0))*1000</f>
        <v>127979</v>
      </c>
      <c r="L2986" s="183">
        <f ca="1">VLOOKUP(F2986,
    OFFSET(INDIRECT(ADDRESS(MATCH(J2986,'Vehicle numbers'!$A$5:$A$162,0),1,1,1,$L$6)),4,1,COUNTIF('Vehicle numbers'!$A$5:$A$162,J2986),4),
    MATCH(L$8,'Vehicle numbers'!$B$4:$D$4,0))*1000</f>
        <v>134719</v>
      </c>
      <c r="M2986" s="184">
        <f ca="1">VLOOKUP(F2986,'Annual distance covered (GB)'!$A$8:$H$33,MATCH(J2986,'Annual distance covered (GB)'!$A$7:$H$7,0))</f>
        <v>15.1</v>
      </c>
      <c r="N2986" s="2">
        <f t="shared" ca="1" si="106"/>
        <v>810577.75584666221</v>
      </c>
      <c r="O2986" s="180">
        <f t="shared" ca="1" si="107"/>
        <v>6.016803538080465</v>
      </c>
      <c r="P2986" s="180"/>
      <c r="Q2986" s="180"/>
      <c r="R2986" s="180"/>
      <c r="S2986" s="180"/>
      <c r="T2986" s="180"/>
    </row>
    <row r="2987" spans="1:20" x14ac:dyDescent="0.25">
      <c r="A2987" t="s">
        <v>243</v>
      </c>
      <c r="B2987" t="s">
        <v>237</v>
      </c>
      <c r="C2987" t="s">
        <v>238</v>
      </c>
      <c r="D2987" t="s">
        <v>267</v>
      </c>
      <c r="E2987" t="s">
        <v>229</v>
      </c>
      <c r="F2987">
        <v>2017</v>
      </c>
      <c r="G2987">
        <v>2.0397999999999999E-2</v>
      </c>
      <c r="H2987" t="s">
        <v>240</v>
      </c>
      <c r="I2987" t="s">
        <v>241</v>
      </c>
      <c r="J2987" t="s">
        <v>247</v>
      </c>
      <c r="K2987" s="183">
        <f ca="1">VLOOKUP(F2987,
    OFFSET(INDIRECT(ADDRESS(MATCH(J2987,'Vehicle numbers'!$A$5:$A$162,0),1,1,1,$L$6)),4,1,COUNTIF('Vehicle numbers'!$A$5:$A$162,J2987),4),
    MATCH(K$8,'Vehicle numbers'!$B$4:$D$4,0))*1000</f>
        <v>127979</v>
      </c>
      <c r="L2987" s="183">
        <f ca="1">VLOOKUP(F2987,
    OFFSET(INDIRECT(ADDRESS(MATCH(J2987,'Vehicle numbers'!$A$5:$A$162,0),1,1,1,$L$6)),4,1,COUNTIF('Vehicle numbers'!$A$5:$A$162,J2987),4),
    MATCH(L$8,'Vehicle numbers'!$B$4:$D$4,0))*1000</f>
        <v>134719</v>
      </c>
      <c r="M2987" s="184">
        <f ca="1">VLOOKUP(F2987,'Annual distance covered (GB)'!$A$8:$H$33,MATCH(J2987,'Annual distance covered (GB)'!$A$7:$H$7,0))</f>
        <v>15.1</v>
      </c>
      <c r="N2987" s="2">
        <f t="shared" ca="1" si="106"/>
        <v>324231.10233866487</v>
      </c>
      <c r="O2987" s="180">
        <f t="shared" ca="1" si="107"/>
        <v>2.4067214152321861</v>
      </c>
      <c r="P2987" s="180"/>
      <c r="Q2987" s="180"/>
      <c r="R2987" s="180"/>
      <c r="S2987" s="180"/>
      <c r="T2987" s="180"/>
    </row>
    <row r="2988" spans="1:20" x14ac:dyDescent="0.25">
      <c r="A2988" t="s">
        <v>244</v>
      </c>
      <c r="B2988" t="s">
        <v>237</v>
      </c>
      <c r="C2988" t="s">
        <v>238</v>
      </c>
      <c r="D2988" t="s">
        <v>267</v>
      </c>
      <c r="E2988" t="s">
        <v>229</v>
      </c>
      <c r="F2988">
        <v>2017</v>
      </c>
      <c r="G2988">
        <v>5.0994999999999999E-3</v>
      </c>
      <c r="H2988" t="s">
        <v>240</v>
      </c>
      <c r="I2988" t="s">
        <v>241</v>
      </c>
      <c r="J2988" t="s">
        <v>247</v>
      </c>
      <c r="K2988" s="183">
        <f ca="1">VLOOKUP(F2988,
    OFFSET(INDIRECT(ADDRESS(MATCH(J2988,'Vehicle numbers'!$A$5:$A$162,0),1,1,1,$L$6)),4,1,COUNTIF('Vehicle numbers'!$A$5:$A$162,J2988),4),
    MATCH(K$8,'Vehicle numbers'!$B$4:$D$4,0))*1000</f>
        <v>127979</v>
      </c>
      <c r="L2988" s="183">
        <f ca="1">VLOOKUP(F2988,
    OFFSET(INDIRECT(ADDRESS(MATCH(J2988,'Vehicle numbers'!$A$5:$A$162,0),1,1,1,$L$6)),4,1,COUNTIF('Vehicle numbers'!$A$5:$A$162,J2988),4),
    MATCH(L$8,'Vehicle numbers'!$B$4:$D$4,0))*1000</f>
        <v>134719</v>
      </c>
      <c r="M2988" s="184">
        <f ca="1">VLOOKUP(F2988,'Annual distance covered (GB)'!$A$8:$H$33,MATCH(J2988,'Annual distance covered (GB)'!$A$7:$H$7,0))</f>
        <v>15.1</v>
      </c>
      <c r="N2988" s="2">
        <f t="shared" ca="1" si="106"/>
        <v>81057.775584666218</v>
      </c>
      <c r="O2988" s="180">
        <f t="shared" ca="1" si="107"/>
        <v>0.60168035380804652</v>
      </c>
      <c r="P2988" s="180"/>
      <c r="Q2988" s="180"/>
      <c r="R2988" s="180"/>
      <c r="S2988" s="180"/>
      <c r="T2988" s="180"/>
    </row>
    <row r="2989" spans="1:20" x14ac:dyDescent="0.25">
      <c r="A2989" t="s">
        <v>246</v>
      </c>
      <c r="B2989" t="s">
        <v>237</v>
      </c>
      <c r="C2989" t="s">
        <v>238</v>
      </c>
      <c r="D2989" t="s">
        <v>267</v>
      </c>
      <c r="E2989" t="s">
        <v>229</v>
      </c>
      <c r="F2989">
        <v>2017</v>
      </c>
      <c r="G2989">
        <v>4.0796000000000001E-3</v>
      </c>
      <c r="H2989" t="s">
        <v>240</v>
      </c>
      <c r="I2989" t="s">
        <v>241</v>
      </c>
      <c r="J2989" t="s">
        <v>247</v>
      </c>
      <c r="K2989" s="183">
        <f ca="1">VLOOKUP(F2989,
    OFFSET(INDIRECT(ADDRESS(MATCH(J2989,'Vehicle numbers'!$A$5:$A$162,0),1,1,1,$L$6)),4,1,COUNTIF('Vehicle numbers'!$A$5:$A$162,J2989),4),
    MATCH(K$8,'Vehicle numbers'!$B$4:$D$4,0))*1000</f>
        <v>127979</v>
      </c>
      <c r="L2989" s="183">
        <f ca="1">VLOOKUP(F2989,
    OFFSET(INDIRECT(ADDRESS(MATCH(J2989,'Vehicle numbers'!$A$5:$A$162,0),1,1,1,$L$6)),4,1,COUNTIF('Vehicle numbers'!$A$5:$A$162,J2989),4),
    MATCH(L$8,'Vehicle numbers'!$B$4:$D$4,0))*1000</f>
        <v>134719</v>
      </c>
      <c r="M2989" s="184">
        <f ca="1">VLOOKUP(F2989,'Annual distance covered (GB)'!$A$8:$H$33,MATCH(J2989,'Annual distance covered (GB)'!$A$7:$H$7,0))</f>
        <v>15.1</v>
      </c>
      <c r="N2989" s="2">
        <f t="shared" ca="1" si="106"/>
        <v>64846.220467732979</v>
      </c>
      <c r="O2989" s="180">
        <f t="shared" ca="1" si="107"/>
        <v>0.48134428304643723</v>
      </c>
      <c r="P2989" s="180"/>
      <c r="Q2989" s="180"/>
      <c r="R2989" s="180"/>
      <c r="S2989" s="180"/>
      <c r="T2989" s="180"/>
    </row>
    <row r="2990" spans="1:20" x14ac:dyDescent="0.25">
      <c r="A2990" t="s">
        <v>236</v>
      </c>
      <c r="B2990" t="s">
        <v>237</v>
      </c>
      <c r="C2990" t="s">
        <v>238</v>
      </c>
      <c r="D2990" t="s">
        <v>267</v>
      </c>
      <c r="E2990" t="s">
        <v>228</v>
      </c>
      <c r="F2990">
        <v>2017</v>
      </c>
      <c r="G2990">
        <v>4.7072879999999998E-2</v>
      </c>
      <c r="H2990" t="s">
        <v>240</v>
      </c>
      <c r="I2990" t="s">
        <v>241</v>
      </c>
      <c r="J2990" t="s">
        <v>247</v>
      </c>
      <c r="K2990" s="183">
        <f ca="1">VLOOKUP(F2990,
    OFFSET(INDIRECT(ADDRESS(MATCH(J2990,'Vehicle numbers'!$A$5:$A$162,0),1,1,1,$L$6)),4,1,COUNTIF('Vehicle numbers'!$A$5:$A$162,J2990),4),
    MATCH(K$8,'Vehicle numbers'!$B$4:$D$4,0))*1000</f>
        <v>127979</v>
      </c>
      <c r="L2990" s="183">
        <f ca="1">VLOOKUP(F2990,
    OFFSET(INDIRECT(ADDRESS(MATCH(J2990,'Vehicle numbers'!$A$5:$A$162,0),1,1,1,$L$6)),4,1,COUNTIF('Vehicle numbers'!$A$5:$A$162,J2990),4),
    MATCH(L$8,'Vehicle numbers'!$B$4:$D$4,0))*1000</f>
        <v>134719</v>
      </c>
      <c r="M2990" s="184">
        <f ca="1">VLOOKUP(F2990,'Annual distance covered (GB)'!$A$8:$H$33,MATCH(J2990,'Annual distance covered (GB)'!$A$7:$H$7,0))</f>
        <v>15.1</v>
      </c>
      <c r="N2990" s="2">
        <f t="shared" ca="1" si="106"/>
        <v>748234.71774956805</v>
      </c>
      <c r="O2990" s="180">
        <f t="shared" ca="1" si="107"/>
        <v>5.5540400221911392</v>
      </c>
      <c r="P2990" s="180"/>
      <c r="Q2990" s="180"/>
      <c r="R2990" s="180"/>
      <c r="S2990" s="180"/>
      <c r="T2990" s="180"/>
    </row>
    <row r="2991" spans="1:20" x14ac:dyDescent="0.25">
      <c r="A2991" t="s">
        <v>243</v>
      </c>
      <c r="B2991" t="s">
        <v>237</v>
      </c>
      <c r="C2991" t="s">
        <v>238</v>
      </c>
      <c r="D2991" t="s">
        <v>267</v>
      </c>
      <c r="E2991" t="s">
        <v>228</v>
      </c>
      <c r="F2991">
        <v>2017</v>
      </c>
      <c r="G2991">
        <v>3.2951016E-2</v>
      </c>
      <c r="H2991" t="s">
        <v>240</v>
      </c>
      <c r="I2991" t="s">
        <v>241</v>
      </c>
      <c r="J2991" t="s">
        <v>247</v>
      </c>
      <c r="K2991" s="183">
        <f ca="1">VLOOKUP(F2991,
    OFFSET(INDIRECT(ADDRESS(MATCH(J2991,'Vehicle numbers'!$A$5:$A$162,0),1,1,1,$L$6)),4,1,COUNTIF('Vehicle numbers'!$A$5:$A$162,J2991),4),
    MATCH(K$8,'Vehicle numbers'!$B$4:$D$4,0))*1000</f>
        <v>127979</v>
      </c>
      <c r="L2991" s="183">
        <f ca="1">VLOOKUP(F2991,
    OFFSET(INDIRECT(ADDRESS(MATCH(J2991,'Vehicle numbers'!$A$5:$A$162,0),1,1,1,$L$6)),4,1,COUNTIF('Vehicle numbers'!$A$5:$A$162,J2991),4),
    MATCH(L$8,'Vehicle numbers'!$B$4:$D$4,0))*1000</f>
        <v>134719</v>
      </c>
      <c r="M2991" s="184">
        <f ca="1">VLOOKUP(F2991,'Annual distance covered (GB)'!$A$8:$H$33,MATCH(J2991,'Annual distance covered (GB)'!$A$7:$H$7,0))</f>
        <v>15.1</v>
      </c>
      <c r="N2991" s="2">
        <f t="shared" ca="1" si="106"/>
        <v>523764.30242469767</v>
      </c>
      <c r="O2991" s="180">
        <f t="shared" ca="1" si="107"/>
        <v>3.8878280155337976</v>
      </c>
      <c r="P2991" s="180"/>
      <c r="Q2991" s="180"/>
      <c r="R2991" s="180"/>
      <c r="S2991" s="180"/>
      <c r="T2991" s="180"/>
    </row>
    <row r="2992" spans="1:20" x14ac:dyDescent="0.25">
      <c r="A2992" t="s">
        <v>244</v>
      </c>
      <c r="B2992" t="s">
        <v>237</v>
      </c>
      <c r="C2992" t="s">
        <v>238</v>
      </c>
      <c r="D2992" t="s">
        <v>267</v>
      </c>
      <c r="E2992" t="s">
        <v>228</v>
      </c>
      <c r="F2992">
        <v>2017</v>
      </c>
      <c r="G2992">
        <v>4.64098816901408E-3</v>
      </c>
      <c r="H2992" t="s">
        <v>240</v>
      </c>
      <c r="I2992" t="s">
        <v>241</v>
      </c>
      <c r="J2992" t="s">
        <v>247</v>
      </c>
      <c r="K2992" s="183">
        <f ca="1">VLOOKUP(F2992,
    OFFSET(INDIRECT(ADDRESS(MATCH(J2992,'Vehicle numbers'!$A$5:$A$162,0),1,1,1,$L$6)),4,1,COUNTIF('Vehicle numbers'!$A$5:$A$162,J2992),4),
    MATCH(K$8,'Vehicle numbers'!$B$4:$D$4,0))*1000</f>
        <v>127979</v>
      </c>
      <c r="L2992" s="183">
        <f ca="1">VLOOKUP(F2992,
    OFFSET(INDIRECT(ADDRESS(MATCH(J2992,'Vehicle numbers'!$A$5:$A$162,0),1,1,1,$L$6)),4,1,COUNTIF('Vehicle numbers'!$A$5:$A$162,J2992),4),
    MATCH(L$8,'Vehicle numbers'!$B$4:$D$4,0))*1000</f>
        <v>134719</v>
      </c>
      <c r="M2992" s="184">
        <f ca="1">VLOOKUP(F2992,'Annual distance covered (GB)'!$A$8:$H$33,MATCH(J2992,'Annual distance covered (GB)'!$A$7:$H$7,0))</f>
        <v>15.1</v>
      </c>
      <c r="N2992" s="2">
        <f t="shared" ca="1" si="106"/>
        <v>73769.620059816516</v>
      </c>
      <c r="O2992" s="180">
        <f t="shared" ca="1" si="107"/>
        <v>0.54758141063856258</v>
      </c>
      <c r="P2992" s="180"/>
      <c r="Q2992" s="180"/>
      <c r="R2992" s="180"/>
      <c r="S2992" s="180"/>
      <c r="T2992" s="180"/>
    </row>
    <row r="2993" spans="1:20" x14ac:dyDescent="0.25">
      <c r="A2993" t="s">
        <v>246</v>
      </c>
      <c r="B2993" t="s">
        <v>237</v>
      </c>
      <c r="C2993" t="s">
        <v>238</v>
      </c>
      <c r="D2993" t="s">
        <v>267</v>
      </c>
      <c r="E2993" t="s">
        <v>228</v>
      </c>
      <c r="F2993">
        <v>2017</v>
      </c>
      <c r="G2993">
        <v>3.71279053521126E-3</v>
      </c>
      <c r="H2993" t="s">
        <v>240</v>
      </c>
      <c r="I2993" t="s">
        <v>241</v>
      </c>
      <c r="J2993" t="s">
        <v>247</v>
      </c>
      <c r="K2993" s="183">
        <f ca="1">VLOOKUP(F2993,
    OFFSET(INDIRECT(ADDRESS(MATCH(J2993,'Vehicle numbers'!$A$5:$A$162,0),1,1,1,$L$6)),4,1,COUNTIF('Vehicle numbers'!$A$5:$A$162,J2993),4),
    MATCH(K$8,'Vehicle numbers'!$B$4:$D$4,0))*1000</f>
        <v>127979</v>
      </c>
      <c r="L2993" s="183">
        <f ca="1">VLOOKUP(F2993,
    OFFSET(INDIRECT(ADDRESS(MATCH(J2993,'Vehicle numbers'!$A$5:$A$162,0),1,1,1,$L$6)),4,1,COUNTIF('Vehicle numbers'!$A$5:$A$162,J2993),4),
    MATCH(L$8,'Vehicle numbers'!$B$4:$D$4,0))*1000</f>
        <v>134719</v>
      </c>
      <c r="M2993" s="184">
        <f ca="1">VLOOKUP(F2993,'Annual distance covered (GB)'!$A$8:$H$33,MATCH(J2993,'Annual distance covered (GB)'!$A$7:$H$7,0))</f>
        <v>15.1</v>
      </c>
      <c r="N2993" s="2">
        <f t="shared" ca="1" si="106"/>
        <v>59015.696047853147</v>
      </c>
      <c r="O2993" s="180">
        <f t="shared" ca="1" si="107"/>
        <v>0.43806512851084961</v>
      </c>
      <c r="P2993" s="180"/>
      <c r="Q2993" s="180"/>
      <c r="R2993" s="180"/>
      <c r="S2993" s="180"/>
      <c r="T2993" s="180"/>
    </row>
    <row r="2994" spans="1:20" x14ac:dyDescent="0.25">
      <c r="A2994" t="s">
        <v>236</v>
      </c>
      <c r="B2994" t="s">
        <v>237</v>
      </c>
      <c r="C2994" t="s">
        <v>238</v>
      </c>
      <c r="D2994" t="s">
        <v>268</v>
      </c>
      <c r="E2994" t="s">
        <v>229</v>
      </c>
      <c r="F2994">
        <v>2017</v>
      </c>
      <c r="G2994">
        <v>8.4410000000000093E-3</v>
      </c>
      <c r="H2994" t="s">
        <v>240</v>
      </c>
      <c r="I2994" t="s">
        <v>241</v>
      </c>
      <c r="J2994" t="s">
        <v>245</v>
      </c>
      <c r="K2994" s="183">
        <f ca="1">VLOOKUP(F2994,
    OFFSET(INDIRECT(ADDRESS(MATCH(J2994,'Vehicle numbers'!$A$5:$A$162,0),1,1,1,$L$6)),4,1,COUNTIF('Vehicle numbers'!$A$5:$A$162,J2994),4),
    MATCH(K$8,'Vehicle numbers'!$B$4:$D$4,0))*1000</f>
        <v>280190</v>
      </c>
      <c r="L2994" s="183">
        <f ca="1">VLOOKUP(F2994,
    OFFSET(INDIRECT(ADDRESS(MATCH(J2994,'Vehicle numbers'!$A$5:$A$162,0),1,1,1,$L$6)),4,1,COUNTIF('Vehicle numbers'!$A$5:$A$162,J2994),4),
    MATCH(L$8,'Vehicle numbers'!$B$4:$D$4,0))*1000</f>
        <v>294337</v>
      </c>
      <c r="M2994" s="184">
        <f ca="1">VLOOKUP(F2994,'Annual distance covered (GB)'!$A$8:$H$33,MATCH(J2994,'Annual distance covered (GB)'!$A$7:$H$7,0))</f>
        <v>12.7</v>
      </c>
      <c r="N2994" s="2">
        <f t="shared" ca="1" si="106"/>
        <v>112613.34250294454</v>
      </c>
      <c r="O2994" s="180">
        <f t="shared" ca="1" si="107"/>
        <v>0.38260002141404081</v>
      </c>
      <c r="P2994" s="180"/>
      <c r="Q2994" s="180"/>
      <c r="R2994" s="180"/>
      <c r="S2994" s="180"/>
      <c r="T2994" s="180"/>
    </row>
    <row r="2995" spans="1:20" x14ac:dyDescent="0.25">
      <c r="A2995" t="s">
        <v>243</v>
      </c>
      <c r="B2995" t="s">
        <v>237</v>
      </c>
      <c r="C2995" t="s">
        <v>238</v>
      </c>
      <c r="D2995" t="s">
        <v>268</v>
      </c>
      <c r="E2995" t="s">
        <v>229</v>
      </c>
      <c r="F2995">
        <v>2017</v>
      </c>
      <c r="G2995">
        <v>3.3763999999999999E-3</v>
      </c>
      <c r="H2995" t="s">
        <v>240</v>
      </c>
      <c r="I2995" t="s">
        <v>241</v>
      </c>
      <c r="J2995" t="s">
        <v>245</v>
      </c>
      <c r="K2995" s="183">
        <f ca="1">VLOOKUP(F2995,
    OFFSET(INDIRECT(ADDRESS(MATCH(J2995,'Vehicle numbers'!$A$5:$A$162,0),1,1,1,$L$6)),4,1,COUNTIF('Vehicle numbers'!$A$5:$A$162,J2995),4),
    MATCH(K$8,'Vehicle numbers'!$B$4:$D$4,0))*1000</f>
        <v>280190</v>
      </c>
      <c r="L2995" s="183">
        <f ca="1">VLOOKUP(F2995,
    OFFSET(INDIRECT(ADDRESS(MATCH(J2995,'Vehicle numbers'!$A$5:$A$162,0),1,1,1,$L$6)),4,1,COUNTIF('Vehicle numbers'!$A$5:$A$162,J2995),4),
    MATCH(L$8,'Vehicle numbers'!$B$4:$D$4,0))*1000</f>
        <v>294337</v>
      </c>
      <c r="M2995" s="184">
        <f ca="1">VLOOKUP(F2995,'Annual distance covered (GB)'!$A$8:$H$33,MATCH(J2995,'Annual distance covered (GB)'!$A$7:$H$7,0))</f>
        <v>12.7</v>
      </c>
      <c r="N2995" s="2">
        <f t="shared" ca="1" si="106"/>
        <v>45045.337001177759</v>
      </c>
      <c r="O2995" s="180">
        <f t="shared" ca="1" si="107"/>
        <v>0.15304000856561614</v>
      </c>
      <c r="P2995" s="180"/>
      <c r="Q2995" s="180"/>
      <c r="R2995" s="180"/>
      <c r="S2995" s="180"/>
      <c r="T2995" s="180"/>
    </row>
    <row r="2996" spans="1:20" x14ac:dyDescent="0.25">
      <c r="A2996" t="s">
        <v>244</v>
      </c>
      <c r="B2996" t="s">
        <v>237</v>
      </c>
      <c r="C2996" t="s">
        <v>238</v>
      </c>
      <c r="D2996" t="s">
        <v>268</v>
      </c>
      <c r="E2996" t="s">
        <v>229</v>
      </c>
      <c r="F2996">
        <v>2017</v>
      </c>
      <c r="G2996">
        <v>8.4409999999999997E-4</v>
      </c>
      <c r="H2996" t="s">
        <v>240</v>
      </c>
      <c r="I2996" t="s">
        <v>241</v>
      </c>
      <c r="J2996" t="s">
        <v>245</v>
      </c>
      <c r="K2996" s="183">
        <f ca="1">VLOOKUP(F2996,
    OFFSET(INDIRECT(ADDRESS(MATCH(J2996,'Vehicle numbers'!$A$5:$A$162,0),1,1,1,$L$6)),4,1,COUNTIF('Vehicle numbers'!$A$5:$A$162,J2996),4),
    MATCH(K$8,'Vehicle numbers'!$B$4:$D$4,0))*1000</f>
        <v>280190</v>
      </c>
      <c r="L2996" s="183">
        <f ca="1">VLOOKUP(F2996,
    OFFSET(INDIRECT(ADDRESS(MATCH(J2996,'Vehicle numbers'!$A$5:$A$162,0),1,1,1,$L$6)),4,1,COUNTIF('Vehicle numbers'!$A$5:$A$162,J2996),4),
    MATCH(L$8,'Vehicle numbers'!$B$4:$D$4,0))*1000</f>
        <v>294337</v>
      </c>
      <c r="M2996" s="184">
        <f ca="1">VLOOKUP(F2996,'Annual distance covered (GB)'!$A$8:$H$33,MATCH(J2996,'Annual distance covered (GB)'!$A$7:$H$7,0))</f>
        <v>12.7</v>
      </c>
      <c r="N2996" s="2">
        <f t="shared" ca="1" si="106"/>
        <v>11261.33425029444</v>
      </c>
      <c r="O2996" s="180">
        <f t="shared" ca="1" si="107"/>
        <v>3.8260002141404036E-2</v>
      </c>
      <c r="P2996" s="180"/>
      <c r="Q2996" s="180"/>
      <c r="R2996" s="180"/>
      <c r="S2996" s="180"/>
      <c r="T2996" s="180"/>
    </row>
    <row r="2997" spans="1:20" x14ac:dyDescent="0.25">
      <c r="A2997" t="s">
        <v>246</v>
      </c>
      <c r="B2997" t="s">
        <v>237</v>
      </c>
      <c r="C2997" t="s">
        <v>238</v>
      </c>
      <c r="D2997" t="s">
        <v>268</v>
      </c>
      <c r="E2997" t="s">
        <v>229</v>
      </c>
      <c r="F2997">
        <v>2017</v>
      </c>
      <c r="G2997">
        <v>6.7528E-4</v>
      </c>
      <c r="H2997" t="s">
        <v>240</v>
      </c>
      <c r="I2997" t="s">
        <v>241</v>
      </c>
      <c r="J2997" t="s">
        <v>245</v>
      </c>
      <c r="K2997" s="183">
        <f ca="1">VLOOKUP(F2997,
    OFFSET(INDIRECT(ADDRESS(MATCH(J2997,'Vehicle numbers'!$A$5:$A$162,0),1,1,1,$L$6)),4,1,COUNTIF('Vehicle numbers'!$A$5:$A$162,J2997),4),
    MATCH(K$8,'Vehicle numbers'!$B$4:$D$4,0))*1000</f>
        <v>280190</v>
      </c>
      <c r="L2997" s="183">
        <f ca="1">VLOOKUP(F2997,
    OFFSET(INDIRECT(ADDRESS(MATCH(J2997,'Vehicle numbers'!$A$5:$A$162,0),1,1,1,$L$6)),4,1,COUNTIF('Vehicle numbers'!$A$5:$A$162,J2997),4),
    MATCH(L$8,'Vehicle numbers'!$B$4:$D$4,0))*1000</f>
        <v>294337</v>
      </c>
      <c r="M2997" s="184">
        <f ca="1">VLOOKUP(F2997,'Annual distance covered (GB)'!$A$8:$H$33,MATCH(J2997,'Annual distance covered (GB)'!$A$7:$H$7,0))</f>
        <v>12.7</v>
      </c>
      <c r="N2997" s="2">
        <f t="shared" ca="1" si="106"/>
        <v>9009.0674002355536</v>
      </c>
      <c r="O2997" s="180">
        <f t="shared" ca="1" si="107"/>
        <v>3.0608001713123233E-2</v>
      </c>
      <c r="P2997" s="180"/>
      <c r="Q2997" s="180"/>
      <c r="R2997" s="180"/>
      <c r="S2997" s="180"/>
      <c r="T2997" s="180"/>
    </row>
    <row r="2998" spans="1:20" x14ac:dyDescent="0.25">
      <c r="A2998" t="s">
        <v>236</v>
      </c>
      <c r="B2998" t="s">
        <v>237</v>
      </c>
      <c r="C2998" t="s">
        <v>238</v>
      </c>
      <c r="D2998" t="s">
        <v>268</v>
      </c>
      <c r="E2998" t="s">
        <v>228</v>
      </c>
      <c r="F2998">
        <v>2017</v>
      </c>
      <c r="G2998">
        <v>1.3984E-2</v>
      </c>
      <c r="H2998" t="s">
        <v>240</v>
      </c>
      <c r="I2998" t="s">
        <v>241</v>
      </c>
      <c r="J2998" t="s">
        <v>245</v>
      </c>
      <c r="K2998" s="183">
        <f ca="1">VLOOKUP(F2998,
    OFFSET(INDIRECT(ADDRESS(MATCH(J2998,'Vehicle numbers'!$A$5:$A$162,0),1,1,1,$L$6)),4,1,COUNTIF('Vehicle numbers'!$A$5:$A$162,J2998),4),
    MATCH(K$8,'Vehicle numbers'!$B$4:$D$4,0))*1000</f>
        <v>280190</v>
      </c>
      <c r="L2998" s="183">
        <f ca="1">VLOOKUP(F2998,
    OFFSET(INDIRECT(ADDRESS(MATCH(J2998,'Vehicle numbers'!$A$5:$A$162,0),1,1,1,$L$6)),4,1,COUNTIF('Vehicle numbers'!$A$5:$A$162,J2998),4),
    MATCH(L$8,'Vehicle numbers'!$B$4:$D$4,0))*1000</f>
        <v>294337</v>
      </c>
      <c r="M2998" s="184">
        <f ca="1">VLOOKUP(F2998,'Annual distance covered (GB)'!$A$8:$H$33,MATCH(J2998,'Annual distance covered (GB)'!$A$7:$H$7,0))</f>
        <v>12.7</v>
      </c>
      <c r="N2998" s="2">
        <f t="shared" ca="1" si="106"/>
        <v>186563.79357436023</v>
      </c>
      <c r="O2998" s="180">
        <f t="shared" ca="1" si="107"/>
        <v>0.63384417716549479</v>
      </c>
      <c r="P2998" s="180"/>
      <c r="Q2998" s="180"/>
      <c r="R2998" s="180"/>
      <c r="S2998" s="180"/>
      <c r="T2998" s="180"/>
    </row>
    <row r="2999" spans="1:20" x14ac:dyDescent="0.25">
      <c r="A2999" t="s">
        <v>243</v>
      </c>
      <c r="B2999" t="s">
        <v>237</v>
      </c>
      <c r="C2999" t="s">
        <v>238</v>
      </c>
      <c r="D2999" t="s">
        <v>268</v>
      </c>
      <c r="E2999" t="s">
        <v>228</v>
      </c>
      <c r="F2999">
        <v>2017</v>
      </c>
      <c r="G2999">
        <v>9.7888000000000003E-3</v>
      </c>
      <c r="H2999" t="s">
        <v>240</v>
      </c>
      <c r="I2999" t="s">
        <v>241</v>
      </c>
      <c r="J2999" t="s">
        <v>245</v>
      </c>
      <c r="K2999" s="183">
        <f ca="1">VLOOKUP(F2999,
    OFFSET(INDIRECT(ADDRESS(MATCH(J2999,'Vehicle numbers'!$A$5:$A$162,0),1,1,1,$L$6)),4,1,COUNTIF('Vehicle numbers'!$A$5:$A$162,J2999),4),
    MATCH(K$8,'Vehicle numbers'!$B$4:$D$4,0))*1000</f>
        <v>280190</v>
      </c>
      <c r="L2999" s="183">
        <f ca="1">VLOOKUP(F2999,
    OFFSET(INDIRECT(ADDRESS(MATCH(J2999,'Vehicle numbers'!$A$5:$A$162,0),1,1,1,$L$6)),4,1,COUNTIF('Vehicle numbers'!$A$5:$A$162,J2999),4),
    MATCH(L$8,'Vehicle numbers'!$B$4:$D$4,0))*1000</f>
        <v>294337</v>
      </c>
      <c r="M2999" s="184">
        <f ca="1">VLOOKUP(F2999,'Annual distance covered (GB)'!$A$8:$H$33,MATCH(J2999,'Annual distance covered (GB)'!$A$7:$H$7,0))</f>
        <v>12.7</v>
      </c>
      <c r="N2999" s="2">
        <f t="shared" ca="1" si="106"/>
        <v>130594.65550205216</v>
      </c>
      <c r="O2999" s="180">
        <f t="shared" ca="1" si="107"/>
        <v>0.44369092401584631</v>
      </c>
      <c r="P2999" s="180"/>
      <c r="Q2999" s="180"/>
      <c r="R2999" s="180"/>
      <c r="S2999" s="180"/>
      <c r="T2999" s="180"/>
    </row>
    <row r="3000" spans="1:20" x14ac:dyDescent="0.25">
      <c r="A3000" t="s">
        <v>244</v>
      </c>
      <c r="B3000" t="s">
        <v>237</v>
      </c>
      <c r="C3000" t="s">
        <v>238</v>
      </c>
      <c r="D3000" t="s">
        <v>268</v>
      </c>
      <c r="E3000" t="s">
        <v>228</v>
      </c>
      <c r="F3000">
        <v>2017</v>
      </c>
      <c r="G3000">
        <v>1.3787042253521099E-3</v>
      </c>
      <c r="H3000" t="s">
        <v>240</v>
      </c>
      <c r="I3000" t="s">
        <v>241</v>
      </c>
      <c r="J3000" t="s">
        <v>245</v>
      </c>
      <c r="K3000" s="183">
        <f ca="1">VLOOKUP(F3000,
    OFFSET(INDIRECT(ADDRESS(MATCH(J3000,'Vehicle numbers'!$A$5:$A$162,0),1,1,1,$L$6)),4,1,COUNTIF('Vehicle numbers'!$A$5:$A$162,J3000),4),
    MATCH(K$8,'Vehicle numbers'!$B$4:$D$4,0))*1000</f>
        <v>280190</v>
      </c>
      <c r="L3000" s="183">
        <f ca="1">VLOOKUP(F3000,
    OFFSET(INDIRECT(ADDRESS(MATCH(J3000,'Vehicle numbers'!$A$5:$A$162,0),1,1,1,$L$6)),4,1,COUNTIF('Vehicle numbers'!$A$5:$A$162,J3000),4),
    MATCH(L$8,'Vehicle numbers'!$B$4:$D$4,0))*1000</f>
        <v>294337</v>
      </c>
      <c r="M3000" s="184">
        <f ca="1">VLOOKUP(F3000,'Annual distance covered (GB)'!$A$8:$H$33,MATCH(J3000,'Annual distance covered (GB)'!$A$7:$H$7,0))</f>
        <v>12.7</v>
      </c>
      <c r="N3000" s="2">
        <f t="shared" ca="1" si="106"/>
        <v>18393.613450993224</v>
      </c>
      <c r="O3000" s="180">
        <f t="shared" ca="1" si="107"/>
        <v>6.2491679438851463E-2</v>
      </c>
      <c r="P3000" s="180"/>
      <c r="Q3000" s="180"/>
      <c r="R3000" s="180"/>
      <c r="S3000" s="180"/>
      <c r="T3000" s="180"/>
    </row>
    <row r="3001" spans="1:20" x14ac:dyDescent="0.25">
      <c r="A3001" t="s">
        <v>246</v>
      </c>
      <c r="B3001" t="s">
        <v>237</v>
      </c>
      <c r="C3001" t="s">
        <v>238</v>
      </c>
      <c r="D3001" t="s">
        <v>268</v>
      </c>
      <c r="E3001" t="s">
        <v>228</v>
      </c>
      <c r="F3001">
        <v>2017</v>
      </c>
      <c r="G3001">
        <v>1.10296338028169E-3</v>
      </c>
      <c r="H3001" t="s">
        <v>240</v>
      </c>
      <c r="I3001" t="s">
        <v>241</v>
      </c>
      <c r="J3001" t="s">
        <v>245</v>
      </c>
      <c r="K3001" s="183">
        <f ca="1">VLOOKUP(F3001,
    OFFSET(INDIRECT(ADDRESS(MATCH(J3001,'Vehicle numbers'!$A$5:$A$162,0),1,1,1,$L$6)),4,1,COUNTIF('Vehicle numbers'!$A$5:$A$162,J3001),4),
    MATCH(K$8,'Vehicle numbers'!$B$4:$D$4,0))*1000</f>
        <v>280190</v>
      </c>
      <c r="L3001" s="183">
        <f ca="1">VLOOKUP(F3001,
    OFFSET(INDIRECT(ADDRESS(MATCH(J3001,'Vehicle numbers'!$A$5:$A$162,0),1,1,1,$L$6)),4,1,COUNTIF('Vehicle numbers'!$A$5:$A$162,J3001),4),
    MATCH(L$8,'Vehicle numbers'!$B$4:$D$4,0))*1000</f>
        <v>294337</v>
      </c>
      <c r="M3001" s="184">
        <f ca="1">VLOOKUP(F3001,'Annual distance covered (GB)'!$A$8:$H$33,MATCH(J3001,'Annual distance covered (GB)'!$A$7:$H$7,0))</f>
        <v>12.7</v>
      </c>
      <c r="N3001" s="2">
        <f t="shared" ca="1" si="106"/>
        <v>14714.890760794609</v>
      </c>
      <c r="O3001" s="180">
        <f t="shared" ca="1" si="107"/>
        <v>4.9993343551081273E-2</v>
      </c>
      <c r="P3001" s="180"/>
      <c r="Q3001" s="180"/>
      <c r="R3001" s="180"/>
      <c r="S3001" s="180"/>
      <c r="T3001" s="180"/>
    </row>
    <row r="3002" spans="1:20" x14ac:dyDescent="0.25">
      <c r="A3002" t="s">
        <v>236</v>
      </c>
      <c r="B3002" t="s">
        <v>237</v>
      </c>
      <c r="C3002" t="s">
        <v>238</v>
      </c>
      <c r="D3002" t="s">
        <v>269</v>
      </c>
      <c r="E3002" t="s">
        <v>229</v>
      </c>
      <c r="F3002">
        <v>2017</v>
      </c>
      <c r="G3002">
        <v>2.7143E-2</v>
      </c>
      <c r="H3002" t="s">
        <v>240</v>
      </c>
      <c r="I3002" t="s">
        <v>241</v>
      </c>
      <c r="J3002" t="s">
        <v>245</v>
      </c>
      <c r="K3002" s="183">
        <f ca="1">VLOOKUP(F3002,
    OFFSET(INDIRECT(ADDRESS(MATCH(J3002,'Vehicle numbers'!$A$5:$A$162,0),1,1,1,$L$6)),4,1,COUNTIF('Vehicle numbers'!$A$5:$A$162,J3002),4),
    MATCH(K$8,'Vehicle numbers'!$B$4:$D$4,0))*1000</f>
        <v>280190</v>
      </c>
      <c r="L3002" s="183">
        <f ca="1">VLOOKUP(F3002,
    OFFSET(INDIRECT(ADDRESS(MATCH(J3002,'Vehicle numbers'!$A$5:$A$162,0),1,1,1,$L$6)),4,1,COUNTIF('Vehicle numbers'!$A$5:$A$162,J3002),4),
    MATCH(L$8,'Vehicle numbers'!$B$4:$D$4,0))*1000</f>
        <v>294337</v>
      </c>
      <c r="M3002" s="184">
        <f ca="1">VLOOKUP(F3002,'Annual distance covered (GB)'!$A$8:$H$33,MATCH(J3002,'Annual distance covered (GB)'!$A$7:$H$7,0))</f>
        <v>12.7</v>
      </c>
      <c r="N3002" s="2">
        <f t="shared" ca="1" si="106"/>
        <v>362121.07043684635</v>
      </c>
      <c r="O3002" s="180">
        <f t="shared" ca="1" si="107"/>
        <v>1.2302940861558225</v>
      </c>
      <c r="P3002" s="180"/>
      <c r="Q3002" s="180"/>
      <c r="R3002" s="180"/>
      <c r="S3002" s="180"/>
      <c r="T3002" s="180"/>
    </row>
    <row r="3003" spans="1:20" x14ac:dyDescent="0.25">
      <c r="A3003" t="s">
        <v>243</v>
      </c>
      <c r="B3003" t="s">
        <v>237</v>
      </c>
      <c r="C3003" t="s">
        <v>238</v>
      </c>
      <c r="D3003" t="s">
        <v>269</v>
      </c>
      <c r="E3003" t="s">
        <v>229</v>
      </c>
      <c r="F3003">
        <v>2017</v>
      </c>
      <c r="G3003">
        <v>1.0857199999999999E-2</v>
      </c>
      <c r="H3003" t="s">
        <v>240</v>
      </c>
      <c r="I3003" t="s">
        <v>241</v>
      </c>
      <c r="J3003" t="s">
        <v>245</v>
      </c>
      <c r="K3003" s="183">
        <f ca="1">VLOOKUP(F3003,
    OFFSET(INDIRECT(ADDRESS(MATCH(J3003,'Vehicle numbers'!$A$5:$A$162,0),1,1,1,$L$6)),4,1,COUNTIF('Vehicle numbers'!$A$5:$A$162,J3003),4),
    MATCH(K$8,'Vehicle numbers'!$B$4:$D$4,0))*1000</f>
        <v>280190</v>
      </c>
      <c r="L3003" s="183">
        <f ca="1">VLOOKUP(F3003,
    OFFSET(INDIRECT(ADDRESS(MATCH(J3003,'Vehicle numbers'!$A$5:$A$162,0),1,1,1,$L$6)),4,1,COUNTIF('Vehicle numbers'!$A$5:$A$162,J3003),4),
    MATCH(L$8,'Vehicle numbers'!$B$4:$D$4,0))*1000</f>
        <v>294337</v>
      </c>
      <c r="M3003" s="184">
        <f ca="1">VLOOKUP(F3003,'Annual distance covered (GB)'!$A$8:$H$33,MATCH(J3003,'Annual distance covered (GB)'!$A$7:$H$7,0))</f>
        <v>12.7</v>
      </c>
      <c r="N3003" s="2">
        <f t="shared" ca="1" si="106"/>
        <v>144848.42817473854</v>
      </c>
      <c r="O3003" s="180">
        <f t="shared" ca="1" si="107"/>
        <v>0.49211763446232903</v>
      </c>
      <c r="P3003" s="180"/>
      <c r="Q3003" s="180"/>
      <c r="R3003" s="180"/>
      <c r="S3003" s="180"/>
      <c r="T3003" s="180"/>
    </row>
    <row r="3004" spans="1:20" x14ac:dyDescent="0.25">
      <c r="A3004" t="s">
        <v>244</v>
      </c>
      <c r="B3004" t="s">
        <v>237</v>
      </c>
      <c r="C3004" t="s">
        <v>238</v>
      </c>
      <c r="D3004" t="s">
        <v>269</v>
      </c>
      <c r="E3004" t="s">
        <v>229</v>
      </c>
      <c r="F3004">
        <v>2017</v>
      </c>
      <c r="G3004">
        <v>2.7142999999999998E-3</v>
      </c>
      <c r="H3004" t="s">
        <v>240</v>
      </c>
      <c r="I3004" t="s">
        <v>241</v>
      </c>
      <c r="J3004" t="s">
        <v>245</v>
      </c>
      <c r="K3004" s="183">
        <f ca="1">VLOOKUP(F3004,
    OFFSET(INDIRECT(ADDRESS(MATCH(J3004,'Vehicle numbers'!$A$5:$A$162,0),1,1,1,$L$6)),4,1,COUNTIF('Vehicle numbers'!$A$5:$A$162,J3004),4),
    MATCH(K$8,'Vehicle numbers'!$B$4:$D$4,0))*1000</f>
        <v>280190</v>
      </c>
      <c r="L3004" s="183">
        <f ca="1">VLOOKUP(F3004,
    OFFSET(INDIRECT(ADDRESS(MATCH(J3004,'Vehicle numbers'!$A$5:$A$162,0),1,1,1,$L$6)),4,1,COUNTIF('Vehicle numbers'!$A$5:$A$162,J3004),4),
    MATCH(L$8,'Vehicle numbers'!$B$4:$D$4,0))*1000</f>
        <v>294337</v>
      </c>
      <c r="M3004" s="184">
        <f ca="1">VLOOKUP(F3004,'Annual distance covered (GB)'!$A$8:$H$33,MATCH(J3004,'Annual distance covered (GB)'!$A$7:$H$7,0))</f>
        <v>12.7</v>
      </c>
      <c r="N3004" s="2">
        <f t="shared" ca="1" si="106"/>
        <v>36212.107043684635</v>
      </c>
      <c r="O3004" s="180">
        <f t="shared" ca="1" si="107"/>
        <v>0.12302940861558226</v>
      </c>
      <c r="P3004" s="180"/>
      <c r="Q3004" s="180"/>
      <c r="R3004" s="180"/>
      <c r="S3004" s="180"/>
      <c r="T3004" s="180"/>
    </row>
    <row r="3005" spans="1:20" x14ac:dyDescent="0.25">
      <c r="A3005" t="s">
        <v>246</v>
      </c>
      <c r="B3005" t="s">
        <v>237</v>
      </c>
      <c r="C3005" t="s">
        <v>238</v>
      </c>
      <c r="D3005" t="s">
        <v>269</v>
      </c>
      <c r="E3005" t="s">
        <v>229</v>
      </c>
      <c r="F3005">
        <v>2017</v>
      </c>
      <c r="G3005">
        <v>2.1714400000000002E-3</v>
      </c>
      <c r="H3005" t="s">
        <v>240</v>
      </c>
      <c r="I3005" t="s">
        <v>241</v>
      </c>
      <c r="J3005" t="s">
        <v>245</v>
      </c>
      <c r="K3005" s="183">
        <f ca="1">VLOOKUP(F3005,
    OFFSET(INDIRECT(ADDRESS(MATCH(J3005,'Vehicle numbers'!$A$5:$A$162,0),1,1,1,$L$6)),4,1,COUNTIF('Vehicle numbers'!$A$5:$A$162,J3005),4),
    MATCH(K$8,'Vehicle numbers'!$B$4:$D$4,0))*1000</f>
        <v>280190</v>
      </c>
      <c r="L3005" s="183">
        <f ca="1">VLOOKUP(F3005,
    OFFSET(INDIRECT(ADDRESS(MATCH(J3005,'Vehicle numbers'!$A$5:$A$162,0),1,1,1,$L$6)),4,1,COUNTIF('Vehicle numbers'!$A$5:$A$162,J3005),4),
    MATCH(L$8,'Vehicle numbers'!$B$4:$D$4,0))*1000</f>
        <v>294337</v>
      </c>
      <c r="M3005" s="184">
        <f ca="1">VLOOKUP(F3005,'Annual distance covered (GB)'!$A$8:$H$33,MATCH(J3005,'Annual distance covered (GB)'!$A$7:$H$7,0))</f>
        <v>12.7</v>
      </c>
      <c r="N3005" s="2">
        <f t="shared" ca="1" si="106"/>
        <v>28969.685634947713</v>
      </c>
      <c r="O3005" s="180">
        <f t="shared" ca="1" si="107"/>
        <v>9.8423526892465821E-2</v>
      </c>
      <c r="P3005" s="180"/>
      <c r="Q3005" s="180"/>
      <c r="R3005" s="180"/>
      <c r="S3005" s="180"/>
      <c r="T3005" s="180"/>
    </row>
    <row r="3006" spans="1:20" x14ac:dyDescent="0.25">
      <c r="A3006" t="s">
        <v>236</v>
      </c>
      <c r="B3006" t="s">
        <v>237</v>
      </c>
      <c r="C3006" t="s">
        <v>238</v>
      </c>
      <c r="D3006" t="s">
        <v>269</v>
      </c>
      <c r="E3006" t="s">
        <v>228</v>
      </c>
      <c r="F3006">
        <v>2017</v>
      </c>
      <c r="G3006">
        <v>1.7388480000000001E-2</v>
      </c>
      <c r="H3006" t="s">
        <v>240</v>
      </c>
      <c r="I3006" t="s">
        <v>241</v>
      </c>
      <c r="J3006" t="s">
        <v>245</v>
      </c>
      <c r="K3006" s="183">
        <f ca="1">VLOOKUP(F3006,
    OFFSET(INDIRECT(ADDRESS(MATCH(J3006,'Vehicle numbers'!$A$5:$A$162,0),1,1,1,$L$6)),4,1,COUNTIF('Vehicle numbers'!$A$5:$A$162,J3006),4),
    MATCH(K$8,'Vehicle numbers'!$B$4:$D$4,0))*1000</f>
        <v>280190</v>
      </c>
      <c r="L3006" s="183">
        <f ca="1">VLOOKUP(F3006,
    OFFSET(INDIRECT(ADDRESS(MATCH(J3006,'Vehicle numbers'!$A$5:$A$162,0),1,1,1,$L$6)),4,1,COUNTIF('Vehicle numbers'!$A$5:$A$162,J3006),4),
    MATCH(L$8,'Vehicle numbers'!$B$4:$D$4,0))*1000</f>
        <v>294337</v>
      </c>
      <c r="M3006" s="184">
        <f ca="1">VLOOKUP(F3006,'Annual distance covered (GB)'!$A$8:$H$33,MATCH(J3006,'Annual distance covered (GB)'!$A$7:$H$7,0))</f>
        <v>12.7</v>
      </c>
      <c r="N3006" s="2">
        <f t="shared" ca="1" si="106"/>
        <v>231983.75238071306</v>
      </c>
      <c r="O3006" s="180">
        <f t="shared" ca="1" si="107"/>
        <v>0.78815695064063662</v>
      </c>
      <c r="P3006" s="180"/>
      <c r="Q3006" s="180"/>
      <c r="R3006" s="180"/>
      <c r="S3006" s="180"/>
      <c r="T3006" s="180"/>
    </row>
    <row r="3007" spans="1:20" x14ac:dyDescent="0.25">
      <c r="A3007" t="s">
        <v>243</v>
      </c>
      <c r="B3007" t="s">
        <v>237</v>
      </c>
      <c r="C3007" t="s">
        <v>238</v>
      </c>
      <c r="D3007" t="s">
        <v>269</v>
      </c>
      <c r="E3007" t="s">
        <v>228</v>
      </c>
      <c r="F3007">
        <v>2017</v>
      </c>
      <c r="G3007">
        <v>1.2171936E-2</v>
      </c>
      <c r="H3007" t="s">
        <v>240</v>
      </c>
      <c r="I3007" t="s">
        <v>241</v>
      </c>
      <c r="J3007" t="s">
        <v>245</v>
      </c>
      <c r="K3007" s="183">
        <f ca="1">VLOOKUP(F3007,
    OFFSET(INDIRECT(ADDRESS(MATCH(J3007,'Vehicle numbers'!$A$5:$A$162,0),1,1,1,$L$6)),4,1,COUNTIF('Vehicle numbers'!$A$5:$A$162,J3007),4),
    MATCH(K$8,'Vehicle numbers'!$B$4:$D$4,0))*1000</f>
        <v>280190</v>
      </c>
      <c r="L3007" s="183">
        <f ca="1">VLOOKUP(F3007,
    OFFSET(INDIRECT(ADDRESS(MATCH(J3007,'Vehicle numbers'!$A$5:$A$162,0),1,1,1,$L$6)),4,1,COUNTIF('Vehicle numbers'!$A$5:$A$162,J3007),4),
    MATCH(L$8,'Vehicle numbers'!$B$4:$D$4,0))*1000</f>
        <v>294337</v>
      </c>
      <c r="M3007" s="184">
        <f ca="1">VLOOKUP(F3007,'Annual distance covered (GB)'!$A$8:$H$33,MATCH(J3007,'Annual distance covered (GB)'!$A$7:$H$7,0))</f>
        <v>12.7</v>
      </c>
      <c r="N3007" s="2">
        <f t="shared" ca="1" si="106"/>
        <v>162388.62666649913</v>
      </c>
      <c r="O3007" s="180">
        <f t="shared" ca="1" si="107"/>
        <v>0.55170986544844558</v>
      </c>
      <c r="P3007" s="180"/>
      <c r="Q3007" s="180"/>
      <c r="R3007" s="180"/>
      <c r="S3007" s="180"/>
      <c r="T3007" s="180"/>
    </row>
    <row r="3008" spans="1:20" x14ac:dyDescent="0.25">
      <c r="A3008" t="s">
        <v>244</v>
      </c>
      <c r="B3008" t="s">
        <v>237</v>
      </c>
      <c r="C3008" t="s">
        <v>238</v>
      </c>
      <c r="D3008" t="s">
        <v>269</v>
      </c>
      <c r="E3008" t="s">
        <v>228</v>
      </c>
      <c r="F3008">
        <v>2017</v>
      </c>
      <c r="G3008">
        <v>1.71435718309859E-3</v>
      </c>
      <c r="H3008" t="s">
        <v>240</v>
      </c>
      <c r="I3008" t="s">
        <v>241</v>
      </c>
      <c r="J3008" t="s">
        <v>245</v>
      </c>
      <c r="K3008" s="183">
        <f ca="1">VLOOKUP(F3008,
    OFFSET(INDIRECT(ADDRESS(MATCH(J3008,'Vehicle numbers'!$A$5:$A$162,0),1,1,1,$L$6)),4,1,COUNTIF('Vehicle numbers'!$A$5:$A$162,J3008),4),
    MATCH(K$8,'Vehicle numbers'!$B$4:$D$4,0))*1000</f>
        <v>280190</v>
      </c>
      <c r="L3008" s="183">
        <f ca="1">VLOOKUP(F3008,
    OFFSET(INDIRECT(ADDRESS(MATCH(J3008,'Vehicle numbers'!$A$5:$A$162,0),1,1,1,$L$6)),4,1,COUNTIF('Vehicle numbers'!$A$5:$A$162,J3008),4),
    MATCH(L$8,'Vehicle numbers'!$B$4:$D$4,0))*1000</f>
        <v>294337</v>
      </c>
      <c r="M3008" s="184">
        <f ca="1">VLOOKUP(F3008,'Annual distance covered (GB)'!$A$8:$H$33,MATCH(J3008,'Annual distance covered (GB)'!$A$7:$H$7,0))</f>
        <v>12.7</v>
      </c>
      <c r="N3008" s="2">
        <f t="shared" ca="1" si="106"/>
        <v>22871.637558661827</v>
      </c>
      <c r="O3008" s="180">
        <f t="shared" ca="1" si="107"/>
        <v>7.7705614851893673E-2</v>
      </c>
      <c r="P3008" s="180"/>
      <c r="Q3008" s="180"/>
      <c r="R3008" s="180"/>
      <c r="S3008" s="180"/>
      <c r="T3008" s="180"/>
    </row>
    <row r="3009" spans="1:20" x14ac:dyDescent="0.25">
      <c r="A3009" t="s">
        <v>246</v>
      </c>
      <c r="B3009" t="s">
        <v>237</v>
      </c>
      <c r="C3009" t="s">
        <v>238</v>
      </c>
      <c r="D3009" t="s">
        <v>269</v>
      </c>
      <c r="E3009" t="s">
        <v>228</v>
      </c>
      <c r="F3009">
        <v>2017</v>
      </c>
      <c r="G3009">
        <v>1.37148574647887E-3</v>
      </c>
      <c r="H3009" t="s">
        <v>240</v>
      </c>
      <c r="I3009" t="s">
        <v>241</v>
      </c>
      <c r="J3009" t="s">
        <v>245</v>
      </c>
      <c r="K3009" s="183">
        <f ca="1">VLOOKUP(F3009,
    OFFSET(INDIRECT(ADDRESS(MATCH(J3009,'Vehicle numbers'!$A$5:$A$162,0),1,1,1,$L$6)),4,1,COUNTIF('Vehicle numbers'!$A$5:$A$162,J3009),4),
    MATCH(K$8,'Vehicle numbers'!$B$4:$D$4,0))*1000</f>
        <v>280190</v>
      </c>
      <c r="L3009" s="183">
        <f ca="1">VLOOKUP(F3009,
    OFFSET(INDIRECT(ADDRESS(MATCH(J3009,'Vehicle numbers'!$A$5:$A$162,0),1,1,1,$L$6)),4,1,COUNTIF('Vehicle numbers'!$A$5:$A$162,J3009),4),
    MATCH(L$8,'Vehicle numbers'!$B$4:$D$4,0))*1000</f>
        <v>294337</v>
      </c>
      <c r="M3009" s="184">
        <f ca="1">VLOOKUP(F3009,'Annual distance covered (GB)'!$A$8:$H$33,MATCH(J3009,'Annual distance covered (GB)'!$A$7:$H$7,0))</f>
        <v>12.7</v>
      </c>
      <c r="N3009" s="2">
        <f t="shared" ca="1" si="106"/>
        <v>18297.310046929437</v>
      </c>
      <c r="O3009" s="180">
        <f t="shared" ca="1" si="107"/>
        <v>6.216449188151485E-2</v>
      </c>
      <c r="P3009" s="180"/>
      <c r="Q3009" s="180"/>
      <c r="R3009" s="180"/>
      <c r="S3009" s="180"/>
      <c r="T3009" s="180"/>
    </row>
    <row r="3010" spans="1:20" x14ac:dyDescent="0.25">
      <c r="A3010" t="s">
        <v>236</v>
      </c>
      <c r="B3010" t="s">
        <v>237</v>
      </c>
      <c r="C3010" t="s">
        <v>238</v>
      </c>
      <c r="D3010" t="s">
        <v>270</v>
      </c>
      <c r="E3010" t="s">
        <v>229</v>
      </c>
      <c r="F3010">
        <v>2017</v>
      </c>
      <c r="G3010">
        <v>5.0995000000000103E-2</v>
      </c>
      <c r="H3010" t="s">
        <v>240</v>
      </c>
      <c r="I3010" t="s">
        <v>241</v>
      </c>
      <c r="J3010" t="s">
        <v>245</v>
      </c>
      <c r="K3010" s="183">
        <f ca="1">VLOOKUP(F3010,
    OFFSET(INDIRECT(ADDRESS(MATCH(J3010,'Vehicle numbers'!$A$5:$A$162,0),1,1,1,$L$6)),4,1,COUNTIF('Vehicle numbers'!$A$5:$A$162,J3010),4),
    MATCH(K$8,'Vehicle numbers'!$B$4:$D$4,0))*1000</f>
        <v>280190</v>
      </c>
      <c r="L3010" s="183">
        <f ca="1">VLOOKUP(F3010,
    OFFSET(INDIRECT(ADDRESS(MATCH(J3010,'Vehicle numbers'!$A$5:$A$162,0),1,1,1,$L$6)),4,1,COUNTIF('Vehicle numbers'!$A$5:$A$162,J3010),4),
    MATCH(L$8,'Vehicle numbers'!$B$4:$D$4,0))*1000</f>
        <v>294337</v>
      </c>
      <c r="M3010" s="184">
        <f ca="1">VLOOKUP(F3010,'Annual distance covered (GB)'!$A$8:$H$33,MATCH(J3010,'Annual distance covered (GB)'!$A$7:$H$7,0))</f>
        <v>12.7</v>
      </c>
      <c r="N3010" s="2">
        <f t="shared" ca="1" si="106"/>
        <v>680336.1451176001</v>
      </c>
      <c r="O3010" s="180">
        <f t="shared" ca="1" si="107"/>
        <v>2.3114190370819845</v>
      </c>
      <c r="P3010" s="180"/>
      <c r="Q3010" s="180"/>
      <c r="R3010" s="180"/>
      <c r="S3010" s="180"/>
      <c r="T3010" s="180"/>
    </row>
    <row r="3011" spans="1:20" x14ac:dyDescent="0.25">
      <c r="A3011" t="s">
        <v>243</v>
      </c>
      <c r="B3011" t="s">
        <v>237</v>
      </c>
      <c r="C3011" t="s">
        <v>238</v>
      </c>
      <c r="D3011" t="s">
        <v>270</v>
      </c>
      <c r="E3011" t="s">
        <v>229</v>
      </c>
      <c r="F3011">
        <v>2017</v>
      </c>
      <c r="G3011">
        <v>2.0397999999999999E-2</v>
      </c>
      <c r="H3011" t="s">
        <v>240</v>
      </c>
      <c r="I3011" t="s">
        <v>241</v>
      </c>
      <c r="J3011" t="s">
        <v>245</v>
      </c>
      <c r="K3011" s="183">
        <f ca="1">VLOOKUP(F3011,
    OFFSET(INDIRECT(ADDRESS(MATCH(J3011,'Vehicle numbers'!$A$5:$A$162,0),1,1,1,$L$6)),4,1,COUNTIF('Vehicle numbers'!$A$5:$A$162,J3011),4),
    MATCH(K$8,'Vehicle numbers'!$B$4:$D$4,0))*1000</f>
        <v>280190</v>
      </c>
      <c r="L3011" s="183">
        <f ca="1">VLOOKUP(F3011,
    OFFSET(INDIRECT(ADDRESS(MATCH(J3011,'Vehicle numbers'!$A$5:$A$162,0),1,1,1,$L$6)),4,1,COUNTIF('Vehicle numbers'!$A$5:$A$162,J3011),4),
    MATCH(L$8,'Vehicle numbers'!$B$4:$D$4,0))*1000</f>
        <v>294337</v>
      </c>
      <c r="M3011" s="184">
        <f ca="1">VLOOKUP(F3011,'Annual distance covered (GB)'!$A$8:$H$33,MATCH(J3011,'Annual distance covered (GB)'!$A$7:$H$7,0))</f>
        <v>12.7</v>
      </c>
      <c r="N3011" s="2">
        <f t="shared" ca="1" si="106"/>
        <v>272134.45804703946</v>
      </c>
      <c r="O3011" s="180">
        <f t="shared" ca="1" si="107"/>
        <v>0.92456761483279182</v>
      </c>
      <c r="P3011" s="180"/>
      <c r="Q3011" s="180"/>
      <c r="R3011" s="180"/>
      <c r="S3011" s="180"/>
      <c r="T3011" s="180"/>
    </row>
    <row r="3012" spans="1:20" x14ac:dyDescent="0.25">
      <c r="A3012" t="s">
        <v>244</v>
      </c>
      <c r="B3012" t="s">
        <v>237</v>
      </c>
      <c r="C3012" t="s">
        <v>238</v>
      </c>
      <c r="D3012" t="s">
        <v>270</v>
      </c>
      <c r="E3012" t="s">
        <v>229</v>
      </c>
      <c r="F3012">
        <v>2017</v>
      </c>
      <c r="G3012">
        <v>5.0994999999999999E-3</v>
      </c>
      <c r="H3012" t="s">
        <v>240</v>
      </c>
      <c r="I3012" t="s">
        <v>241</v>
      </c>
      <c r="J3012" t="s">
        <v>245</v>
      </c>
      <c r="K3012" s="183">
        <f ca="1">VLOOKUP(F3012,
    OFFSET(INDIRECT(ADDRESS(MATCH(J3012,'Vehicle numbers'!$A$5:$A$162,0),1,1,1,$L$6)),4,1,COUNTIF('Vehicle numbers'!$A$5:$A$162,J3012),4),
    MATCH(K$8,'Vehicle numbers'!$B$4:$D$4,0))*1000</f>
        <v>280190</v>
      </c>
      <c r="L3012" s="183">
        <f ca="1">VLOOKUP(F3012,
    OFFSET(INDIRECT(ADDRESS(MATCH(J3012,'Vehicle numbers'!$A$5:$A$162,0),1,1,1,$L$6)),4,1,COUNTIF('Vehicle numbers'!$A$5:$A$162,J3012),4),
    MATCH(L$8,'Vehicle numbers'!$B$4:$D$4,0))*1000</f>
        <v>294337</v>
      </c>
      <c r="M3012" s="184">
        <f ca="1">VLOOKUP(F3012,'Annual distance covered (GB)'!$A$8:$H$33,MATCH(J3012,'Annual distance covered (GB)'!$A$7:$H$7,0))</f>
        <v>12.7</v>
      </c>
      <c r="N3012" s="2">
        <f t="shared" ca="1" si="106"/>
        <v>68033.614511759864</v>
      </c>
      <c r="O3012" s="180">
        <f t="shared" ca="1" si="107"/>
        <v>0.23114190370819795</v>
      </c>
      <c r="P3012" s="180"/>
      <c r="Q3012" s="180"/>
      <c r="R3012" s="180"/>
      <c r="S3012" s="180"/>
      <c r="T3012" s="180"/>
    </row>
    <row r="3013" spans="1:20" x14ac:dyDescent="0.25">
      <c r="A3013" t="s">
        <v>246</v>
      </c>
      <c r="B3013" t="s">
        <v>237</v>
      </c>
      <c r="C3013" t="s">
        <v>238</v>
      </c>
      <c r="D3013" t="s">
        <v>270</v>
      </c>
      <c r="E3013" t="s">
        <v>229</v>
      </c>
      <c r="F3013">
        <v>2017</v>
      </c>
      <c r="G3013">
        <v>4.0796000000000001E-3</v>
      </c>
      <c r="H3013" t="s">
        <v>240</v>
      </c>
      <c r="I3013" t="s">
        <v>241</v>
      </c>
      <c r="J3013" t="s">
        <v>245</v>
      </c>
      <c r="K3013" s="183">
        <f ca="1">VLOOKUP(F3013,
    OFFSET(INDIRECT(ADDRESS(MATCH(J3013,'Vehicle numbers'!$A$5:$A$162,0),1,1,1,$L$6)),4,1,COUNTIF('Vehicle numbers'!$A$5:$A$162,J3013),4),
    MATCH(K$8,'Vehicle numbers'!$B$4:$D$4,0))*1000</f>
        <v>280190</v>
      </c>
      <c r="L3013" s="183">
        <f ca="1">VLOOKUP(F3013,
    OFFSET(INDIRECT(ADDRESS(MATCH(J3013,'Vehicle numbers'!$A$5:$A$162,0),1,1,1,$L$6)),4,1,COUNTIF('Vehicle numbers'!$A$5:$A$162,J3013),4),
    MATCH(L$8,'Vehicle numbers'!$B$4:$D$4,0))*1000</f>
        <v>294337</v>
      </c>
      <c r="M3013" s="184">
        <f ca="1">VLOOKUP(F3013,'Annual distance covered (GB)'!$A$8:$H$33,MATCH(J3013,'Annual distance covered (GB)'!$A$7:$H$7,0))</f>
        <v>12.7</v>
      </c>
      <c r="N3013" s="2">
        <f t="shared" ca="1" si="106"/>
        <v>54426.891609407896</v>
      </c>
      <c r="O3013" s="180">
        <f t="shared" ca="1" si="107"/>
        <v>0.18491352296655839</v>
      </c>
      <c r="P3013" s="180"/>
      <c r="Q3013" s="180"/>
      <c r="R3013" s="180"/>
      <c r="S3013" s="180"/>
      <c r="T3013" s="180"/>
    </row>
    <row r="3014" spans="1:20" x14ac:dyDescent="0.25">
      <c r="A3014" t="s">
        <v>236</v>
      </c>
      <c r="B3014" t="s">
        <v>237</v>
      </c>
      <c r="C3014" t="s">
        <v>238</v>
      </c>
      <c r="D3014" t="s">
        <v>270</v>
      </c>
      <c r="E3014" t="s">
        <v>228</v>
      </c>
      <c r="F3014">
        <v>2017</v>
      </c>
      <c r="G3014">
        <v>2.0737760000000001E-2</v>
      </c>
      <c r="H3014" t="s">
        <v>240</v>
      </c>
      <c r="I3014" t="s">
        <v>241</v>
      </c>
      <c r="J3014" t="s">
        <v>245</v>
      </c>
      <c r="K3014" s="183">
        <f ca="1">VLOOKUP(F3014,
    OFFSET(INDIRECT(ADDRESS(MATCH(J3014,'Vehicle numbers'!$A$5:$A$162,0),1,1,1,$L$6)),4,1,COUNTIF('Vehicle numbers'!$A$5:$A$162,J3014),4),
    MATCH(K$8,'Vehicle numbers'!$B$4:$D$4,0))*1000</f>
        <v>280190</v>
      </c>
      <c r="L3014" s="183">
        <f ca="1">VLOOKUP(F3014,
    OFFSET(INDIRECT(ADDRESS(MATCH(J3014,'Vehicle numbers'!$A$5:$A$162,0),1,1,1,$L$6)),4,1,COUNTIF('Vehicle numbers'!$A$5:$A$162,J3014),4),
    MATCH(L$8,'Vehicle numbers'!$B$4:$D$4,0))*1000</f>
        <v>294337</v>
      </c>
      <c r="M3014" s="184">
        <f ca="1">VLOOKUP(F3014,'Annual distance covered (GB)'!$A$8:$H$33,MATCH(J3014,'Annual distance covered (GB)'!$A$7:$H$7,0))</f>
        <v>12.7</v>
      </c>
      <c r="N3014" s="2">
        <f t="shared" ca="1" si="106"/>
        <v>276667.27515979868</v>
      </c>
      <c r="O3014" s="180">
        <f t="shared" ca="1" si="107"/>
        <v>0.93996770762696735</v>
      </c>
      <c r="P3014" s="180"/>
      <c r="Q3014" s="180"/>
      <c r="R3014" s="180"/>
      <c r="S3014" s="180"/>
      <c r="T3014" s="180"/>
    </row>
    <row r="3015" spans="1:20" x14ac:dyDescent="0.25">
      <c r="A3015" t="s">
        <v>243</v>
      </c>
      <c r="B3015" t="s">
        <v>237</v>
      </c>
      <c r="C3015" t="s">
        <v>238</v>
      </c>
      <c r="D3015" t="s">
        <v>270</v>
      </c>
      <c r="E3015" t="s">
        <v>228</v>
      </c>
      <c r="F3015">
        <v>2017</v>
      </c>
      <c r="G3015">
        <v>1.4516431999999999E-2</v>
      </c>
      <c r="H3015" t="s">
        <v>240</v>
      </c>
      <c r="I3015" t="s">
        <v>241</v>
      </c>
      <c r="J3015" t="s">
        <v>245</v>
      </c>
      <c r="K3015" s="183">
        <f ca="1">VLOOKUP(F3015,
    OFFSET(INDIRECT(ADDRESS(MATCH(J3015,'Vehicle numbers'!$A$5:$A$162,0),1,1,1,$L$6)),4,1,COUNTIF('Vehicle numbers'!$A$5:$A$162,J3015),4),
    MATCH(K$8,'Vehicle numbers'!$B$4:$D$4,0))*1000</f>
        <v>280190</v>
      </c>
      <c r="L3015" s="183">
        <f ca="1">VLOOKUP(F3015,
    OFFSET(INDIRECT(ADDRESS(MATCH(J3015,'Vehicle numbers'!$A$5:$A$162,0),1,1,1,$L$6)),4,1,COUNTIF('Vehicle numbers'!$A$5:$A$162,J3015),4),
    MATCH(L$8,'Vehicle numbers'!$B$4:$D$4,0))*1000</f>
        <v>294337</v>
      </c>
      <c r="M3015" s="184">
        <f ca="1">VLOOKUP(F3015,'Annual distance covered (GB)'!$A$8:$H$33,MATCH(J3015,'Annual distance covered (GB)'!$A$7:$H$7,0))</f>
        <v>12.7</v>
      </c>
      <c r="N3015" s="2">
        <f t="shared" ca="1" si="106"/>
        <v>193667.09261185906</v>
      </c>
      <c r="O3015" s="180">
        <f t="shared" ca="1" si="107"/>
        <v>0.65797739533887711</v>
      </c>
      <c r="P3015" s="180"/>
      <c r="Q3015" s="180"/>
      <c r="R3015" s="180"/>
      <c r="S3015" s="180"/>
      <c r="T3015" s="180"/>
    </row>
    <row r="3016" spans="1:20" x14ac:dyDescent="0.25">
      <c r="A3016" t="s">
        <v>244</v>
      </c>
      <c r="B3016" t="s">
        <v>237</v>
      </c>
      <c r="C3016" t="s">
        <v>238</v>
      </c>
      <c r="D3016" t="s">
        <v>270</v>
      </c>
      <c r="E3016" t="s">
        <v>228</v>
      </c>
      <c r="F3016">
        <v>2017</v>
      </c>
      <c r="G3016">
        <v>2.0445678873239402E-3</v>
      </c>
      <c r="H3016" t="s">
        <v>240</v>
      </c>
      <c r="I3016" t="s">
        <v>241</v>
      </c>
      <c r="J3016" t="s">
        <v>245</v>
      </c>
      <c r="K3016" s="183">
        <f ca="1">VLOOKUP(F3016,
    OFFSET(INDIRECT(ADDRESS(MATCH(J3016,'Vehicle numbers'!$A$5:$A$162,0),1,1,1,$L$6)),4,1,COUNTIF('Vehicle numbers'!$A$5:$A$162,J3016),4),
    MATCH(K$8,'Vehicle numbers'!$B$4:$D$4,0))*1000</f>
        <v>280190</v>
      </c>
      <c r="L3016" s="183">
        <f ca="1">VLOOKUP(F3016,
    OFFSET(INDIRECT(ADDRESS(MATCH(J3016,'Vehicle numbers'!$A$5:$A$162,0),1,1,1,$L$6)),4,1,COUNTIF('Vehicle numbers'!$A$5:$A$162,J3016),4),
    MATCH(L$8,'Vehicle numbers'!$B$4:$D$4,0))*1000</f>
        <v>294337</v>
      </c>
      <c r="M3016" s="184">
        <f ca="1">VLOOKUP(F3016,'Annual distance covered (GB)'!$A$8:$H$33,MATCH(J3016,'Annual distance covered (GB)'!$A$7:$H$7,0))</f>
        <v>12.7</v>
      </c>
      <c r="N3016" s="2">
        <f t="shared" ca="1" si="106"/>
        <v>27277.055297444895</v>
      </c>
      <c r="O3016" s="180">
        <f t="shared" ca="1" si="107"/>
        <v>9.2672872582940283E-2</v>
      </c>
      <c r="P3016" s="180"/>
      <c r="Q3016" s="180"/>
      <c r="R3016" s="180"/>
      <c r="S3016" s="180"/>
      <c r="T3016" s="180"/>
    </row>
    <row r="3017" spans="1:20" x14ac:dyDescent="0.25">
      <c r="A3017" t="s">
        <v>246</v>
      </c>
      <c r="B3017" t="s">
        <v>237</v>
      </c>
      <c r="C3017" t="s">
        <v>238</v>
      </c>
      <c r="D3017" t="s">
        <v>270</v>
      </c>
      <c r="E3017" t="s">
        <v>228</v>
      </c>
      <c r="F3017">
        <v>2017</v>
      </c>
      <c r="G3017">
        <v>1.6356543098591499E-3</v>
      </c>
      <c r="H3017" t="s">
        <v>240</v>
      </c>
      <c r="I3017" t="s">
        <v>241</v>
      </c>
      <c r="J3017" t="s">
        <v>245</v>
      </c>
      <c r="K3017" s="183">
        <f ca="1">VLOOKUP(F3017,
    OFFSET(INDIRECT(ADDRESS(MATCH(J3017,'Vehicle numbers'!$A$5:$A$162,0),1,1,1,$L$6)),4,1,COUNTIF('Vehicle numbers'!$A$5:$A$162,J3017),4),
    MATCH(K$8,'Vehicle numbers'!$B$4:$D$4,0))*1000</f>
        <v>280190</v>
      </c>
      <c r="L3017" s="183">
        <f ca="1">VLOOKUP(F3017,
    OFFSET(INDIRECT(ADDRESS(MATCH(J3017,'Vehicle numbers'!$A$5:$A$162,0),1,1,1,$L$6)),4,1,COUNTIF('Vehicle numbers'!$A$5:$A$162,J3017),4),
    MATCH(L$8,'Vehicle numbers'!$B$4:$D$4,0))*1000</f>
        <v>294337</v>
      </c>
      <c r="M3017" s="184">
        <f ca="1">VLOOKUP(F3017,'Annual distance covered (GB)'!$A$8:$H$33,MATCH(J3017,'Annual distance covered (GB)'!$A$7:$H$7,0))</f>
        <v>12.7</v>
      </c>
      <c r="N3017" s="2">
        <f t="shared" ca="1" si="106"/>
        <v>21821.644237955887</v>
      </c>
      <c r="O3017" s="180">
        <f t="shared" ca="1" si="107"/>
        <v>7.4138298066352123E-2</v>
      </c>
      <c r="P3017" s="180"/>
      <c r="Q3017" s="180"/>
      <c r="R3017" s="180"/>
      <c r="S3017" s="180"/>
      <c r="T3017" s="180"/>
    </row>
    <row r="3018" spans="1:20" x14ac:dyDescent="0.25">
      <c r="A3018" t="s">
        <v>236</v>
      </c>
      <c r="B3018" t="s">
        <v>237</v>
      </c>
      <c r="C3018" t="s">
        <v>238</v>
      </c>
      <c r="D3018" t="s">
        <v>257</v>
      </c>
      <c r="E3018" t="s">
        <v>229</v>
      </c>
      <c r="F3018">
        <v>2017</v>
      </c>
      <c r="G3018">
        <v>2.1210000000000001E-3</v>
      </c>
      <c r="H3018" t="s">
        <v>240</v>
      </c>
      <c r="I3018" t="s">
        <v>241</v>
      </c>
      <c r="J3018" t="s">
        <v>188</v>
      </c>
      <c r="K3018" s="183">
        <f ca="1">VLOOKUP(F3018,
    OFFSET(INDIRECT(ADDRESS(MATCH(J3018,'Vehicle numbers'!$A$5:$A$162,0),1,1,1,$L$6)),4,1,COUNTIF('Vehicle numbers'!$A$5:$A$162,J3018),4),
    MATCH(K$8,'Vehicle numbers'!$B$4:$D$4,0))*1000</f>
        <v>3898149</v>
      </c>
      <c r="L3018" s="183">
        <f ca="1">VLOOKUP(F3018,
    OFFSET(INDIRECT(ADDRESS(MATCH(J3018,'Vehicle numbers'!$A$5:$A$162,0),1,1,1,$L$6)),4,1,COUNTIF('Vehicle numbers'!$A$5:$A$162,J3018),4),
    MATCH(L$8,'Vehicle numbers'!$B$4:$D$4,0))*1000</f>
        <v>4011322</v>
      </c>
      <c r="M3018" s="184">
        <f>VLOOKUP(F3018,'Annual distance covered (GB)'!$A$8:$H$33,MATCH(J3018,'Annual distance covered (GB)'!$A$7:$H$7,0))</f>
        <v>86</v>
      </c>
      <c r="N3018" s="2">
        <f t="shared" ca="1" si="106"/>
        <v>187701.70168764712</v>
      </c>
      <c r="O3018" s="180">
        <f t="shared" ca="1" si="107"/>
        <v>4.6792977897971572E-2</v>
      </c>
      <c r="P3018" s="180"/>
      <c r="Q3018" s="180"/>
      <c r="R3018" s="180"/>
      <c r="S3018" s="180"/>
      <c r="T3018" s="180"/>
    </row>
    <row r="3019" spans="1:20" x14ac:dyDescent="0.25">
      <c r="A3019" t="s">
        <v>243</v>
      </c>
      <c r="B3019" t="s">
        <v>237</v>
      </c>
      <c r="C3019" t="s">
        <v>238</v>
      </c>
      <c r="D3019" t="s">
        <v>257</v>
      </c>
      <c r="E3019" t="s">
        <v>229</v>
      </c>
      <c r="F3019">
        <v>2017</v>
      </c>
      <c r="G3019">
        <v>8.4840000000000002E-4</v>
      </c>
      <c r="H3019" t="s">
        <v>240</v>
      </c>
      <c r="I3019" t="s">
        <v>241</v>
      </c>
      <c r="J3019" t="s">
        <v>188</v>
      </c>
      <c r="K3019" s="183">
        <f ca="1">VLOOKUP(F3019,
    OFFSET(INDIRECT(ADDRESS(MATCH(J3019,'Vehicle numbers'!$A$5:$A$162,0),1,1,1,$L$6)),4,1,COUNTIF('Vehicle numbers'!$A$5:$A$162,J3019),4),
    MATCH(K$8,'Vehicle numbers'!$B$4:$D$4,0))*1000</f>
        <v>3898149</v>
      </c>
      <c r="L3019" s="183">
        <f ca="1">VLOOKUP(F3019,
    OFFSET(INDIRECT(ADDRESS(MATCH(J3019,'Vehicle numbers'!$A$5:$A$162,0),1,1,1,$L$6)),4,1,COUNTIF('Vehicle numbers'!$A$5:$A$162,J3019),4),
    MATCH(L$8,'Vehicle numbers'!$B$4:$D$4,0))*1000</f>
        <v>4011322</v>
      </c>
      <c r="M3019" s="184">
        <f>VLOOKUP(F3019,'Annual distance covered (GB)'!$A$8:$H$33,MATCH(J3019,'Annual distance covered (GB)'!$A$7:$H$7,0))</f>
        <v>86</v>
      </c>
      <c r="N3019" s="2">
        <f t="shared" ref="N3019:N3082" ca="1" si="108">M3019*G3019*1000000*(L3019/K3019)</f>
        <v>75080.680675058844</v>
      </c>
      <c r="O3019" s="180">
        <f t="shared" ref="O3019:O3082" ca="1" si="109">N3019/L3019</f>
        <v>1.8717191159188629E-2</v>
      </c>
      <c r="P3019" s="180"/>
      <c r="Q3019" s="180"/>
      <c r="R3019" s="180"/>
      <c r="S3019" s="180"/>
      <c r="T3019" s="180"/>
    </row>
    <row r="3020" spans="1:20" x14ac:dyDescent="0.25">
      <c r="A3020" t="s">
        <v>244</v>
      </c>
      <c r="B3020" t="s">
        <v>237</v>
      </c>
      <c r="C3020" t="s">
        <v>238</v>
      </c>
      <c r="D3020" t="s">
        <v>257</v>
      </c>
      <c r="E3020" t="s">
        <v>229</v>
      </c>
      <c r="F3020">
        <v>2017</v>
      </c>
      <c r="G3020">
        <v>2.1210000000000001E-4</v>
      </c>
      <c r="H3020" t="s">
        <v>240</v>
      </c>
      <c r="I3020" t="s">
        <v>241</v>
      </c>
      <c r="J3020" t="s">
        <v>188</v>
      </c>
      <c r="K3020" s="183">
        <f ca="1">VLOOKUP(F3020,
    OFFSET(INDIRECT(ADDRESS(MATCH(J3020,'Vehicle numbers'!$A$5:$A$162,0),1,1,1,$L$6)),4,1,COUNTIF('Vehicle numbers'!$A$5:$A$162,J3020),4),
    MATCH(K$8,'Vehicle numbers'!$B$4:$D$4,0))*1000</f>
        <v>3898149</v>
      </c>
      <c r="L3020" s="183">
        <f ca="1">VLOOKUP(F3020,
    OFFSET(INDIRECT(ADDRESS(MATCH(J3020,'Vehicle numbers'!$A$5:$A$162,0),1,1,1,$L$6)),4,1,COUNTIF('Vehicle numbers'!$A$5:$A$162,J3020),4),
    MATCH(L$8,'Vehicle numbers'!$B$4:$D$4,0))*1000</f>
        <v>4011322</v>
      </c>
      <c r="M3020" s="184">
        <f>VLOOKUP(F3020,'Annual distance covered (GB)'!$A$8:$H$33,MATCH(J3020,'Annual distance covered (GB)'!$A$7:$H$7,0))</f>
        <v>86</v>
      </c>
      <c r="N3020" s="2">
        <f t="shared" ca="1" si="108"/>
        <v>18770.170168764711</v>
      </c>
      <c r="O3020" s="180">
        <f t="shared" ca="1" si="109"/>
        <v>4.6792977897971572E-3</v>
      </c>
      <c r="P3020" s="180"/>
      <c r="Q3020" s="180"/>
      <c r="R3020" s="180"/>
      <c r="S3020" s="180"/>
      <c r="T3020" s="180"/>
    </row>
    <row r="3021" spans="1:20" x14ac:dyDescent="0.25">
      <c r="A3021" t="s">
        <v>246</v>
      </c>
      <c r="B3021" t="s">
        <v>237</v>
      </c>
      <c r="C3021" t="s">
        <v>238</v>
      </c>
      <c r="D3021" t="s">
        <v>257</v>
      </c>
      <c r="E3021" t="s">
        <v>229</v>
      </c>
      <c r="F3021">
        <v>2017</v>
      </c>
      <c r="G3021">
        <v>1.6967999999999999E-4</v>
      </c>
      <c r="H3021" t="s">
        <v>240</v>
      </c>
      <c r="I3021" t="s">
        <v>241</v>
      </c>
      <c r="J3021" t="s">
        <v>188</v>
      </c>
      <c r="K3021" s="183">
        <f ca="1">VLOOKUP(F3021,
    OFFSET(INDIRECT(ADDRESS(MATCH(J3021,'Vehicle numbers'!$A$5:$A$162,0),1,1,1,$L$6)),4,1,COUNTIF('Vehicle numbers'!$A$5:$A$162,J3021),4),
    MATCH(K$8,'Vehicle numbers'!$B$4:$D$4,0))*1000</f>
        <v>3898149</v>
      </c>
      <c r="L3021" s="183">
        <f ca="1">VLOOKUP(F3021,
    OFFSET(INDIRECT(ADDRESS(MATCH(J3021,'Vehicle numbers'!$A$5:$A$162,0),1,1,1,$L$6)),4,1,COUNTIF('Vehicle numbers'!$A$5:$A$162,J3021),4),
    MATCH(L$8,'Vehicle numbers'!$B$4:$D$4,0))*1000</f>
        <v>4011322</v>
      </c>
      <c r="M3021" s="184">
        <f>VLOOKUP(F3021,'Annual distance covered (GB)'!$A$8:$H$33,MATCH(J3021,'Annual distance covered (GB)'!$A$7:$H$7,0))</f>
        <v>86</v>
      </c>
      <c r="N3021" s="2">
        <f t="shared" ca="1" si="108"/>
        <v>15016.13613501177</v>
      </c>
      <c r="O3021" s="180">
        <f t="shared" ca="1" si="109"/>
        <v>3.7434382318377256E-3</v>
      </c>
      <c r="P3021" s="180"/>
      <c r="Q3021" s="180"/>
      <c r="R3021" s="180"/>
      <c r="S3021" s="180"/>
      <c r="T3021" s="180"/>
    </row>
    <row r="3022" spans="1:20" x14ac:dyDescent="0.25">
      <c r="A3022" t="s">
        <v>236</v>
      </c>
      <c r="B3022" t="s">
        <v>237</v>
      </c>
      <c r="C3022" t="s">
        <v>238</v>
      </c>
      <c r="D3022" t="s">
        <v>257</v>
      </c>
      <c r="E3022" t="s">
        <v>228</v>
      </c>
      <c r="F3022">
        <v>2017</v>
      </c>
      <c r="G3022">
        <v>9.1459999999999805E-3</v>
      </c>
      <c r="H3022" t="s">
        <v>240</v>
      </c>
      <c r="I3022" t="s">
        <v>241</v>
      </c>
      <c r="J3022" t="s">
        <v>188</v>
      </c>
      <c r="K3022" s="183">
        <f ca="1">VLOOKUP(F3022,
    OFFSET(INDIRECT(ADDRESS(MATCH(J3022,'Vehicle numbers'!$A$5:$A$162,0),1,1,1,$L$6)),4,1,COUNTIF('Vehicle numbers'!$A$5:$A$162,J3022),4),
    MATCH(K$8,'Vehicle numbers'!$B$4:$D$4,0))*1000</f>
        <v>3898149</v>
      </c>
      <c r="L3022" s="183">
        <f ca="1">VLOOKUP(F3022,
    OFFSET(INDIRECT(ADDRESS(MATCH(J3022,'Vehicle numbers'!$A$5:$A$162,0),1,1,1,$L$6)),4,1,COUNTIF('Vehicle numbers'!$A$5:$A$162,J3022),4),
    MATCH(L$8,'Vehicle numbers'!$B$4:$D$4,0))*1000</f>
        <v>4011322</v>
      </c>
      <c r="M3022" s="184">
        <f>VLOOKUP(F3022,'Annual distance covered (GB)'!$A$8:$H$33,MATCH(J3022,'Annual distance covered (GB)'!$A$7:$H$7,0))</f>
        <v>86</v>
      </c>
      <c r="N3022" s="2">
        <f t="shared" ca="1" si="108"/>
        <v>809391.68488223338</v>
      </c>
      <c r="O3022" s="180">
        <f t="shared" ca="1" si="109"/>
        <v>0.20177679201077187</v>
      </c>
      <c r="P3022" s="180"/>
      <c r="Q3022" s="180"/>
      <c r="R3022" s="180"/>
      <c r="S3022" s="180"/>
      <c r="T3022" s="180"/>
    </row>
    <row r="3023" spans="1:20" x14ac:dyDescent="0.25">
      <c r="A3023" t="s">
        <v>243</v>
      </c>
      <c r="B3023" t="s">
        <v>237</v>
      </c>
      <c r="C3023" t="s">
        <v>238</v>
      </c>
      <c r="D3023" t="s">
        <v>257</v>
      </c>
      <c r="E3023" t="s">
        <v>228</v>
      </c>
      <c r="F3023">
        <v>2017</v>
      </c>
      <c r="G3023">
        <v>6.4021999999999898E-3</v>
      </c>
      <c r="H3023" t="s">
        <v>240</v>
      </c>
      <c r="I3023" t="s">
        <v>241</v>
      </c>
      <c r="J3023" t="s">
        <v>188</v>
      </c>
      <c r="K3023" s="183">
        <f ca="1">VLOOKUP(F3023,
    OFFSET(INDIRECT(ADDRESS(MATCH(J3023,'Vehicle numbers'!$A$5:$A$162,0),1,1,1,$L$6)),4,1,COUNTIF('Vehicle numbers'!$A$5:$A$162,J3023),4),
    MATCH(K$8,'Vehicle numbers'!$B$4:$D$4,0))*1000</f>
        <v>3898149</v>
      </c>
      <c r="L3023" s="183">
        <f ca="1">VLOOKUP(F3023,
    OFFSET(INDIRECT(ADDRESS(MATCH(J3023,'Vehicle numbers'!$A$5:$A$162,0),1,1,1,$L$6)),4,1,COUNTIF('Vehicle numbers'!$A$5:$A$162,J3023),4),
    MATCH(L$8,'Vehicle numbers'!$B$4:$D$4,0))*1000</f>
        <v>4011322</v>
      </c>
      <c r="M3023" s="184">
        <f>VLOOKUP(F3023,'Annual distance covered (GB)'!$A$8:$H$33,MATCH(J3023,'Annual distance covered (GB)'!$A$7:$H$7,0))</f>
        <v>86</v>
      </c>
      <c r="N3023" s="2">
        <f t="shared" ca="1" si="108"/>
        <v>566574.17941756372</v>
      </c>
      <c r="O3023" s="180">
        <f t="shared" ca="1" si="109"/>
        <v>0.14124375440754039</v>
      </c>
      <c r="P3023" s="180"/>
      <c r="Q3023" s="180"/>
      <c r="R3023" s="180"/>
      <c r="S3023" s="180"/>
      <c r="T3023" s="180"/>
    </row>
    <row r="3024" spans="1:20" x14ac:dyDescent="0.25">
      <c r="A3024" t="s">
        <v>244</v>
      </c>
      <c r="B3024" t="s">
        <v>237</v>
      </c>
      <c r="C3024" t="s">
        <v>238</v>
      </c>
      <c r="D3024" t="s">
        <v>257</v>
      </c>
      <c r="E3024" t="s">
        <v>228</v>
      </c>
      <c r="F3024">
        <v>2017</v>
      </c>
      <c r="G3024">
        <v>9.0171830985915204E-4</v>
      </c>
      <c r="H3024" t="s">
        <v>240</v>
      </c>
      <c r="I3024" t="s">
        <v>241</v>
      </c>
      <c r="J3024" t="s">
        <v>188</v>
      </c>
      <c r="K3024" s="183">
        <f ca="1">VLOOKUP(F3024,
    OFFSET(INDIRECT(ADDRESS(MATCH(J3024,'Vehicle numbers'!$A$5:$A$162,0),1,1,1,$L$6)),4,1,COUNTIF('Vehicle numbers'!$A$5:$A$162,J3024),4),
    MATCH(K$8,'Vehicle numbers'!$B$4:$D$4,0))*1000</f>
        <v>3898149</v>
      </c>
      <c r="L3024" s="183">
        <f ca="1">VLOOKUP(F3024,
    OFFSET(INDIRECT(ADDRESS(MATCH(J3024,'Vehicle numbers'!$A$5:$A$162,0),1,1,1,$L$6)),4,1,COUNTIF('Vehicle numbers'!$A$5:$A$162,J3024),4),
    MATCH(L$8,'Vehicle numbers'!$B$4:$D$4,0))*1000</f>
        <v>4011322</v>
      </c>
      <c r="M3024" s="184">
        <f>VLOOKUP(F3024,'Annual distance covered (GB)'!$A$8:$H$33,MATCH(J3024,'Annual distance covered (GB)'!$A$7:$H$7,0))</f>
        <v>86</v>
      </c>
      <c r="N3024" s="2">
        <f t="shared" ca="1" si="108"/>
        <v>79799.180199656737</v>
      </c>
      <c r="O3024" s="180">
        <f t="shared" ca="1" si="109"/>
        <v>1.9893486536273264E-2</v>
      </c>
      <c r="P3024" s="180"/>
      <c r="Q3024" s="180"/>
      <c r="R3024" s="180"/>
      <c r="S3024" s="180"/>
      <c r="T3024" s="180"/>
    </row>
    <row r="3025" spans="1:20" x14ac:dyDescent="0.25">
      <c r="A3025" t="s">
        <v>246</v>
      </c>
      <c r="B3025" t="s">
        <v>237</v>
      </c>
      <c r="C3025" t="s">
        <v>238</v>
      </c>
      <c r="D3025" t="s">
        <v>257</v>
      </c>
      <c r="E3025" t="s">
        <v>228</v>
      </c>
      <c r="F3025">
        <v>2017</v>
      </c>
      <c r="G3025">
        <v>7.2137464788732202E-4</v>
      </c>
      <c r="H3025" t="s">
        <v>240</v>
      </c>
      <c r="I3025" t="s">
        <v>241</v>
      </c>
      <c r="J3025" t="s">
        <v>188</v>
      </c>
      <c r="K3025" s="183">
        <f ca="1">VLOOKUP(F3025,
    OFFSET(INDIRECT(ADDRESS(MATCH(J3025,'Vehicle numbers'!$A$5:$A$162,0),1,1,1,$L$6)),4,1,COUNTIF('Vehicle numbers'!$A$5:$A$162,J3025),4),
    MATCH(K$8,'Vehicle numbers'!$B$4:$D$4,0))*1000</f>
        <v>3898149</v>
      </c>
      <c r="L3025" s="183">
        <f ca="1">VLOOKUP(F3025,
    OFFSET(INDIRECT(ADDRESS(MATCH(J3025,'Vehicle numbers'!$A$5:$A$162,0),1,1,1,$L$6)),4,1,COUNTIF('Vehicle numbers'!$A$5:$A$162,J3025),4),
    MATCH(L$8,'Vehicle numbers'!$B$4:$D$4,0))*1000</f>
        <v>4011322</v>
      </c>
      <c r="M3025" s="184">
        <f>VLOOKUP(F3025,'Annual distance covered (GB)'!$A$8:$H$33,MATCH(J3025,'Annual distance covered (GB)'!$A$7:$H$7,0))</f>
        <v>86</v>
      </c>
      <c r="N3025" s="2">
        <f t="shared" ca="1" si="108"/>
        <v>63839.344159725413</v>
      </c>
      <c r="O3025" s="180">
        <f t="shared" ca="1" si="109"/>
        <v>1.5914789229018615E-2</v>
      </c>
      <c r="P3025" s="180"/>
      <c r="Q3025" s="180"/>
      <c r="R3025" s="180"/>
      <c r="S3025" s="180"/>
      <c r="T3025" s="180"/>
    </row>
    <row r="3026" spans="1:20" x14ac:dyDescent="0.25">
      <c r="A3026" t="s">
        <v>236</v>
      </c>
      <c r="B3026" t="s">
        <v>237</v>
      </c>
      <c r="C3026" t="s">
        <v>238</v>
      </c>
      <c r="D3026" t="s">
        <v>258</v>
      </c>
      <c r="E3026" t="s">
        <v>229</v>
      </c>
      <c r="F3026">
        <v>2017</v>
      </c>
      <c r="G3026">
        <v>8.6219999999999908E-3</v>
      </c>
      <c r="H3026" t="s">
        <v>240</v>
      </c>
      <c r="I3026" t="s">
        <v>241</v>
      </c>
      <c r="J3026" t="s">
        <v>188</v>
      </c>
      <c r="K3026" s="183">
        <f ca="1">VLOOKUP(F3026,
    OFFSET(INDIRECT(ADDRESS(MATCH(J3026,'Vehicle numbers'!$A$5:$A$162,0),1,1,1,$L$6)),4,1,COUNTIF('Vehicle numbers'!$A$5:$A$162,J3026),4),
    MATCH(K$8,'Vehicle numbers'!$B$4:$D$4,0))*1000</f>
        <v>3898149</v>
      </c>
      <c r="L3026" s="183">
        <f ca="1">VLOOKUP(F3026,
    OFFSET(INDIRECT(ADDRESS(MATCH(J3026,'Vehicle numbers'!$A$5:$A$162,0),1,1,1,$L$6)),4,1,COUNTIF('Vehicle numbers'!$A$5:$A$162,J3026),4),
    MATCH(L$8,'Vehicle numbers'!$B$4:$D$4,0))*1000</f>
        <v>4011322</v>
      </c>
      <c r="M3026" s="184">
        <f>VLOOKUP(F3026,'Annual distance covered (GB)'!$A$8:$H$33,MATCH(J3026,'Annual distance covered (GB)'!$A$7:$H$7,0))</f>
        <v>86</v>
      </c>
      <c r="N3026" s="2">
        <f t="shared" ca="1" si="108"/>
        <v>763019.36442757747</v>
      </c>
      <c r="O3026" s="180">
        <f t="shared" ca="1" si="109"/>
        <v>0.19021643349189557</v>
      </c>
      <c r="P3026" s="180"/>
      <c r="Q3026" s="180"/>
      <c r="R3026" s="180"/>
      <c r="S3026" s="180"/>
      <c r="T3026" s="180"/>
    </row>
    <row r="3027" spans="1:20" x14ac:dyDescent="0.25">
      <c r="A3027" t="s">
        <v>243</v>
      </c>
      <c r="B3027" t="s">
        <v>237</v>
      </c>
      <c r="C3027" t="s">
        <v>238</v>
      </c>
      <c r="D3027" t="s">
        <v>258</v>
      </c>
      <c r="E3027" t="s">
        <v>229</v>
      </c>
      <c r="F3027">
        <v>2017</v>
      </c>
      <c r="G3027">
        <v>3.4488000000000001E-3</v>
      </c>
      <c r="H3027" t="s">
        <v>240</v>
      </c>
      <c r="I3027" t="s">
        <v>241</v>
      </c>
      <c r="J3027" t="s">
        <v>188</v>
      </c>
      <c r="K3027" s="183">
        <f ca="1">VLOOKUP(F3027,
    OFFSET(INDIRECT(ADDRESS(MATCH(J3027,'Vehicle numbers'!$A$5:$A$162,0),1,1,1,$L$6)),4,1,COUNTIF('Vehicle numbers'!$A$5:$A$162,J3027),4),
    MATCH(K$8,'Vehicle numbers'!$B$4:$D$4,0))*1000</f>
        <v>3898149</v>
      </c>
      <c r="L3027" s="183">
        <f ca="1">VLOOKUP(F3027,
    OFFSET(INDIRECT(ADDRESS(MATCH(J3027,'Vehicle numbers'!$A$5:$A$162,0),1,1,1,$L$6)),4,1,COUNTIF('Vehicle numbers'!$A$5:$A$162,J3027),4),
    MATCH(L$8,'Vehicle numbers'!$B$4:$D$4,0))*1000</f>
        <v>4011322</v>
      </c>
      <c r="M3027" s="184">
        <f>VLOOKUP(F3027,'Annual distance covered (GB)'!$A$8:$H$33,MATCH(J3027,'Annual distance covered (GB)'!$A$7:$H$7,0))</f>
        <v>86</v>
      </c>
      <c r="N3027" s="2">
        <f t="shared" ca="1" si="108"/>
        <v>305207.7457710313</v>
      </c>
      <c r="O3027" s="180">
        <f t="shared" ca="1" si="109"/>
        <v>7.6086573396758297E-2</v>
      </c>
      <c r="P3027" s="180"/>
      <c r="Q3027" s="180"/>
      <c r="R3027" s="180"/>
      <c r="S3027" s="180"/>
      <c r="T3027" s="180"/>
    </row>
    <row r="3028" spans="1:20" x14ac:dyDescent="0.25">
      <c r="A3028" t="s">
        <v>244</v>
      </c>
      <c r="B3028" t="s">
        <v>237</v>
      </c>
      <c r="C3028" t="s">
        <v>238</v>
      </c>
      <c r="D3028" t="s">
        <v>258</v>
      </c>
      <c r="E3028" t="s">
        <v>229</v>
      </c>
      <c r="F3028">
        <v>2017</v>
      </c>
      <c r="G3028">
        <v>8.6220000000000003E-4</v>
      </c>
      <c r="H3028" t="s">
        <v>240</v>
      </c>
      <c r="I3028" t="s">
        <v>241</v>
      </c>
      <c r="J3028" t="s">
        <v>188</v>
      </c>
      <c r="K3028" s="183">
        <f ca="1">VLOOKUP(F3028,
    OFFSET(INDIRECT(ADDRESS(MATCH(J3028,'Vehicle numbers'!$A$5:$A$162,0),1,1,1,$L$6)),4,1,COUNTIF('Vehicle numbers'!$A$5:$A$162,J3028),4),
    MATCH(K$8,'Vehicle numbers'!$B$4:$D$4,0))*1000</f>
        <v>3898149</v>
      </c>
      <c r="L3028" s="183">
        <f ca="1">VLOOKUP(F3028,
    OFFSET(INDIRECT(ADDRESS(MATCH(J3028,'Vehicle numbers'!$A$5:$A$162,0),1,1,1,$L$6)),4,1,COUNTIF('Vehicle numbers'!$A$5:$A$162,J3028),4),
    MATCH(L$8,'Vehicle numbers'!$B$4:$D$4,0))*1000</f>
        <v>4011322</v>
      </c>
      <c r="M3028" s="184">
        <f>VLOOKUP(F3028,'Annual distance covered (GB)'!$A$8:$H$33,MATCH(J3028,'Annual distance covered (GB)'!$A$7:$H$7,0))</f>
        <v>86</v>
      </c>
      <c r="N3028" s="2">
        <f t="shared" ca="1" si="108"/>
        <v>76301.936442757826</v>
      </c>
      <c r="O3028" s="180">
        <f t="shared" ca="1" si="109"/>
        <v>1.9021643349189574E-2</v>
      </c>
      <c r="P3028" s="180"/>
      <c r="Q3028" s="180"/>
      <c r="R3028" s="180"/>
      <c r="S3028" s="180"/>
      <c r="T3028" s="180"/>
    </row>
    <row r="3029" spans="1:20" x14ac:dyDescent="0.25">
      <c r="A3029" t="s">
        <v>246</v>
      </c>
      <c r="B3029" t="s">
        <v>237</v>
      </c>
      <c r="C3029" t="s">
        <v>238</v>
      </c>
      <c r="D3029" t="s">
        <v>258</v>
      </c>
      <c r="E3029" t="s">
        <v>229</v>
      </c>
      <c r="F3029">
        <v>2017</v>
      </c>
      <c r="G3029">
        <v>6.8975999999999998E-4</v>
      </c>
      <c r="H3029" t="s">
        <v>240</v>
      </c>
      <c r="I3029" t="s">
        <v>241</v>
      </c>
      <c r="J3029" t="s">
        <v>188</v>
      </c>
      <c r="K3029" s="183">
        <f ca="1">VLOOKUP(F3029,
    OFFSET(INDIRECT(ADDRESS(MATCH(J3029,'Vehicle numbers'!$A$5:$A$162,0),1,1,1,$L$6)),4,1,COUNTIF('Vehicle numbers'!$A$5:$A$162,J3029),4),
    MATCH(K$8,'Vehicle numbers'!$B$4:$D$4,0))*1000</f>
        <v>3898149</v>
      </c>
      <c r="L3029" s="183">
        <f ca="1">VLOOKUP(F3029,
    OFFSET(INDIRECT(ADDRESS(MATCH(J3029,'Vehicle numbers'!$A$5:$A$162,0),1,1,1,$L$6)),4,1,COUNTIF('Vehicle numbers'!$A$5:$A$162,J3029),4),
    MATCH(L$8,'Vehicle numbers'!$B$4:$D$4,0))*1000</f>
        <v>4011322</v>
      </c>
      <c r="M3029" s="184">
        <f>VLOOKUP(F3029,'Annual distance covered (GB)'!$A$8:$H$33,MATCH(J3029,'Annual distance covered (GB)'!$A$7:$H$7,0))</f>
        <v>86</v>
      </c>
      <c r="N3029" s="2">
        <f t="shared" ca="1" si="108"/>
        <v>61041.549154206259</v>
      </c>
      <c r="O3029" s="180">
        <f t="shared" ca="1" si="109"/>
        <v>1.5217314679351659E-2</v>
      </c>
      <c r="P3029" s="180"/>
      <c r="Q3029" s="180"/>
      <c r="R3029" s="180"/>
      <c r="S3029" s="180"/>
      <c r="T3029" s="180"/>
    </row>
    <row r="3030" spans="1:20" x14ac:dyDescent="0.25">
      <c r="A3030" t="s">
        <v>236</v>
      </c>
      <c r="B3030" t="s">
        <v>237</v>
      </c>
      <c r="C3030" t="s">
        <v>238</v>
      </c>
      <c r="D3030" t="s">
        <v>258</v>
      </c>
      <c r="E3030" t="s">
        <v>228</v>
      </c>
      <c r="F3030">
        <v>2017</v>
      </c>
      <c r="G3030">
        <v>1.0741000000000001E-2</v>
      </c>
      <c r="H3030" t="s">
        <v>240</v>
      </c>
      <c r="I3030" t="s">
        <v>241</v>
      </c>
      <c r="J3030" t="s">
        <v>188</v>
      </c>
      <c r="K3030" s="183">
        <f ca="1">VLOOKUP(F3030,
    OFFSET(INDIRECT(ADDRESS(MATCH(J3030,'Vehicle numbers'!$A$5:$A$162,0),1,1,1,$L$6)),4,1,COUNTIF('Vehicle numbers'!$A$5:$A$162,J3030),4),
    MATCH(K$8,'Vehicle numbers'!$B$4:$D$4,0))*1000</f>
        <v>3898149</v>
      </c>
      <c r="L3030" s="183">
        <f ca="1">VLOOKUP(F3030,
    OFFSET(INDIRECT(ADDRESS(MATCH(J3030,'Vehicle numbers'!$A$5:$A$162,0),1,1,1,$L$6)),4,1,COUNTIF('Vehicle numbers'!$A$5:$A$162,J3030),4),
    MATCH(L$8,'Vehicle numbers'!$B$4:$D$4,0))*1000</f>
        <v>4011322</v>
      </c>
      <c r="M3030" s="184">
        <f>VLOOKUP(F3030,'Annual distance covered (GB)'!$A$8:$H$33,MATCH(J3030,'Annual distance covered (GB)'!$A$7:$H$7,0))</f>
        <v>86</v>
      </c>
      <c r="N3030" s="2">
        <f t="shared" ca="1" si="108"/>
        <v>950544.07252570381</v>
      </c>
      <c r="O3030" s="180">
        <f t="shared" ca="1" si="109"/>
        <v>0.23696528788407009</v>
      </c>
      <c r="P3030" s="180"/>
      <c r="Q3030" s="180"/>
      <c r="R3030" s="180"/>
      <c r="S3030" s="180"/>
      <c r="T3030" s="180"/>
    </row>
    <row r="3031" spans="1:20" x14ac:dyDescent="0.25">
      <c r="A3031" t="s">
        <v>243</v>
      </c>
      <c r="B3031" t="s">
        <v>237</v>
      </c>
      <c r="C3031" t="s">
        <v>238</v>
      </c>
      <c r="D3031" t="s">
        <v>258</v>
      </c>
      <c r="E3031" t="s">
        <v>228</v>
      </c>
      <c r="F3031">
        <v>2017</v>
      </c>
      <c r="G3031">
        <v>7.5186999999999997E-3</v>
      </c>
      <c r="H3031" t="s">
        <v>240</v>
      </c>
      <c r="I3031" t="s">
        <v>241</v>
      </c>
      <c r="J3031" t="s">
        <v>188</v>
      </c>
      <c r="K3031" s="183">
        <f ca="1">VLOOKUP(F3031,
    OFFSET(INDIRECT(ADDRESS(MATCH(J3031,'Vehicle numbers'!$A$5:$A$162,0),1,1,1,$L$6)),4,1,COUNTIF('Vehicle numbers'!$A$5:$A$162,J3031),4),
    MATCH(K$8,'Vehicle numbers'!$B$4:$D$4,0))*1000</f>
        <v>3898149</v>
      </c>
      <c r="L3031" s="183">
        <f ca="1">VLOOKUP(F3031,
    OFFSET(INDIRECT(ADDRESS(MATCH(J3031,'Vehicle numbers'!$A$5:$A$162,0),1,1,1,$L$6)),4,1,COUNTIF('Vehicle numbers'!$A$5:$A$162,J3031),4),
    MATCH(L$8,'Vehicle numbers'!$B$4:$D$4,0))*1000</f>
        <v>4011322</v>
      </c>
      <c r="M3031" s="184">
        <f>VLOOKUP(F3031,'Annual distance covered (GB)'!$A$8:$H$33,MATCH(J3031,'Annual distance covered (GB)'!$A$7:$H$7,0))</f>
        <v>86</v>
      </c>
      <c r="N3031" s="2">
        <f t="shared" ca="1" si="108"/>
        <v>665380.85076799267</v>
      </c>
      <c r="O3031" s="180">
        <f t="shared" ca="1" si="109"/>
        <v>0.16587570151884906</v>
      </c>
      <c r="P3031" s="180"/>
      <c r="Q3031" s="180"/>
      <c r="R3031" s="180"/>
      <c r="S3031" s="180"/>
      <c r="T3031" s="180"/>
    </row>
    <row r="3032" spans="1:20" x14ac:dyDescent="0.25">
      <c r="A3032" t="s">
        <v>244</v>
      </c>
      <c r="B3032" t="s">
        <v>237</v>
      </c>
      <c r="C3032" t="s">
        <v>238</v>
      </c>
      <c r="D3032" t="s">
        <v>258</v>
      </c>
      <c r="E3032" t="s">
        <v>228</v>
      </c>
      <c r="F3032">
        <v>2017</v>
      </c>
      <c r="G3032">
        <v>1.05897183098591E-3</v>
      </c>
      <c r="H3032" t="s">
        <v>240</v>
      </c>
      <c r="I3032" t="s">
        <v>241</v>
      </c>
      <c r="J3032" t="s">
        <v>188</v>
      </c>
      <c r="K3032" s="183">
        <f ca="1">VLOOKUP(F3032,
    OFFSET(INDIRECT(ADDRESS(MATCH(J3032,'Vehicle numbers'!$A$5:$A$162,0),1,1,1,$L$6)),4,1,COUNTIF('Vehicle numbers'!$A$5:$A$162,J3032),4),
    MATCH(K$8,'Vehicle numbers'!$B$4:$D$4,0))*1000</f>
        <v>3898149</v>
      </c>
      <c r="L3032" s="183">
        <f ca="1">VLOOKUP(F3032,
    OFFSET(INDIRECT(ADDRESS(MATCH(J3032,'Vehicle numbers'!$A$5:$A$162,0),1,1,1,$L$6)),4,1,COUNTIF('Vehicle numbers'!$A$5:$A$162,J3032),4),
    MATCH(L$8,'Vehicle numbers'!$B$4:$D$4,0))*1000</f>
        <v>4011322</v>
      </c>
      <c r="M3032" s="184">
        <f>VLOOKUP(F3032,'Annual distance covered (GB)'!$A$8:$H$33,MATCH(J3032,'Annual distance covered (GB)'!$A$7:$H$7,0))</f>
        <v>86</v>
      </c>
      <c r="N3032" s="2">
        <f t="shared" ca="1" si="108"/>
        <v>93715.612784223835</v>
      </c>
      <c r="O3032" s="180">
        <f t="shared" ca="1" si="109"/>
        <v>2.3362774861809606E-2</v>
      </c>
      <c r="P3032" s="180"/>
      <c r="Q3032" s="180"/>
      <c r="R3032" s="180"/>
      <c r="S3032" s="180"/>
      <c r="T3032" s="180"/>
    </row>
    <row r="3033" spans="1:20" x14ac:dyDescent="0.25">
      <c r="A3033" t="s">
        <v>246</v>
      </c>
      <c r="B3033" t="s">
        <v>237</v>
      </c>
      <c r="C3033" t="s">
        <v>238</v>
      </c>
      <c r="D3033" t="s">
        <v>258</v>
      </c>
      <c r="E3033" t="s">
        <v>228</v>
      </c>
      <c r="F3033">
        <v>2017</v>
      </c>
      <c r="G3033">
        <v>8.47177464788731E-4</v>
      </c>
      <c r="H3033" t="s">
        <v>240</v>
      </c>
      <c r="I3033" t="s">
        <v>241</v>
      </c>
      <c r="J3033" t="s">
        <v>188</v>
      </c>
      <c r="K3033" s="183">
        <f ca="1">VLOOKUP(F3033,
    OFFSET(INDIRECT(ADDRESS(MATCH(J3033,'Vehicle numbers'!$A$5:$A$162,0),1,1,1,$L$6)),4,1,COUNTIF('Vehicle numbers'!$A$5:$A$162,J3033),4),
    MATCH(K$8,'Vehicle numbers'!$B$4:$D$4,0))*1000</f>
        <v>3898149</v>
      </c>
      <c r="L3033" s="183">
        <f ca="1">VLOOKUP(F3033,
    OFFSET(INDIRECT(ADDRESS(MATCH(J3033,'Vehicle numbers'!$A$5:$A$162,0),1,1,1,$L$6)),4,1,COUNTIF('Vehicle numbers'!$A$5:$A$162,J3033),4),
    MATCH(L$8,'Vehicle numbers'!$B$4:$D$4,0))*1000</f>
        <v>4011322</v>
      </c>
      <c r="M3033" s="184">
        <f>VLOOKUP(F3033,'Annual distance covered (GB)'!$A$8:$H$33,MATCH(J3033,'Annual distance covered (GB)'!$A$7:$H$7,0))</f>
        <v>86</v>
      </c>
      <c r="N3033" s="2">
        <f t="shared" ca="1" si="108"/>
        <v>74972.490227379341</v>
      </c>
      <c r="O3033" s="180">
        <f t="shared" ca="1" si="109"/>
        <v>1.8690219889447753E-2</v>
      </c>
      <c r="P3033" s="180"/>
      <c r="Q3033" s="180"/>
      <c r="R3033" s="180"/>
      <c r="S3033" s="180"/>
      <c r="T3033" s="180"/>
    </row>
    <row r="3034" spans="1:20" x14ac:dyDescent="0.25">
      <c r="A3034" t="s">
        <v>236</v>
      </c>
      <c r="B3034" t="s">
        <v>237</v>
      </c>
      <c r="C3034" t="s">
        <v>238</v>
      </c>
      <c r="D3034" t="s">
        <v>259</v>
      </c>
      <c r="E3034" t="s">
        <v>229</v>
      </c>
      <c r="F3034">
        <v>2017</v>
      </c>
      <c r="G3034">
        <v>1.8218999999999999E-2</v>
      </c>
      <c r="H3034" t="s">
        <v>240</v>
      </c>
      <c r="I3034" t="s">
        <v>241</v>
      </c>
      <c r="J3034" t="s">
        <v>188</v>
      </c>
      <c r="K3034" s="183">
        <f ca="1">VLOOKUP(F3034,
    OFFSET(INDIRECT(ADDRESS(MATCH(J3034,'Vehicle numbers'!$A$5:$A$162,0),1,1,1,$L$6)),4,1,COUNTIF('Vehicle numbers'!$A$5:$A$162,J3034),4),
    MATCH(K$8,'Vehicle numbers'!$B$4:$D$4,0))*1000</f>
        <v>3898149</v>
      </c>
      <c r="L3034" s="183">
        <f ca="1">VLOOKUP(F3034,
    OFFSET(INDIRECT(ADDRESS(MATCH(J3034,'Vehicle numbers'!$A$5:$A$162,0),1,1,1,$L$6)),4,1,COUNTIF('Vehicle numbers'!$A$5:$A$162,J3034),4),
    MATCH(L$8,'Vehicle numbers'!$B$4:$D$4,0))*1000</f>
        <v>4011322</v>
      </c>
      <c r="M3034" s="184">
        <f>VLOOKUP(F3034,'Annual distance covered (GB)'!$A$8:$H$33,MATCH(J3034,'Annual distance covered (GB)'!$A$7:$H$7,0))</f>
        <v>86</v>
      </c>
      <c r="N3034" s="2">
        <f t="shared" ca="1" si="108"/>
        <v>1612323.1037469318</v>
      </c>
      <c r="O3034" s="180">
        <f t="shared" ca="1" si="109"/>
        <v>0.40194307605994528</v>
      </c>
      <c r="P3034" s="180"/>
      <c r="Q3034" s="180"/>
      <c r="R3034" s="180"/>
      <c r="S3034" s="180"/>
      <c r="T3034" s="180"/>
    </row>
    <row r="3035" spans="1:20" x14ac:dyDescent="0.25">
      <c r="A3035" t="s">
        <v>243</v>
      </c>
      <c r="B3035" t="s">
        <v>237</v>
      </c>
      <c r="C3035" t="s">
        <v>238</v>
      </c>
      <c r="D3035" t="s">
        <v>259</v>
      </c>
      <c r="E3035" t="s">
        <v>229</v>
      </c>
      <c r="F3035">
        <v>2017</v>
      </c>
      <c r="G3035">
        <v>7.2876E-3</v>
      </c>
      <c r="H3035" t="s">
        <v>240</v>
      </c>
      <c r="I3035" t="s">
        <v>241</v>
      </c>
      <c r="J3035" t="s">
        <v>188</v>
      </c>
      <c r="K3035" s="183">
        <f ca="1">VLOOKUP(F3035,
    OFFSET(INDIRECT(ADDRESS(MATCH(J3035,'Vehicle numbers'!$A$5:$A$162,0),1,1,1,$L$6)),4,1,COUNTIF('Vehicle numbers'!$A$5:$A$162,J3035),4),
    MATCH(K$8,'Vehicle numbers'!$B$4:$D$4,0))*1000</f>
        <v>3898149</v>
      </c>
      <c r="L3035" s="183">
        <f ca="1">VLOOKUP(F3035,
    OFFSET(INDIRECT(ADDRESS(MATCH(J3035,'Vehicle numbers'!$A$5:$A$162,0),1,1,1,$L$6)),4,1,COUNTIF('Vehicle numbers'!$A$5:$A$162,J3035),4),
    MATCH(L$8,'Vehicle numbers'!$B$4:$D$4,0))*1000</f>
        <v>4011322</v>
      </c>
      <c r="M3035" s="184">
        <f>VLOOKUP(F3035,'Annual distance covered (GB)'!$A$8:$H$33,MATCH(J3035,'Annual distance covered (GB)'!$A$7:$H$7,0))</f>
        <v>86</v>
      </c>
      <c r="N3035" s="2">
        <f t="shared" ca="1" si="108"/>
        <v>644929.24149877287</v>
      </c>
      <c r="O3035" s="180">
        <f t="shared" ca="1" si="109"/>
        <v>0.16077723042397815</v>
      </c>
      <c r="P3035" s="180"/>
      <c r="Q3035" s="180"/>
      <c r="R3035" s="180"/>
      <c r="S3035" s="180"/>
      <c r="T3035" s="180"/>
    </row>
    <row r="3036" spans="1:20" x14ac:dyDescent="0.25">
      <c r="A3036" t="s">
        <v>244</v>
      </c>
      <c r="B3036" t="s">
        <v>237</v>
      </c>
      <c r="C3036" t="s">
        <v>238</v>
      </c>
      <c r="D3036" t="s">
        <v>259</v>
      </c>
      <c r="E3036" t="s">
        <v>229</v>
      </c>
      <c r="F3036">
        <v>2017</v>
      </c>
      <c r="G3036">
        <v>1.8219E-3</v>
      </c>
      <c r="H3036" t="s">
        <v>240</v>
      </c>
      <c r="I3036" t="s">
        <v>241</v>
      </c>
      <c r="J3036" t="s">
        <v>188</v>
      </c>
      <c r="K3036" s="183">
        <f ca="1">VLOOKUP(F3036,
    OFFSET(INDIRECT(ADDRESS(MATCH(J3036,'Vehicle numbers'!$A$5:$A$162,0),1,1,1,$L$6)),4,1,COUNTIF('Vehicle numbers'!$A$5:$A$162,J3036),4),
    MATCH(K$8,'Vehicle numbers'!$B$4:$D$4,0))*1000</f>
        <v>3898149</v>
      </c>
      <c r="L3036" s="183">
        <f ca="1">VLOOKUP(F3036,
    OFFSET(INDIRECT(ADDRESS(MATCH(J3036,'Vehicle numbers'!$A$5:$A$162,0),1,1,1,$L$6)),4,1,COUNTIF('Vehicle numbers'!$A$5:$A$162,J3036),4),
    MATCH(L$8,'Vehicle numbers'!$B$4:$D$4,0))*1000</f>
        <v>4011322</v>
      </c>
      <c r="M3036" s="184">
        <f>VLOOKUP(F3036,'Annual distance covered (GB)'!$A$8:$H$33,MATCH(J3036,'Annual distance covered (GB)'!$A$7:$H$7,0))</f>
        <v>86</v>
      </c>
      <c r="N3036" s="2">
        <f t="shared" ca="1" si="108"/>
        <v>161232.31037469322</v>
      </c>
      <c r="O3036" s="180">
        <f t="shared" ca="1" si="109"/>
        <v>4.0194307605994538E-2</v>
      </c>
      <c r="P3036" s="180"/>
      <c r="Q3036" s="180"/>
      <c r="R3036" s="180"/>
      <c r="S3036" s="180"/>
      <c r="T3036" s="180"/>
    </row>
    <row r="3037" spans="1:20" x14ac:dyDescent="0.25">
      <c r="A3037" t="s">
        <v>246</v>
      </c>
      <c r="B3037" t="s">
        <v>237</v>
      </c>
      <c r="C3037" t="s">
        <v>238</v>
      </c>
      <c r="D3037" t="s">
        <v>259</v>
      </c>
      <c r="E3037" t="s">
        <v>229</v>
      </c>
      <c r="F3037">
        <v>2017</v>
      </c>
      <c r="G3037">
        <v>1.4575199999999999E-3</v>
      </c>
      <c r="H3037" t="s">
        <v>240</v>
      </c>
      <c r="I3037" t="s">
        <v>241</v>
      </c>
      <c r="J3037" t="s">
        <v>188</v>
      </c>
      <c r="K3037" s="183">
        <f ca="1">VLOOKUP(F3037,
    OFFSET(INDIRECT(ADDRESS(MATCH(J3037,'Vehicle numbers'!$A$5:$A$162,0),1,1,1,$L$6)),4,1,COUNTIF('Vehicle numbers'!$A$5:$A$162,J3037),4),
    MATCH(K$8,'Vehicle numbers'!$B$4:$D$4,0))*1000</f>
        <v>3898149</v>
      </c>
      <c r="L3037" s="183">
        <f ca="1">VLOOKUP(F3037,
    OFFSET(INDIRECT(ADDRESS(MATCH(J3037,'Vehicle numbers'!$A$5:$A$162,0),1,1,1,$L$6)),4,1,COUNTIF('Vehicle numbers'!$A$5:$A$162,J3037),4),
    MATCH(L$8,'Vehicle numbers'!$B$4:$D$4,0))*1000</f>
        <v>4011322</v>
      </c>
      <c r="M3037" s="184">
        <f>VLOOKUP(F3037,'Annual distance covered (GB)'!$A$8:$H$33,MATCH(J3037,'Annual distance covered (GB)'!$A$7:$H$7,0))</f>
        <v>86</v>
      </c>
      <c r="N3037" s="2">
        <f t="shared" ca="1" si="108"/>
        <v>128985.84829975457</v>
      </c>
      <c r="O3037" s="180">
        <f t="shared" ca="1" si="109"/>
        <v>3.2155446084795626E-2</v>
      </c>
      <c r="P3037" s="180"/>
      <c r="Q3037" s="180"/>
      <c r="R3037" s="180"/>
      <c r="S3037" s="180"/>
      <c r="T3037" s="180"/>
    </row>
    <row r="3038" spans="1:20" x14ac:dyDescent="0.25">
      <c r="A3038" t="s">
        <v>236</v>
      </c>
      <c r="B3038" t="s">
        <v>237</v>
      </c>
      <c r="C3038" t="s">
        <v>238</v>
      </c>
      <c r="D3038" t="s">
        <v>259</v>
      </c>
      <c r="E3038" t="s">
        <v>228</v>
      </c>
      <c r="F3038">
        <v>2017</v>
      </c>
      <c r="G3038">
        <v>1.3802E-2</v>
      </c>
      <c r="H3038" t="s">
        <v>240</v>
      </c>
      <c r="I3038" t="s">
        <v>241</v>
      </c>
      <c r="J3038" t="s">
        <v>188</v>
      </c>
      <c r="K3038" s="183">
        <f ca="1">VLOOKUP(F3038,
    OFFSET(INDIRECT(ADDRESS(MATCH(J3038,'Vehicle numbers'!$A$5:$A$162,0),1,1,1,$L$6)),4,1,COUNTIF('Vehicle numbers'!$A$5:$A$162,J3038),4),
    MATCH(K$8,'Vehicle numbers'!$B$4:$D$4,0))*1000</f>
        <v>3898149</v>
      </c>
      <c r="L3038" s="183">
        <f ca="1">VLOOKUP(F3038,
    OFFSET(INDIRECT(ADDRESS(MATCH(J3038,'Vehicle numbers'!$A$5:$A$162,0),1,1,1,$L$6)),4,1,COUNTIF('Vehicle numbers'!$A$5:$A$162,J3038),4),
    MATCH(L$8,'Vehicle numbers'!$B$4:$D$4,0))*1000</f>
        <v>4011322</v>
      </c>
      <c r="M3038" s="184">
        <f>VLOOKUP(F3038,'Annual distance covered (GB)'!$A$8:$H$33,MATCH(J3038,'Annual distance covered (GB)'!$A$7:$H$7,0))</f>
        <v>86</v>
      </c>
      <c r="N3038" s="2">
        <f t="shared" ca="1" si="108"/>
        <v>1221432.7612884985</v>
      </c>
      <c r="O3038" s="180">
        <f t="shared" ca="1" si="109"/>
        <v>0.30449631350674378</v>
      </c>
      <c r="P3038" s="180"/>
      <c r="Q3038" s="180"/>
      <c r="R3038" s="180"/>
      <c r="S3038" s="180"/>
      <c r="T3038" s="180"/>
    </row>
    <row r="3039" spans="1:20" x14ac:dyDescent="0.25">
      <c r="A3039" t="s">
        <v>243</v>
      </c>
      <c r="B3039" t="s">
        <v>237</v>
      </c>
      <c r="C3039" t="s">
        <v>238</v>
      </c>
      <c r="D3039" t="s">
        <v>259</v>
      </c>
      <c r="E3039" t="s">
        <v>228</v>
      </c>
      <c r="F3039">
        <v>2017</v>
      </c>
      <c r="G3039">
        <v>9.6614000000000005E-3</v>
      </c>
      <c r="H3039" t="s">
        <v>240</v>
      </c>
      <c r="I3039" t="s">
        <v>241</v>
      </c>
      <c r="J3039" t="s">
        <v>188</v>
      </c>
      <c r="K3039" s="183">
        <f ca="1">VLOOKUP(F3039,
    OFFSET(INDIRECT(ADDRESS(MATCH(J3039,'Vehicle numbers'!$A$5:$A$162,0),1,1,1,$L$6)),4,1,COUNTIF('Vehicle numbers'!$A$5:$A$162,J3039),4),
    MATCH(K$8,'Vehicle numbers'!$B$4:$D$4,0))*1000</f>
        <v>3898149</v>
      </c>
      <c r="L3039" s="183">
        <f ca="1">VLOOKUP(F3039,
    OFFSET(INDIRECT(ADDRESS(MATCH(J3039,'Vehicle numbers'!$A$5:$A$162,0),1,1,1,$L$6)),4,1,COUNTIF('Vehicle numbers'!$A$5:$A$162,J3039),4),
    MATCH(L$8,'Vehicle numbers'!$B$4:$D$4,0))*1000</f>
        <v>4011322</v>
      </c>
      <c r="M3039" s="184">
        <f>VLOOKUP(F3039,'Annual distance covered (GB)'!$A$8:$H$33,MATCH(J3039,'Annual distance covered (GB)'!$A$7:$H$7,0))</f>
        <v>86</v>
      </c>
      <c r="N3039" s="2">
        <f t="shared" ca="1" si="108"/>
        <v>855002.93290194904</v>
      </c>
      <c r="O3039" s="180">
        <f t="shared" ca="1" si="109"/>
        <v>0.21314741945472068</v>
      </c>
      <c r="P3039" s="180"/>
      <c r="Q3039" s="180"/>
      <c r="R3039" s="180"/>
      <c r="S3039" s="180"/>
      <c r="T3039" s="180"/>
    </row>
    <row r="3040" spans="1:20" x14ac:dyDescent="0.25">
      <c r="A3040" t="s">
        <v>244</v>
      </c>
      <c r="B3040" t="s">
        <v>237</v>
      </c>
      <c r="C3040" t="s">
        <v>238</v>
      </c>
      <c r="D3040" t="s">
        <v>259</v>
      </c>
      <c r="E3040" t="s">
        <v>228</v>
      </c>
      <c r="F3040">
        <v>2017</v>
      </c>
      <c r="G3040">
        <v>1.3607605633802801E-3</v>
      </c>
      <c r="H3040" t="s">
        <v>240</v>
      </c>
      <c r="I3040" t="s">
        <v>241</v>
      </c>
      <c r="J3040" t="s">
        <v>188</v>
      </c>
      <c r="K3040" s="183">
        <f ca="1">VLOOKUP(F3040,
    OFFSET(INDIRECT(ADDRESS(MATCH(J3040,'Vehicle numbers'!$A$5:$A$162,0),1,1,1,$L$6)),4,1,COUNTIF('Vehicle numbers'!$A$5:$A$162,J3040),4),
    MATCH(K$8,'Vehicle numbers'!$B$4:$D$4,0))*1000</f>
        <v>3898149</v>
      </c>
      <c r="L3040" s="183">
        <f ca="1">VLOOKUP(F3040,
    OFFSET(INDIRECT(ADDRESS(MATCH(J3040,'Vehicle numbers'!$A$5:$A$162,0),1,1,1,$L$6)),4,1,COUNTIF('Vehicle numbers'!$A$5:$A$162,J3040),4),
    MATCH(L$8,'Vehicle numbers'!$B$4:$D$4,0))*1000</f>
        <v>4011322</v>
      </c>
      <c r="M3040" s="184">
        <f>VLOOKUP(F3040,'Annual distance covered (GB)'!$A$8:$H$33,MATCH(J3040,'Annual distance covered (GB)'!$A$7:$H$7,0))</f>
        <v>86</v>
      </c>
      <c r="N3040" s="2">
        <f t="shared" ca="1" si="108"/>
        <v>120422.94829604901</v>
      </c>
      <c r="O3040" s="180">
        <f t="shared" ca="1" si="109"/>
        <v>3.0020763303481749E-2</v>
      </c>
      <c r="P3040" s="180"/>
      <c r="Q3040" s="180"/>
      <c r="R3040" s="180"/>
      <c r="S3040" s="180"/>
      <c r="T3040" s="180"/>
    </row>
    <row r="3041" spans="1:20" x14ac:dyDescent="0.25">
      <c r="A3041" t="s">
        <v>246</v>
      </c>
      <c r="B3041" t="s">
        <v>237</v>
      </c>
      <c r="C3041" t="s">
        <v>238</v>
      </c>
      <c r="D3041" t="s">
        <v>259</v>
      </c>
      <c r="E3041" t="s">
        <v>228</v>
      </c>
      <c r="F3041">
        <v>2017</v>
      </c>
      <c r="G3041">
        <v>1.0886084507042201E-3</v>
      </c>
      <c r="H3041" t="s">
        <v>240</v>
      </c>
      <c r="I3041" t="s">
        <v>241</v>
      </c>
      <c r="J3041" t="s">
        <v>188</v>
      </c>
      <c r="K3041" s="183">
        <f ca="1">VLOOKUP(F3041,
    OFFSET(INDIRECT(ADDRESS(MATCH(J3041,'Vehicle numbers'!$A$5:$A$162,0),1,1,1,$L$6)),4,1,COUNTIF('Vehicle numbers'!$A$5:$A$162,J3041),4),
    MATCH(K$8,'Vehicle numbers'!$B$4:$D$4,0))*1000</f>
        <v>3898149</v>
      </c>
      <c r="L3041" s="183">
        <f ca="1">VLOOKUP(F3041,
    OFFSET(INDIRECT(ADDRESS(MATCH(J3041,'Vehicle numbers'!$A$5:$A$162,0),1,1,1,$L$6)),4,1,COUNTIF('Vehicle numbers'!$A$5:$A$162,J3041),4),
    MATCH(L$8,'Vehicle numbers'!$B$4:$D$4,0))*1000</f>
        <v>4011322</v>
      </c>
      <c r="M3041" s="184">
        <f>VLOOKUP(F3041,'Annual distance covered (GB)'!$A$8:$H$33,MATCH(J3041,'Annual distance covered (GB)'!$A$7:$H$7,0))</f>
        <v>86</v>
      </c>
      <c r="N3041" s="2">
        <f t="shared" ca="1" si="108"/>
        <v>96338.358636838864</v>
      </c>
      <c r="O3041" s="180">
        <f t="shared" ca="1" si="109"/>
        <v>2.4016610642785312E-2</v>
      </c>
      <c r="P3041" s="180"/>
      <c r="Q3041" s="180"/>
      <c r="R3041" s="180"/>
      <c r="S3041" s="180"/>
      <c r="T3041" s="180"/>
    </row>
    <row r="3042" spans="1:20" x14ac:dyDescent="0.25">
      <c r="A3042" t="s">
        <v>236</v>
      </c>
      <c r="B3042" t="s">
        <v>237</v>
      </c>
      <c r="C3042" t="s">
        <v>238</v>
      </c>
      <c r="D3042" t="s">
        <v>260</v>
      </c>
      <c r="E3042" t="s">
        <v>229</v>
      </c>
      <c r="F3042">
        <v>2017</v>
      </c>
      <c r="G3042">
        <v>5.8400000000000101E-3</v>
      </c>
      <c r="H3042" t="s">
        <v>240</v>
      </c>
      <c r="I3042" t="s">
        <v>241</v>
      </c>
      <c r="J3042" t="s">
        <v>3</v>
      </c>
      <c r="K3042" s="183">
        <f ca="1">VLOOKUP(F3042,
    OFFSET(INDIRECT(ADDRESS(MATCH(J3042,'Vehicle numbers'!$A$5:$A$162,0),1,1,1,$L$6)),4,1,COUNTIF('Vehicle numbers'!$A$5:$A$162,J3042),4),
    MATCH(K$8,'Vehicle numbers'!$B$4:$D$4,0))*1000</f>
        <v>1233590</v>
      </c>
      <c r="L3042" s="183">
        <f ca="1">VLOOKUP(F3042,
    OFFSET(INDIRECT(ADDRESS(MATCH(J3042,'Vehicle numbers'!$A$5:$A$162,0),1,1,1,$L$6)),4,1,COUNTIF('Vehicle numbers'!$A$5:$A$162,J3042),4),
    MATCH(L$8,'Vehicle numbers'!$B$4:$D$4,0))*1000</f>
        <v>1255860</v>
      </c>
      <c r="M3042" s="184">
        <f>VLOOKUP(F3042,'Annual distance covered (GB)'!$A$8:$H$33,MATCH(J3042,'Annual distance covered (GB)'!$A$7:$H$7,0))</f>
        <v>4.8</v>
      </c>
      <c r="N3042" s="2">
        <f t="shared" ca="1" si="108"/>
        <v>28538.061689864593</v>
      </c>
      <c r="O3042" s="180">
        <f t="shared" ca="1" si="109"/>
        <v>2.2723919616728452E-2</v>
      </c>
      <c r="P3042" s="180"/>
      <c r="Q3042" s="180"/>
      <c r="R3042" s="180"/>
      <c r="S3042" s="180"/>
      <c r="T3042" s="180"/>
    </row>
    <row r="3043" spans="1:20" x14ac:dyDescent="0.25">
      <c r="A3043" t="s">
        <v>243</v>
      </c>
      <c r="B3043" t="s">
        <v>237</v>
      </c>
      <c r="C3043" t="s">
        <v>238</v>
      </c>
      <c r="D3043" t="s">
        <v>260</v>
      </c>
      <c r="E3043" t="s">
        <v>229</v>
      </c>
      <c r="F3043">
        <v>2017</v>
      </c>
      <c r="G3043">
        <v>2.336E-3</v>
      </c>
      <c r="H3043" t="s">
        <v>240</v>
      </c>
      <c r="I3043" t="s">
        <v>241</v>
      </c>
      <c r="J3043" t="s">
        <v>3</v>
      </c>
      <c r="K3043" s="183">
        <f ca="1">VLOOKUP(F3043,
    OFFSET(INDIRECT(ADDRESS(MATCH(J3043,'Vehicle numbers'!$A$5:$A$162,0),1,1,1,$L$6)),4,1,COUNTIF('Vehicle numbers'!$A$5:$A$162,J3043),4),
    MATCH(K$8,'Vehicle numbers'!$B$4:$D$4,0))*1000</f>
        <v>1233590</v>
      </c>
      <c r="L3043" s="183">
        <f ca="1">VLOOKUP(F3043,
    OFFSET(INDIRECT(ADDRESS(MATCH(J3043,'Vehicle numbers'!$A$5:$A$162,0),1,1,1,$L$6)),4,1,COUNTIF('Vehicle numbers'!$A$5:$A$162,J3043),4),
    MATCH(L$8,'Vehicle numbers'!$B$4:$D$4,0))*1000</f>
        <v>1255860</v>
      </c>
      <c r="M3043" s="184">
        <f>VLOOKUP(F3043,'Annual distance covered (GB)'!$A$8:$H$33,MATCH(J3043,'Annual distance covered (GB)'!$A$7:$H$7,0))</f>
        <v>4.8</v>
      </c>
      <c r="N3043" s="2">
        <f t="shared" ca="1" si="108"/>
        <v>11415.224675945819</v>
      </c>
      <c r="O3043" s="180">
        <f t="shared" ca="1" si="109"/>
        <v>9.0895678466913661E-3</v>
      </c>
      <c r="P3043" s="180"/>
      <c r="Q3043" s="180"/>
      <c r="R3043" s="180"/>
      <c r="S3043" s="180"/>
      <c r="T3043" s="180"/>
    </row>
    <row r="3044" spans="1:20" x14ac:dyDescent="0.25">
      <c r="A3044" t="s">
        <v>244</v>
      </c>
      <c r="B3044" t="s">
        <v>237</v>
      </c>
      <c r="C3044" t="s">
        <v>238</v>
      </c>
      <c r="D3044" t="s">
        <v>260</v>
      </c>
      <c r="E3044" t="s">
        <v>229</v>
      </c>
      <c r="F3044">
        <v>2017</v>
      </c>
      <c r="G3044">
        <v>5.8399999999999999E-4</v>
      </c>
      <c r="H3044" t="s">
        <v>240</v>
      </c>
      <c r="I3044" t="s">
        <v>241</v>
      </c>
      <c r="J3044" t="s">
        <v>3</v>
      </c>
      <c r="K3044" s="183">
        <f ca="1">VLOOKUP(F3044,
    OFFSET(INDIRECT(ADDRESS(MATCH(J3044,'Vehicle numbers'!$A$5:$A$162,0),1,1,1,$L$6)),4,1,COUNTIF('Vehicle numbers'!$A$5:$A$162,J3044),4),
    MATCH(K$8,'Vehicle numbers'!$B$4:$D$4,0))*1000</f>
        <v>1233590</v>
      </c>
      <c r="L3044" s="183">
        <f ca="1">VLOOKUP(F3044,
    OFFSET(INDIRECT(ADDRESS(MATCH(J3044,'Vehicle numbers'!$A$5:$A$162,0),1,1,1,$L$6)),4,1,COUNTIF('Vehicle numbers'!$A$5:$A$162,J3044),4),
    MATCH(L$8,'Vehicle numbers'!$B$4:$D$4,0))*1000</f>
        <v>1255860</v>
      </c>
      <c r="M3044" s="184">
        <f>VLOOKUP(F3044,'Annual distance covered (GB)'!$A$8:$H$33,MATCH(J3044,'Annual distance covered (GB)'!$A$7:$H$7,0))</f>
        <v>4.8</v>
      </c>
      <c r="N3044" s="2">
        <f t="shared" ca="1" si="108"/>
        <v>2853.8061689864548</v>
      </c>
      <c r="O3044" s="180">
        <f t="shared" ca="1" si="109"/>
        <v>2.2723919616728415E-3</v>
      </c>
      <c r="P3044" s="180"/>
      <c r="Q3044" s="180"/>
      <c r="R3044" s="180"/>
      <c r="S3044" s="180"/>
      <c r="T3044" s="180"/>
    </row>
    <row r="3045" spans="1:20" x14ac:dyDescent="0.25">
      <c r="A3045" t="s">
        <v>246</v>
      </c>
      <c r="B3045" t="s">
        <v>237</v>
      </c>
      <c r="C3045" t="s">
        <v>238</v>
      </c>
      <c r="D3045" t="s">
        <v>260</v>
      </c>
      <c r="E3045" t="s">
        <v>229</v>
      </c>
      <c r="F3045">
        <v>2017</v>
      </c>
      <c r="G3045">
        <v>4.6720000000000003E-4</v>
      </c>
      <c r="H3045" t="s">
        <v>240</v>
      </c>
      <c r="I3045" t="s">
        <v>241</v>
      </c>
      <c r="J3045" t="s">
        <v>3</v>
      </c>
      <c r="K3045" s="183">
        <f ca="1">VLOOKUP(F3045,
    OFFSET(INDIRECT(ADDRESS(MATCH(J3045,'Vehicle numbers'!$A$5:$A$162,0),1,1,1,$L$6)),4,1,COUNTIF('Vehicle numbers'!$A$5:$A$162,J3045),4),
    MATCH(K$8,'Vehicle numbers'!$B$4:$D$4,0))*1000</f>
        <v>1233590</v>
      </c>
      <c r="L3045" s="183">
        <f ca="1">VLOOKUP(F3045,
    OFFSET(INDIRECT(ADDRESS(MATCH(J3045,'Vehicle numbers'!$A$5:$A$162,0),1,1,1,$L$6)),4,1,COUNTIF('Vehicle numbers'!$A$5:$A$162,J3045),4),
    MATCH(L$8,'Vehicle numbers'!$B$4:$D$4,0))*1000</f>
        <v>1255860</v>
      </c>
      <c r="M3045" s="184">
        <f>VLOOKUP(F3045,'Annual distance covered (GB)'!$A$8:$H$33,MATCH(J3045,'Annual distance covered (GB)'!$A$7:$H$7,0))</f>
        <v>4.8</v>
      </c>
      <c r="N3045" s="2">
        <f t="shared" ca="1" si="108"/>
        <v>2283.0449351891639</v>
      </c>
      <c r="O3045" s="180">
        <f t="shared" ca="1" si="109"/>
        <v>1.8179135693382734E-3</v>
      </c>
      <c r="P3045" s="180"/>
      <c r="Q3045" s="180"/>
      <c r="R3045" s="180"/>
      <c r="S3045" s="180"/>
      <c r="T3045" s="180"/>
    </row>
    <row r="3046" spans="1:20" x14ac:dyDescent="0.25">
      <c r="A3046" t="s">
        <v>236</v>
      </c>
      <c r="B3046" t="s">
        <v>237</v>
      </c>
      <c r="C3046" t="s">
        <v>238</v>
      </c>
      <c r="D3046" t="s">
        <v>260</v>
      </c>
      <c r="E3046" t="s">
        <v>228</v>
      </c>
      <c r="F3046">
        <v>2017</v>
      </c>
      <c r="G3046">
        <v>3.7569999999999999E-3</v>
      </c>
      <c r="H3046" t="s">
        <v>240</v>
      </c>
      <c r="I3046" t="s">
        <v>241</v>
      </c>
      <c r="J3046" t="s">
        <v>3</v>
      </c>
      <c r="K3046" s="183">
        <f ca="1">VLOOKUP(F3046,
    OFFSET(INDIRECT(ADDRESS(MATCH(J3046,'Vehicle numbers'!$A$5:$A$162,0),1,1,1,$L$6)),4,1,COUNTIF('Vehicle numbers'!$A$5:$A$162,J3046),4),
    MATCH(K$8,'Vehicle numbers'!$B$4:$D$4,0))*1000</f>
        <v>1233590</v>
      </c>
      <c r="L3046" s="183">
        <f ca="1">VLOOKUP(F3046,
    OFFSET(INDIRECT(ADDRESS(MATCH(J3046,'Vehicle numbers'!$A$5:$A$162,0),1,1,1,$L$6)),4,1,COUNTIF('Vehicle numbers'!$A$5:$A$162,J3046),4),
    MATCH(L$8,'Vehicle numbers'!$B$4:$D$4,0))*1000</f>
        <v>1255860</v>
      </c>
      <c r="M3046" s="184">
        <f>VLOOKUP(F3046,'Annual distance covered (GB)'!$A$8:$H$33,MATCH(J3046,'Annual distance covered (GB)'!$A$7:$H$7,0))</f>
        <v>4.8</v>
      </c>
      <c r="N3046" s="2">
        <f t="shared" ca="1" si="108"/>
        <v>18359.160576852926</v>
      </c>
      <c r="O3046" s="180">
        <f t="shared" ca="1" si="109"/>
        <v>1.4618795547953535E-2</v>
      </c>
      <c r="P3046" s="180"/>
      <c r="Q3046" s="180"/>
      <c r="R3046" s="180"/>
      <c r="S3046" s="180"/>
      <c r="T3046" s="180"/>
    </row>
    <row r="3047" spans="1:20" x14ac:dyDescent="0.25">
      <c r="A3047" t="s">
        <v>243</v>
      </c>
      <c r="B3047" t="s">
        <v>237</v>
      </c>
      <c r="C3047" t="s">
        <v>238</v>
      </c>
      <c r="D3047" t="s">
        <v>260</v>
      </c>
      <c r="E3047" t="s">
        <v>228</v>
      </c>
      <c r="F3047">
        <v>2017</v>
      </c>
      <c r="G3047">
        <v>2.6299000000000001E-3</v>
      </c>
      <c r="H3047" t="s">
        <v>240</v>
      </c>
      <c r="I3047" t="s">
        <v>241</v>
      </c>
      <c r="J3047" t="s">
        <v>3</v>
      </c>
      <c r="K3047" s="183">
        <f ca="1">VLOOKUP(F3047,
    OFFSET(INDIRECT(ADDRESS(MATCH(J3047,'Vehicle numbers'!$A$5:$A$162,0),1,1,1,$L$6)),4,1,COUNTIF('Vehicle numbers'!$A$5:$A$162,J3047),4),
    MATCH(K$8,'Vehicle numbers'!$B$4:$D$4,0))*1000</f>
        <v>1233590</v>
      </c>
      <c r="L3047" s="183">
        <f ca="1">VLOOKUP(F3047,
    OFFSET(INDIRECT(ADDRESS(MATCH(J3047,'Vehicle numbers'!$A$5:$A$162,0),1,1,1,$L$6)),4,1,COUNTIF('Vehicle numbers'!$A$5:$A$162,J3047),4),
    MATCH(L$8,'Vehicle numbers'!$B$4:$D$4,0))*1000</f>
        <v>1255860</v>
      </c>
      <c r="M3047" s="184">
        <f>VLOOKUP(F3047,'Annual distance covered (GB)'!$A$8:$H$33,MATCH(J3047,'Annual distance covered (GB)'!$A$7:$H$7,0))</f>
        <v>4.8</v>
      </c>
      <c r="N3047" s="2">
        <f t="shared" ca="1" si="108"/>
        <v>12851.412403797049</v>
      </c>
      <c r="O3047" s="180">
        <f t="shared" ca="1" si="109"/>
        <v>1.0233156883567475E-2</v>
      </c>
      <c r="P3047" s="180"/>
      <c r="Q3047" s="180"/>
      <c r="R3047" s="180"/>
      <c r="S3047" s="180"/>
      <c r="T3047" s="180"/>
    </row>
    <row r="3048" spans="1:20" x14ac:dyDescent="0.25">
      <c r="A3048" t="s">
        <v>244</v>
      </c>
      <c r="B3048" t="s">
        <v>237</v>
      </c>
      <c r="C3048" t="s">
        <v>238</v>
      </c>
      <c r="D3048" t="s">
        <v>260</v>
      </c>
      <c r="E3048" t="s">
        <v>228</v>
      </c>
      <c r="F3048">
        <v>2017</v>
      </c>
      <c r="G3048">
        <v>3.7040845070422499E-4</v>
      </c>
      <c r="H3048" t="s">
        <v>240</v>
      </c>
      <c r="I3048" t="s">
        <v>241</v>
      </c>
      <c r="J3048" t="s">
        <v>3</v>
      </c>
      <c r="K3048" s="183">
        <f ca="1">VLOOKUP(F3048,
    OFFSET(INDIRECT(ADDRESS(MATCH(J3048,'Vehicle numbers'!$A$5:$A$162,0),1,1,1,$L$6)),4,1,COUNTIF('Vehicle numbers'!$A$5:$A$162,J3048),4),
    MATCH(K$8,'Vehicle numbers'!$B$4:$D$4,0))*1000</f>
        <v>1233590</v>
      </c>
      <c r="L3048" s="183">
        <f ca="1">VLOOKUP(F3048,
    OFFSET(INDIRECT(ADDRESS(MATCH(J3048,'Vehicle numbers'!$A$5:$A$162,0),1,1,1,$L$6)),4,1,COUNTIF('Vehicle numbers'!$A$5:$A$162,J3048),4),
    MATCH(L$8,'Vehicle numbers'!$B$4:$D$4,0))*1000</f>
        <v>1255860</v>
      </c>
      <c r="M3048" s="184">
        <f>VLOOKUP(F3048,'Annual distance covered (GB)'!$A$8:$H$33,MATCH(J3048,'Annual distance covered (GB)'!$A$7:$H$7,0))</f>
        <v>4.8</v>
      </c>
      <c r="N3048" s="2">
        <f t="shared" ca="1" si="108"/>
        <v>1810.058085041836</v>
      </c>
      <c r="O3048" s="180">
        <f t="shared" ca="1" si="109"/>
        <v>1.4412897019109104E-3</v>
      </c>
      <c r="P3048" s="180"/>
      <c r="Q3048" s="180"/>
      <c r="R3048" s="180"/>
      <c r="S3048" s="180"/>
      <c r="T3048" s="180"/>
    </row>
    <row r="3049" spans="1:20" x14ac:dyDescent="0.25">
      <c r="A3049" t="s">
        <v>246</v>
      </c>
      <c r="B3049" t="s">
        <v>237</v>
      </c>
      <c r="C3049" t="s">
        <v>238</v>
      </c>
      <c r="D3049" t="s">
        <v>260</v>
      </c>
      <c r="E3049" t="s">
        <v>228</v>
      </c>
      <c r="F3049">
        <v>2017</v>
      </c>
      <c r="G3049">
        <v>2.9632676056337998E-4</v>
      </c>
      <c r="H3049" t="s">
        <v>240</v>
      </c>
      <c r="I3049" t="s">
        <v>241</v>
      </c>
      <c r="J3049" t="s">
        <v>3</v>
      </c>
      <c r="K3049" s="183">
        <f ca="1">VLOOKUP(F3049,
    OFFSET(INDIRECT(ADDRESS(MATCH(J3049,'Vehicle numbers'!$A$5:$A$162,0),1,1,1,$L$6)),4,1,COUNTIF('Vehicle numbers'!$A$5:$A$162,J3049),4),
    MATCH(K$8,'Vehicle numbers'!$B$4:$D$4,0))*1000</f>
        <v>1233590</v>
      </c>
      <c r="L3049" s="183">
        <f ca="1">VLOOKUP(F3049,
    OFFSET(INDIRECT(ADDRESS(MATCH(J3049,'Vehicle numbers'!$A$5:$A$162,0),1,1,1,$L$6)),4,1,COUNTIF('Vehicle numbers'!$A$5:$A$162,J3049),4),
    MATCH(L$8,'Vehicle numbers'!$B$4:$D$4,0))*1000</f>
        <v>1255860</v>
      </c>
      <c r="M3049" s="184">
        <f>VLOOKUP(F3049,'Annual distance covered (GB)'!$A$8:$H$33,MATCH(J3049,'Annual distance covered (GB)'!$A$7:$H$7,0))</f>
        <v>4.8</v>
      </c>
      <c r="N3049" s="2">
        <f t="shared" ca="1" si="108"/>
        <v>1448.046468033469</v>
      </c>
      <c r="O3049" s="180">
        <f t="shared" ca="1" si="109"/>
        <v>1.1530317615287284E-3</v>
      </c>
      <c r="P3049" s="180"/>
      <c r="Q3049" s="180"/>
      <c r="R3049" s="180"/>
      <c r="S3049" s="180"/>
      <c r="T3049" s="180"/>
    </row>
    <row r="3050" spans="1:20" x14ac:dyDescent="0.25">
      <c r="A3050" t="s">
        <v>236</v>
      </c>
      <c r="B3050" t="s">
        <v>237</v>
      </c>
      <c r="C3050" t="s">
        <v>238</v>
      </c>
      <c r="D3050" t="s">
        <v>261</v>
      </c>
      <c r="E3050" t="s">
        <v>229</v>
      </c>
      <c r="F3050">
        <v>2017</v>
      </c>
      <c r="G3050">
        <v>5.8399999999999997E-3</v>
      </c>
      <c r="H3050" t="s">
        <v>240</v>
      </c>
      <c r="I3050" t="s">
        <v>241</v>
      </c>
      <c r="J3050" t="s">
        <v>3</v>
      </c>
      <c r="K3050" s="183">
        <f ca="1">VLOOKUP(F3050,
    OFFSET(INDIRECT(ADDRESS(MATCH(J3050,'Vehicle numbers'!$A$5:$A$162,0),1,1,1,$L$6)),4,1,COUNTIF('Vehicle numbers'!$A$5:$A$162,J3050),4),
    MATCH(K$8,'Vehicle numbers'!$B$4:$D$4,0))*1000</f>
        <v>1233590</v>
      </c>
      <c r="L3050" s="183">
        <f ca="1">VLOOKUP(F3050,
    OFFSET(INDIRECT(ADDRESS(MATCH(J3050,'Vehicle numbers'!$A$5:$A$162,0),1,1,1,$L$6)),4,1,COUNTIF('Vehicle numbers'!$A$5:$A$162,J3050),4),
    MATCH(L$8,'Vehicle numbers'!$B$4:$D$4,0))*1000</f>
        <v>1255860</v>
      </c>
      <c r="M3050" s="184">
        <f>VLOOKUP(F3050,'Annual distance covered (GB)'!$A$8:$H$33,MATCH(J3050,'Annual distance covered (GB)'!$A$7:$H$7,0))</f>
        <v>4.8</v>
      </c>
      <c r="N3050" s="2">
        <f t="shared" ca="1" si="108"/>
        <v>28538.061689864542</v>
      </c>
      <c r="O3050" s="180">
        <f t="shared" ca="1" si="109"/>
        <v>2.272391961672841E-2</v>
      </c>
      <c r="P3050" s="180"/>
      <c r="Q3050" s="180"/>
      <c r="R3050" s="180"/>
      <c r="S3050" s="180"/>
      <c r="T3050" s="180"/>
    </row>
    <row r="3051" spans="1:20" x14ac:dyDescent="0.25">
      <c r="A3051" t="s">
        <v>243</v>
      </c>
      <c r="B3051" t="s">
        <v>237</v>
      </c>
      <c r="C3051" t="s">
        <v>238</v>
      </c>
      <c r="D3051" t="s">
        <v>261</v>
      </c>
      <c r="E3051" t="s">
        <v>229</v>
      </c>
      <c r="F3051">
        <v>2017</v>
      </c>
      <c r="G3051">
        <v>2.336E-3</v>
      </c>
      <c r="H3051" t="s">
        <v>240</v>
      </c>
      <c r="I3051" t="s">
        <v>241</v>
      </c>
      <c r="J3051" t="s">
        <v>3</v>
      </c>
      <c r="K3051" s="183">
        <f ca="1">VLOOKUP(F3051,
    OFFSET(INDIRECT(ADDRESS(MATCH(J3051,'Vehicle numbers'!$A$5:$A$162,0),1,1,1,$L$6)),4,1,COUNTIF('Vehicle numbers'!$A$5:$A$162,J3051),4),
    MATCH(K$8,'Vehicle numbers'!$B$4:$D$4,0))*1000</f>
        <v>1233590</v>
      </c>
      <c r="L3051" s="183">
        <f ca="1">VLOOKUP(F3051,
    OFFSET(INDIRECT(ADDRESS(MATCH(J3051,'Vehicle numbers'!$A$5:$A$162,0),1,1,1,$L$6)),4,1,COUNTIF('Vehicle numbers'!$A$5:$A$162,J3051),4),
    MATCH(L$8,'Vehicle numbers'!$B$4:$D$4,0))*1000</f>
        <v>1255860</v>
      </c>
      <c r="M3051" s="184">
        <f>VLOOKUP(F3051,'Annual distance covered (GB)'!$A$8:$H$33,MATCH(J3051,'Annual distance covered (GB)'!$A$7:$H$7,0))</f>
        <v>4.8</v>
      </c>
      <c r="N3051" s="2">
        <f t="shared" ca="1" si="108"/>
        <v>11415.224675945819</v>
      </c>
      <c r="O3051" s="180">
        <f t="shared" ca="1" si="109"/>
        <v>9.0895678466913661E-3</v>
      </c>
      <c r="P3051" s="180"/>
      <c r="Q3051" s="180"/>
      <c r="R3051" s="180"/>
      <c r="S3051" s="180"/>
      <c r="T3051" s="180"/>
    </row>
    <row r="3052" spans="1:20" x14ac:dyDescent="0.25">
      <c r="A3052" t="s">
        <v>244</v>
      </c>
      <c r="B3052" t="s">
        <v>237</v>
      </c>
      <c r="C3052" t="s">
        <v>238</v>
      </c>
      <c r="D3052" t="s">
        <v>261</v>
      </c>
      <c r="E3052" t="s">
        <v>229</v>
      </c>
      <c r="F3052">
        <v>2017</v>
      </c>
      <c r="G3052">
        <v>5.8399999999999999E-4</v>
      </c>
      <c r="H3052" t="s">
        <v>240</v>
      </c>
      <c r="I3052" t="s">
        <v>241</v>
      </c>
      <c r="J3052" t="s">
        <v>3</v>
      </c>
      <c r="K3052" s="183">
        <f ca="1">VLOOKUP(F3052,
    OFFSET(INDIRECT(ADDRESS(MATCH(J3052,'Vehicle numbers'!$A$5:$A$162,0),1,1,1,$L$6)),4,1,COUNTIF('Vehicle numbers'!$A$5:$A$162,J3052),4),
    MATCH(K$8,'Vehicle numbers'!$B$4:$D$4,0))*1000</f>
        <v>1233590</v>
      </c>
      <c r="L3052" s="183">
        <f ca="1">VLOOKUP(F3052,
    OFFSET(INDIRECT(ADDRESS(MATCH(J3052,'Vehicle numbers'!$A$5:$A$162,0),1,1,1,$L$6)),4,1,COUNTIF('Vehicle numbers'!$A$5:$A$162,J3052),4),
    MATCH(L$8,'Vehicle numbers'!$B$4:$D$4,0))*1000</f>
        <v>1255860</v>
      </c>
      <c r="M3052" s="184">
        <f>VLOOKUP(F3052,'Annual distance covered (GB)'!$A$8:$H$33,MATCH(J3052,'Annual distance covered (GB)'!$A$7:$H$7,0))</f>
        <v>4.8</v>
      </c>
      <c r="N3052" s="2">
        <f t="shared" ca="1" si="108"/>
        <v>2853.8061689864548</v>
      </c>
      <c r="O3052" s="180">
        <f t="shared" ca="1" si="109"/>
        <v>2.2723919616728415E-3</v>
      </c>
      <c r="P3052" s="180"/>
      <c r="Q3052" s="180"/>
      <c r="R3052" s="180"/>
      <c r="S3052" s="180"/>
      <c r="T3052" s="180"/>
    </row>
    <row r="3053" spans="1:20" x14ac:dyDescent="0.25">
      <c r="A3053" t="s">
        <v>246</v>
      </c>
      <c r="B3053" t="s">
        <v>237</v>
      </c>
      <c r="C3053" t="s">
        <v>238</v>
      </c>
      <c r="D3053" t="s">
        <v>261</v>
      </c>
      <c r="E3053" t="s">
        <v>229</v>
      </c>
      <c r="F3053">
        <v>2017</v>
      </c>
      <c r="G3053">
        <v>4.6720000000000003E-4</v>
      </c>
      <c r="H3053" t="s">
        <v>240</v>
      </c>
      <c r="I3053" t="s">
        <v>241</v>
      </c>
      <c r="J3053" t="s">
        <v>3</v>
      </c>
      <c r="K3053" s="183">
        <f ca="1">VLOOKUP(F3053,
    OFFSET(INDIRECT(ADDRESS(MATCH(J3053,'Vehicle numbers'!$A$5:$A$162,0),1,1,1,$L$6)),4,1,COUNTIF('Vehicle numbers'!$A$5:$A$162,J3053),4),
    MATCH(K$8,'Vehicle numbers'!$B$4:$D$4,0))*1000</f>
        <v>1233590</v>
      </c>
      <c r="L3053" s="183">
        <f ca="1">VLOOKUP(F3053,
    OFFSET(INDIRECT(ADDRESS(MATCH(J3053,'Vehicle numbers'!$A$5:$A$162,0),1,1,1,$L$6)),4,1,COUNTIF('Vehicle numbers'!$A$5:$A$162,J3053),4),
    MATCH(L$8,'Vehicle numbers'!$B$4:$D$4,0))*1000</f>
        <v>1255860</v>
      </c>
      <c r="M3053" s="184">
        <f>VLOOKUP(F3053,'Annual distance covered (GB)'!$A$8:$H$33,MATCH(J3053,'Annual distance covered (GB)'!$A$7:$H$7,0))</f>
        <v>4.8</v>
      </c>
      <c r="N3053" s="2">
        <f t="shared" ca="1" si="108"/>
        <v>2283.0449351891639</v>
      </c>
      <c r="O3053" s="180">
        <f t="shared" ca="1" si="109"/>
        <v>1.8179135693382734E-3</v>
      </c>
      <c r="P3053" s="180"/>
      <c r="Q3053" s="180"/>
      <c r="R3053" s="180"/>
      <c r="S3053" s="180"/>
      <c r="T3053" s="180"/>
    </row>
    <row r="3054" spans="1:20" x14ac:dyDescent="0.25">
      <c r="A3054" t="s">
        <v>236</v>
      </c>
      <c r="B3054" t="s">
        <v>237</v>
      </c>
      <c r="C3054" t="s">
        <v>238</v>
      </c>
      <c r="D3054" t="s">
        <v>261</v>
      </c>
      <c r="E3054" t="s">
        <v>228</v>
      </c>
      <c r="F3054">
        <v>2017</v>
      </c>
      <c r="G3054">
        <v>3.7569999999999999E-3</v>
      </c>
      <c r="H3054" t="s">
        <v>240</v>
      </c>
      <c r="I3054" t="s">
        <v>241</v>
      </c>
      <c r="J3054" t="s">
        <v>3</v>
      </c>
      <c r="K3054" s="183">
        <f ca="1">VLOOKUP(F3054,
    OFFSET(INDIRECT(ADDRESS(MATCH(J3054,'Vehicle numbers'!$A$5:$A$162,0),1,1,1,$L$6)),4,1,COUNTIF('Vehicle numbers'!$A$5:$A$162,J3054),4),
    MATCH(K$8,'Vehicle numbers'!$B$4:$D$4,0))*1000</f>
        <v>1233590</v>
      </c>
      <c r="L3054" s="183">
        <f ca="1">VLOOKUP(F3054,
    OFFSET(INDIRECT(ADDRESS(MATCH(J3054,'Vehicle numbers'!$A$5:$A$162,0),1,1,1,$L$6)),4,1,COUNTIF('Vehicle numbers'!$A$5:$A$162,J3054),4),
    MATCH(L$8,'Vehicle numbers'!$B$4:$D$4,0))*1000</f>
        <v>1255860</v>
      </c>
      <c r="M3054" s="184">
        <f>VLOOKUP(F3054,'Annual distance covered (GB)'!$A$8:$H$33,MATCH(J3054,'Annual distance covered (GB)'!$A$7:$H$7,0))</f>
        <v>4.8</v>
      </c>
      <c r="N3054" s="2">
        <f t="shared" ca="1" si="108"/>
        <v>18359.160576852926</v>
      </c>
      <c r="O3054" s="180">
        <f t="shared" ca="1" si="109"/>
        <v>1.4618795547953535E-2</v>
      </c>
      <c r="P3054" s="180"/>
      <c r="Q3054" s="180"/>
      <c r="R3054" s="180"/>
      <c r="S3054" s="180"/>
      <c r="T3054" s="180"/>
    </row>
    <row r="3055" spans="1:20" x14ac:dyDescent="0.25">
      <c r="A3055" t="s">
        <v>243</v>
      </c>
      <c r="B3055" t="s">
        <v>237</v>
      </c>
      <c r="C3055" t="s">
        <v>238</v>
      </c>
      <c r="D3055" t="s">
        <v>261</v>
      </c>
      <c r="E3055" t="s">
        <v>228</v>
      </c>
      <c r="F3055">
        <v>2017</v>
      </c>
      <c r="G3055">
        <v>2.6299000000000001E-3</v>
      </c>
      <c r="H3055" t="s">
        <v>240</v>
      </c>
      <c r="I3055" t="s">
        <v>241</v>
      </c>
      <c r="J3055" t="s">
        <v>3</v>
      </c>
      <c r="K3055" s="183">
        <f ca="1">VLOOKUP(F3055,
    OFFSET(INDIRECT(ADDRESS(MATCH(J3055,'Vehicle numbers'!$A$5:$A$162,0),1,1,1,$L$6)),4,1,COUNTIF('Vehicle numbers'!$A$5:$A$162,J3055),4),
    MATCH(K$8,'Vehicle numbers'!$B$4:$D$4,0))*1000</f>
        <v>1233590</v>
      </c>
      <c r="L3055" s="183">
        <f ca="1">VLOOKUP(F3055,
    OFFSET(INDIRECT(ADDRESS(MATCH(J3055,'Vehicle numbers'!$A$5:$A$162,0),1,1,1,$L$6)),4,1,COUNTIF('Vehicle numbers'!$A$5:$A$162,J3055),4),
    MATCH(L$8,'Vehicle numbers'!$B$4:$D$4,0))*1000</f>
        <v>1255860</v>
      </c>
      <c r="M3055" s="184">
        <f>VLOOKUP(F3055,'Annual distance covered (GB)'!$A$8:$H$33,MATCH(J3055,'Annual distance covered (GB)'!$A$7:$H$7,0))</f>
        <v>4.8</v>
      </c>
      <c r="N3055" s="2">
        <f t="shared" ca="1" si="108"/>
        <v>12851.412403797049</v>
      </c>
      <c r="O3055" s="180">
        <f t="shared" ca="1" si="109"/>
        <v>1.0233156883567475E-2</v>
      </c>
      <c r="P3055" s="180"/>
      <c r="Q3055" s="180"/>
      <c r="R3055" s="180"/>
      <c r="S3055" s="180"/>
      <c r="T3055" s="180"/>
    </row>
    <row r="3056" spans="1:20" x14ac:dyDescent="0.25">
      <c r="A3056" t="s">
        <v>244</v>
      </c>
      <c r="B3056" t="s">
        <v>237</v>
      </c>
      <c r="C3056" t="s">
        <v>238</v>
      </c>
      <c r="D3056" t="s">
        <v>261</v>
      </c>
      <c r="E3056" t="s">
        <v>228</v>
      </c>
      <c r="F3056">
        <v>2017</v>
      </c>
      <c r="G3056">
        <v>3.7040845070422499E-4</v>
      </c>
      <c r="H3056" t="s">
        <v>240</v>
      </c>
      <c r="I3056" t="s">
        <v>241</v>
      </c>
      <c r="J3056" t="s">
        <v>3</v>
      </c>
      <c r="K3056" s="183">
        <f ca="1">VLOOKUP(F3056,
    OFFSET(INDIRECT(ADDRESS(MATCH(J3056,'Vehicle numbers'!$A$5:$A$162,0),1,1,1,$L$6)),4,1,COUNTIF('Vehicle numbers'!$A$5:$A$162,J3056),4),
    MATCH(K$8,'Vehicle numbers'!$B$4:$D$4,0))*1000</f>
        <v>1233590</v>
      </c>
      <c r="L3056" s="183">
        <f ca="1">VLOOKUP(F3056,
    OFFSET(INDIRECT(ADDRESS(MATCH(J3056,'Vehicle numbers'!$A$5:$A$162,0),1,1,1,$L$6)),4,1,COUNTIF('Vehicle numbers'!$A$5:$A$162,J3056),4),
    MATCH(L$8,'Vehicle numbers'!$B$4:$D$4,0))*1000</f>
        <v>1255860</v>
      </c>
      <c r="M3056" s="184">
        <f>VLOOKUP(F3056,'Annual distance covered (GB)'!$A$8:$H$33,MATCH(J3056,'Annual distance covered (GB)'!$A$7:$H$7,0))</f>
        <v>4.8</v>
      </c>
      <c r="N3056" s="2">
        <f t="shared" ca="1" si="108"/>
        <v>1810.058085041836</v>
      </c>
      <c r="O3056" s="180">
        <f t="shared" ca="1" si="109"/>
        <v>1.4412897019109104E-3</v>
      </c>
      <c r="P3056" s="180"/>
      <c r="Q3056" s="180"/>
      <c r="R3056" s="180"/>
      <c r="S3056" s="180"/>
      <c r="T3056" s="180"/>
    </row>
    <row r="3057" spans="1:20" x14ac:dyDescent="0.25">
      <c r="A3057" t="s">
        <v>246</v>
      </c>
      <c r="B3057" t="s">
        <v>237</v>
      </c>
      <c r="C3057" t="s">
        <v>238</v>
      </c>
      <c r="D3057" t="s">
        <v>261</v>
      </c>
      <c r="E3057" t="s">
        <v>228</v>
      </c>
      <c r="F3057">
        <v>2017</v>
      </c>
      <c r="G3057">
        <v>2.9632676056337998E-4</v>
      </c>
      <c r="H3057" t="s">
        <v>240</v>
      </c>
      <c r="I3057" t="s">
        <v>241</v>
      </c>
      <c r="J3057" t="s">
        <v>3</v>
      </c>
      <c r="K3057" s="183">
        <f ca="1">VLOOKUP(F3057,
    OFFSET(INDIRECT(ADDRESS(MATCH(J3057,'Vehicle numbers'!$A$5:$A$162,0),1,1,1,$L$6)),4,1,COUNTIF('Vehicle numbers'!$A$5:$A$162,J3057),4),
    MATCH(K$8,'Vehicle numbers'!$B$4:$D$4,0))*1000</f>
        <v>1233590</v>
      </c>
      <c r="L3057" s="183">
        <f ca="1">VLOOKUP(F3057,
    OFFSET(INDIRECT(ADDRESS(MATCH(J3057,'Vehicle numbers'!$A$5:$A$162,0),1,1,1,$L$6)),4,1,COUNTIF('Vehicle numbers'!$A$5:$A$162,J3057),4),
    MATCH(L$8,'Vehicle numbers'!$B$4:$D$4,0))*1000</f>
        <v>1255860</v>
      </c>
      <c r="M3057" s="184">
        <f>VLOOKUP(F3057,'Annual distance covered (GB)'!$A$8:$H$33,MATCH(J3057,'Annual distance covered (GB)'!$A$7:$H$7,0))</f>
        <v>4.8</v>
      </c>
      <c r="N3057" s="2">
        <f t="shared" ca="1" si="108"/>
        <v>1448.046468033469</v>
      </c>
      <c r="O3057" s="180">
        <f t="shared" ca="1" si="109"/>
        <v>1.1530317615287284E-3</v>
      </c>
      <c r="P3057" s="180"/>
      <c r="Q3057" s="180"/>
      <c r="R3057" s="180"/>
      <c r="S3057" s="180"/>
      <c r="T3057" s="180"/>
    </row>
    <row r="3058" spans="1:20" x14ac:dyDescent="0.25">
      <c r="A3058" t="s">
        <v>236</v>
      </c>
      <c r="B3058" t="s">
        <v>237</v>
      </c>
      <c r="C3058" t="s">
        <v>238</v>
      </c>
      <c r="D3058" t="s">
        <v>262</v>
      </c>
      <c r="E3058" t="s">
        <v>229</v>
      </c>
      <c r="F3058">
        <v>2017</v>
      </c>
      <c r="G3058">
        <v>6.8000000000000102E-4</v>
      </c>
      <c r="H3058" t="s">
        <v>240</v>
      </c>
      <c r="I3058" t="s">
        <v>241</v>
      </c>
      <c r="J3058" t="s">
        <v>3</v>
      </c>
      <c r="K3058" s="183">
        <f ca="1">VLOOKUP(F3058,
    OFFSET(INDIRECT(ADDRESS(MATCH(J3058,'Vehicle numbers'!$A$5:$A$162,0),1,1,1,$L$6)),4,1,COUNTIF('Vehicle numbers'!$A$5:$A$162,J3058),4),
    MATCH(K$8,'Vehicle numbers'!$B$4:$D$4,0))*1000</f>
        <v>1233590</v>
      </c>
      <c r="L3058" s="183">
        <f ca="1">VLOOKUP(F3058,
    OFFSET(INDIRECT(ADDRESS(MATCH(J3058,'Vehicle numbers'!$A$5:$A$162,0),1,1,1,$L$6)),4,1,COUNTIF('Vehicle numbers'!$A$5:$A$162,J3058),4),
    MATCH(L$8,'Vehicle numbers'!$B$4:$D$4,0))*1000</f>
        <v>1255860</v>
      </c>
      <c r="M3058" s="184">
        <f>VLOOKUP(F3058,'Annual distance covered (GB)'!$A$8:$H$33,MATCH(J3058,'Annual distance covered (GB)'!$A$7:$H$7,0))</f>
        <v>4.8</v>
      </c>
      <c r="N3058" s="2">
        <f t="shared" ca="1" si="108"/>
        <v>3322.9249912856021</v>
      </c>
      <c r="O3058" s="180">
        <f t="shared" ca="1" si="109"/>
        <v>2.6459358457834488E-3</v>
      </c>
      <c r="P3058" s="180"/>
      <c r="Q3058" s="180"/>
      <c r="R3058" s="180"/>
      <c r="S3058" s="180"/>
      <c r="T3058" s="180"/>
    </row>
    <row r="3059" spans="1:20" x14ac:dyDescent="0.25">
      <c r="A3059" t="s">
        <v>243</v>
      </c>
      <c r="B3059" t="s">
        <v>237</v>
      </c>
      <c r="C3059" t="s">
        <v>238</v>
      </c>
      <c r="D3059" t="s">
        <v>262</v>
      </c>
      <c r="E3059" t="s">
        <v>229</v>
      </c>
      <c r="F3059">
        <v>2017</v>
      </c>
      <c r="G3059">
        <v>2.72E-4</v>
      </c>
      <c r="H3059" t="s">
        <v>240</v>
      </c>
      <c r="I3059" t="s">
        <v>241</v>
      </c>
      <c r="J3059" t="s">
        <v>3</v>
      </c>
      <c r="K3059" s="183">
        <f ca="1">VLOOKUP(F3059,
    OFFSET(INDIRECT(ADDRESS(MATCH(J3059,'Vehicle numbers'!$A$5:$A$162,0),1,1,1,$L$6)),4,1,COUNTIF('Vehicle numbers'!$A$5:$A$162,J3059),4),
    MATCH(K$8,'Vehicle numbers'!$B$4:$D$4,0))*1000</f>
        <v>1233590</v>
      </c>
      <c r="L3059" s="183">
        <f ca="1">VLOOKUP(F3059,
    OFFSET(INDIRECT(ADDRESS(MATCH(J3059,'Vehicle numbers'!$A$5:$A$162,0),1,1,1,$L$6)),4,1,COUNTIF('Vehicle numbers'!$A$5:$A$162,J3059),4),
    MATCH(L$8,'Vehicle numbers'!$B$4:$D$4,0))*1000</f>
        <v>1255860</v>
      </c>
      <c r="M3059" s="184">
        <f>VLOOKUP(F3059,'Annual distance covered (GB)'!$A$8:$H$33,MATCH(J3059,'Annual distance covered (GB)'!$A$7:$H$7,0))</f>
        <v>4.8</v>
      </c>
      <c r="N3059" s="2">
        <f t="shared" ca="1" si="108"/>
        <v>1329.1699965142391</v>
      </c>
      <c r="O3059" s="180">
        <f t="shared" ca="1" si="109"/>
        <v>1.0583743383133781E-3</v>
      </c>
      <c r="P3059" s="180"/>
      <c r="Q3059" s="180"/>
      <c r="R3059" s="180"/>
      <c r="S3059" s="180"/>
      <c r="T3059" s="180"/>
    </row>
    <row r="3060" spans="1:20" x14ac:dyDescent="0.25">
      <c r="A3060" t="s">
        <v>244</v>
      </c>
      <c r="B3060" t="s">
        <v>237</v>
      </c>
      <c r="C3060" t="s">
        <v>238</v>
      </c>
      <c r="D3060" t="s">
        <v>262</v>
      </c>
      <c r="E3060" t="s">
        <v>229</v>
      </c>
      <c r="F3060">
        <v>2017</v>
      </c>
      <c r="G3060" s="189">
        <v>6.7999999999999999E-5</v>
      </c>
      <c r="H3060" t="s">
        <v>240</v>
      </c>
      <c r="I3060" t="s">
        <v>241</v>
      </c>
      <c r="J3060" t="s">
        <v>3</v>
      </c>
      <c r="K3060" s="183">
        <f ca="1">VLOOKUP(F3060,
    OFFSET(INDIRECT(ADDRESS(MATCH(J3060,'Vehicle numbers'!$A$5:$A$162,0),1,1,1,$L$6)),4,1,COUNTIF('Vehicle numbers'!$A$5:$A$162,J3060),4),
    MATCH(K$8,'Vehicle numbers'!$B$4:$D$4,0))*1000</f>
        <v>1233590</v>
      </c>
      <c r="L3060" s="183">
        <f ca="1">VLOOKUP(F3060,
    OFFSET(INDIRECT(ADDRESS(MATCH(J3060,'Vehicle numbers'!$A$5:$A$162,0),1,1,1,$L$6)),4,1,COUNTIF('Vehicle numbers'!$A$5:$A$162,J3060),4),
    MATCH(L$8,'Vehicle numbers'!$B$4:$D$4,0))*1000</f>
        <v>1255860</v>
      </c>
      <c r="M3060" s="184">
        <f>VLOOKUP(F3060,'Annual distance covered (GB)'!$A$8:$H$33,MATCH(J3060,'Annual distance covered (GB)'!$A$7:$H$7,0))</f>
        <v>4.8</v>
      </c>
      <c r="N3060" s="2">
        <f t="shared" ca="1" si="108"/>
        <v>332.29249912855977</v>
      </c>
      <c r="O3060" s="180">
        <f t="shared" ca="1" si="109"/>
        <v>2.6459358457834453E-4</v>
      </c>
      <c r="P3060" s="180"/>
      <c r="Q3060" s="180"/>
      <c r="R3060" s="180"/>
      <c r="S3060" s="180"/>
      <c r="T3060" s="180"/>
    </row>
    <row r="3061" spans="1:20" x14ac:dyDescent="0.25">
      <c r="A3061" t="s">
        <v>246</v>
      </c>
      <c r="B3061" t="s">
        <v>237</v>
      </c>
      <c r="C3061" t="s">
        <v>238</v>
      </c>
      <c r="D3061" t="s">
        <v>262</v>
      </c>
      <c r="E3061" t="s">
        <v>229</v>
      </c>
      <c r="F3061">
        <v>2017</v>
      </c>
      <c r="G3061" s="189">
        <v>5.4400000000000001E-5</v>
      </c>
      <c r="H3061" t="s">
        <v>240</v>
      </c>
      <c r="I3061" t="s">
        <v>241</v>
      </c>
      <c r="J3061" t="s">
        <v>3</v>
      </c>
      <c r="K3061" s="183">
        <f ca="1">VLOOKUP(F3061,
    OFFSET(INDIRECT(ADDRESS(MATCH(J3061,'Vehicle numbers'!$A$5:$A$162,0),1,1,1,$L$6)),4,1,COUNTIF('Vehicle numbers'!$A$5:$A$162,J3061),4),
    MATCH(K$8,'Vehicle numbers'!$B$4:$D$4,0))*1000</f>
        <v>1233590</v>
      </c>
      <c r="L3061" s="183">
        <f ca="1">VLOOKUP(F3061,
    OFFSET(INDIRECT(ADDRESS(MATCH(J3061,'Vehicle numbers'!$A$5:$A$162,0),1,1,1,$L$6)),4,1,COUNTIF('Vehicle numbers'!$A$5:$A$162,J3061),4),
    MATCH(L$8,'Vehicle numbers'!$B$4:$D$4,0))*1000</f>
        <v>1255860</v>
      </c>
      <c r="M3061" s="184">
        <f>VLOOKUP(F3061,'Annual distance covered (GB)'!$A$8:$H$33,MATCH(J3061,'Annual distance covered (GB)'!$A$7:$H$7,0))</f>
        <v>4.8</v>
      </c>
      <c r="N3061" s="2">
        <f t="shared" ca="1" si="108"/>
        <v>265.83399930284781</v>
      </c>
      <c r="O3061" s="180">
        <f t="shared" ca="1" si="109"/>
        <v>2.1167486766267564E-4</v>
      </c>
      <c r="P3061" s="180"/>
      <c r="Q3061" s="180"/>
      <c r="R3061" s="180"/>
      <c r="S3061" s="180"/>
      <c r="T3061" s="180"/>
    </row>
    <row r="3062" spans="1:20" x14ac:dyDescent="0.25">
      <c r="A3062" t="s">
        <v>236</v>
      </c>
      <c r="B3062" t="s">
        <v>237</v>
      </c>
      <c r="C3062" t="s">
        <v>238</v>
      </c>
      <c r="D3062" t="s">
        <v>262</v>
      </c>
      <c r="E3062" t="s">
        <v>228</v>
      </c>
      <c r="F3062">
        <v>2017</v>
      </c>
      <c r="G3062">
        <v>2.49E-3</v>
      </c>
      <c r="H3062" t="s">
        <v>240</v>
      </c>
      <c r="I3062" t="s">
        <v>241</v>
      </c>
      <c r="J3062" t="s">
        <v>3</v>
      </c>
      <c r="K3062" s="183">
        <f ca="1">VLOOKUP(F3062,
    OFFSET(INDIRECT(ADDRESS(MATCH(J3062,'Vehicle numbers'!$A$5:$A$162,0),1,1,1,$L$6)),4,1,COUNTIF('Vehicle numbers'!$A$5:$A$162,J3062),4),
    MATCH(K$8,'Vehicle numbers'!$B$4:$D$4,0))*1000</f>
        <v>1233590</v>
      </c>
      <c r="L3062" s="183">
        <f ca="1">VLOOKUP(F3062,
    OFFSET(INDIRECT(ADDRESS(MATCH(J3062,'Vehicle numbers'!$A$5:$A$162,0),1,1,1,$L$6)),4,1,COUNTIF('Vehicle numbers'!$A$5:$A$162,J3062),4),
    MATCH(L$8,'Vehicle numbers'!$B$4:$D$4,0))*1000</f>
        <v>1255860</v>
      </c>
      <c r="M3062" s="184">
        <f>VLOOKUP(F3062,'Annual distance covered (GB)'!$A$8:$H$33,MATCH(J3062,'Annual distance covered (GB)'!$A$7:$H$7,0))</f>
        <v>4.8</v>
      </c>
      <c r="N3062" s="2">
        <f t="shared" ca="1" si="108"/>
        <v>12167.769453384024</v>
      </c>
      <c r="O3062" s="180">
        <f t="shared" ca="1" si="109"/>
        <v>9.6887944941187899E-3</v>
      </c>
      <c r="P3062" s="180"/>
      <c r="Q3062" s="180"/>
      <c r="R3062" s="180"/>
      <c r="S3062" s="180"/>
      <c r="T3062" s="180"/>
    </row>
    <row r="3063" spans="1:20" x14ac:dyDescent="0.25">
      <c r="A3063" t="s">
        <v>243</v>
      </c>
      <c r="B3063" t="s">
        <v>237</v>
      </c>
      <c r="C3063" t="s">
        <v>238</v>
      </c>
      <c r="D3063" t="s">
        <v>262</v>
      </c>
      <c r="E3063" t="s">
        <v>228</v>
      </c>
      <c r="F3063">
        <v>2017</v>
      </c>
      <c r="G3063">
        <v>1.743E-3</v>
      </c>
      <c r="H3063" t="s">
        <v>240</v>
      </c>
      <c r="I3063" t="s">
        <v>241</v>
      </c>
      <c r="J3063" t="s">
        <v>3</v>
      </c>
      <c r="K3063" s="183">
        <f ca="1">VLOOKUP(F3063,
    OFFSET(INDIRECT(ADDRESS(MATCH(J3063,'Vehicle numbers'!$A$5:$A$162,0),1,1,1,$L$6)),4,1,COUNTIF('Vehicle numbers'!$A$5:$A$162,J3063),4),
    MATCH(K$8,'Vehicle numbers'!$B$4:$D$4,0))*1000</f>
        <v>1233590</v>
      </c>
      <c r="L3063" s="183">
        <f ca="1">VLOOKUP(F3063,
    OFFSET(INDIRECT(ADDRESS(MATCH(J3063,'Vehicle numbers'!$A$5:$A$162,0),1,1,1,$L$6)),4,1,COUNTIF('Vehicle numbers'!$A$5:$A$162,J3063),4),
    MATCH(L$8,'Vehicle numbers'!$B$4:$D$4,0))*1000</f>
        <v>1255860</v>
      </c>
      <c r="M3063" s="184">
        <f>VLOOKUP(F3063,'Annual distance covered (GB)'!$A$8:$H$33,MATCH(J3063,'Annual distance covered (GB)'!$A$7:$H$7,0))</f>
        <v>4.8</v>
      </c>
      <c r="N3063" s="2">
        <f t="shared" ca="1" si="108"/>
        <v>8517.4386173688181</v>
      </c>
      <c r="O3063" s="180">
        <f t="shared" ca="1" si="109"/>
        <v>6.7821561458831546E-3</v>
      </c>
      <c r="P3063" s="180"/>
      <c r="Q3063" s="180"/>
      <c r="R3063" s="180"/>
      <c r="S3063" s="180"/>
      <c r="T3063" s="180"/>
    </row>
    <row r="3064" spans="1:20" x14ac:dyDescent="0.25">
      <c r="A3064" t="s">
        <v>244</v>
      </c>
      <c r="B3064" t="s">
        <v>237</v>
      </c>
      <c r="C3064" t="s">
        <v>238</v>
      </c>
      <c r="D3064" t="s">
        <v>262</v>
      </c>
      <c r="E3064" t="s">
        <v>228</v>
      </c>
      <c r="F3064">
        <v>2017</v>
      </c>
      <c r="G3064">
        <v>2.4549295774647798E-4</v>
      </c>
      <c r="H3064" t="s">
        <v>240</v>
      </c>
      <c r="I3064" t="s">
        <v>241</v>
      </c>
      <c r="J3064" t="s">
        <v>3</v>
      </c>
      <c r="K3064" s="183">
        <f ca="1">VLOOKUP(F3064,
    OFFSET(INDIRECT(ADDRESS(MATCH(J3064,'Vehicle numbers'!$A$5:$A$162,0),1,1,1,$L$6)),4,1,COUNTIF('Vehicle numbers'!$A$5:$A$162,J3064),4),
    MATCH(K$8,'Vehicle numbers'!$B$4:$D$4,0))*1000</f>
        <v>1233590</v>
      </c>
      <c r="L3064" s="183">
        <f ca="1">VLOOKUP(F3064,
    OFFSET(INDIRECT(ADDRESS(MATCH(J3064,'Vehicle numbers'!$A$5:$A$162,0),1,1,1,$L$6)),4,1,COUNTIF('Vehicle numbers'!$A$5:$A$162,J3064),4),
    MATCH(L$8,'Vehicle numbers'!$B$4:$D$4,0))*1000</f>
        <v>1255860</v>
      </c>
      <c r="M3064" s="184">
        <f>VLOOKUP(F3064,'Annual distance covered (GB)'!$A$8:$H$33,MATCH(J3064,'Annual distance covered (GB)'!$A$7:$H$7,0))</f>
        <v>4.8</v>
      </c>
      <c r="N3064" s="2">
        <f t="shared" ca="1" si="108"/>
        <v>1199.6392418829278</v>
      </c>
      <c r="O3064" s="180">
        <f t="shared" ca="1" si="109"/>
        <v>9.5523325998353936E-4</v>
      </c>
      <c r="P3064" s="180"/>
      <c r="Q3064" s="180"/>
      <c r="R3064" s="180"/>
      <c r="S3064" s="180"/>
      <c r="T3064" s="180"/>
    </row>
    <row r="3065" spans="1:20" x14ac:dyDescent="0.25">
      <c r="A3065" t="s">
        <v>246</v>
      </c>
      <c r="B3065" t="s">
        <v>237</v>
      </c>
      <c r="C3065" t="s">
        <v>238</v>
      </c>
      <c r="D3065" t="s">
        <v>262</v>
      </c>
      <c r="E3065" t="s">
        <v>228</v>
      </c>
      <c r="F3065">
        <v>2017</v>
      </c>
      <c r="G3065">
        <v>1.96394366197183E-4</v>
      </c>
      <c r="H3065" t="s">
        <v>240</v>
      </c>
      <c r="I3065" t="s">
        <v>241</v>
      </c>
      <c r="J3065" t="s">
        <v>3</v>
      </c>
      <c r="K3065" s="183">
        <f ca="1">VLOOKUP(F3065,
    OFFSET(INDIRECT(ADDRESS(MATCH(J3065,'Vehicle numbers'!$A$5:$A$162,0),1,1,1,$L$6)),4,1,COUNTIF('Vehicle numbers'!$A$5:$A$162,J3065),4),
    MATCH(K$8,'Vehicle numbers'!$B$4:$D$4,0))*1000</f>
        <v>1233590</v>
      </c>
      <c r="L3065" s="183">
        <f ca="1">VLOOKUP(F3065,
    OFFSET(INDIRECT(ADDRESS(MATCH(J3065,'Vehicle numbers'!$A$5:$A$162,0),1,1,1,$L$6)),4,1,COUNTIF('Vehicle numbers'!$A$5:$A$162,J3065),4),
    MATCH(L$8,'Vehicle numbers'!$B$4:$D$4,0))*1000</f>
        <v>1255860</v>
      </c>
      <c r="M3065" s="184">
        <f>VLOOKUP(F3065,'Annual distance covered (GB)'!$A$8:$H$33,MATCH(J3065,'Annual distance covered (GB)'!$A$7:$H$7,0))</f>
        <v>4.8</v>
      </c>
      <c r="N3065" s="2">
        <f t="shared" ca="1" si="108"/>
        <v>959.71139350634519</v>
      </c>
      <c r="O3065" s="180">
        <f t="shared" ca="1" si="109"/>
        <v>7.6418660798683387E-4</v>
      </c>
      <c r="P3065" s="180"/>
      <c r="Q3065" s="180"/>
      <c r="R3065" s="180"/>
      <c r="S3065" s="180"/>
      <c r="T3065" s="180"/>
    </row>
    <row r="3066" spans="1:20" x14ac:dyDescent="0.25">
      <c r="A3066" t="s">
        <v>236</v>
      </c>
      <c r="B3066" t="s">
        <v>237</v>
      </c>
      <c r="C3066" t="s">
        <v>238</v>
      </c>
      <c r="D3066" t="s">
        <v>263</v>
      </c>
      <c r="E3066" t="s">
        <v>229</v>
      </c>
      <c r="F3066">
        <v>2017</v>
      </c>
      <c r="G3066">
        <v>2.764E-3</v>
      </c>
      <c r="H3066" t="s">
        <v>240</v>
      </c>
      <c r="I3066" t="s">
        <v>241</v>
      </c>
      <c r="J3066" t="s">
        <v>3</v>
      </c>
      <c r="K3066" s="183">
        <f ca="1">VLOOKUP(F3066,
    OFFSET(INDIRECT(ADDRESS(MATCH(J3066,'Vehicle numbers'!$A$5:$A$162,0),1,1,1,$L$6)),4,1,COUNTIF('Vehicle numbers'!$A$5:$A$162,J3066),4),
    MATCH(K$8,'Vehicle numbers'!$B$4:$D$4,0))*1000</f>
        <v>1233590</v>
      </c>
      <c r="L3066" s="183">
        <f ca="1">VLOOKUP(F3066,
    OFFSET(INDIRECT(ADDRESS(MATCH(J3066,'Vehicle numbers'!$A$5:$A$162,0),1,1,1,$L$6)),4,1,COUNTIF('Vehicle numbers'!$A$5:$A$162,J3066),4),
    MATCH(L$8,'Vehicle numbers'!$B$4:$D$4,0))*1000</f>
        <v>1255860</v>
      </c>
      <c r="M3066" s="184">
        <f>VLOOKUP(F3066,'Annual distance covered (GB)'!$A$8:$H$33,MATCH(J3066,'Annual distance covered (GB)'!$A$7:$H$7,0))</f>
        <v>4.8</v>
      </c>
      <c r="N3066" s="2">
        <f t="shared" ca="1" si="108"/>
        <v>13506.712758696165</v>
      </c>
      <c r="O3066" s="180">
        <f t="shared" ca="1" si="109"/>
        <v>1.0754950996684476E-2</v>
      </c>
      <c r="P3066" s="180"/>
      <c r="Q3066" s="180"/>
      <c r="R3066" s="180"/>
      <c r="S3066" s="180"/>
      <c r="T3066" s="180"/>
    </row>
    <row r="3067" spans="1:20" x14ac:dyDescent="0.25">
      <c r="A3067" t="s">
        <v>243</v>
      </c>
      <c r="B3067" t="s">
        <v>237</v>
      </c>
      <c r="C3067" t="s">
        <v>238</v>
      </c>
      <c r="D3067" t="s">
        <v>263</v>
      </c>
      <c r="E3067" t="s">
        <v>229</v>
      </c>
      <c r="F3067">
        <v>2017</v>
      </c>
      <c r="G3067">
        <v>1.1056E-3</v>
      </c>
      <c r="H3067" t="s">
        <v>240</v>
      </c>
      <c r="I3067" t="s">
        <v>241</v>
      </c>
      <c r="J3067" t="s">
        <v>3</v>
      </c>
      <c r="K3067" s="183">
        <f ca="1">VLOOKUP(F3067,
    OFFSET(INDIRECT(ADDRESS(MATCH(J3067,'Vehicle numbers'!$A$5:$A$162,0),1,1,1,$L$6)),4,1,COUNTIF('Vehicle numbers'!$A$5:$A$162,J3067),4),
    MATCH(K$8,'Vehicle numbers'!$B$4:$D$4,0))*1000</f>
        <v>1233590</v>
      </c>
      <c r="L3067" s="183">
        <f ca="1">VLOOKUP(F3067,
    OFFSET(INDIRECT(ADDRESS(MATCH(J3067,'Vehicle numbers'!$A$5:$A$162,0),1,1,1,$L$6)),4,1,COUNTIF('Vehicle numbers'!$A$5:$A$162,J3067),4),
    MATCH(L$8,'Vehicle numbers'!$B$4:$D$4,0))*1000</f>
        <v>1255860</v>
      </c>
      <c r="M3067" s="184">
        <f>VLOOKUP(F3067,'Annual distance covered (GB)'!$A$8:$H$33,MATCH(J3067,'Annual distance covered (GB)'!$A$7:$H$7,0))</f>
        <v>4.8</v>
      </c>
      <c r="N3067" s="2">
        <f t="shared" ca="1" si="108"/>
        <v>5402.6851034784659</v>
      </c>
      <c r="O3067" s="180">
        <f t="shared" ca="1" si="109"/>
        <v>4.3019803986737897E-3</v>
      </c>
      <c r="P3067" s="180"/>
      <c r="Q3067" s="180"/>
      <c r="R3067" s="180"/>
      <c r="S3067" s="180"/>
      <c r="T3067" s="180"/>
    </row>
    <row r="3068" spans="1:20" x14ac:dyDescent="0.25">
      <c r="A3068" t="s">
        <v>244</v>
      </c>
      <c r="B3068" t="s">
        <v>237</v>
      </c>
      <c r="C3068" t="s">
        <v>238</v>
      </c>
      <c r="D3068" t="s">
        <v>263</v>
      </c>
      <c r="E3068" t="s">
        <v>229</v>
      </c>
      <c r="F3068">
        <v>2017</v>
      </c>
      <c r="G3068">
        <v>2.764E-4</v>
      </c>
      <c r="H3068" t="s">
        <v>240</v>
      </c>
      <c r="I3068" t="s">
        <v>241</v>
      </c>
      <c r="J3068" t="s">
        <v>3</v>
      </c>
      <c r="K3068" s="183">
        <f ca="1">VLOOKUP(F3068,
    OFFSET(INDIRECT(ADDRESS(MATCH(J3068,'Vehicle numbers'!$A$5:$A$162,0),1,1,1,$L$6)),4,1,COUNTIF('Vehicle numbers'!$A$5:$A$162,J3068),4),
    MATCH(K$8,'Vehicle numbers'!$B$4:$D$4,0))*1000</f>
        <v>1233590</v>
      </c>
      <c r="L3068" s="183">
        <f ca="1">VLOOKUP(F3068,
    OFFSET(INDIRECT(ADDRESS(MATCH(J3068,'Vehicle numbers'!$A$5:$A$162,0),1,1,1,$L$6)),4,1,COUNTIF('Vehicle numbers'!$A$5:$A$162,J3068),4),
    MATCH(L$8,'Vehicle numbers'!$B$4:$D$4,0))*1000</f>
        <v>1255860</v>
      </c>
      <c r="M3068" s="184">
        <f>VLOOKUP(F3068,'Annual distance covered (GB)'!$A$8:$H$33,MATCH(J3068,'Annual distance covered (GB)'!$A$7:$H$7,0))</f>
        <v>4.8</v>
      </c>
      <c r="N3068" s="2">
        <f t="shared" ca="1" si="108"/>
        <v>1350.6712758696165</v>
      </c>
      <c r="O3068" s="180">
        <f t="shared" ca="1" si="109"/>
        <v>1.0754950996684474E-3</v>
      </c>
      <c r="P3068" s="180"/>
      <c r="Q3068" s="180"/>
      <c r="R3068" s="180"/>
      <c r="S3068" s="180"/>
      <c r="T3068" s="180"/>
    </row>
    <row r="3069" spans="1:20" x14ac:dyDescent="0.25">
      <c r="A3069" t="s">
        <v>246</v>
      </c>
      <c r="B3069" t="s">
        <v>237</v>
      </c>
      <c r="C3069" t="s">
        <v>238</v>
      </c>
      <c r="D3069" t="s">
        <v>263</v>
      </c>
      <c r="E3069" t="s">
        <v>229</v>
      </c>
      <c r="F3069">
        <v>2017</v>
      </c>
      <c r="G3069">
        <v>2.2112E-4</v>
      </c>
      <c r="H3069" t="s">
        <v>240</v>
      </c>
      <c r="I3069" t="s">
        <v>241</v>
      </c>
      <c r="J3069" t="s">
        <v>3</v>
      </c>
      <c r="K3069" s="183">
        <f ca="1">VLOOKUP(F3069,
    OFFSET(INDIRECT(ADDRESS(MATCH(J3069,'Vehicle numbers'!$A$5:$A$162,0),1,1,1,$L$6)),4,1,COUNTIF('Vehicle numbers'!$A$5:$A$162,J3069),4),
    MATCH(K$8,'Vehicle numbers'!$B$4:$D$4,0))*1000</f>
        <v>1233590</v>
      </c>
      <c r="L3069" s="183">
        <f ca="1">VLOOKUP(F3069,
    OFFSET(INDIRECT(ADDRESS(MATCH(J3069,'Vehicle numbers'!$A$5:$A$162,0),1,1,1,$L$6)),4,1,COUNTIF('Vehicle numbers'!$A$5:$A$162,J3069),4),
    MATCH(L$8,'Vehicle numbers'!$B$4:$D$4,0))*1000</f>
        <v>1255860</v>
      </c>
      <c r="M3069" s="184">
        <f>VLOOKUP(F3069,'Annual distance covered (GB)'!$A$8:$H$33,MATCH(J3069,'Annual distance covered (GB)'!$A$7:$H$7,0))</f>
        <v>4.8</v>
      </c>
      <c r="N3069" s="2">
        <f t="shared" ca="1" si="108"/>
        <v>1080.5370206956932</v>
      </c>
      <c r="O3069" s="180">
        <f t="shared" ca="1" si="109"/>
        <v>8.60396079734758E-4</v>
      </c>
      <c r="P3069" s="180"/>
      <c r="Q3069" s="180"/>
      <c r="R3069" s="180"/>
      <c r="S3069" s="180"/>
      <c r="T3069" s="180"/>
    </row>
    <row r="3070" spans="1:20" x14ac:dyDescent="0.25">
      <c r="A3070" t="s">
        <v>236</v>
      </c>
      <c r="B3070" t="s">
        <v>237</v>
      </c>
      <c r="C3070" t="s">
        <v>238</v>
      </c>
      <c r="D3070" t="s">
        <v>263</v>
      </c>
      <c r="E3070" t="s">
        <v>228</v>
      </c>
      <c r="F3070">
        <v>2017</v>
      </c>
      <c r="G3070">
        <v>2.9239999999999999E-3</v>
      </c>
      <c r="H3070" t="s">
        <v>240</v>
      </c>
      <c r="I3070" t="s">
        <v>241</v>
      </c>
      <c r="J3070" t="s">
        <v>3</v>
      </c>
      <c r="K3070" s="183">
        <f ca="1">VLOOKUP(F3070,
    OFFSET(INDIRECT(ADDRESS(MATCH(J3070,'Vehicle numbers'!$A$5:$A$162,0),1,1,1,$L$6)),4,1,COUNTIF('Vehicle numbers'!$A$5:$A$162,J3070),4),
    MATCH(K$8,'Vehicle numbers'!$B$4:$D$4,0))*1000</f>
        <v>1233590</v>
      </c>
      <c r="L3070" s="183">
        <f ca="1">VLOOKUP(F3070,
    OFFSET(INDIRECT(ADDRESS(MATCH(J3070,'Vehicle numbers'!$A$5:$A$162,0),1,1,1,$L$6)),4,1,COUNTIF('Vehicle numbers'!$A$5:$A$162,J3070),4),
    MATCH(L$8,'Vehicle numbers'!$B$4:$D$4,0))*1000</f>
        <v>1255860</v>
      </c>
      <c r="M3070" s="184">
        <f>VLOOKUP(F3070,'Annual distance covered (GB)'!$A$8:$H$33,MATCH(J3070,'Annual distance covered (GB)'!$A$7:$H$7,0))</f>
        <v>4.8</v>
      </c>
      <c r="N3070" s="2">
        <f t="shared" ca="1" si="108"/>
        <v>14288.577462528068</v>
      </c>
      <c r="O3070" s="180">
        <f t="shared" ca="1" si="109"/>
        <v>1.1377524136868813E-2</v>
      </c>
      <c r="P3070" s="180"/>
      <c r="Q3070" s="180"/>
      <c r="R3070" s="180"/>
      <c r="S3070" s="180"/>
      <c r="T3070" s="180"/>
    </row>
    <row r="3071" spans="1:20" x14ac:dyDescent="0.25">
      <c r="A3071" t="s">
        <v>243</v>
      </c>
      <c r="B3071" t="s">
        <v>237</v>
      </c>
      <c r="C3071" t="s">
        <v>238</v>
      </c>
      <c r="D3071" t="s">
        <v>263</v>
      </c>
      <c r="E3071" t="s">
        <v>228</v>
      </c>
      <c r="F3071">
        <v>2017</v>
      </c>
      <c r="G3071">
        <v>2.0468000000000001E-3</v>
      </c>
      <c r="H3071" t="s">
        <v>240</v>
      </c>
      <c r="I3071" t="s">
        <v>241</v>
      </c>
      <c r="J3071" t="s">
        <v>3</v>
      </c>
      <c r="K3071" s="183">
        <f ca="1">VLOOKUP(F3071,
    OFFSET(INDIRECT(ADDRESS(MATCH(J3071,'Vehicle numbers'!$A$5:$A$162,0),1,1,1,$L$6)),4,1,COUNTIF('Vehicle numbers'!$A$5:$A$162,J3071),4),
    MATCH(K$8,'Vehicle numbers'!$B$4:$D$4,0))*1000</f>
        <v>1233590</v>
      </c>
      <c r="L3071" s="183">
        <f ca="1">VLOOKUP(F3071,
    OFFSET(INDIRECT(ADDRESS(MATCH(J3071,'Vehicle numbers'!$A$5:$A$162,0),1,1,1,$L$6)),4,1,COUNTIF('Vehicle numbers'!$A$5:$A$162,J3071),4),
    MATCH(L$8,'Vehicle numbers'!$B$4:$D$4,0))*1000</f>
        <v>1255860</v>
      </c>
      <c r="M3071" s="184">
        <f>VLOOKUP(F3071,'Annual distance covered (GB)'!$A$8:$H$33,MATCH(J3071,'Annual distance covered (GB)'!$A$7:$H$7,0))</f>
        <v>4.8</v>
      </c>
      <c r="N3071" s="2">
        <f t="shared" ca="1" si="108"/>
        <v>10002.004223769651</v>
      </c>
      <c r="O3071" s="180">
        <f t="shared" ca="1" si="109"/>
        <v>7.9642668958081718E-3</v>
      </c>
      <c r="P3071" s="180"/>
      <c r="Q3071" s="180"/>
      <c r="R3071" s="180"/>
      <c r="S3071" s="180"/>
      <c r="T3071" s="180"/>
    </row>
    <row r="3072" spans="1:20" x14ac:dyDescent="0.25">
      <c r="A3072" t="s">
        <v>244</v>
      </c>
      <c r="B3072" t="s">
        <v>237</v>
      </c>
      <c r="C3072" t="s">
        <v>238</v>
      </c>
      <c r="D3072" t="s">
        <v>263</v>
      </c>
      <c r="E3072" t="s">
        <v>228</v>
      </c>
      <c r="F3072">
        <v>2017</v>
      </c>
      <c r="G3072">
        <v>2.8828169014084501E-4</v>
      </c>
      <c r="H3072" t="s">
        <v>240</v>
      </c>
      <c r="I3072" t="s">
        <v>241</v>
      </c>
      <c r="J3072" t="s">
        <v>3</v>
      </c>
      <c r="K3072" s="183">
        <f ca="1">VLOOKUP(F3072,
    OFFSET(INDIRECT(ADDRESS(MATCH(J3072,'Vehicle numbers'!$A$5:$A$162,0),1,1,1,$L$6)),4,1,COUNTIF('Vehicle numbers'!$A$5:$A$162,J3072),4),
    MATCH(K$8,'Vehicle numbers'!$B$4:$D$4,0))*1000</f>
        <v>1233590</v>
      </c>
      <c r="L3072" s="183">
        <f ca="1">VLOOKUP(F3072,
    OFFSET(INDIRECT(ADDRESS(MATCH(J3072,'Vehicle numbers'!$A$5:$A$162,0),1,1,1,$L$6)),4,1,COUNTIF('Vehicle numbers'!$A$5:$A$162,J3072),4),
    MATCH(L$8,'Vehicle numbers'!$B$4:$D$4,0))*1000</f>
        <v>1255860</v>
      </c>
      <c r="M3072" s="184">
        <f>VLOOKUP(F3072,'Annual distance covered (GB)'!$A$8:$H$33,MATCH(J3072,'Annual distance covered (GB)'!$A$7:$H$7,0))</f>
        <v>4.8</v>
      </c>
      <c r="N3072" s="2">
        <f t="shared" ca="1" si="108"/>
        <v>1408.7329892633304</v>
      </c>
      <c r="O3072" s="180">
        <f t="shared" ca="1" si="109"/>
        <v>1.1217277318039673E-3</v>
      </c>
      <c r="P3072" s="180"/>
      <c r="Q3072" s="180"/>
      <c r="R3072" s="180"/>
      <c r="S3072" s="180"/>
      <c r="T3072" s="180"/>
    </row>
    <row r="3073" spans="1:20" x14ac:dyDescent="0.25">
      <c r="A3073" t="s">
        <v>246</v>
      </c>
      <c r="B3073" t="s">
        <v>237</v>
      </c>
      <c r="C3073" t="s">
        <v>238</v>
      </c>
      <c r="D3073" t="s">
        <v>263</v>
      </c>
      <c r="E3073" t="s">
        <v>228</v>
      </c>
      <c r="F3073">
        <v>2017</v>
      </c>
      <c r="G3073">
        <v>2.3062535211267599E-4</v>
      </c>
      <c r="H3073" t="s">
        <v>240</v>
      </c>
      <c r="I3073" t="s">
        <v>241</v>
      </c>
      <c r="J3073" t="s">
        <v>3</v>
      </c>
      <c r="K3073" s="183">
        <f ca="1">VLOOKUP(F3073,
    OFFSET(INDIRECT(ADDRESS(MATCH(J3073,'Vehicle numbers'!$A$5:$A$162,0),1,1,1,$L$6)),4,1,COUNTIF('Vehicle numbers'!$A$5:$A$162,J3073),4),
    MATCH(K$8,'Vehicle numbers'!$B$4:$D$4,0))*1000</f>
        <v>1233590</v>
      </c>
      <c r="L3073" s="183">
        <f ca="1">VLOOKUP(F3073,
    OFFSET(INDIRECT(ADDRESS(MATCH(J3073,'Vehicle numbers'!$A$5:$A$162,0),1,1,1,$L$6)),4,1,COUNTIF('Vehicle numbers'!$A$5:$A$162,J3073),4),
    MATCH(L$8,'Vehicle numbers'!$B$4:$D$4,0))*1000</f>
        <v>1255860</v>
      </c>
      <c r="M3073" s="184">
        <f>VLOOKUP(F3073,'Annual distance covered (GB)'!$A$8:$H$33,MATCH(J3073,'Annual distance covered (GB)'!$A$7:$H$7,0))</f>
        <v>4.8</v>
      </c>
      <c r="N3073" s="2">
        <f t="shared" ca="1" si="108"/>
        <v>1126.9863914106643</v>
      </c>
      <c r="O3073" s="180">
        <f t="shared" ca="1" si="109"/>
        <v>8.9738218544317379E-4</v>
      </c>
      <c r="P3073" s="180"/>
      <c r="Q3073" s="180"/>
      <c r="R3073" s="180"/>
      <c r="S3073" s="180"/>
      <c r="T3073" s="180"/>
    </row>
    <row r="3074" spans="1:20" x14ac:dyDescent="0.25">
      <c r="A3074" t="s">
        <v>236</v>
      </c>
      <c r="B3074" t="s">
        <v>237</v>
      </c>
      <c r="C3074" t="s">
        <v>238</v>
      </c>
      <c r="D3074" t="s">
        <v>264</v>
      </c>
      <c r="E3074" t="s">
        <v>229</v>
      </c>
      <c r="F3074">
        <v>2017</v>
      </c>
      <c r="G3074">
        <v>5.8399999999999997E-3</v>
      </c>
      <c r="H3074" t="s">
        <v>240</v>
      </c>
      <c r="I3074" t="s">
        <v>241</v>
      </c>
      <c r="J3074" t="s">
        <v>3</v>
      </c>
      <c r="K3074" s="183">
        <f ca="1">VLOOKUP(F3074,
    OFFSET(INDIRECT(ADDRESS(MATCH(J3074,'Vehicle numbers'!$A$5:$A$162,0),1,1,1,$L$6)),4,1,COUNTIF('Vehicle numbers'!$A$5:$A$162,J3074),4),
    MATCH(K$8,'Vehicle numbers'!$B$4:$D$4,0))*1000</f>
        <v>1233590</v>
      </c>
      <c r="L3074" s="183">
        <f ca="1">VLOOKUP(F3074,
    OFFSET(INDIRECT(ADDRESS(MATCH(J3074,'Vehicle numbers'!$A$5:$A$162,0),1,1,1,$L$6)),4,1,COUNTIF('Vehicle numbers'!$A$5:$A$162,J3074),4),
    MATCH(L$8,'Vehicle numbers'!$B$4:$D$4,0))*1000</f>
        <v>1255860</v>
      </c>
      <c r="M3074" s="184">
        <f>VLOOKUP(F3074,'Annual distance covered (GB)'!$A$8:$H$33,MATCH(J3074,'Annual distance covered (GB)'!$A$7:$H$7,0))</f>
        <v>4.8</v>
      </c>
      <c r="N3074" s="2">
        <f t="shared" ca="1" si="108"/>
        <v>28538.061689864542</v>
      </c>
      <c r="O3074" s="180">
        <f t="shared" ca="1" si="109"/>
        <v>2.272391961672841E-2</v>
      </c>
      <c r="P3074" s="180"/>
      <c r="Q3074" s="180"/>
      <c r="R3074" s="180"/>
      <c r="S3074" s="180"/>
      <c r="T3074" s="180"/>
    </row>
    <row r="3075" spans="1:20" x14ac:dyDescent="0.25">
      <c r="A3075" t="s">
        <v>243</v>
      </c>
      <c r="B3075" t="s">
        <v>237</v>
      </c>
      <c r="C3075" t="s">
        <v>238</v>
      </c>
      <c r="D3075" t="s">
        <v>264</v>
      </c>
      <c r="E3075" t="s">
        <v>229</v>
      </c>
      <c r="F3075">
        <v>2017</v>
      </c>
      <c r="G3075">
        <v>2.336E-3</v>
      </c>
      <c r="H3075" t="s">
        <v>240</v>
      </c>
      <c r="I3075" t="s">
        <v>241</v>
      </c>
      <c r="J3075" t="s">
        <v>3</v>
      </c>
      <c r="K3075" s="183">
        <f ca="1">VLOOKUP(F3075,
    OFFSET(INDIRECT(ADDRESS(MATCH(J3075,'Vehicle numbers'!$A$5:$A$162,0),1,1,1,$L$6)),4,1,COUNTIF('Vehicle numbers'!$A$5:$A$162,J3075),4),
    MATCH(K$8,'Vehicle numbers'!$B$4:$D$4,0))*1000</f>
        <v>1233590</v>
      </c>
      <c r="L3075" s="183">
        <f ca="1">VLOOKUP(F3075,
    OFFSET(INDIRECT(ADDRESS(MATCH(J3075,'Vehicle numbers'!$A$5:$A$162,0),1,1,1,$L$6)),4,1,COUNTIF('Vehicle numbers'!$A$5:$A$162,J3075),4),
    MATCH(L$8,'Vehicle numbers'!$B$4:$D$4,0))*1000</f>
        <v>1255860</v>
      </c>
      <c r="M3075" s="184">
        <f>VLOOKUP(F3075,'Annual distance covered (GB)'!$A$8:$H$33,MATCH(J3075,'Annual distance covered (GB)'!$A$7:$H$7,0))</f>
        <v>4.8</v>
      </c>
      <c r="N3075" s="2">
        <f t="shared" ca="1" si="108"/>
        <v>11415.224675945819</v>
      </c>
      <c r="O3075" s="180">
        <f t="shared" ca="1" si="109"/>
        <v>9.0895678466913661E-3</v>
      </c>
      <c r="P3075" s="180"/>
      <c r="Q3075" s="180"/>
      <c r="R3075" s="180"/>
      <c r="S3075" s="180"/>
      <c r="T3075" s="180"/>
    </row>
    <row r="3076" spans="1:20" x14ac:dyDescent="0.25">
      <c r="A3076" t="s">
        <v>244</v>
      </c>
      <c r="B3076" t="s">
        <v>237</v>
      </c>
      <c r="C3076" t="s">
        <v>238</v>
      </c>
      <c r="D3076" t="s">
        <v>264</v>
      </c>
      <c r="E3076" t="s">
        <v>229</v>
      </c>
      <c r="F3076">
        <v>2017</v>
      </c>
      <c r="G3076">
        <v>5.8399999999999999E-4</v>
      </c>
      <c r="H3076" t="s">
        <v>240</v>
      </c>
      <c r="I3076" t="s">
        <v>241</v>
      </c>
      <c r="J3076" t="s">
        <v>3</v>
      </c>
      <c r="K3076" s="183">
        <f ca="1">VLOOKUP(F3076,
    OFFSET(INDIRECT(ADDRESS(MATCH(J3076,'Vehicle numbers'!$A$5:$A$162,0),1,1,1,$L$6)),4,1,COUNTIF('Vehicle numbers'!$A$5:$A$162,J3076),4),
    MATCH(K$8,'Vehicle numbers'!$B$4:$D$4,0))*1000</f>
        <v>1233590</v>
      </c>
      <c r="L3076" s="183">
        <f ca="1">VLOOKUP(F3076,
    OFFSET(INDIRECT(ADDRESS(MATCH(J3076,'Vehicle numbers'!$A$5:$A$162,0),1,1,1,$L$6)),4,1,COUNTIF('Vehicle numbers'!$A$5:$A$162,J3076),4),
    MATCH(L$8,'Vehicle numbers'!$B$4:$D$4,0))*1000</f>
        <v>1255860</v>
      </c>
      <c r="M3076" s="184">
        <f>VLOOKUP(F3076,'Annual distance covered (GB)'!$A$8:$H$33,MATCH(J3076,'Annual distance covered (GB)'!$A$7:$H$7,0))</f>
        <v>4.8</v>
      </c>
      <c r="N3076" s="2">
        <f t="shared" ca="1" si="108"/>
        <v>2853.8061689864548</v>
      </c>
      <c r="O3076" s="180">
        <f t="shared" ca="1" si="109"/>
        <v>2.2723919616728415E-3</v>
      </c>
      <c r="P3076" s="180"/>
      <c r="Q3076" s="180"/>
      <c r="R3076" s="180"/>
      <c r="S3076" s="180"/>
      <c r="T3076" s="180"/>
    </row>
    <row r="3077" spans="1:20" x14ac:dyDescent="0.25">
      <c r="A3077" t="s">
        <v>246</v>
      </c>
      <c r="B3077" t="s">
        <v>237</v>
      </c>
      <c r="C3077" t="s">
        <v>238</v>
      </c>
      <c r="D3077" t="s">
        <v>264</v>
      </c>
      <c r="E3077" t="s">
        <v>229</v>
      </c>
      <c r="F3077">
        <v>2017</v>
      </c>
      <c r="G3077">
        <v>4.6720000000000003E-4</v>
      </c>
      <c r="H3077" t="s">
        <v>240</v>
      </c>
      <c r="I3077" t="s">
        <v>241</v>
      </c>
      <c r="J3077" t="s">
        <v>3</v>
      </c>
      <c r="K3077" s="183">
        <f ca="1">VLOOKUP(F3077,
    OFFSET(INDIRECT(ADDRESS(MATCH(J3077,'Vehicle numbers'!$A$5:$A$162,0),1,1,1,$L$6)),4,1,COUNTIF('Vehicle numbers'!$A$5:$A$162,J3077),4),
    MATCH(K$8,'Vehicle numbers'!$B$4:$D$4,0))*1000</f>
        <v>1233590</v>
      </c>
      <c r="L3077" s="183">
        <f ca="1">VLOOKUP(F3077,
    OFFSET(INDIRECT(ADDRESS(MATCH(J3077,'Vehicle numbers'!$A$5:$A$162,0),1,1,1,$L$6)),4,1,COUNTIF('Vehicle numbers'!$A$5:$A$162,J3077),4),
    MATCH(L$8,'Vehicle numbers'!$B$4:$D$4,0))*1000</f>
        <v>1255860</v>
      </c>
      <c r="M3077" s="184">
        <f>VLOOKUP(F3077,'Annual distance covered (GB)'!$A$8:$H$33,MATCH(J3077,'Annual distance covered (GB)'!$A$7:$H$7,0))</f>
        <v>4.8</v>
      </c>
      <c r="N3077" s="2">
        <f t="shared" ca="1" si="108"/>
        <v>2283.0449351891639</v>
      </c>
      <c r="O3077" s="180">
        <f t="shared" ca="1" si="109"/>
        <v>1.8179135693382734E-3</v>
      </c>
      <c r="P3077" s="180"/>
      <c r="Q3077" s="180"/>
      <c r="R3077" s="180"/>
      <c r="S3077" s="180"/>
      <c r="T3077" s="180"/>
    </row>
    <row r="3078" spans="1:20" x14ac:dyDescent="0.25">
      <c r="A3078" t="s">
        <v>236</v>
      </c>
      <c r="B3078" t="s">
        <v>237</v>
      </c>
      <c r="C3078" t="s">
        <v>238</v>
      </c>
      <c r="D3078" t="s">
        <v>264</v>
      </c>
      <c r="E3078" t="s">
        <v>228</v>
      </c>
      <c r="F3078">
        <v>2017</v>
      </c>
      <c r="G3078">
        <v>3.7569999999999999E-3</v>
      </c>
      <c r="H3078" t="s">
        <v>240</v>
      </c>
      <c r="I3078" t="s">
        <v>241</v>
      </c>
      <c r="J3078" t="s">
        <v>3</v>
      </c>
      <c r="K3078" s="183">
        <f ca="1">VLOOKUP(F3078,
    OFFSET(INDIRECT(ADDRESS(MATCH(J3078,'Vehicle numbers'!$A$5:$A$162,0),1,1,1,$L$6)),4,1,COUNTIF('Vehicle numbers'!$A$5:$A$162,J3078),4),
    MATCH(K$8,'Vehicle numbers'!$B$4:$D$4,0))*1000</f>
        <v>1233590</v>
      </c>
      <c r="L3078" s="183">
        <f ca="1">VLOOKUP(F3078,
    OFFSET(INDIRECT(ADDRESS(MATCH(J3078,'Vehicle numbers'!$A$5:$A$162,0),1,1,1,$L$6)),4,1,COUNTIF('Vehicle numbers'!$A$5:$A$162,J3078),4),
    MATCH(L$8,'Vehicle numbers'!$B$4:$D$4,0))*1000</f>
        <v>1255860</v>
      </c>
      <c r="M3078" s="184">
        <f>VLOOKUP(F3078,'Annual distance covered (GB)'!$A$8:$H$33,MATCH(J3078,'Annual distance covered (GB)'!$A$7:$H$7,0))</f>
        <v>4.8</v>
      </c>
      <c r="N3078" s="2">
        <f t="shared" ca="1" si="108"/>
        <v>18359.160576852926</v>
      </c>
      <c r="O3078" s="180">
        <f t="shared" ca="1" si="109"/>
        <v>1.4618795547953535E-2</v>
      </c>
      <c r="P3078" s="180"/>
      <c r="Q3078" s="180"/>
      <c r="R3078" s="180"/>
      <c r="S3078" s="180"/>
      <c r="T3078" s="180"/>
    </row>
    <row r="3079" spans="1:20" x14ac:dyDescent="0.25">
      <c r="A3079" t="s">
        <v>243</v>
      </c>
      <c r="B3079" t="s">
        <v>237</v>
      </c>
      <c r="C3079" t="s">
        <v>238</v>
      </c>
      <c r="D3079" t="s">
        <v>264</v>
      </c>
      <c r="E3079" t="s">
        <v>228</v>
      </c>
      <c r="F3079">
        <v>2017</v>
      </c>
      <c r="G3079">
        <v>2.6299000000000001E-3</v>
      </c>
      <c r="H3079" t="s">
        <v>240</v>
      </c>
      <c r="I3079" t="s">
        <v>241</v>
      </c>
      <c r="J3079" t="s">
        <v>3</v>
      </c>
      <c r="K3079" s="183">
        <f ca="1">VLOOKUP(F3079,
    OFFSET(INDIRECT(ADDRESS(MATCH(J3079,'Vehicle numbers'!$A$5:$A$162,0),1,1,1,$L$6)),4,1,COUNTIF('Vehicle numbers'!$A$5:$A$162,J3079),4),
    MATCH(K$8,'Vehicle numbers'!$B$4:$D$4,0))*1000</f>
        <v>1233590</v>
      </c>
      <c r="L3079" s="183">
        <f ca="1">VLOOKUP(F3079,
    OFFSET(INDIRECT(ADDRESS(MATCH(J3079,'Vehicle numbers'!$A$5:$A$162,0),1,1,1,$L$6)),4,1,COUNTIF('Vehicle numbers'!$A$5:$A$162,J3079),4),
    MATCH(L$8,'Vehicle numbers'!$B$4:$D$4,0))*1000</f>
        <v>1255860</v>
      </c>
      <c r="M3079" s="184">
        <f>VLOOKUP(F3079,'Annual distance covered (GB)'!$A$8:$H$33,MATCH(J3079,'Annual distance covered (GB)'!$A$7:$H$7,0))</f>
        <v>4.8</v>
      </c>
      <c r="N3079" s="2">
        <f t="shared" ca="1" si="108"/>
        <v>12851.412403797049</v>
      </c>
      <c r="O3079" s="180">
        <f t="shared" ca="1" si="109"/>
        <v>1.0233156883567475E-2</v>
      </c>
      <c r="P3079" s="180"/>
      <c r="Q3079" s="180"/>
      <c r="R3079" s="180"/>
      <c r="S3079" s="180"/>
      <c r="T3079" s="180"/>
    </row>
    <row r="3080" spans="1:20" x14ac:dyDescent="0.25">
      <c r="A3080" t="s">
        <v>244</v>
      </c>
      <c r="B3080" t="s">
        <v>237</v>
      </c>
      <c r="C3080" t="s">
        <v>238</v>
      </c>
      <c r="D3080" t="s">
        <v>264</v>
      </c>
      <c r="E3080" t="s">
        <v>228</v>
      </c>
      <c r="F3080">
        <v>2017</v>
      </c>
      <c r="G3080">
        <v>3.7040845070422499E-4</v>
      </c>
      <c r="H3080" t="s">
        <v>240</v>
      </c>
      <c r="I3080" t="s">
        <v>241</v>
      </c>
      <c r="J3080" t="s">
        <v>3</v>
      </c>
      <c r="K3080" s="183">
        <f ca="1">VLOOKUP(F3080,
    OFFSET(INDIRECT(ADDRESS(MATCH(J3080,'Vehicle numbers'!$A$5:$A$162,0),1,1,1,$L$6)),4,1,COUNTIF('Vehicle numbers'!$A$5:$A$162,J3080),4),
    MATCH(K$8,'Vehicle numbers'!$B$4:$D$4,0))*1000</f>
        <v>1233590</v>
      </c>
      <c r="L3080" s="183">
        <f ca="1">VLOOKUP(F3080,
    OFFSET(INDIRECT(ADDRESS(MATCH(J3080,'Vehicle numbers'!$A$5:$A$162,0),1,1,1,$L$6)),4,1,COUNTIF('Vehicle numbers'!$A$5:$A$162,J3080),4),
    MATCH(L$8,'Vehicle numbers'!$B$4:$D$4,0))*1000</f>
        <v>1255860</v>
      </c>
      <c r="M3080" s="184">
        <f>VLOOKUP(F3080,'Annual distance covered (GB)'!$A$8:$H$33,MATCH(J3080,'Annual distance covered (GB)'!$A$7:$H$7,0))</f>
        <v>4.8</v>
      </c>
      <c r="N3080" s="2">
        <f t="shared" ca="1" si="108"/>
        <v>1810.058085041836</v>
      </c>
      <c r="O3080" s="180">
        <f t="shared" ca="1" si="109"/>
        <v>1.4412897019109104E-3</v>
      </c>
      <c r="P3080" s="180"/>
      <c r="Q3080" s="180"/>
      <c r="R3080" s="180"/>
      <c r="S3080" s="180"/>
      <c r="T3080" s="180"/>
    </row>
    <row r="3081" spans="1:20" x14ac:dyDescent="0.25">
      <c r="A3081" t="s">
        <v>246</v>
      </c>
      <c r="B3081" t="s">
        <v>237</v>
      </c>
      <c r="C3081" t="s">
        <v>238</v>
      </c>
      <c r="D3081" t="s">
        <v>264</v>
      </c>
      <c r="E3081" t="s">
        <v>228</v>
      </c>
      <c r="F3081">
        <v>2017</v>
      </c>
      <c r="G3081">
        <v>2.9632676056337998E-4</v>
      </c>
      <c r="H3081" t="s">
        <v>240</v>
      </c>
      <c r="I3081" t="s">
        <v>241</v>
      </c>
      <c r="J3081" t="s">
        <v>3</v>
      </c>
      <c r="K3081" s="183">
        <f ca="1">VLOOKUP(F3081,
    OFFSET(INDIRECT(ADDRESS(MATCH(J3081,'Vehicle numbers'!$A$5:$A$162,0),1,1,1,$L$6)),4,1,COUNTIF('Vehicle numbers'!$A$5:$A$162,J3081),4),
    MATCH(K$8,'Vehicle numbers'!$B$4:$D$4,0))*1000</f>
        <v>1233590</v>
      </c>
      <c r="L3081" s="183">
        <f ca="1">VLOOKUP(F3081,
    OFFSET(INDIRECT(ADDRESS(MATCH(J3081,'Vehicle numbers'!$A$5:$A$162,0),1,1,1,$L$6)),4,1,COUNTIF('Vehicle numbers'!$A$5:$A$162,J3081),4),
    MATCH(L$8,'Vehicle numbers'!$B$4:$D$4,0))*1000</f>
        <v>1255860</v>
      </c>
      <c r="M3081" s="184">
        <f>VLOOKUP(F3081,'Annual distance covered (GB)'!$A$8:$H$33,MATCH(J3081,'Annual distance covered (GB)'!$A$7:$H$7,0))</f>
        <v>4.8</v>
      </c>
      <c r="N3081" s="2">
        <f t="shared" ca="1" si="108"/>
        <v>1448.046468033469</v>
      </c>
      <c r="O3081" s="180">
        <f t="shared" ca="1" si="109"/>
        <v>1.1530317615287284E-3</v>
      </c>
      <c r="P3081" s="180"/>
      <c r="Q3081" s="180"/>
      <c r="R3081" s="180"/>
      <c r="S3081" s="180"/>
      <c r="T3081" s="180"/>
    </row>
    <row r="3082" spans="1:20" x14ac:dyDescent="0.25">
      <c r="A3082" t="s">
        <v>236</v>
      </c>
      <c r="B3082" t="s">
        <v>237</v>
      </c>
      <c r="C3082" t="s">
        <v>238</v>
      </c>
      <c r="D3082" t="s">
        <v>239</v>
      </c>
      <c r="E3082" t="s">
        <v>229</v>
      </c>
      <c r="F3082">
        <v>2018</v>
      </c>
      <c r="G3082">
        <v>8.4410000000000006E-3</v>
      </c>
      <c r="H3082" t="s">
        <v>240</v>
      </c>
      <c r="I3082" t="s">
        <v>241</v>
      </c>
      <c r="J3082" t="s">
        <v>242</v>
      </c>
      <c r="K3082" s="183">
        <f ca="1">VLOOKUP(F3082,
    OFFSET(INDIRECT(ADDRESS(MATCH(J3082,'Vehicle numbers'!$A$5:$A$162,0),1,1,1,$L$6)),4,1,COUNTIF('Vehicle numbers'!$A$5:$A$162,J3082),4),
    MATCH(K$8,'Vehicle numbers'!$B$4:$D$4,0))*1000</f>
        <v>154990</v>
      </c>
      <c r="L3082" s="183">
        <f ca="1">VLOOKUP(F3082,
    OFFSET(INDIRECT(ADDRESS(MATCH(J3082,'Vehicle numbers'!$A$5:$A$162,0),1,1,1,$L$6)),4,1,COUNTIF('Vehicle numbers'!$A$5:$A$162,J3082),4),
    MATCH(L$8,'Vehicle numbers'!$B$4:$D$4,0))*1000</f>
        <v>160519</v>
      </c>
      <c r="M3082" s="184">
        <f>VLOOKUP(F3082,'Annual distance covered (GB)'!$A$8:$H$33,MATCH(J3082,'Annual distance covered (GB)'!$A$7:$H$7,0))</f>
        <v>4</v>
      </c>
      <c r="N3082" s="2">
        <f t="shared" ca="1" si="108"/>
        <v>34968.472262726624</v>
      </c>
      <c r="O3082" s="180">
        <f t="shared" ca="1" si="109"/>
        <v>0.21784631266533322</v>
      </c>
      <c r="P3082" s="180"/>
      <c r="Q3082" s="180"/>
      <c r="R3082" s="180"/>
      <c r="S3082" s="180"/>
      <c r="T3082" s="180"/>
    </row>
    <row r="3083" spans="1:20" x14ac:dyDescent="0.25">
      <c r="A3083" t="s">
        <v>243</v>
      </c>
      <c r="B3083" t="s">
        <v>237</v>
      </c>
      <c r="C3083" t="s">
        <v>238</v>
      </c>
      <c r="D3083" t="s">
        <v>239</v>
      </c>
      <c r="E3083" t="s">
        <v>229</v>
      </c>
      <c r="F3083">
        <v>2018</v>
      </c>
      <c r="G3083">
        <v>3.3763999999999999E-3</v>
      </c>
      <c r="H3083" t="s">
        <v>240</v>
      </c>
      <c r="I3083" t="s">
        <v>241</v>
      </c>
      <c r="J3083" t="s">
        <v>242</v>
      </c>
      <c r="K3083" s="183">
        <f ca="1">VLOOKUP(F3083,
    OFFSET(INDIRECT(ADDRESS(MATCH(J3083,'Vehicle numbers'!$A$5:$A$162,0),1,1,1,$L$6)),4,1,COUNTIF('Vehicle numbers'!$A$5:$A$162,J3083),4),
    MATCH(K$8,'Vehicle numbers'!$B$4:$D$4,0))*1000</f>
        <v>154990</v>
      </c>
      <c r="L3083" s="183">
        <f ca="1">VLOOKUP(F3083,
    OFFSET(INDIRECT(ADDRESS(MATCH(J3083,'Vehicle numbers'!$A$5:$A$162,0),1,1,1,$L$6)),4,1,COUNTIF('Vehicle numbers'!$A$5:$A$162,J3083),4),
    MATCH(L$8,'Vehicle numbers'!$B$4:$D$4,0))*1000</f>
        <v>160519</v>
      </c>
      <c r="M3083" s="184">
        <f>VLOOKUP(F3083,'Annual distance covered (GB)'!$A$8:$H$33,MATCH(J3083,'Annual distance covered (GB)'!$A$7:$H$7,0))</f>
        <v>4</v>
      </c>
      <c r="N3083" s="2">
        <f t="shared" ref="N3083:N3146" ca="1" si="110">M3083*G3083*1000000*(L3083/K3083)</f>
        <v>13987.388905090651</v>
      </c>
      <c r="O3083" s="180">
        <f t="shared" ref="O3083:O3146" ca="1" si="111">N3083/L3083</f>
        <v>8.7138525066133302E-2</v>
      </c>
      <c r="P3083" s="180"/>
      <c r="Q3083" s="180"/>
      <c r="R3083" s="180"/>
      <c r="S3083" s="180"/>
      <c r="T3083" s="180"/>
    </row>
    <row r="3084" spans="1:20" x14ac:dyDescent="0.25">
      <c r="A3084" t="s">
        <v>244</v>
      </c>
      <c r="B3084" t="s">
        <v>237</v>
      </c>
      <c r="C3084" t="s">
        <v>238</v>
      </c>
      <c r="D3084" t="s">
        <v>239</v>
      </c>
      <c r="E3084" t="s">
        <v>229</v>
      </c>
      <c r="F3084">
        <v>2018</v>
      </c>
      <c r="G3084">
        <v>8.4409999999999997E-4</v>
      </c>
      <c r="H3084" t="s">
        <v>240</v>
      </c>
      <c r="I3084" t="s">
        <v>241</v>
      </c>
      <c r="J3084" t="s">
        <v>242</v>
      </c>
      <c r="K3084" s="183">
        <f ca="1">VLOOKUP(F3084,
    OFFSET(INDIRECT(ADDRESS(MATCH(J3084,'Vehicle numbers'!$A$5:$A$162,0),1,1,1,$L$6)),4,1,COUNTIF('Vehicle numbers'!$A$5:$A$162,J3084),4),
    MATCH(K$8,'Vehicle numbers'!$B$4:$D$4,0))*1000</f>
        <v>154990</v>
      </c>
      <c r="L3084" s="183">
        <f ca="1">VLOOKUP(F3084,
    OFFSET(INDIRECT(ADDRESS(MATCH(J3084,'Vehicle numbers'!$A$5:$A$162,0),1,1,1,$L$6)),4,1,COUNTIF('Vehicle numbers'!$A$5:$A$162,J3084),4),
    MATCH(L$8,'Vehicle numbers'!$B$4:$D$4,0))*1000</f>
        <v>160519</v>
      </c>
      <c r="M3084" s="184">
        <f>VLOOKUP(F3084,'Annual distance covered (GB)'!$A$8:$H$33,MATCH(J3084,'Annual distance covered (GB)'!$A$7:$H$7,0))</f>
        <v>4</v>
      </c>
      <c r="N3084" s="2">
        <f t="shared" ca="1" si="110"/>
        <v>3496.8472262726627</v>
      </c>
      <c r="O3084" s="180">
        <f t="shared" ca="1" si="111"/>
        <v>2.1784631266533325E-2</v>
      </c>
      <c r="P3084" s="180"/>
      <c r="Q3084" s="180"/>
      <c r="R3084" s="180"/>
      <c r="S3084" s="180"/>
      <c r="T3084" s="180"/>
    </row>
    <row r="3085" spans="1:20" x14ac:dyDescent="0.25">
      <c r="A3085" t="s">
        <v>246</v>
      </c>
      <c r="B3085" t="s">
        <v>237</v>
      </c>
      <c r="C3085" t="s">
        <v>238</v>
      </c>
      <c r="D3085" t="s">
        <v>239</v>
      </c>
      <c r="E3085" t="s">
        <v>229</v>
      </c>
      <c r="F3085">
        <v>2018</v>
      </c>
      <c r="G3085">
        <v>6.7528E-4</v>
      </c>
      <c r="H3085" t="s">
        <v>240</v>
      </c>
      <c r="I3085" t="s">
        <v>241</v>
      </c>
      <c r="J3085" t="s">
        <v>242</v>
      </c>
      <c r="K3085" s="183">
        <f ca="1">VLOOKUP(F3085,
    OFFSET(INDIRECT(ADDRESS(MATCH(J3085,'Vehicle numbers'!$A$5:$A$162,0),1,1,1,$L$6)),4,1,COUNTIF('Vehicle numbers'!$A$5:$A$162,J3085),4),
    MATCH(K$8,'Vehicle numbers'!$B$4:$D$4,0))*1000</f>
        <v>154990</v>
      </c>
      <c r="L3085" s="183">
        <f ca="1">VLOOKUP(F3085,
    OFFSET(INDIRECT(ADDRESS(MATCH(J3085,'Vehicle numbers'!$A$5:$A$162,0),1,1,1,$L$6)),4,1,COUNTIF('Vehicle numbers'!$A$5:$A$162,J3085),4),
    MATCH(L$8,'Vehicle numbers'!$B$4:$D$4,0))*1000</f>
        <v>160519</v>
      </c>
      <c r="M3085" s="184">
        <f>VLOOKUP(F3085,'Annual distance covered (GB)'!$A$8:$H$33,MATCH(J3085,'Annual distance covered (GB)'!$A$7:$H$7,0))</f>
        <v>4</v>
      </c>
      <c r="N3085" s="2">
        <f t="shared" ca="1" si="110"/>
        <v>2797.4777810181299</v>
      </c>
      <c r="O3085" s="180">
        <f t="shared" ca="1" si="111"/>
        <v>1.7427705013226658E-2</v>
      </c>
      <c r="P3085" s="180"/>
      <c r="Q3085" s="180"/>
      <c r="R3085" s="180"/>
      <c r="S3085" s="180"/>
      <c r="T3085" s="180"/>
    </row>
    <row r="3086" spans="1:20" x14ac:dyDescent="0.25">
      <c r="A3086" t="s">
        <v>236</v>
      </c>
      <c r="B3086" t="s">
        <v>237</v>
      </c>
      <c r="C3086" t="s">
        <v>238</v>
      </c>
      <c r="D3086" t="s">
        <v>239</v>
      </c>
      <c r="E3086" t="s">
        <v>228</v>
      </c>
      <c r="F3086">
        <v>2018</v>
      </c>
      <c r="G3086">
        <v>1.3984E-2</v>
      </c>
      <c r="H3086" t="s">
        <v>240</v>
      </c>
      <c r="I3086" t="s">
        <v>241</v>
      </c>
      <c r="J3086" t="s">
        <v>242</v>
      </c>
      <c r="K3086" s="183">
        <f ca="1">VLOOKUP(F3086,
    OFFSET(INDIRECT(ADDRESS(MATCH(J3086,'Vehicle numbers'!$A$5:$A$162,0),1,1,1,$L$6)),4,1,COUNTIF('Vehicle numbers'!$A$5:$A$162,J3086),4),
    MATCH(K$8,'Vehicle numbers'!$B$4:$D$4,0))*1000</f>
        <v>154990</v>
      </c>
      <c r="L3086" s="183">
        <f ca="1">VLOOKUP(F3086,
    OFFSET(INDIRECT(ADDRESS(MATCH(J3086,'Vehicle numbers'!$A$5:$A$162,0),1,1,1,$L$6)),4,1,COUNTIF('Vehicle numbers'!$A$5:$A$162,J3086),4),
    MATCH(L$8,'Vehicle numbers'!$B$4:$D$4,0))*1000</f>
        <v>160519</v>
      </c>
      <c r="M3086" s="184">
        <f>VLOOKUP(F3086,'Annual distance covered (GB)'!$A$8:$H$33,MATCH(J3086,'Annual distance covered (GB)'!$A$7:$H$7,0))</f>
        <v>4</v>
      </c>
      <c r="N3086" s="2">
        <f t="shared" ca="1" si="110"/>
        <v>57931.419988386348</v>
      </c>
      <c r="O3086" s="180">
        <f t="shared" ca="1" si="111"/>
        <v>0.36090070327117879</v>
      </c>
      <c r="P3086" s="180"/>
      <c r="Q3086" s="180"/>
      <c r="R3086" s="180"/>
      <c r="S3086" s="180"/>
      <c r="T3086" s="180"/>
    </row>
    <row r="3087" spans="1:20" x14ac:dyDescent="0.25">
      <c r="A3087" t="s">
        <v>243</v>
      </c>
      <c r="B3087" t="s">
        <v>237</v>
      </c>
      <c r="C3087" t="s">
        <v>238</v>
      </c>
      <c r="D3087" t="s">
        <v>239</v>
      </c>
      <c r="E3087" t="s">
        <v>228</v>
      </c>
      <c r="F3087">
        <v>2018</v>
      </c>
      <c r="G3087">
        <v>9.7888000000000003E-3</v>
      </c>
      <c r="H3087" t="s">
        <v>240</v>
      </c>
      <c r="I3087" t="s">
        <v>241</v>
      </c>
      <c r="J3087" t="s">
        <v>242</v>
      </c>
      <c r="K3087" s="183">
        <f ca="1">VLOOKUP(F3087,
    OFFSET(INDIRECT(ADDRESS(MATCH(J3087,'Vehicle numbers'!$A$5:$A$162,0),1,1,1,$L$6)),4,1,COUNTIF('Vehicle numbers'!$A$5:$A$162,J3087),4),
    MATCH(K$8,'Vehicle numbers'!$B$4:$D$4,0))*1000</f>
        <v>154990</v>
      </c>
      <c r="L3087" s="183">
        <f ca="1">VLOOKUP(F3087,
    OFFSET(INDIRECT(ADDRESS(MATCH(J3087,'Vehicle numbers'!$A$5:$A$162,0),1,1,1,$L$6)),4,1,COUNTIF('Vehicle numbers'!$A$5:$A$162,J3087),4),
    MATCH(L$8,'Vehicle numbers'!$B$4:$D$4,0))*1000</f>
        <v>160519</v>
      </c>
      <c r="M3087" s="184">
        <f>VLOOKUP(F3087,'Annual distance covered (GB)'!$A$8:$H$33,MATCH(J3087,'Annual distance covered (GB)'!$A$7:$H$7,0))</f>
        <v>4</v>
      </c>
      <c r="N3087" s="2">
        <f t="shared" ca="1" si="110"/>
        <v>40551.993991870448</v>
      </c>
      <c r="O3087" s="180">
        <f t="shared" ca="1" si="111"/>
        <v>0.2526304922898252</v>
      </c>
      <c r="P3087" s="180"/>
      <c r="Q3087" s="180"/>
      <c r="R3087" s="180"/>
      <c r="S3087" s="180"/>
      <c r="T3087" s="180"/>
    </row>
    <row r="3088" spans="1:20" x14ac:dyDescent="0.25">
      <c r="A3088" t="s">
        <v>244</v>
      </c>
      <c r="B3088" t="s">
        <v>237</v>
      </c>
      <c r="C3088" t="s">
        <v>238</v>
      </c>
      <c r="D3088" t="s">
        <v>239</v>
      </c>
      <c r="E3088" t="s">
        <v>228</v>
      </c>
      <c r="F3088">
        <v>2018</v>
      </c>
      <c r="G3088">
        <v>1.3787042253521099E-3</v>
      </c>
      <c r="H3088" t="s">
        <v>240</v>
      </c>
      <c r="I3088" t="s">
        <v>241</v>
      </c>
      <c r="J3088" t="s">
        <v>242</v>
      </c>
      <c r="K3088" s="183">
        <f ca="1">VLOOKUP(F3088,
    OFFSET(INDIRECT(ADDRESS(MATCH(J3088,'Vehicle numbers'!$A$5:$A$162,0),1,1,1,$L$6)),4,1,COUNTIF('Vehicle numbers'!$A$5:$A$162,J3088),4),
    MATCH(K$8,'Vehicle numbers'!$B$4:$D$4,0))*1000</f>
        <v>154990</v>
      </c>
      <c r="L3088" s="183">
        <f ca="1">VLOOKUP(F3088,
    OFFSET(INDIRECT(ADDRESS(MATCH(J3088,'Vehicle numbers'!$A$5:$A$162,0),1,1,1,$L$6)),4,1,COUNTIF('Vehicle numbers'!$A$5:$A$162,J3088),4),
    MATCH(L$8,'Vehicle numbers'!$B$4:$D$4,0))*1000</f>
        <v>160519</v>
      </c>
      <c r="M3088" s="184">
        <f>VLOOKUP(F3088,'Annual distance covered (GB)'!$A$8:$H$33,MATCH(J3088,'Annual distance covered (GB)'!$A$7:$H$7,0))</f>
        <v>4</v>
      </c>
      <c r="N3088" s="2">
        <f t="shared" ca="1" si="110"/>
        <v>5711.5484495592054</v>
      </c>
      <c r="O3088" s="180">
        <f t="shared" ca="1" si="111"/>
        <v>3.5581759477440085E-2</v>
      </c>
      <c r="P3088" s="180"/>
      <c r="Q3088" s="180"/>
      <c r="R3088" s="180"/>
      <c r="S3088" s="180"/>
      <c r="T3088" s="180"/>
    </row>
    <row r="3089" spans="1:20" x14ac:dyDescent="0.25">
      <c r="A3089" t="s">
        <v>246</v>
      </c>
      <c r="B3089" t="s">
        <v>237</v>
      </c>
      <c r="C3089" t="s">
        <v>238</v>
      </c>
      <c r="D3089" t="s">
        <v>239</v>
      </c>
      <c r="E3089" t="s">
        <v>228</v>
      </c>
      <c r="F3089">
        <v>2018</v>
      </c>
      <c r="G3089">
        <v>1.10296338028169E-3</v>
      </c>
      <c r="H3089" t="s">
        <v>240</v>
      </c>
      <c r="I3089" t="s">
        <v>241</v>
      </c>
      <c r="J3089" t="s">
        <v>242</v>
      </c>
      <c r="K3089" s="183">
        <f ca="1">VLOOKUP(F3089,
    OFFSET(INDIRECT(ADDRESS(MATCH(J3089,'Vehicle numbers'!$A$5:$A$162,0),1,1,1,$L$6)),4,1,COUNTIF('Vehicle numbers'!$A$5:$A$162,J3089),4),
    MATCH(K$8,'Vehicle numbers'!$B$4:$D$4,0))*1000</f>
        <v>154990</v>
      </c>
      <c r="L3089" s="183">
        <f ca="1">VLOOKUP(F3089,
    OFFSET(INDIRECT(ADDRESS(MATCH(J3089,'Vehicle numbers'!$A$5:$A$162,0),1,1,1,$L$6)),4,1,COUNTIF('Vehicle numbers'!$A$5:$A$162,J3089),4),
    MATCH(L$8,'Vehicle numbers'!$B$4:$D$4,0))*1000</f>
        <v>160519</v>
      </c>
      <c r="M3089" s="184">
        <f>VLOOKUP(F3089,'Annual distance covered (GB)'!$A$8:$H$33,MATCH(J3089,'Annual distance covered (GB)'!$A$7:$H$7,0))</f>
        <v>4</v>
      </c>
      <c r="N3089" s="2">
        <f t="shared" ca="1" si="110"/>
        <v>4569.2387596473727</v>
      </c>
      <c r="O3089" s="180">
        <f t="shared" ca="1" si="111"/>
        <v>2.8465407581952124E-2</v>
      </c>
      <c r="P3089" s="180"/>
      <c r="Q3089" s="180"/>
      <c r="R3089" s="180"/>
      <c r="S3089" s="180"/>
      <c r="T3089" s="180"/>
    </row>
    <row r="3090" spans="1:20" x14ac:dyDescent="0.25">
      <c r="A3090" t="s">
        <v>236</v>
      </c>
      <c r="B3090" t="s">
        <v>237</v>
      </c>
      <c r="C3090" t="s">
        <v>238</v>
      </c>
      <c r="D3090" t="s">
        <v>248</v>
      </c>
      <c r="E3090" t="s">
        <v>229</v>
      </c>
      <c r="F3090">
        <v>2018</v>
      </c>
      <c r="G3090">
        <v>2.7143000000000101E-2</v>
      </c>
      <c r="H3090" t="s">
        <v>240</v>
      </c>
      <c r="I3090" t="s">
        <v>241</v>
      </c>
      <c r="J3090" t="s">
        <v>242</v>
      </c>
      <c r="K3090" s="183">
        <f ca="1">VLOOKUP(F3090,
    OFFSET(INDIRECT(ADDRESS(MATCH(J3090,'Vehicle numbers'!$A$5:$A$162,0),1,1,1,$L$6)),4,1,COUNTIF('Vehicle numbers'!$A$5:$A$162,J3090),4),
    MATCH(K$8,'Vehicle numbers'!$B$4:$D$4,0))*1000</f>
        <v>154990</v>
      </c>
      <c r="L3090" s="183">
        <f ca="1">VLOOKUP(F3090,
    OFFSET(INDIRECT(ADDRESS(MATCH(J3090,'Vehicle numbers'!$A$5:$A$162,0),1,1,1,$L$6)),4,1,COUNTIF('Vehicle numbers'!$A$5:$A$162,J3090),4),
    MATCH(L$8,'Vehicle numbers'!$B$4:$D$4,0))*1000</f>
        <v>160519</v>
      </c>
      <c r="M3090" s="184">
        <f>VLOOKUP(F3090,'Annual distance covered (GB)'!$A$8:$H$33,MATCH(J3090,'Annual distance covered (GB)'!$A$7:$H$7,0))</f>
        <v>4</v>
      </c>
      <c r="N3090" s="2">
        <f t="shared" ca="1" si="110"/>
        <v>112445.11818827063</v>
      </c>
      <c r="O3090" s="180">
        <f t="shared" ca="1" si="111"/>
        <v>0.7005097103038932</v>
      </c>
      <c r="P3090" s="180"/>
      <c r="Q3090" s="180"/>
      <c r="R3090" s="180"/>
      <c r="S3090" s="180"/>
      <c r="T3090" s="180"/>
    </row>
    <row r="3091" spans="1:20" x14ac:dyDescent="0.25">
      <c r="A3091" t="s">
        <v>243</v>
      </c>
      <c r="B3091" t="s">
        <v>237</v>
      </c>
      <c r="C3091" t="s">
        <v>238</v>
      </c>
      <c r="D3091" t="s">
        <v>248</v>
      </c>
      <c r="E3091" t="s">
        <v>229</v>
      </c>
      <c r="F3091">
        <v>2018</v>
      </c>
      <c r="G3091">
        <v>1.0857199999999999E-2</v>
      </c>
      <c r="H3091" t="s">
        <v>240</v>
      </c>
      <c r="I3091" t="s">
        <v>241</v>
      </c>
      <c r="J3091" t="s">
        <v>242</v>
      </c>
      <c r="K3091" s="183">
        <f ca="1">VLOOKUP(F3091,
    OFFSET(INDIRECT(ADDRESS(MATCH(J3091,'Vehicle numbers'!$A$5:$A$162,0),1,1,1,$L$6)),4,1,COUNTIF('Vehicle numbers'!$A$5:$A$162,J3091),4),
    MATCH(K$8,'Vehicle numbers'!$B$4:$D$4,0))*1000</f>
        <v>154990</v>
      </c>
      <c r="L3091" s="183">
        <f ca="1">VLOOKUP(F3091,
    OFFSET(INDIRECT(ADDRESS(MATCH(J3091,'Vehicle numbers'!$A$5:$A$162,0),1,1,1,$L$6)),4,1,COUNTIF('Vehicle numbers'!$A$5:$A$162,J3091),4),
    MATCH(L$8,'Vehicle numbers'!$B$4:$D$4,0))*1000</f>
        <v>160519</v>
      </c>
      <c r="M3091" s="184">
        <f>VLOOKUP(F3091,'Annual distance covered (GB)'!$A$8:$H$33,MATCH(J3091,'Annual distance covered (GB)'!$A$7:$H$7,0))</f>
        <v>4</v>
      </c>
      <c r="N3091" s="2">
        <f t="shared" ca="1" si="110"/>
        <v>44978.047275308076</v>
      </c>
      <c r="O3091" s="180">
        <f t="shared" ca="1" si="111"/>
        <v>0.28020388412155617</v>
      </c>
      <c r="P3091" s="180"/>
      <c r="Q3091" s="180"/>
      <c r="R3091" s="180"/>
      <c r="S3091" s="180"/>
      <c r="T3091" s="180"/>
    </row>
    <row r="3092" spans="1:20" x14ac:dyDescent="0.25">
      <c r="A3092" t="s">
        <v>244</v>
      </c>
      <c r="B3092" t="s">
        <v>237</v>
      </c>
      <c r="C3092" t="s">
        <v>238</v>
      </c>
      <c r="D3092" t="s">
        <v>248</v>
      </c>
      <c r="E3092" t="s">
        <v>229</v>
      </c>
      <c r="F3092">
        <v>2018</v>
      </c>
      <c r="G3092">
        <v>2.7142999999999998E-3</v>
      </c>
      <c r="H3092" t="s">
        <v>240</v>
      </c>
      <c r="I3092" t="s">
        <v>241</v>
      </c>
      <c r="J3092" t="s">
        <v>242</v>
      </c>
      <c r="K3092" s="183">
        <f ca="1">VLOOKUP(F3092,
    OFFSET(INDIRECT(ADDRESS(MATCH(J3092,'Vehicle numbers'!$A$5:$A$162,0),1,1,1,$L$6)),4,1,COUNTIF('Vehicle numbers'!$A$5:$A$162,J3092),4),
    MATCH(K$8,'Vehicle numbers'!$B$4:$D$4,0))*1000</f>
        <v>154990</v>
      </c>
      <c r="L3092" s="183">
        <f ca="1">VLOOKUP(F3092,
    OFFSET(INDIRECT(ADDRESS(MATCH(J3092,'Vehicle numbers'!$A$5:$A$162,0),1,1,1,$L$6)),4,1,COUNTIF('Vehicle numbers'!$A$5:$A$162,J3092),4),
    MATCH(L$8,'Vehicle numbers'!$B$4:$D$4,0))*1000</f>
        <v>160519</v>
      </c>
      <c r="M3092" s="184">
        <f>VLOOKUP(F3092,'Annual distance covered (GB)'!$A$8:$H$33,MATCH(J3092,'Annual distance covered (GB)'!$A$7:$H$7,0))</f>
        <v>4</v>
      </c>
      <c r="N3092" s="2">
        <f t="shared" ca="1" si="110"/>
        <v>11244.511818827019</v>
      </c>
      <c r="O3092" s="180">
        <f t="shared" ca="1" si="111"/>
        <v>7.0050971030389042E-2</v>
      </c>
      <c r="P3092" s="180"/>
      <c r="Q3092" s="180"/>
      <c r="R3092" s="180"/>
      <c r="S3092" s="180"/>
      <c r="T3092" s="180"/>
    </row>
    <row r="3093" spans="1:20" x14ac:dyDescent="0.25">
      <c r="A3093" t="s">
        <v>246</v>
      </c>
      <c r="B3093" t="s">
        <v>237</v>
      </c>
      <c r="C3093" t="s">
        <v>238</v>
      </c>
      <c r="D3093" t="s">
        <v>248</v>
      </c>
      <c r="E3093" t="s">
        <v>229</v>
      </c>
      <c r="F3093">
        <v>2018</v>
      </c>
      <c r="G3093">
        <v>2.1714400000000002E-3</v>
      </c>
      <c r="H3093" t="s">
        <v>240</v>
      </c>
      <c r="I3093" t="s">
        <v>241</v>
      </c>
      <c r="J3093" t="s">
        <v>242</v>
      </c>
      <c r="K3093" s="183">
        <f ca="1">VLOOKUP(F3093,
    OFFSET(INDIRECT(ADDRESS(MATCH(J3093,'Vehicle numbers'!$A$5:$A$162,0),1,1,1,$L$6)),4,1,COUNTIF('Vehicle numbers'!$A$5:$A$162,J3093),4),
    MATCH(K$8,'Vehicle numbers'!$B$4:$D$4,0))*1000</f>
        <v>154990</v>
      </c>
      <c r="L3093" s="183">
        <f ca="1">VLOOKUP(F3093,
    OFFSET(INDIRECT(ADDRESS(MATCH(J3093,'Vehicle numbers'!$A$5:$A$162,0),1,1,1,$L$6)),4,1,COUNTIF('Vehicle numbers'!$A$5:$A$162,J3093),4),
    MATCH(L$8,'Vehicle numbers'!$B$4:$D$4,0))*1000</f>
        <v>160519</v>
      </c>
      <c r="M3093" s="184">
        <f>VLOOKUP(F3093,'Annual distance covered (GB)'!$A$8:$H$33,MATCH(J3093,'Annual distance covered (GB)'!$A$7:$H$7,0))</f>
        <v>4</v>
      </c>
      <c r="N3093" s="2">
        <f t="shared" ca="1" si="110"/>
        <v>8995.6094550616162</v>
      </c>
      <c r="O3093" s="180">
        <f t="shared" ca="1" si="111"/>
        <v>5.6040776824311245E-2</v>
      </c>
      <c r="P3093" s="180"/>
      <c r="Q3093" s="180"/>
      <c r="R3093" s="180"/>
      <c r="S3093" s="180"/>
      <c r="T3093" s="180"/>
    </row>
    <row r="3094" spans="1:20" x14ac:dyDescent="0.25">
      <c r="A3094" t="s">
        <v>236</v>
      </c>
      <c r="B3094" t="s">
        <v>237</v>
      </c>
      <c r="C3094" t="s">
        <v>238</v>
      </c>
      <c r="D3094" t="s">
        <v>248</v>
      </c>
      <c r="E3094" t="s">
        <v>228</v>
      </c>
      <c r="F3094">
        <v>2018</v>
      </c>
      <c r="G3094">
        <v>1.68578987779569E-2</v>
      </c>
      <c r="H3094" t="s">
        <v>240</v>
      </c>
      <c r="I3094" t="s">
        <v>241</v>
      </c>
      <c r="J3094" t="s">
        <v>242</v>
      </c>
      <c r="K3094" s="183">
        <f ca="1">VLOOKUP(F3094,
    OFFSET(INDIRECT(ADDRESS(MATCH(J3094,'Vehicle numbers'!$A$5:$A$162,0),1,1,1,$L$6)),4,1,COUNTIF('Vehicle numbers'!$A$5:$A$162,J3094),4),
    MATCH(K$8,'Vehicle numbers'!$B$4:$D$4,0))*1000</f>
        <v>154990</v>
      </c>
      <c r="L3094" s="183">
        <f ca="1">VLOOKUP(F3094,
    OFFSET(INDIRECT(ADDRESS(MATCH(J3094,'Vehicle numbers'!$A$5:$A$162,0),1,1,1,$L$6)),4,1,COUNTIF('Vehicle numbers'!$A$5:$A$162,J3094),4),
    MATCH(L$8,'Vehicle numbers'!$B$4:$D$4,0))*1000</f>
        <v>160519</v>
      </c>
      <c r="M3094" s="184">
        <f>VLOOKUP(F3094,'Annual distance covered (GB)'!$A$8:$H$33,MATCH(J3094,'Annual distance covered (GB)'!$A$7:$H$7,0))</f>
        <v>4</v>
      </c>
      <c r="N3094" s="2">
        <f t="shared" ca="1" si="110"/>
        <v>69837.100559748724</v>
      </c>
      <c r="O3094" s="180">
        <f t="shared" ca="1" si="111"/>
        <v>0.43507061818070586</v>
      </c>
      <c r="P3094" s="180"/>
      <c r="Q3094" s="180"/>
      <c r="R3094" s="180"/>
      <c r="S3094" s="180"/>
      <c r="T3094" s="180"/>
    </row>
    <row r="3095" spans="1:20" x14ac:dyDescent="0.25">
      <c r="A3095" t="s">
        <v>243</v>
      </c>
      <c r="B3095" t="s">
        <v>237</v>
      </c>
      <c r="C3095" t="s">
        <v>238</v>
      </c>
      <c r="D3095" t="s">
        <v>248</v>
      </c>
      <c r="E3095" t="s">
        <v>228</v>
      </c>
      <c r="F3095">
        <v>2018</v>
      </c>
      <c r="G3095">
        <v>1.1800529144569799E-2</v>
      </c>
      <c r="H3095" t="s">
        <v>240</v>
      </c>
      <c r="I3095" t="s">
        <v>241</v>
      </c>
      <c r="J3095" t="s">
        <v>242</v>
      </c>
      <c r="K3095" s="183">
        <f ca="1">VLOOKUP(F3095,
    OFFSET(INDIRECT(ADDRESS(MATCH(J3095,'Vehicle numbers'!$A$5:$A$162,0),1,1,1,$L$6)),4,1,COUNTIF('Vehicle numbers'!$A$5:$A$162,J3095),4),
    MATCH(K$8,'Vehicle numbers'!$B$4:$D$4,0))*1000</f>
        <v>154990</v>
      </c>
      <c r="L3095" s="183">
        <f ca="1">VLOOKUP(F3095,
    OFFSET(INDIRECT(ADDRESS(MATCH(J3095,'Vehicle numbers'!$A$5:$A$162,0),1,1,1,$L$6)),4,1,COUNTIF('Vehicle numbers'!$A$5:$A$162,J3095),4),
    MATCH(L$8,'Vehicle numbers'!$B$4:$D$4,0))*1000</f>
        <v>160519</v>
      </c>
      <c r="M3095" s="184">
        <f>VLOOKUP(F3095,'Annual distance covered (GB)'!$A$8:$H$33,MATCH(J3095,'Annual distance covered (GB)'!$A$7:$H$7,0))</f>
        <v>4</v>
      </c>
      <c r="N3095" s="2">
        <f t="shared" ca="1" si="110"/>
        <v>48885.970391823976</v>
      </c>
      <c r="O3095" s="180">
        <f t="shared" ca="1" si="111"/>
        <v>0.30454943272649326</v>
      </c>
      <c r="P3095" s="180"/>
      <c r="Q3095" s="180"/>
      <c r="R3095" s="180"/>
      <c r="S3095" s="180"/>
      <c r="T3095" s="180"/>
    </row>
    <row r="3096" spans="1:20" x14ac:dyDescent="0.25">
      <c r="A3096" t="s">
        <v>244</v>
      </c>
      <c r="B3096" t="s">
        <v>237</v>
      </c>
      <c r="C3096" t="s">
        <v>238</v>
      </c>
      <c r="D3096" t="s">
        <v>248</v>
      </c>
      <c r="E3096" t="s">
        <v>228</v>
      </c>
      <c r="F3096">
        <v>2018</v>
      </c>
      <c r="G3096">
        <v>1.66204635839011E-3</v>
      </c>
      <c r="H3096" t="s">
        <v>240</v>
      </c>
      <c r="I3096" t="s">
        <v>241</v>
      </c>
      <c r="J3096" t="s">
        <v>242</v>
      </c>
      <c r="K3096" s="183">
        <f ca="1">VLOOKUP(F3096,
    OFFSET(INDIRECT(ADDRESS(MATCH(J3096,'Vehicle numbers'!$A$5:$A$162,0),1,1,1,$L$6)),4,1,COUNTIF('Vehicle numbers'!$A$5:$A$162,J3096),4),
    MATCH(K$8,'Vehicle numbers'!$B$4:$D$4,0))*1000</f>
        <v>154990</v>
      </c>
      <c r="L3096" s="183">
        <f ca="1">VLOOKUP(F3096,
    OFFSET(INDIRECT(ADDRESS(MATCH(J3096,'Vehicle numbers'!$A$5:$A$162,0),1,1,1,$L$6)),4,1,COUNTIF('Vehicle numbers'!$A$5:$A$162,J3096),4),
    MATCH(L$8,'Vehicle numbers'!$B$4:$D$4,0))*1000</f>
        <v>160519</v>
      </c>
      <c r="M3096" s="184">
        <f>VLOOKUP(F3096,'Annual distance covered (GB)'!$A$8:$H$33,MATCH(J3096,'Annual distance covered (GB)'!$A$7:$H$7,0))</f>
        <v>4</v>
      </c>
      <c r="N3096" s="2">
        <f t="shared" ca="1" si="110"/>
        <v>6885.3479425104088</v>
      </c>
      <c r="O3096" s="180">
        <f t="shared" ca="1" si="111"/>
        <v>4.2894286299506035E-2</v>
      </c>
      <c r="P3096" s="180"/>
      <c r="Q3096" s="180"/>
      <c r="R3096" s="180"/>
      <c r="S3096" s="180"/>
      <c r="T3096" s="180"/>
    </row>
    <row r="3097" spans="1:20" x14ac:dyDescent="0.25">
      <c r="A3097" t="s">
        <v>246</v>
      </c>
      <c r="B3097" t="s">
        <v>237</v>
      </c>
      <c r="C3097" t="s">
        <v>238</v>
      </c>
      <c r="D3097" t="s">
        <v>248</v>
      </c>
      <c r="E3097" t="s">
        <v>228</v>
      </c>
      <c r="F3097">
        <v>2018</v>
      </c>
      <c r="G3097">
        <v>1.32963708671209E-3</v>
      </c>
      <c r="H3097" t="s">
        <v>240</v>
      </c>
      <c r="I3097" t="s">
        <v>241</v>
      </c>
      <c r="J3097" t="s">
        <v>242</v>
      </c>
      <c r="K3097" s="183">
        <f ca="1">VLOOKUP(F3097,
    OFFSET(INDIRECT(ADDRESS(MATCH(J3097,'Vehicle numbers'!$A$5:$A$162,0),1,1,1,$L$6)),4,1,COUNTIF('Vehicle numbers'!$A$5:$A$162,J3097),4),
    MATCH(K$8,'Vehicle numbers'!$B$4:$D$4,0))*1000</f>
        <v>154990</v>
      </c>
      <c r="L3097" s="183">
        <f ca="1">VLOOKUP(F3097,
    OFFSET(INDIRECT(ADDRESS(MATCH(J3097,'Vehicle numbers'!$A$5:$A$162,0),1,1,1,$L$6)),4,1,COUNTIF('Vehicle numbers'!$A$5:$A$162,J3097),4),
    MATCH(L$8,'Vehicle numbers'!$B$4:$D$4,0))*1000</f>
        <v>160519</v>
      </c>
      <c r="M3097" s="184">
        <f>VLOOKUP(F3097,'Annual distance covered (GB)'!$A$8:$H$33,MATCH(J3097,'Annual distance covered (GB)'!$A$7:$H$7,0))</f>
        <v>4</v>
      </c>
      <c r="N3097" s="2">
        <f t="shared" ca="1" si="110"/>
        <v>5508.2783540083346</v>
      </c>
      <c r="O3097" s="180">
        <f t="shared" ca="1" si="111"/>
        <v>3.4315429039604876E-2</v>
      </c>
      <c r="P3097" s="180"/>
      <c r="Q3097" s="180"/>
      <c r="R3097" s="180"/>
      <c r="S3097" s="180"/>
      <c r="T3097" s="180"/>
    </row>
    <row r="3098" spans="1:20" x14ac:dyDescent="0.25">
      <c r="A3098" t="s">
        <v>236</v>
      </c>
      <c r="B3098" t="s">
        <v>237</v>
      </c>
      <c r="C3098" t="s">
        <v>238</v>
      </c>
      <c r="D3098" t="s">
        <v>249</v>
      </c>
      <c r="E3098" t="s">
        <v>229</v>
      </c>
      <c r="F3098">
        <v>2018</v>
      </c>
      <c r="G3098">
        <v>5.3594999999999997E-2</v>
      </c>
      <c r="H3098" t="s">
        <v>240</v>
      </c>
      <c r="I3098" t="s">
        <v>241</v>
      </c>
      <c r="J3098" t="s">
        <v>242</v>
      </c>
      <c r="K3098" s="183">
        <f ca="1">VLOOKUP(F3098,
    OFFSET(INDIRECT(ADDRESS(MATCH(J3098,'Vehicle numbers'!$A$5:$A$162,0),1,1,1,$L$6)),4,1,COUNTIF('Vehicle numbers'!$A$5:$A$162,J3098),4),
    MATCH(K$8,'Vehicle numbers'!$B$4:$D$4,0))*1000</f>
        <v>154990</v>
      </c>
      <c r="L3098" s="183">
        <f ca="1">VLOOKUP(F3098,
    OFFSET(INDIRECT(ADDRESS(MATCH(J3098,'Vehicle numbers'!$A$5:$A$162,0),1,1,1,$L$6)),4,1,COUNTIF('Vehicle numbers'!$A$5:$A$162,J3098),4),
    MATCH(L$8,'Vehicle numbers'!$B$4:$D$4,0))*1000</f>
        <v>160519</v>
      </c>
      <c r="M3098" s="184">
        <f>VLOOKUP(F3098,'Annual distance covered (GB)'!$A$8:$H$33,MATCH(J3098,'Annual distance covered (GB)'!$A$7:$H$7,0))</f>
        <v>4</v>
      </c>
      <c r="N3098" s="2">
        <f t="shared" ca="1" si="110"/>
        <v>222027.63546035226</v>
      </c>
      <c r="O3098" s="180">
        <f t="shared" ca="1" si="111"/>
        <v>1.3831860120007742</v>
      </c>
      <c r="P3098" s="180"/>
      <c r="Q3098" s="180"/>
      <c r="R3098" s="180"/>
      <c r="S3098" s="180"/>
      <c r="T3098" s="180"/>
    </row>
    <row r="3099" spans="1:20" x14ac:dyDescent="0.25">
      <c r="A3099" t="s">
        <v>243</v>
      </c>
      <c r="B3099" t="s">
        <v>237</v>
      </c>
      <c r="C3099" t="s">
        <v>238</v>
      </c>
      <c r="D3099" t="s">
        <v>249</v>
      </c>
      <c r="E3099" t="s">
        <v>229</v>
      </c>
      <c r="F3099">
        <v>2018</v>
      </c>
      <c r="G3099">
        <v>2.1437999999999999E-2</v>
      </c>
      <c r="H3099" t="s">
        <v>240</v>
      </c>
      <c r="I3099" t="s">
        <v>241</v>
      </c>
      <c r="J3099" t="s">
        <v>242</v>
      </c>
      <c r="K3099" s="183">
        <f ca="1">VLOOKUP(F3099,
    OFFSET(INDIRECT(ADDRESS(MATCH(J3099,'Vehicle numbers'!$A$5:$A$162,0),1,1,1,$L$6)),4,1,COUNTIF('Vehicle numbers'!$A$5:$A$162,J3099),4),
    MATCH(K$8,'Vehicle numbers'!$B$4:$D$4,0))*1000</f>
        <v>154990</v>
      </c>
      <c r="L3099" s="183">
        <f ca="1">VLOOKUP(F3099,
    OFFSET(INDIRECT(ADDRESS(MATCH(J3099,'Vehicle numbers'!$A$5:$A$162,0),1,1,1,$L$6)),4,1,COUNTIF('Vehicle numbers'!$A$5:$A$162,J3099),4),
    MATCH(L$8,'Vehicle numbers'!$B$4:$D$4,0))*1000</f>
        <v>160519</v>
      </c>
      <c r="M3099" s="184">
        <f>VLOOKUP(F3099,'Annual distance covered (GB)'!$A$8:$H$33,MATCH(J3099,'Annual distance covered (GB)'!$A$7:$H$7,0))</f>
        <v>4</v>
      </c>
      <c r="N3099" s="2">
        <f t="shared" ca="1" si="110"/>
        <v>88811.054184140914</v>
      </c>
      <c r="O3099" s="180">
        <f t="shared" ca="1" si="111"/>
        <v>0.55327440480030976</v>
      </c>
      <c r="P3099" s="180"/>
      <c r="Q3099" s="180"/>
      <c r="R3099" s="180"/>
      <c r="S3099" s="180"/>
      <c r="T3099" s="180"/>
    </row>
    <row r="3100" spans="1:20" x14ac:dyDescent="0.25">
      <c r="A3100" t="s">
        <v>244</v>
      </c>
      <c r="B3100" t="s">
        <v>237</v>
      </c>
      <c r="C3100" t="s">
        <v>238</v>
      </c>
      <c r="D3100" t="s">
        <v>249</v>
      </c>
      <c r="E3100" t="s">
        <v>229</v>
      </c>
      <c r="F3100">
        <v>2018</v>
      </c>
      <c r="G3100">
        <v>5.3594999999999997E-3</v>
      </c>
      <c r="H3100" t="s">
        <v>240</v>
      </c>
      <c r="I3100" t="s">
        <v>241</v>
      </c>
      <c r="J3100" t="s">
        <v>242</v>
      </c>
      <c r="K3100" s="183">
        <f ca="1">VLOOKUP(F3100,
    OFFSET(INDIRECT(ADDRESS(MATCH(J3100,'Vehicle numbers'!$A$5:$A$162,0),1,1,1,$L$6)),4,1,COUNTIF('Vehicle numbers'!$A$5:$A$162,J3100),4),
    MATCH(K$8,'Vehicle numbers'!$B$4:$D$4,0))*1000</f>
        <v>154990</v>
      </c>
      <c r="L3100" s="183">
        <f ca="1">VLOOKUP(F3100,
    OFFSET(INDIRECT(ADDRESS(MATCH(J3100,'Vehicle numbers'!$A$5:$A$162,0),1,1,1,$L$6)),4,1,COUNTIF('Vehicle numbers'!$A$5:$A$162,J3100),4),
    MATCH(L$8,'Vehicle numbers'!$B$4:$D$4,0))*1000</f>
        <v>160519</v>
      </c>
      <c r="M3100" s="184">
        <f>VLOOKUP(F3100,'Annual distance covered (GB)'!$A$8:$H$33,MATCH(J3100,'Annual distance covered (GB)'!$A$7:$H$7,0))</f>
        <v>4</v>
      </c>
      <c r="N3100" s="2">
        <f t="shared" ca="1" si="110"/>
        <v>22202.763546035229</v>
      </c>
      <c r="O3100" s="180">
        <f t="shared" ca="1" si="111"/>
        <v>0.13831860120007744</v>
      </c>
      <c r="P3100" s="180"/>
      <c r="Q3100" s="180"/>
      <c r="R3100" s="180"/>
      <c r="S3100" s="180"/>
      <c r="T3100" s="180"/>
    </row>
    <row r="3101" spans="1:20" x14ac:dyDescent="0.25">
      <c r="A3101" t="s">
        <v>246</v>
      </c>
      <c r="B3101" t="s">
        <v>237</v>
      </c>
      <c r="C3101" t="s">
        <v>238</v>
      </c>
      <c r="D3101" t="s">
        <v>249</v>
      </c>
      <c r="E3101" t="s">
        <v>229</v>
      </c>
      <c r="F3101">
        <v>2018</v>
      </c>
      <c r="G3101">
        <v>4.2875999999999999E-3</v>
      </c>
      <c r="H3101" t="s">
        <v>240</v>
      </c>
      <c r="I3101" t="s">
        <v>241</v>
      </c>
      <c r="J3101" t="s">
        <v>242</v>
      </c>
      <c r="K3101" s="183">
        <f ca="1">VLOOKUP(F3101,
    OFFSET(INDIRECT(ADDRESS(MATCH(J3101,'Vehicle numbers'!$A$5:$A$162,0),1,1,1,$L$6)),4,1,COUNTIF('Vehicle numbers'!$A$5:$A$162,J3101),4),
    MATCH(K$8,'Vehicle numbers'!$B$4:$D$4,0))*1000</f>
        <v>154990</v>
      </c>
      <c r="L3101" s="183">
        <f ca="1">VLOOKUP(F3101,
    OFFSET(INDIRECT(ADDRESS(MATCH(J3101,'Vehicle numbers'!$A$5:$A$162,0),1,1,1,$L$6)),4,1,COUNTIF('Vehicle numbers'!$A$5:$A$162,J3101),4),
    MATCH(L$8,'Vehicle numbers'!$B$4:$D$4,0))*1000</f>
        <v>160519</v>
      </c>
      <c r="M3101" s="184">
        <f>VLOOKUP(F3101,'Annual distance covered (GB)'!$A$8:$H$33,MATCH(J3101,'Annual distance covered (GB)'!$A$7:$H$7,0))</f>
        <v>4</v>
      </c>
      <c r="N3101" s="2">
        <f t="shared" ca="1" si="110"/>
        <v>17762.210836828184</v>
      </c>
      <c r="O3101" s="180">
        <f t="shared" ca="1" si="111"/>
        <v>0.11065488096006194</v>
      </c>
      <c r="P3101" s="180"/>
      <c r="Q3101" s="180"/>
      <c r="R3101" s="180"/>
      <c r="S3101" s="180"/>
      <c r="T3101" s="180"/>
    </row>
    <row r="3102" spans="1:20" x14ac:dyDescent="0.25">
      <c r="A3102" t="s">
        <v>236</v>
      </c>
      <c r="B3102" t="s">
        <v>237</v>
      </c>
      <c r="C3102" t="s">
        <v>238</v>
      </c>
      <c r="D3102" t="s">
        <v>249</v>
      </c>
      <c r="E3102" t="s">
        <v>228</v>
      </c>
      <c r="F3102">
        <v>2018</v>
      </c>
      <c r="G3102">
        <v>2.1383650560892399E-2</v>
      </c>
      <c r="H3102" t="s">
        <v>240</v>
      </c>
      <c r="I3102" t="s">
        <v>241</v>
      </c>
      <c r="J3102" t="s">
        <v>242</v>
      </c>
      <c r="K3102" s="183">
        <f ca="1">VLOOKUP(F3102,
    OFFSET(INDIRECT(ADDRESS(MATCH(J3102,'Vehicle numbers'!$A$5:$A$162,0),1,1,1,$L$6)),4,1,COUNTIF('Vehicle numbers'!$A$5:$A$162,J3102),4),
    MATCH(K$8,'Vehicle numbers'!$B$4:$D$4,0))*1000</f>
        <v>154990</v>
      </c>
      <c r="L3102" s="183">
        <f ca="1">VLOOKUP(F3102,
    OFFSET(INDIRECT(ADDRESS(MATCH(J3102,'Vehicle numbers'!$A$5:$A$162,0),1,1,1,$L$6)),4,1,COUNTIF('Vehicle numbers'!$A$5:$A$162,J3102),4),
    MATCH(L$8,'Vehicle numbers'!$B$4:$D$4,0))*1000</f>
        <v>160519</v>
      </c>
      <c r="M3102" s="184">
        <f>VLOOKUP(F3102,'Annual distance covered (GB)'!$A$8:$H$33,MATCH(J3102,'Annual distance covered (GB)'!$A$7:$H$7,0))</f>
        <v>4</v>
      </c>
      <c r="N3102" s="2">
        <f t="shared" ca="1" si="110"/>
        <v>88585.901139012494</v>
      </c>
      <c r="O3102" s="180">
        <f t="shared" ca="1" si="111"/>
        <v>0.55187174813581252</v>
      </c>
      <c r="P3102" s="180"/>
      <c r="Q3102" s="180"/>
      <c r="R3102" s="180"/>
      <c r="S3102" s="180"/>
      <c r="T3102" s="180"/>
    </row>
    <row r="3103" spans="1:20" x14ac:dyDescent="0.25">
      <c r="A3103" t="s">
        <v>243</v>
      </c>
      <c r="B3103" t="s">
        <v>237</v>
      </c>
      <c r="C3103" t="s">
        <v>238</v>
      </c>
      <c r="D3103" t="s">
        <v>249</v>
      </c>
      <c r="E3103" t="s">
        <v>228</v>
      </c>
      <c r="F3103">
        <v>2018</v>
      </c>
      <c r="G3103">
        <v>1.49685553926247E-2</v>
      </c>
      <c r="H3103" t="s">
        <v>240</v>
      </c>
      <c r="I3103" t="s">
        <v>241</v>
      </c>
      <c r="J3103" t="s">
        <v>242</v>
      </c>
      <c r="K3103" s="183">
        <f ca="1">VLOOKUP(F3103,
    OFFSET(INDIRECT(ADDRESS(MATCH(J3103,'Vehicle numbers'!$A$5:$A$162,0),1,1,1,$L$6)),4,1,COUNTIF('Vehicle numbers'!$A$5:$A$162,J3103),4),
    MATCH(K$8,'Vehicle numbers'!$B$4:$D$4,0))*1000</f>
        <v>154990</v>
      </c>
      <c r="L3103" s="183">
        <f ca="1">VLOOKUP(F3103,
    OFFSET(INDIRECT(ADDRESS(MATCH(J3103,'Vehicle numbers'!$A$5:$A$162,0),1,1,1,$L$6)),4,1,COUNTIF('Vehicle numbers'!$A$5:$A$162,J3103),4),
    MATCH(L$8,'Vehicle numbers'!$B$4:$D$4,0))*1000</f>
        <v>160519</v>
      </c>
      <c r="M3103" s="184">
        <f>VLOOKUP(F3103,'Annual distance covered (GB)'!$A$8:$H$33,MATCH(J3103,'Annual distance covered (GB)'!$A$7:$H$7,0))</f>
        <v>4</v>
      </c>
      <c r="N3103" s="2">
        <f t="shared" ca="1" si="110"/>
        <v>62010.130797308833</v>
      </c>
      <c r="O3103" s="180">
        <f t="shared" ca="1" si="111"/>
        <v>0.38631022369506934</v>
      </c>
      <c r="P3103" s="180"/>
      <c r="Q3103" s="180"/>
      <c r="R3103" s="180"/>
      <c r="S3103" s="180"/>
      <c r="T3103" s="180"/>
    </row>
    <row r="3104" spans="1:20" x14ac:dyDescent="0.25">
      <c r="A3104" t="s">
        <v>244</v>
      </c>
      <c r="B3104" t="s">
        <v>237</v>
      </c>
      <c r="C3104" t="s">
        <v>238</v>
      </c>
      <c r="D3104" t="s">
        <v>249</v>
      </c>
      <c r="E3104" t="s">
        <v>228</v>
      </c>
      <c r="F3104">
        <v>2018</v>
      </c>
      <c r="G3104">
        <v>2.1082472383978398E-3</v>
      </c>
      <c r="H3104" t="s">
        <v>240</v>
      </c>
      <c r="I3104" t="s">
        <v>241</v>
      </c>
      <c r="J3104" t="s">
        <v>242</v>
      </c>
      <c r="K3104" s="183">
        <f ca="1">VLOOKUP(F3104,
    OFFSET(INDIRECT(ADDRESS(MATCH(J3104,'Vehicle numbers'!$A$5:$A$162,0),1,1,1,$L$6)),4,1,COUNTIF('Vehicle numbers'!$A$5:$A$162,J3104),4),
    MATCH(K$8,'Vehicle numbers'!$B$4:$D$4,0))*1000</f>
        <v>154990</v>
      </c>
      <c r="L3104" s="183">
        <f ca="1">VLOOKUP(F3104,
    OFFSET(INDIRECT(ADDRESS(MATCH(J3104,'Vehicle numbers'!$A$5:$A$162,0),1,1,1,$L$6)),4,1,COUNTIF('Vehicle numbers'!$A$5:$A$162,J3104),4),
    MATCH(L$8,'Vehicle numbers'!$B$4:$D$4,0))*1000</f>
        <v>160519</v>
      </c>
      <c r="M3104" s="184">
        <f>VLOOKUP(F3104,'Annual distance covered (GB)'!$A$8:$H$33,MATCH(J3104,'Annual distance covered (GB)'!$A$7:$H$7,0))</f>
        <v>4</v>
      </c>
      <c r="N3104" s="2">
        <f t="shared" ca="1" si="110"/>
        <v>8733.8212390575609</v>
      </c>
      <c r="O3104" s="180">
        <f t="shared" ca="1" si="111"/>
        <v>5.4409890661277237E-2</v>
      </c>
      <c r="P3104" s="180"/>
      <c r="Q3104" s="180"/>
      <c r="R3104" s="180"/>
      <c r="S3104" s="180"/>
      <c r="T3104" s="180"/>
    </row>
    <row r="3105" spans="1:20" x14ac:dyDescent="0.25">
      <c r="A3105" t="s">
        <v>246</v>
      </c>
      <c r="B3105" t="s">
        <v>237</v>
      </c>
      <c r="C3105" t="s">
        <v>238</v>
      </c>
      <c r="D3105" t="s">
        <v>249</v>
      </c>
      <c r="E3105" t="s">
        <v>228</v>
      </c>
      <c r="F3105">
        <v>2018</v>
      </c>
      <c r="G3105">
        <v>1.6865977907182699E-3</v>
      </c>
      <c r="H3105" t="s">
        <v>240</v>
      </c>
      <c r="I3105" t="s">
        <v>241</v>
      </c>
      <c r="J3105" t="s">
        <v>242</v>
      </c>
      <c r="K3105" s="183">
        <f ca="1">VLOOKUP(F3105,
    OFFSET(INDIRECT(ADDRESS(MATCH(J3105,'Vehicle numbers'!$A$5:$A$162,0),1,1,1,$L$6)),4,1,COUNTIF('Vehicle numbers'!$A$5:$A$162,J3105),4),
    MATCH(K$8,'Vehicle numbers'!$B$4:$D$4,0))*1000</f>
        <v>154990</v>
      </c>
      <c r="L3105" s="183">
        <f ca="1">VLOOKUP(F3105,
    OFFSET(INDIRECT(ADDRESS(MATCH(J3105,'Vehicle numbers'!$A$5:$A$162,0),1,1,1,$L$6)),4,1,COUNTIF('Vehicle numbers'!$A$5:$A$162,J3105),4),
    MATCH(L$8,'Vehicle numbers'!$B$4:$D$4,0))*1000</f>
        <v>160519</v>
      </c>
      <c r="M3105" s="184">
        <f>VLOOKUP(F3105,'Annual distance covered (GB)'!$A$8:$H$33,MATCH(J3105,'Annual distance covered (GB)'!$A$7:$H$7,0))</f>
        <v>4</v>
      </c>
      <c r="N3105" s="2">
        <f t="shared" ca="1" si="110"/>
        <v>6987.0569912460405</v>
      </c>
      <c r="O3105" s="180">
        <f t="shared" ca="1" si="111"/>
        <v>4.3527912529021738E-2</v>
      </c>
      <c r="P3105" s="180"/>
      <c r="Q3105" s="180"/>
      <c r="R3105" s="180"/>
      <c r="S3105" s="180"/>
      <c r="T3105" s="180"/>
    </row>
    <row r="3106" spans="1:20" x14ac:dyDescent="0.25">
      <c r="A3106" t="s">
        <v>236</v>
      </c>
      <c r="B3106" t="s">
        <v>237</v>
      </c>
      <c r="C3106" t="s">
        <v>238</v>
      </c>
      <c r="D3106" t="s">
        <v>250</v>
      </c>
      <c r="E3106" t="s">
        <v>229</v>
      </c>
      <c r="F3106">
        <v>2018</v>
      </c>
      <c r="G3106">
        <v>1.3600000000000001E-3</v>
      </c>
      <c r="H3106" t="s">
        <v>240</v>
      </c>
      <c r="I3106" t="s">
        <v>241</v>
      </c>
      <c r="J3106" t="s">
        <v>2</v>
      </c>
      <c r="K3106" s="183">
        <f ca="1">VLOOKUP(F3106,
    OFFSET(INDIRECT(ADDRESS(MATCH(J3106,'Vehicle numbers'!$A$5:$A$162,0),1,1,1,$L$6)),4,1,COUNTIF('Vehicle numbers'!$A$5:$A$162,J3106),4),
    MATCH(K$8,'Vehicle numbers'!$B$4:$D$4,0))*1000</f>
        <v>31517597</v>
      </c>
      <c r="L3106" s="183">
        <f ca="1">VLOOKUP(F3106,
    OFFSET(INDIRECT(ADDRESS(MATCH(J3106,'Vehicle numbers'!$A$5:$A$162,0),1,1,1,$L$6)),4,1,COUNTIF('Vehicle numbers'!$A$5:$A$162,J3106),4),
    MATCH(L$8,'Vehicle numbers'!$B$4:$D$4,0))*1000</f>
        <v>32493258</v>
      </c>
      <c r="M3106" s="184">
        <f>VLOOKUP(F3106,'Annual distance covered (GB)'!$A$8:$H$33,MATCH(J3106,'Annual distance covered (GB)'!$A$7:$H$7,0))</f>
        <v>438.3</v>
      </c>
      <c r="N3106" s="2">
        <f t="shared" ca="1" si="110"/>
        <v>614540.54300852958</v>
      </c>
      <c r="O3106" s="180">
        <f t="shared" ca="1" si="111"/>
        <v>1.8912863185603906E-2</v>
      </c>
      <c r="P3106" s="180"/>
      <c r="Q3106" s="180"/>
      <c r="R3106" s="180"/>
      <c r="S3106" s="180"/>
      <c r="T3106" s="180"/>
    </row>
    <row r="3107" spans="1:20" x14ac:dyDescent="0.25">
      <c r="A3107" t="s">
        <v>243</v>
      </c>
      <c r="B3107" t="s">
        <v>237</v>
      </c>
      <c r="C3107" t="s">
        <v>238</v>
      </c>
      <c r="D3107" t="s">
        <v>250</v>
      </c>
      <c r="E3107" t="s">
        <v>229</v>
      </c>
      <c r="F3107">
        <v>2018</v>
      </c>
      <c r="G3107">
        <v>5.44E-4</v>
      </c>
      <c r="H3107" t="s">
        <v>240</v>
      </c>
      <c r="I3107" t="s">
        <v>241</v>
      </c>
      <c r="J3107" t="s">
        <v>2</v>
      </c>
      <c r="K3107" s="183">
        <f ca="1">VLOOKUP(F3107,
    OFFSET(INDIRECT(ADDRESS(MATCH(J3107,'Vehicle numbers'!$A$5:$A$162,0),1,1,1,$L$6)),4,1,COUNTIF('Vehicle numbers'!$A$5:$A$162,J3107),4),
    MATCH(K$8,'Vehicle numbers'!$B$4:$D$4,0))*1000</f>
        <v>31517597</v>
      </c>
      <c r="L3107" s="183">
        <f ca="1">VLOOKUP(F3107,
    OFFSET(INDIRECT(ADDRESS(MATCH(J3107,'Vehicle numbers'!$A$5:$A$162,0),1,1,1,$L$6)),4,1,COUNTIF('Vehicle numbers'!$A$5:$A$162,J3107),4),
    MATCH(L$8,'Vehicle numbers'!$B$4:$D$4,0))*1000</f>
        <v>32493258</v>
      </c>
      <c r="M3107" s="184">
        <f>VLOOKUP(F3107,'Annual distance covered (GB)'!$A$8:$H$33,MATCH(J3107,'Annual distance covered (GB)'!$A$7:$H$7,0))</f>
        <v>438.3</v>
      </c>
      <c r="N3107" s="2">
        <f t="shared" ca="1" si="110"/>
        <v>245816.2172034118</v>
      </c>
      <c r="O3107" s="180">
        <f t="shared" ca="1" si="111"/>
        <v>7.5651452742415614E-3</v>
      </c>
      <c r="P3107" s="180"/>
      <c r="Q3107" s="180"/>
      <c r="R3107" s="180"/>
      <c r="S3107" s="180"/>
      <c r="T3107" s="180"/>
    </row>
    <row r="3108" spans="1:20" x14ac:dyDescent="0.25">
      <c r="A3108" t="s">
        <v>244</v>
      </c>
      <c r="B3108" t="s">
        <v>237</v>
      </c>
      <c r="C3108" t="s">
        <v>238</v>
      </c>
      <c r="D3108" t="s">
        <v>250</v>
      </c>
      <c r="E3108" t="s">
        <v>229</v>
      </c>
      <c r="F3108">
        <v>2018</v>
      </c>
      <c r="G3108">
        <v>1.36E-4</v>
      </c>
      <c r="H3108" t="s">
        <v>240</v>
      </c>
      <c r="I3108" t="s">
        <v>241</v>
      </c>
      <c r="J3108" t="s">
        <v>2</v>
      </c>
      <c r="K3108" s="183">
        <f ca="1">VLOOKUP(F3108,
    OFFSET(INDIRECT(ADDRESS(MATCH(J3108,'Vehicle numbers'!$A$5:$A$162,0),1,1,1,$L$6)),4,1,COUNTIF('Vehicle numbers'!$A$5:$A$162,J3108),4),
    MATCH(K$8,'Vehicle numbers'!$B$4:$D$4,0))*1000</f>
        <v>31517597</v>
      </c>
      <c r="L3108" s="183">
        <f ca="1">VLOOKUP(F3108,
    OFFSET(INDIRECT(ADDRESS(MATCH(J3108,'Vehicle numbers'!$A$5:$A$162,0),1,1,1,$L$6)),4,1,COUNTIF('Vehicle numbers'!$A$5:$A$162,J3108),4),
    MATCH(L$8,'Vehicle numbers'!$B$4:$D$4,0))*1000</f>
        <v>32493258</v>
      </c>
      <c r="M3108" s="184">
        <f>VLOOKUP(F3108,'Annual distance covered (GB)'!$A$8:$H$33,MATCH(J3108,'Annual distance covered (GB)'!$A$7:$H$7,0))</f>
        <v>438.3</v>
      </c>
      <c r="N3108" s="2">
        <f t="shared" ca="1" si="110"/>
        <v>61454.054300852949</v>
      </c>
      <c r="O3108" s="180">
        <f t="shared" ca="1" si="111"/>
        <v>1.8912863185603904E-3</v>
      </c>
      <c r="P3108" s="180"/>
      <c r="Q3108" s="180"/>
      <c r="R3108" s="180"/>
      <c r="S3108" s="180"/>
      <c r="T3108" s="180"/>
    </row>
    <row r="3109" spans="1:20" x14ac:dyDescent="0.25">
      <c r="A3109" t="s">
        <v>246</v>
      </c>
      <c r="B3109" t="s">
        <v>237</v>
      </c>
      <c r="C3109" t="s">
        <v>238</v>
      </c>
      <c r="D3109" t="s">
        <v>250</v>
      </c>
      <c r="E3109" t="s">
        <v>229</v>
      </c>
      <c r="F3109">
        <v>2018</v>
      </c>
      <c r="G3109">
        <v>1.088E-4</v>
      </c>
      <c r="H3109" t="s">
        <v>240</v>
      </c>
      <c r="I3109" t="s">
        <v>241</v>
      </c>
      <c r="J3109" t="s">
        <v>2</v>
      </c>
      <c r="K3109" s="183">
        <f ca="1">VLOOKUP(F3109,
    OFFSET(INDIRECT(ADDRESS(MATCH(J3109,'Vehicle numbers'!$A$5:$A$162,0),1,1,1,$L$6)),4,1,COUNTIF('Vehicle numbers'!$A$5:$A$162,J3109),4),
    MATCH(K$8,'Vehicle numbers'!$B$4:$D$4,0))*1000</f>
        <v>31517597</v>
      </c>
      <c r="L3109" s="183">
        <f ca="1">VLOOKUP(F3109,
    OFFSET(INDIRECT(ADDRESS(MATCH(J3109,'Vehicle numbers'!$A$5:$A$162,0),1,1,1,$L$6)),4,1,COUNTIF('Vehicle numbers'!$A$5:$A$162,J3109),4),
    MATCH(L$8,'Vehicle numbers'!$B$4:$D$4,0))*1000</f>
        <v>32493258</v>
      </c>
      <c r="M3109" s="184">
        <f>VLOOKUP(F3109,'Annual distance covered (GB)'!$A$8:$H$33,MATCH(J3109,'Annual distance covered (GB)'!$A$7:$H$7,0))</f>
        <v>438.3</v>
      </c>
      <c r="N3109" s="2">
        <f t="shared" ca="1" si="110"/>
        <v>49163.24344068236</v>
      </c>
      <c r="O3109" s="180">
        <f t="shared" ca="1" si="111"/>
        <v>1.5130290548483122E-3</v>
      </c>
      <c r="P3109" s="180"/>
      <c r="Q3109" s="180"/>
      <c r="R3109" s="180"/>
      <c r="S3109" s="180"/>
      <c r="T3109" s="180"/>
    </row>
    <row r="3110" spans="1:20" x14ac:dyDescent="0.25">
      <c r="A3110" s="190" t="s">
        <v>236</v>
      </c>
      <c r="B3110" s="190" t="s">
        <v>237</v>
      </c>
      <c r="C3110" s="190" t="s">
        <v>238</v>
      </c>
      <c r="D3110" s="190" t="s">
        <v>250</v>
      </c>
      <c r="E3110" s="190" t="s">
        <v>228</v>
      </c>
      <c r="F3110" s="190">
        <v>2018</v>
      </c>
      <c r="G3110" s="190">
        <v>5.7910000000000001E-3</v>
      </c>
      <c r="H3110" s="190" t="s">
        <v>240</v>
      </c>
      <c r="I3110" s="190" t="s">
        <v>241</v>
      </c>
      <c r="J3110" s="190" t="s">
        <v>2</v>
      </c>
      <c r="K3110" s="191">
        <f ca="1">VLOOKUP(F3110,
    OFFSET(INDIRECT(ADDRESS(MATCH(J3110,'Vehicle numbers'!$A$5:$A$162,0),1,1,1,$L$6)),4,1,COUNTIF('Vehicle numbers'!$A$5:$A$162,J3110),4),
    MATCH(K$8,'Vehicle numbers'!$B$4:$D$4,0))*1000</f>
        <v>31517597</v>
      </c>
      <c r="L3110" s="191">
        <f ca="1">VLOOKUP(F3110,
    OFFSET(INDIRECT(ADDRESS(MATCH(J3110,'Vehicle numbers'!$A$5:$A$162,0),1,1,1,$L$6)),4,1,COUNTIF('Vehicle numbers'!$A$5:$A$162,J3110),4),
    MATCH(L$8,'Vehicle numbers'!$B$4:$D$4,0))*1000</f>
        <v>32493258</v>
      </c>
      <c r="M3110" s="192">
        <f>VLOOKUP(F3110,'Annual distance covered (GB)'!$A$8:$H$33,MATCH(J3110,'Annual distance covered (GB)'!$A$7:$H$7,0))</f>
        <v>438.3</v>
      </c>
      <c r="N3110" s="193">
        <f t="shared" ca="1" si="110"/>
        <v>2616767.8562958776</v>
      </c>
      <c r="O3110" s="194">
        <f t="shared" ca="1" si="111"/>
        <v>8.0532640226347194E-2</v>
      </c>
      <c r="P3110" s="180"/>
      <c r="Q3110" s="180"/>
      <c r="R3110" s="180"/>
      <c r="S3110" s="180"/>
      <c r="T3110" s="180"/>
    </row>
    <row r="3111" spans="1:20" x14ac:dyDescent="0.25">
      <c r="A3111" s="190" t="s">
        <v>243</v>
      </c>
      <c r="B3111" s="190" t="s">
        <v>237</v>
      </c>
      <c r="C3111" s="190" t="s">
        <v>238</v>
      </c>
      <c r="D3111" s="190" t="s">
        <v>250</v>
      </c>
      <c r="E3111" s="190" t="s">
        <v>228</v>
      </c>
      <c r="F3111" s="190">
        <v>2018</v>
      </c>
      <c r="G3111" s="190">
        <v>4.0537000000000004E-3</v>
      </c>
      <c r="H3111" s="190" t="s">
        <v>240</v>
      </c>
      <c r="I3111" s="190" t="s">
        <v>241</v>
      </c>
      <c r="J3111" s="190" t="s">
        <v>2</v>
      </c>
      <c r="K3111" s="191">
        <f ca="1">VLOOKUP(F3111,
    OFFSET(INDIRECT(ADDRESS(MATCH(J3111,'Vehicle numbers'!$A$5:$A$162,0),1,1,1,$L$6)),4,1,COUNTIF('Vehicle numbers'!$A$5:$A$162,J3111),4),
    MATCH(K$8,'Vehicle numbers'!$B$4:$D$4,0))*1000</f>
        <v>31517597</v>
      </c>
      <c r="L3111" s="191">
        <f ca="1">VLOOKUP(F3111,
    OFFSET(INDIRECT(ADDRESS(MATCH(J3111,'Vehicle numbers'!$A$5:$A$162,0),1,1,1,$L$6)),4,1,COUNTIF('Vehicle numbers'!$A$5:$A$162,J3111),4),
    MATCH(L$8,'Vehicle numbers'!$B$4:$D$4,0))*1000</f>
        <v>32493258</v>
      </c>
      <c r="M3111" s="192">
        <f>VLOOKUP(F3111,'Annual distance covered (GB)'!$A$8:$H$33,MATCH(J3111,'Annual distance covered (GB)'!$A$7:$H$7,0))</f>
        <v>438.3</v>
      </c>
      <c r="N3111" s="193">
        <f t="shared" ca="1" si="110"/>
        <v>1831737.4994071147</v>
      </c>
      <c r="O3111" s="194">
        <f t="shared" ca="1" si="111"/>
        <v>5.6372848158443047E-2</v>
      </c>
      <c r="P3111" s="180"/>
      <c r="Q3111" s="180"/>
      <c r="R3111" s="180"/>
      <c r="S3111" s="180"/>
      <c r="T3111" s="180"/>
    </row>
    <row r="3112" spans="1:20" x14ac:dyDescent="0.25">
      <c r="A3112" t="s">
        <v>244</v>
      </c>
      <c r="B3112" t="s">
        <v>237</v>
      </c>
      <c r="C3112" t="s">
        <v>238</v>
      </c>
      <c r="D3112" t="s">
        <v>250</v>
      </c>
      <c r="E3112" t="s">
        <v>228</v>
      </c>
      <c r="F3112">
        <v>2018</v>
      </c>
      <c r="G3112">
        <v>5.7094366197182997E-4</v>
      </c>
      <c r="H3112" t="s">
        <v>240</v>
      </c>
      <c r="I3112" t="s">
        <v>241</v>
      </c>
      <c r="J3112" t="s">
        <v>2</v>
      </c>
      <c r="K3112" s="183">
        <f ca="1">VLOOKUP(F3112,
    OFFSET(INDIRECT(ADDRESS(MATCH(J3112,'Vehicle numbers'!$A$5:$A$162,0),1,1,1,$L$6)),4,1,COUNTIF('Vehicle numbers'!$A$5:$A$162,J3112),4),
    MATCH(K$8,'Vehicle numbers'!$B$4:$D$4,0))*1000</f>
        <v>31517597</v>
      </c>
      <c r="L3112" s="183">
        <f ca="1">VLOOKUP(F3112,
    OFFSET(INDIRECT(ADDRESS(MATCH(J3112,'Vehicle numbers'!$A$5:$A$162,0),1,1,1,$L$6)),4,1,COUNTIF('Vehicle numbers'!$A$5:$A$162,J3112),4),
    MATCH(L$8,'Vehicle numbers'!$B$4:$D$4,0))*1000</f>
        <v>32493258</v>
      </c>
      <c r="M3112" s="184">
        <f>VLOOKUP(F3112,'Annual distance covered (GB)'!$A$8:$H$33,MATCH(J3112,'Annual distance covered (GB)'!$A$7:$H$7,0))</f>
        <v>438.3</v>
      </c>
      <c r="N3112" s="2">
        <f t="shared" ca="1" si="110"/>
        <v>257991.19709959318</v>
      </c>
      <c r="O3112" s="180">
        <f t="shared" ca="1" si="111"/>
        <v>7.9398377687947812E-3</v>
      </c>
      <c r="P3112" s="180"/>
      <c r="Q3112" s="180"/>
      <c r="R3112" s="180"/>
      <c r="S3112" s="180"/>
      <c r="T3112" s="180"/>
    </row>
    <row r="3113" spans="1:20" x14ac:dyDescent="0.25">
      <c r="A3113" t="s">
        <v>246</v>
      </c>
      <c r="B3113" t="s">
        <v>237</v>
      </c>
      <c r="C3113" t="s">
        <v>238</v>
      </c>
      <c r="D3113" t="s">
        <v>250</v>
      </c>
      <c r="E3113" t="s">
        <v>228</v>
      </c>
      <c r="F3113">
        <v>2018</v>
      </c>
      <c r="G3113">
        <v>4.5675492957746402E-4</v>
      </c>
      <c r="H3113" t="s">
        <v>240</v>
      </c>
      <c r="I3113" t="s">
        <v>241</v>
      </c>
      <c r="J3113" t="s">
        <v>2</v>
      </c>
      <c r="K3113" s="183">
        <f ca="1">VLOOKUP(F3113,
    OFFSET(INDIRECT(ADDRESS(MATCH(J3113,'Vehicle numbers'!$A$5:$A$162,0),1,1,1,$L$6)),4,1,COUNTIF('Vehicle numbers'!$A$5:$A$162,J3113),4),
    MATCH(K$8,'Vehicle numbers'!$B$4:$D$4,0))*1000</f>
        <v>31517597</v>
      </c>
      <c r="L3113" s="183">
        <f ca="1">VLOOKUP(F3113,
    OFFSET(INDIRECT(ADDRESS(MATCH(J3113,'Vehicle numbers'!$A$5:$A$162,0),1,1,1,$L$6)),4,1,COUNTIF('Vehicle numbers'!$A$5:$A$162,J3113),4),
    MATCH(L$8,'Vehicle numbers'!$B$4:$D$4,0))*1000</f>
        <v>32493258</v>
      </c>
      <c r="M3113" s="184">
        <f>VLOOKUP(F3113,'Annual distance covered (GB)'!$A$8:$H$33,MATCH(J3113,'Annual distance covered (GB)'!$A$7:$H$7,0))</f>
        <v>438.3</v>
      </c>
      <c r="N3113" s="2">
        <f t="shared" ca="1" si="110"/>
        <v>206392.95767967455</v>
      </c>
      <c r="O3113" s="180">
        <f t="shared" ca="1" si="111"/>
        <v>6.351870215035825E-3</v>
      </c>
      <c r="P3113" s="180"/>
      <c r="Q3113" s="180"/>
      <c r="R3113" s="180"/>
      <c r="S3113" s="180"/>
      <c r="T3113" s="180"/>
    </row>
    <row r="3114" spans="1:20" x14ac:dyDescent="0.25">
      <c r="A3114" t="s">
        <v>236</v>
      </c>
      <c r="B3114" t="s">
        <v>237</v>
      </c>
      <c r="C3114" t="s">
        <v>238</v>
      </c>
      <c r="D3114" t="s">
        <v>255</v>
      </c>
      <c r="E3114" t="s">
        <v>229</v>
      </c>
      <c r="F3114">
        <v>2018</v>
      </c>
      <c r="G3114">
        <v>5.5269999999999903E-3</v>
      </c>
      <c r="H3114" t="s">
        <v>240</v>
      </c>
      <c r="I3114" t="s">
        <v>241</v>
      </c>
      <c r="J3114" t="s">
        <v>2</v>
      </c>
      <c r="K3114" s="183">
        <f ca="1">VLOOKUP(F3114,
    OFFSET(INDIRECT(ADDRESS(MATCH(J3114,'Vehicle numbers'!$A$5:$A$162,0),1,1,1,$L$6)),4,1,COUNTIF('Vehicle numbers'!$A$5:$A$162,J3114),4),
    MATCH(K$8,'Vehicle numbers'!$B$4:$D$4,0))*1000</f>
        <v>31517597</v>
      </c>
      <c r="L3114" s="183">
        <f ca="1">VLOOKUP(F3114,
    OFFSET(INDIRECT(ADDRESS(MATCH(J3114,'Vehicle numbers'!$A$5:$A$162,0),1,1,1,$L$6)),4,1,COUNTIF('Vehicle numbers'!$A$5:$A$162,J3114),4),
    MATCH(L$8,'Vehicle numbers'!$B$4:$D$4,0))*1000</f>
        <v>32493258</v>
      </c>
      <c r="M3114" s="184">
        <f>VLOOKUP(F3114,'Annual distance covered (GB)'!$A$8:$H$33,MATCH(J3114,'Annual distance covered (GB)'!$A$7:$H$7,0))</f>
        <v>438.3</v>
      </c>
      <c r="N3114" s="2">
        <f t="shared" ca="1" si="110"/>
        <v>2497474.6920648064</v>
      </c>
      <c r="O3114" s="180">
        <f t="shared" ca="1" si="111"/>
        <v>7.6861319725612193E-2</v>
      </c>
      <c r="P3114" s="180"/>
      <c r="Q3114" s="180"/>
      <c r="R3114" s="180"/>
      <c r="S3114" s="180"/>
      <c r="T3114" s="180"/>
    </row>
    <row r="3115" spans="1:20" x14ac:dyDescent="0.25">
      <c r="A3115" t="s">
        <v>243</v>
      </c>
      <c r="B3115" t="s">
        <v>237</v>
      </c>
      <c r="C3115" t="s">
        <v>238</v>
      </c>
      <c r="D3115" t="s">
        <v>255</v>
      </c>
      <c r="E3115" t="s">
        <v>229</v>
      </c>
      <c r="F3115">
        <v>2018</v>
      </c>
      <c r="G3115">
        <v>2.2108000000000002E-3</v>
      </c>
      <c r="H3115" t="s">
        <v>240</v>
      </c>
      <c r="I3115" t="s">
        <v>241</v>
      </c>
      <c r="J3115" t="s">
        <v>2</v>
      </c>
      <c r="K3115" s="183">
        <f ca="1">VLOOKUP(F3115,
    OFFSET(INDIRECT(ADDRESS(MATCH(J3115,'Vehicle numbers'!$A$5:$A$162,0),1,1,1,$L$6)),4,1,COUNTIF('Vehicle numbers'!$A$5:$A$162,J3115),4),
    MATCH(K$8,'Vehicle numbers'!$B$4:$D$4,0))*1000</f>
        <v>31517597</v>
      </c>
      <c r="L3115" s="183">
        <f ca="1">VLOOKUP(F3115,
    OFFSET(INDIRECT(ADDRESS(MATCH(J3115,'Vehicle numbers'!$A$5:$A$162,0),1,1,1,$L$6)),4,1,COUNTIF('Vehicle numbers'!$A$5:$A$162,J3115),4),
    MATCH(L$8,'Vehicle numbers'!$B$4:$D$4,0))*1000</f>
        <v>32493258</v>
      </c>
      <c r="M3115" s="184">
        <f>VLOOKUP(F3115,'Annual distance covered (GB)'!$A$8:$H$33,MATCH(J3115,'Annual distance covered (GB)'!$A$7:$H$7,0))</f>
        <v>438.3</v>
      </c>
      <c r="N3115" s="2">
        <f t="shared" ca="1" si="110"/>
        <v>998989.87682592438</v>
      </c>
      <c r="O3115" s="180">
        <f t="shared" ca="1" si="111"/>
        <v>3.0744527890244937E-2</v>
      </c>
      <c r="P3115" s="180"/>
      <c r="Q3115" s="180"/>
      <c r="R3115" s="180"/>
      <c r="S3115" s="180"/>
      <c r="T3115" s="180"/>
    </row>
    <row r="3116" spans="1:20" x14ac:dyDescent="0.25">
      <c r="A3116" t="s">
        <v>244</v>
      </c>
      <c r="B3116" t="s">
        <v>237</v>
      </c>
      <c r="C3116" t="s">
        <v>238</v>
      </c>
      <c r="D3116" t="s">
        <v>255</v>
      </c>
      <c r="E3116" t="s">
        <v>229</v>
      </c>
      <c r="F3116">
        <v>2018</v>
      </c>
      <c r="G3116">
        <v>5.5270000000000004E-4</v>
      </c>
      <c r="H3116" t="s">
        <v>240</v>
      </c>
      <c r="I3116" t="s">
        <v>241</v>
      </c>
      <c r="J3116" t="s">
        <v>2</v>
      </c>
      <c r="K3116" s="183">
        <f ca="1">VLOOKUP(F3116,
    OFFSET(INDIRECT(ADDRESS(MATCH(J3116,'Vehicle numbers'!$A$5:$A$162,0),1,1,1,$L$6)),4,1,COUNTIF('Vehicle numbers'!$A$5:$A$162,J3116),4),
    MATCH(K$8,'Vehicle numbers'!$B$4:$D$4,0))*1000</f>
        <v>31517597</v>
      </c>
      <c r="L3116" s="183">
        <f ca="1">VLOOKUP(F3116,
    OFFSET(INDIRECT(ADDRESS(MATCH(J3116,'Vehicle numbers'!$A$5:$A$162,0),1,1,1,$L$6)),4,1,COUNTIF('Vehicle numbers'!$A$5:$A$162,J3116),4),
    MATCH(L$8,'Vehicle numbers'!$B$4:$D$4,0))*1000</f>
        <v>32493258</v>
      </c>
      <c r="M3116" s="184">
        <f>VLOOKUP(F3116,'Annual distance covered (GB)'!$A$8:$H$33,MATCH(J3116,'Annual distance covered (GB)'!$A$7:$H$7,0))</f>
        <v>438.3</v>
      </c>
      <c r="N3116" s="2">
        <f t="shared" ca="1" si="110"/>
        <v>249747.4692064811</v>
      </c>
      <c r="O3116" s="180">
        <f t="shared" ca="1" si="111"/>
        <v>7.6861319725612344E-3</v>
      </c>
      <c r="P3116" s="180"/>
      <c r="Q3116" s="180"/>
      <c r="R3116" s="180"/>
      <c r="S3116" s="180"/>
      <c r="T3116" s="180"/>
    </row>
    <row r="3117" spans="1:20" x14ac:dyDescent="0.25">
      <c r="A3117" t="s">
        <v>246</v>
      </c>
      <c r="B3117" t="s">
        <v>237</v>
      </c>
      <c r="C3117" t="s">
        <v>238</v>
      </c>
      <c r="D3117" t="s">
        <v>255</v>
      </c>
      <c r="E3117" t="s">
        <v>229</v>
      </c>
      <c r="F3117">
        <v>2018</v>
      </c>
      <c r="G3117">
        <v>4.4215999999999998E-4</v>
      </c>
      <c r="H3117" t="s">
        <v>240</v>
      </c>
      <c r="I3117" t="s">
        <v>241</v>
      </c>
      <c r="J3117" t="s">
        <v>2</v>
      </c>
      <c r="K3117" s="183">
        <f ca="1">VLOOKUP(F3117,
    OFFSET(INDIRECT(ADDRESS(MATCH(J3117,'Vehicle numbers'!$A$5:$A$162,0),1,1,1,$L$6)),4,1,COUNTIF('Vehicle numbers'!$A$5:$A$162,J3117),4),
    MATCH(K$8,'Vehicle numbers'!$B$4:$D$4,0))*1000</f>
        <v>31517597</v>
      </c>
      <c r="L3117" s="183">
        <f ca="1">VLOOKUP(F3117,
    OFFSET(INDIRECT(ADDRESS(MATCH(J3117,'Vehicle numbers'!$A$5:$A$162,0),1,1,1,$L$6)),4,1,COUNTIF('Vehicle numbers'!$A$5:$A$162,J3117),4),
    MATCH(L$8,'Vehicle numbers'!$B$4:$D$4,0))*1000</f>
        <v>32493258</v>
      </c>
      <c r="M3117" s="184">
        <f>VLOOKUP(F3117,'Annual distance covered (GB)'!$A$8:$H$33,MATCH(J3117,'Annual distance covered (GB)'!$A$7:$H$7,0))</f>
        <v>438.3</v>
      </c>
      <c r="N3117" s="2">
        <f t="shared" ca="1" si="110"/>
        <v>199797.97536518486</v>
      </c>
      <c r="O3117" s="180">
        <f t="shared" ca="1" si="111"/>
        <v>6.1489055780489868E-3</v>
      </c>
      <c r="P3117" s="180"/>
      <c r="Q3117" s="180"/>
      <c r="R3117" s="180"/>
      <c r="S3117" s="180"/>
      <c r="T3117" s="180"/>
    </row>
    <row r="3118" spans="1:20" x14ac:dyDescent="0.25">
      <c r="A3118" s="190" t="s">
        <v>236</v>
      </c>
      <c r="B3118" s="190" t="s">
        <v>237</v>
      </c>
      <c r="C3118" s="190" t="s">
        <v>238</v>
      </c>
      <c r="D3118" s="190" t="s">
        <v>255</v>
      </c>
      <c r="E3118" s="190" t="s">
        <v>228</v>
      </c>
      <c r="F3118" s="190">
        <v>2018</v>
      </c>
      <c r="G3118" s="190">
        <v>6.7999999999999901E-3</v>
      </c>
      <c r="H3118" s="190" t="s">
        <v>240</v>
      </c>
      <c r="I3118" s="190" t="s">
        <v>241</v>
      </c>
      <c r="J3118" s="190" t="s">
        <v>2</v>
      </c>
      <c r="K3118" s="191">
        <f ca="1">VLOOKUP(F3118,
    OFFSET(INDIRECT(ADDRESS(MATCH(J3118,'Vehicle numbers'!$A$5:$A$162,0),1,1,1,$L$6)),4,1,COUNTIF('Vehicle numbers'!$A$5:$A$162,J3118),4),
    MATCH(K$8,'Vehicle numbers'!$B$4:$D$4,0))*1000</f>
        <v>31517597</v>
      </c>
      <c r="L3118" s="191">
        <f ca="1">VLOOKUP(F3118,
    OFFSET(INDIRECT(ADDRESS(MATCH(J3118,'Vehicle numbers'!$A$5:$A$162,0),1,1,1,$L$6)),4,1,COUNTIF('Vehicle numbers'!$A$5:$A$162,J3118),4),
    MATCH(L$8,'Vehicle numbers'!$B$4:$D$4,0))*1000</f>
        <v>32493258</v>
      </c>
      <c r="M3118" s="192">
        <f>VLOOKUP(F3118,'Annual distance covered (GB)'!$A$8:$H$33,MATCH(J3118,'Annual distance covered (GB)'!$A$7:$H$7,0))</f>
        <v>438.3</v>
      </c>
      <c r="N3118" s="193">
        <f t="shared" ca="1" si="110"/>
        <v>3072702.7150426428</v>
      </c>
      <c r="O3118" s="194">
        <f t="shared" ca="1" si="111"/>
        <v>9.4564315928019366E-2</v>
      </c>
      <c r="P3118" s="180"/>
      <c r="Q3118" s="180"/>
      <c r="R3118" s="180"/>
      <c r="S3118" s="180"/>
      <c r="T3118" s="180"/>
    </row>
    <row r="3119" spans="1:20" x14ac:dyDescent="0.25">
      <c r="A3119" s="190" t="s">
        <v>243</v>
      </c>
      <c r="B3119" s="190" t="s">
        <v>237</v>
      </c>
      <c r="C3119" s="190" t="s">
        <v>238</v>
      </c>
      <c r="D3119" s="190" t="s">
        <v>255</v>
      </c>
      <c r="E3119" s="190" t="s">
        <v>228</v>
      </c>
      <c r="F3119" s="190">
        <v>2018</v>
      </c>
      <c r="G3119" s="190">
        <v>4.7599999999999899E-3</v>
      </c>
      <c r="H3119" s="190" t="s">
        <v>240</v>
      </c>
      <c r="I3119" s="190" t="s">
        <v>241</v>
      </c>
      <c r="J3119" s="190" t="s">
        <v>2</v>
      </c>
      <c r="K3119" s="191">
        <f ca="1">VLOOKUP(F3119,
    OFFSET(INDIRECT(ADDRESS(MATCH(J3119,'Vehicle numbers'!$A$5:$A$162,0),1,1,1,$L$6)),4,1,COUNTIF('Vehicle numbers'!$A$5:$A$162,J3119),4),
    MATCH(K$8,'Vehicle numbers'!$B$4:$D$4,0))*1000</f>
        <v>31517597</v>
      </c>
      <c r="L3119" s="191">
        <f ca="1">VLOOKUP(F3119,
    OFFSET(INDIRECT(ADDRESS(MATCH(J3119,'Vehicle numbers'!$A$5:$A$162,0),1,1,1,$L$6)),4,1,COUNTIF('Vehicle numbers'!$A$5:$A$162,J3119),4),
    MATCH(L$8,'Vehicle numbers'!$B$4:$D$4,0))*1000</f>
        <v>32493258</v>
      </c>
      <c r="M3119" s="192">
        <f>VLOOKUP(F3119,'Annual distance covered (GB)'!$A$8:$H$33,MATCH(J3119,'Annual distance covered (GB)'!$A$7:$H$7,0))</f>
        <v>438.3</v>
      </c>
      <c r="N3119" s="193">
        <f t="shared" ca="1" si="110"/>
        <v>2150891.9005298489</v>
      </c>
      <c r="O3119" s="194">
        <f t="shared" ca="1" si="111"/>
        <v>6.6195021149613523E-2</v>
      </c>
      <c r="P3119" s="180"/>
      <c r="Q3119" s="180"/>
      <c r="R3119" s="180"/>
      <c r="S3119" s="180"/>
      <c r="T3119" s="180"/>
    </row>
    <row r="3120" spans="1:20" x14ac:dyDescent="0.25">
      <c r="A3120" t="s">
        <v>244</v>
      </c>
      <c r="B3120" t="s">
        <v>237</v>
      </c>
      <c r="C3120" t="s">
        <v>238</v>
      </c>
      <c r="D3120" t="s">
        <v>255</v>
      </c>
      <c r="E3120" t="s">
        <v>228</v>
      </c>
      <c r="F3120">
        <v>2018</v>
      </c>
      <c r="G3120">
        <v>6.7042253521126501E-4</v>
      </c>
      <c r="H3120" t="s">
        <v>240</v>
      </c>
      <c r="I3120" t="s">
        <v>241</v>
      </c>
      <c r="J3120" t="s">
        <v>2</v>
      </c>
      <c r="K3120" s="183">
        <f ca="1">VLOOKUP(F3120,
    OFFSET(INDIRECT(ADDRESS(MATCH(J3120,'Vehicle numbers'!$A$5:$A$162,0),1,1,1,$L$6)),4,1,COUNTIF('Vehicle numbers'!$A$5:$A$162,J3120),4),
    MATCH(K$8,'Vehicle numbers'!$B$4:$D$4,0))*1000</f>
        <v>31517597</v>
      </c>
      <c r="L3120" s="183">
        <f ca="1">VLOOKUP(F3120,
    OFFSET(INDIRECT(ADDRESS(MATCH(J3120,'Vehicle numbers'!$A$5:$A$162,0),1,1,1,$L$6)),4,1,COUNTIF('Vehicle numbers'!$A$5:$A$162,J3120),4),
    MATCH(L$8,'Vehicle numbers'!$B$4:$D$4,0))*1000</f>
        <v>32493258</v>
      </c>
      <c r="M3120" s="184">
        <f>VLOOKUP(F3120,'Annual distance covered (GB)'!$A$8:$H$33,MATCH(J3120,'Annual distance covered (GB)'!$A$7:$H$7,0))</f>
        <v>438.3</v>
      </c>
      <c r="N3120" s="2">
        <f t="shared" ca="1" si="110"/>
        <v>302942.52120138664</v>
      </c>
      <c r="O3120" s="180">
        <f t="shared" ca="1" si="111"/>
        <v>9.3232424154385089E-3</v>
      </c>
      <c r="P3120" s="180"/>
      <c r="Q3120" s="180"/>
      <c r="R3120" s="180"/>
      <c r="S3120" s="180"/>
      <c r="T3120" s="180"/>
    </row>
    <row r="3121" spans="1:20" x14ac:dyDescent="0.25">
      <c r="A3121" t="s">
        <v>246</v>
      </c>
      <c r="B3121" t="s">
        <v>237</v>
      </c>
      <c r="C3121" t="s">
        <v>238</v>
      </c>
      <c r="D3121" t="s">
        <v>255</v>
      </c>
      <c r="E3121" t="s">
        <v>228</v>
      </c>
      <c r="F3121">
        <v>2018</v>
      </c>
      <c r="G3121">
        <v>5.3633802816901196E-4</v>
      </c>
      <c r="H3121" t="s">
        <v>240</v>
      </c>
      <c r="I3121" t="s">
        <v>241</v>
      </c>
      <c r="J3121" t="s">
        <v>2</v>
      </c>
      <c r="K3121" s="183">
        <f ca="1">VLOOKUP(F3121,
    OFFSET(INDIRECT(ADDRESS(MATCH(J3121,'Vehicle numbers'!$A$5:$A$162,0),1,1,1,$L$6)),4,1,COUNTIF('Vehicle numbers'!$A$5:$A$162,J3121),4),
    MATCH(K$8,'Vehicle numbers'!$B$4:$D$4,0))*1000</f>
        <v>31517597</v>
      </c>
      <c r="L3121" s="183">
        <f ca="1">VLOOKUP(F3121,
    OFFSET(INDIRECT(ADDRESS(MATCH(J3121,'Vehicle numbers'!$A$5:$A$162,0),1,1,1,$L$6)),4,1,COUNTIF('Vehicle numbers'!$A$5:$A$162,J3121),4),
    MATCH(L$8,'Vehicle numbers'!$B$4:$D$4,0))*1000</f>
        <v>32493258</v>
      </c>
      <c r="M3121" s="184">
        <f>VLOOKUP(F3121,'Annual distance covered (GB)'!$A$8:$H$33,MATCH(J3121,'Annual distance covered (GB)'!$A$7:$H$7,0))</f>
        <v>438.3</v>
      </c>
      <c r="N3121" s="2">
        <f t="shared" ca="1" si="110"/>
        <v>242354.01696110924</v>
      </c>
      <c r="O3121" s="180">
        <f t="shared" ca="1" si="111"/>
        <v>7.4585939323508045E-3</v>
      </c>
      <c r="P3121" s="180"/>
      <c r="Q3121" s="180"/>
      <c r="R3121" s="180"/>
      <c r="S3121" s="180"/>
      <c r="T3121" s="180"/>
    </row>
    <row r="3122" spans="1:20" x14ac:dyDescent="0.25">
      <c r="A3122" t="s">
        <v>236</v>
      </c>
      <c r="B3122" t="s">
        <v>237</v>
      </c>
      <c r="C3122" t="s">
        <v>238</v>
      </c>
      <c r="D3122" t="s">
        <v>256</v>
      </c>
      <c r="E3122" t="s">
        <v>229</v>
      </c>
      <c r="F3122">
        <v>2018</v>
      </c>
      <c r="G3122">
        <v>1.1723408940018099E-2</v>
      </c>
      <c r="H3122" t="s">
        <v>240</v>
      </c>
      <c r="I3122" t="s">
        <v>241</v>
      </c>
      <c r="J3122" t="s">
        <v>2</v>
      </c>
      <c r="K3122" s="183">
        <f ca="1">VLOOKUP(F3122,
    OFFSET(INDIRECT(ADDRESS(MATCH(J3122,'Vehicle numbers'!$A$5:$A$162,0),1,1,1,$L$6)),4,1,COUNTIF('Vehicle numbers'!$A$5:$A$162,J3122),4),
    MATCH(K$8,'Vehicle numbers'!$B$4:$D$4,0))*1000</f>
        <v>31517597</v>
      </c>
      <c r="L3122" s="183">
        <f ca="1">VLOOKUP(F3122,
    OFFSET(INDIRECT(ADDRESS(MATCH(J3122,'Vehicle numbers'!$A$5:$A$162,0),1,1,1,$L$6)),4,1,COUNTIF('Vehicle numbers'!$A$5:$A$162,J3122),4),
    MATCH(L$8,'Vehicle numbers'!$B$4:$D$4,0))*1000</f>
        <v>32493258</v>
      </c>
      <c r="M3122" s="184">
        <f>VLOOKUP(F3122,'Annual distance covered (GB)'!$A$8:$H$33,MATCH(J3122,'Annual distance covered (GB)'!$A$7:$H$7,0))</f>
        <v>438.3</v>
      </c>
      <c r="N3122" s="2">
        <f t="shared" ca="1" si="110"/>
        <v>5297433.8940513032</v>
      </c>
      <c r="O3122" s="180">
        <f t="shared" ca="1" si="111"/>
        <v>0.16303178628782941</v>
      </c>
      <c r="P3122" s="180"/>
      <c r="Q3122" s="180"/>
      <c r="R3122" s="180"/>
      <c r="S3122" s="180"/>
      <c r="T3122" s="180"/>
    </row>
    <row r="3123" spans="1:20" x14ac:dyDescent="0.25">
      <c r="A3123" t="s">
        <v>243</v>
      </c>
      <c r="B3123" t="s">
        <v>237</v>
      </c>
      <c r="C3123" t="s">
        <v>238</v>
      </c>
      <c r="D3123" t="s">
        <v>256</v>
      </c>
      <c r="E3123" t="s">
        <v>229</v>
      </c>
      <c r="F3123">
        <v>2018</v>
      </c>
      <c r="G3123">
        <v>4.6893635760072404E-3</v>
      </c>
      <c r="H3123" t="s">
        <v>240</v>
      </c>
      <c r="I3123" t="s">
        <v>241</v>
      </c>
      <c r="J3123" t="s">
        <v>2</v>
      </c>
      <c r="K3123" s="183">
        <f ca="1">VLOOKUP(F3123,
    OFFSET(INDIRECT(ADDRESS(MATCH(J3123,'Vehicle numbers'!$A$5:$A$162,0),1,1,1,$L$6)),4,1,COUNTIF('Vehicle numbers'!$A$5:$A$162,J3123),4),
    MATCH(K$8,'Vehicle numbers'!$B$4:$D$4,0))*1000</f>
        <v>31517597</v>
      </c>
      <c r="L3123" s="183">
        <f ca="1">VLOOKUP(F3123,
    OFFSET(INDIRECT(ADDRESS(MATCH(J3123,'Vehicle numbers'!$A$5:$A$162,0),1,1,1,$L$6)),4,1,COUNTIF('Vehicle numbers'!$A$5:$A$162,J3123),4),
    MATCH(L$8,'Vehicle numbers'!$B$4:$D$4,0))*1000</f>
        <v>32493258</v>
      </c>
      <c r="M3123" s="184">
        <f>VLOOKUP(F3123,'Annual distance covered (GB)'!$A$8:$H$33,MATCH(J3123,'Annual distance covered (GB)'!$A$7:$H$7,0))</f>
        <v>438.3</v>
      </c>
      <c r="N3123" s="2">
        <f t="shared" ca="1" si="110"/>
        <v>2118973.5576205212</v>
      </c>
      <c r="O3123" s="180">
        <f t="shared" ca="1" si="111"/>
        <v>6.5212714515131762E-2</v>
      </c>
      <c r="P3123" s="180"/>
      <c r="Q3123" s="180"/>
      <c r="R3123" s="180"/>
      <c r="S3123" s="180"/>
      <c r="T3123" s="180"/>
    </row>
    <row r="3124" spans="1:20" x14ac:dyDescent="0.25">
      <c r="A3124" t="s">
        <v>244</v>
      </c>
      <c r="B3124" t="s">
        <v>237</v>
      </c>
      <c r="C3124" t="s">
        <v>238</v>
      </c>
      <c r="D3124" t="s">
        <v>256</v>
      </c>
      <c r="E3124" t="s">
        <v>229</v>
      </c>
      <c r="F3124">
        <v>2018</v>
      </c>
      <c r="G3124">
        <v>1.1723408940018101E-3</v>
      </c>
      <c r="H3124" t="s">
        <v>240</v>
      </c>
      <c r="I3124" t="s">
        <v>241</v>
      </c>
      <c r="J3124" t="s">
        <v>2</v>
      </c>
      <c r="K3124" s="183">
        <f ca="1">VLOOKUP(F3124,
    OFFSET(INDIRECT(ADDRESS(MATCH(J3124,'Vehicle numbers'!$A$5:$A$162,0),1,1,1,$L$6)),4,1,COUNTIF('Vehicle numbers'!$A$5:$A$162,J3124),4),
    MATCH(K$8,'Vehicle numbers'!$B$4:$D$4,0))*1000</f>
        <v>31517597</v>
      </c>
      <c r="L3124" s="183">
        <f ca="1">VLOOKUP(F3124,
    OFFSET(INDIRECT(ADDRESS(MATCH(J3124,'Vehicle numbers'!$A$5:$A$162,0),1,1,1,$L$6)),4,1,COUNTIF('Vehicle numbers'!$A$5:$A$162,J3124),4),
    MATCH(L$8,'Vehicle numbers'!$B$4:$D$4,0))*1000</f>
        <v>32493258</v>
      </c>
      <c r="M3124" s="184">
        <f>VLOOKUP(F3124,'Annual distance covered (GB)'!$A$8:$H$33,MATCH(J3124,'Annual distance covered (GB)'!$A$7:$H$7,0))</f>
        <v>438.3</v>
      </c>
      <c r="N3124" s="2">
        <f t="shared" ca="1" si="110"/>
        <v>529743.38940513029</v>
      </c>
      <c r="O3124" s="180">
        <f t="shared" ca="1" si="111"/>
        <v>1.630317862878294E-2</v>
      </c>
      <c r="P3124" s="180"/>
      <c r="Q3124" s="180"/>
      <c r="R3124" s="180"/>
      <c r="S3124" s="180"/>
      <c r="T3124" s="180"/>
    </row>
    <row r="3125" spans="1:20" x14ac:dyDescent="0.25">
      <c r="A3125" t="s">
        <v>246</v>
      </c>
      <c r="B3125" t="s">
        <v>237</v>
      </c>
      <c r="C3125" t="s">
        <v>238</v>
      </c>
      <c r="D3125" t="s">
        <v>256</v>
      </c>
      <c r="E3125" t="s">
        <v>229</v>
      </c>
      <c r="F3125">
        <v>2018</v>
      </c>
      <c r="G3125">
        <v>9.3787271520144795E-4</v>
      </c>
      <c r="H3125" t="s">
        <v>240</v>
      </c>
      <c r="I3125" t="s">
        <v>241</v>
      </c>
      <c r="J3125" t="s">
        <v>2</v>
      </c>
      <c r="K3125" s="183">
        <f ca="1">VLOOKUP(F3125,
    OFFSET(INDIRECT(ADDRESS(MATCH(J3125,'Vehicle numbers'!$A$5:$A$162,0),1,1,1,$L$6)),4,1,COUNTIF('Vehicle numbers'!$A$5:$A$162,J3125),4),
    MATCH(K$8,'Vehicle numbers'!$B$4:$D$4,0))*1000</f>
        <v>31517597</v>
      </c>
      <c r="L3125" s="183">
        <f ca="1">VLOOKUP(F3125,
    OFFSET(INDIRECT(ADDRESS(MATCH(J3125,'Vehicle numbers'!$A$5:$A$162,0),1,1,1,$L$6)),4,1,COUNTIF('Vehicle numbers'!$A$5:$A$162,J3125),4),
    MATCH(L$8,'Vehicle numbers'!$B$4:$D$4,0))*1000</f>
        <v>32493258</v>
      </c>
      <c r="M3125" s="184">
        <f>VLOOKUP(F3125,'Annual distance covered (GB)'!$A$8:$H$33,MATCH(J3125,'Annual distance covered (GB)'!$A$7:$H$7,0))</f>
        <v>438.3</v>
      </c>
      <c r="N3125" s="2">
        <f t="shared" ca="1" si="110"/>
        <v>423794.71152410423</v>
      </c>
      <c r="O3125" s="180">
        <f t="shared" ca="1" si="111"/>
        <v>1.3042542903026352E-2</v>
      </c>
      <c r="P3125" s="180"/>
      <c r="Q3125" s="180"/>
      <c r="R3125" s="180"/>
      <c r="S3125" s="180"/>
      <c r="T3125" s="180"/>
    </row>
    <row r="3126" spans="1:20" x14ac:dyDescent="0.25">
      <c r="A3126" s="190" t="s">
        <v>236</v>
      </c>
      <c r="B3126" s="190" t="s">
        <v>237</v>
      </c>
      <c r="C3126" s="190" t="s">
        <v>238</v>
      </c>
      <c r="D3126" s="190" t="s">
        <v>256</v>
      </c>
      <c r="E3126" s="190" t="s">
        <v>228</v>
      </c>
      <c r="F3126" s="190">
        <v>2018</v>
      </c>
      <c r="G3126" s="190">
        <v>8.7733795815461493E-3</v>
      </c>
      <c r="H3126" s="190" t="s">
        <v>240</v>
      </c>
      <c r="I3126" s="190" t="s">
        <v>241</v>
      </c>
      <c r="J3126" s="190" t="s">
        <v>2</v>
      </c>
      <c r="K3126" s="191">
        <f ca="1">VLOOKUP(F3126,
    OFFSET(INDIRECT(ADDRESS(MATCH(J3126,'Vehicle numbers'!$A$5:$A$162,0),1,1,1,$L$6)),4,1,COUNTIF('Vehicle numbers'!$A$5:$A$162,J3126),4),
    MATCH(K$8,'Vehicle numbers'!$B$4:$D$4,0))*1000</f>
        <v>31517597</v>
      </c>
      <c r="L3126" s="191">
        <f ca="1">VLOOKUP(F3126,
    OFFSET(INDIRECT(ADDRESS(MATCH(J3126,'Vehicle numbers'!$A$5:$A$162,0),1,1,1,$L$6)),4,1,COUNTIF('Vehicle numbers'!$A$5:$A$162,J3126),4),
    MATCH(L$8,'Vehicle numbers'!$B$4:$D$4,0))*1000</f>
        <v>32493258</v>
      </c>
      <c r="M3126" s="192">
        <f>VLOOKUP(F3126,'Annual distance covered (GB)'!$A$8:$H$33,MATCH(J3126,'Annual distance covered (GB)'!$A$7:$H$7,0))</f>
        <v>438.3</v>
      </c>
      <c r="N3126" s="193">
        <f t="shared" ca="1" si="110"/>
        <v>3964409.891223026</v>
      </c>
      <c r="O3126" s="194">
        <f t="shared" ca="1" si="111"/>
        <v>0.12200715272143613</v>
      </c>
      <c r="P3126" s="180"/>
      <c r="Q3126" s="180"/>
      <c r="R3126" s="180"/>
      <c r="S3126" s="180"/>
      <c r="T3126" s="180"/>
    </row>
    <row r="3127" spans="1:20" x14ac:dyDescent="0.25">
      <c r="A3127" s="190" t="s">
        <v>243</v>
      </c>
      <c r="B3127" s="190" t="s">
        <v>237</v>
      </c>
      <c r="C3127" s="190" t="s">
        <v>238</v>
      </c>
      <c r="D3127" s="190" t="s">
        <v>256</v>
      </c>
      <c r="E3127" s="190" t="s">
        <v>228</v>
      </c>
      <c r="F3127" s="190">
        <v>2018</v>
      </c>
      <c r="G3127" s="190">
        <v>6.1413657070823E-3</v>
      </c>
      <c r="H3127" s="190" t="s">
        <v>240</v>
      </c>
      <c r="I3127" s="190" t="s">
        <v>241</v>
      </c>
      <c r="J3127" s="190" t="s">
        <v>2</v>
      </c>
      <c r="K3127" s="191">
        <f ca="1">VLOOKUP(F3127,
    OFFSET(INDIRECT(ADDRESS(MATCH(J3127,'Vehicle numbers'!$A$5:$A$162,0),1,1,1,$L$6)),4,1,COUNTIF('Vehicle numbers'!$A$5:$A$162,J3127),4),
    MATCH(K$8,'Vehicle numbers'!$B$4:$D$4,0))*1000</f>
        <v>31517597</v>
      </c>
      <c r="L3127" s="191">
        <f ca="1">VLOOKUP(F3127,
    OFFSET(INDIRECT(ADDRESS(MATCH(J3127,'Vehicle numbers'!$A$5:$A$162,0),1,1,1,$L$6)),4,1,COUNTIF('Vehicle numbers'!$A$5:$A$162,J3127),4),
    MATCH(L$8,'Vehicle numbers'!$B$4:$D$4,0))*1000</f>
        <v>32493258</v>
      </c>
      <c r="M3127" s="192">
        <f>VLOOKUP(F3127,'Annual distance covered (GB)'!$A$8:$H$33,MATCH(J3127,'Annual distance covered (GB)'!$A$7:$H$7,0))</f>
        <v>438.3</v>
      </c>
      <c r="N3127" s="193">
        <f t="shared" ca="1" si="110"/>
        <v>2775086.9238561159</v>
      </c>
      <c r="O3127" s="194">
        <f t="shared" ca="1" si="111"/>
        <v>8.5405006905005215E-2</v>
      </c>
      <c r="P3127" s="180">
        <f ca="1">SUM(O3127,O3126,O3118:O3119,O3110:O3111)</f>
        <v>0.50507698508886445</v>
      </c>
      <c r="Q3127" s="180"/>
      <c r="R3127" s="180"/>
      <c r="S3127" s="180"/>
      <c r="T3127" s="180"/>
    </row>
    <row r="3128" spans="1:20" x14ac:dyDescent="0.25">
      <c r="A3128" t="s">
        <v>244</v>
      </c>
      <c r="B3128" t="s">
        <v>237</v>
      </c>
      <c r="C3128" t="s">
        <v>238</v>
      </c>
      <c r="D3128" t="s">
        <v>256</v>
      </c>
      <c r="E3128" t="s">
        <v>228</v>
      </c>
      <c r="F3128">
        <v>2018</v>
      </c>
      <c r="G3128">
        <v>8.6498108550454801E-4</v>
      </c>
      <c r="H3128" t="s">
        <v>240</v>
      </c>
      <c r="I3128" t="s">
        <v>241</v>
      </c>
      <c r="J3128" t="s">
        <v>2</v>
      </c>
      <c r="K3128" s="183">
        <f ca="1">VLOOKUP(F3128,
    OFFSET(INDIRECT(ADDRESS(MATCH(J3128,'Vehicle numbers'!$A$5:$A$162,0),1,1,1,$L$6)),4,1,COUNTIF('Vehicle numbers'!$A$5:$A$162,J3128),4),
    MATCH(K$8,'Vehicle numbers'!$B$4:$D$4,0))*1000</f>
        <v>31517597</v>
      </c>
      <c r="L3128" s="183">
        <f ca="1">VLOOKUP(F3128,
    OFFSET(INDIRECT(ADDRESS(MATCH(J3128,'Vehicle numbers'!$A$5:$A$162,0),1,1,1,$L$6)),4,1,COUNTIF('Vehicle numbers'!$A$5:$A$162,J3128),4),
    MATCH(L$8,'Vehicle numbers'!$B$4:$D$4,0))*1000</f>
        <v>32493258</v>
      </c>
      <c r="M3128" s="184">
        <f>VLOOKUP(F3128,'Annual distance covered (GB)'!$A$8:$H$33,MATCH(J3128,'Annual distance covered (GB)'!$A$7:$H$7,0))</f>
        <v>438.3</v>
      </c>
      <c r="N3128" s="2">
        <f t="shared" ca="1" si="110"/>
        <v>390857.31321917078</v>
      </c>
      <c r="O3128" s="180">
        <f t="shared" ca="1" si="111"/>
        <v>1.2028874211972551E-2</v>
      </c>
      <c r="P3128" s="180"/>
      <c r="Q3128" s="180"/>
      <c r="R3128" s="180"/>
      <c r="S3128" s="180"/>
      <c r="T3128" s="180"/>
    </row>
    <row r="3129" spans="1:20" x14ac:dyDescent="0.25">
      <c r="A3129" t="s">
        <v>246</v>
      </c>
      <c r="B3129" t="s">
        <v>237</v>
      </c>
      <c r="C3129" t="s">
        <v>238</v>
      </c>
      <c r="D3129" t="s">
        <v>256</v>
      </c>
      <c r="E3129" t="s">
        <v>228</v>
      </c>
      <c r="F3129">
        <v>2018</v>
      </c>
      <c r="G3129">
        <v>6.9198486840363804E-4</v>
      </c>
      <c r="H3129" t="s">
        <v>240</v>
      </c>
      <c r="I3129" t="s">
        <v>241</v>
      </c>
      <c r="J3129" t="s">
        <v>2</v>
      </c>
      <c r="K3129" s="183">
        <f ca="1">VLOOKUP(F3129,
    OFFSET(INDIRECT(ADDRESS(MATCH(J3129,'Vehicle numbers'!$A$5:$A$162,0),1,1,1,$L$6)),4,1,COUNTIF('Vehicle numbers'!$A$5:$A$162,J3129),4),
    MATCH(K$8,'Vehicle numbers'!$B$4:$D$4,0))*1000</f>
        <v>31517597</v>
      </c>
      <c r="L3129" s="183">
        <f ca="1">VLOOKUP(F3129,
    OFFSET(INDIRECT(ADDRESS(MATCH(J3129,'Vehicle numbers'!$A$5:$A$162,0),1,1,1,$L$6)),4,1,COUNTIF('Vehicle numbers'!$A$5:$A$162,J3129),4),
    MATCH(L$8,'Vehicle numbers'!$B$4:$D$4,0))*1000</f>
        <v>32493258</v>
      </c>
      <c r="M3129" s="184">
        <f>VLOOKUP(F3129,'Annual distance covered (GB)'!$A$8:$H$33,MATCH(J3129,'Annual distance covered (GB)'!$A$7:$H$7,0))</f>
        <v>438.3</v>
      </c>
      <c r="N3129" s="2">
        <f t="shared" ca="1" si="110"/>
        <v>312685.85057533637</v>
      </c>
      <c r="O3129" s="180">
        <f t="shared" ca="1" si="111"/>
        <v>9.6230993695780326E-3</v>
      </c>
      <c r="P3129" s="180"/>
      <c r="Q3129" s="180"/>
      <c r="R3129" s="180"/>
      <c r="S3129" s="180"/>
      <c r="T3129" s="180"/>
    </row>
    <row r="3130" spans="1:20" x14ac:dyDescent="0.25">
      <c r="A3130" t="s">
        <v>236</v>
      </c>
      <c r="B3130" t="s">
        <v>237</v>
      </c>
      <c r="C3130" t="s">
        <v>238</v>
      </c>
      <c r="D3130" t="s">
        <v>265</v>
      </c>
      <c r="E3130" t="s">
        <v>229</v>
      </c>
      <c r="F3130">
        <v>2018</v>
      </c>
      <c r="G3130">
        <v>8.4410000000000006E-3</v>
      </c>
      <c r="H3130" t="s">
        <v>240</v>
      </c>
      <c r="I3130" t="s">
        <v>241</v>
      </c>
      <c r="J3130" t="s">
        <v>247</v>
      </c>
      <c r="K3130" s="183">
        <f ca="1">VLOOKUP(F3130,
    OFFSET(INDIRECT(ADDRESS(MATCH(J3130,'Vehicle numbers'!$A$5:$A$162,0),1,1,1,$L$6)),4,1,COUNTIF('Vehicle numbers'!$A$5:$A$162,J3130),4),
    MATCH(K$8,'Vehicle numbers'!$B$4:$D$4,0))*1000</f>
        <v>129610.99999999999</v>
      </c>
      <c r="L3130" s="183">
        <f ca="1">VLOOKUP(F3130,
    OFFSET(INDIRECT(ADDRESS(MATCH(J3130,'Vehicle numbers'!$A$5:$A$162,0),1,1,1,$L$6)),4,1,COUNTIF('Vehicle numbers'!$A$5:$A$162,J3130),4),
    MATCH(L$8,'Vehicle numbers'!$B$4:$D$4,0))*1000</f>
        <v>136507</v>
      </c>
      <c r="M3130" s="184">
        <f ca="1">VLOOKUP(F3130,'Annual distance covered (GB)'!$A$8:$H$33,MATCH(J3130,'Annual distance covered (GB)'!$A$7:$H$7,0))</f>
        <v>15.4</v>
      </c>
      <c r="N3130" s="2">
        <f t="shared" ca="1" si="110"/>
        <v>136907.63931919364</v>
      </c>
      <c r="O3130" s="180">
        <f t="shared" ca="1" si="111"/>
        <v>1.0029349360779567</v>
      </c>
      <c r="P3130" s="180"/>
      <c r="Q3130" s="180"/>
      <c r="R3130" s="180"/>
      <c r="S3130" s="180"/>
      <c r="T3130" s="180"/>
    </row>
    <row r="3131" spans="1:20" x14ac:dyDescent="0.25">
      <c r="A3131" t="s">
        <v>243</v>
      </c>
      <c r="B3131" t="s">
        <v>237</v>
      </c>
      <c r="C3131" t="s">
        <v>238</v>
      </c>
      <c r="D3131" t="s">
        <v>265</v>
      </c>
      <c r="E3131" t="s">
        <v>229</v>
      </c>
      <c r="F3131">
        <v>2018</v>
      </c>
      <c r="G3131">
        <v>3.3763999999999999E-3</v>
      </c>
      <c r="H3131" t="s">
        <v>240</v>
      </c>
      <c r="I3131" t="s">
        <v>241</v>
      </c>
      <c r="J3131" t="s">
        <v>247</v>
      </c>
      <c r="K3131" s="183">
        <f ca="1">VLOOKUP(F3131,
    OFFSET(INDIRECT(ADDRESS(MATCH(J3131,'Vehicle numbers'!$A$5:$A$162,0),1,1,1,$L$6)),4,1,COUNTIF('Vehicle numbers'!$A$5:$A$162,J3131),4),
    MATCH(K$8,'Vehicle numbers'!$B$4:$D$4,0))*1000</f>
        <v>129610.99999999999</v>
      </c>
      <c r="L3131" s="183">
        <f ca="1">VLOOKUP(F3131,
    OFFSET(INDIRECT(ADDRESS(MATCH(J3131,'Vehicle numbers'!$A$5:$A$162,0),1,1,1,$L$6)),4,1,COUNTIF('Vehicle numbers'!$A$5:$A$162,J3131),4),
    MATCH(L$8,'Vehicle numbers'!$B$4:$D$4,0))*1000</f>
        <v>136507</v>
      </c>
      <c r="M3131" s="184">
        <f ca="1">VLOOKUP(F3131,'Annual distance covered (GB)'!$A$8:$H$33,MATCH(J3131,'Annual distance covered (GB)'!$A$7:$H$7,0))</f>
        <v>15.4</v>
      </c>
      <c r="N3131" s="2">
        <f t="shared" ca="1" si="110"/>
        <v>54763.055727677442</v>
      </c>
      <c r="O3131" s="180">
        <f t="shared" ca="1" si="111"/>
        <v>0.40117397443118258</v>
      </c>
      <c r="P3131" s="180"/>
      <c r="Q3131" s="180"/>
      <c r="R3131" s="180"/>
      <c r="S3131" s="180"/>
      <c r="T3131" s="180"/>
    </row>
    <row r="3132" spans="1:20" x14ac:dyDescent="0.25">
      <c r="A3132" t="s">
        <v>244</v>
      </c>
      <c r="B3132" t="s">
        <v>237</v>
      </c>
      <c r="C3132" t="s">
        <v>238</v>
      </c>
      <c r="D3132" t="s">
        <v>265</v>
      </c>
      <c r="E3132" t="s">
        <v>229</v>
      </c>
      <c r="F3132">
        <v>2018</v>
      </c>
      <c r="G3132">
        <v>8.4409999999999997E-4</v>
      </c>
      <c r="H3132" t="s">
        <v>240</v>
      </c>
      <c r="I3132" t="s">
        <v>241</v>
      </c>
      <c r="J3132" t="s">
        <v>247</v>
      </c>
      <c r="K3132" s="183">
        <f ca="1">VLOOKUP(F3132,
    OFFSET(INDIRECT(ADDRESS(MATCH(J3132,'Vehicle numbers'!$A$5:$A$162,0),1,1,1,$L$6)),4,1,COUNTIF('Vehicle numbers'!$A$5:$A$162,J3132),4),
    MATCH(K$8,'Vehicle numbers'!$B$4:$D$4,0))*1000</f>
        <v>129610.99999999999</v>
      </c>
      <c r="L3132" s="183">
        <f ca="1">VLOOKUP(F3132,
    OFFSET(INDIRECT(ADDRESS(MATCH(J3132,'Vehicle numbers'!$A$5:$A$162,0),1,1,1,$L$6)),4,1,COUNTIF('Vehicle numbers'!$A$5:$A$162,J3132),4),
    MATCH(L$8,'Vehicle numbers'!$B$4:$D$4,0))*1000</f>
        <v>136507</v>
      </c>
      <c r="M3132" s="184">
        <f ca="1">VLOOKUP(F3132,'Annual distance covered (GB)'!$A$8:$H$33,MATCH(J3132,'Annual distance covered (GB)'!$A$7:$H$7,0))</f>
        <v>15.4</v>
      </c>
      <c r="N3132" s="2">
        <f t="shared" ca="1" si="110"/>
        <v>13690.76393191936</v>
      </c>
      <c r="O3132" s="180">
        <f t="shared" ca="1" si="111"/>
        <v>0.10029349360779564</v>
      </c>
      <c r="P3132" s="180"/>
      <c r="Q3132" s="180"/>
      <c r="R3132" s="180"/>
      <c r="S3132" s="180"/>
      <c r="T3132" s="180"/>
    </row>
    <row r="3133" spans="1:20" x14ac:dyDescent="0.25">
      <c r="A3133" t="s">
        <v>246</v>
      </c>
      <c r="B3133" t="s">
        <v>237</v>
      </c>
      <c r="C3133" t="s">
        <v>238</v>
      </c>
      <c r="D3133" t="s">
        <v>265</v>
      </c>
      <c r="E3133" t="s">
        <v>229</v>
      </c>
      <c r="F3133">
        <v>2018</v>
      </c>
      <c r="G3133">
        <v>6.7528E-4</v>
      </c>
      <c r="H3133" t="s">
        <v>240</v>
      </c>
      <c r="I3133" t="s">
        <v>241</v>
      </c>
      <c r="J3133" t="s">
        <v>247</v>
      </c>
      <c r="K3133" s="183">
        <f ca="1">VLOOKUP(F3133,
    OFFSET(INDIRECT(ADDRESS(MATCH(J3133,'Vehicle numbers'!$A$5:$A$162,0),1,1,1,$L$6)),4,1,COUNTIF('Vehicle numbers'!$A$5:$A$162,J3133),4),
    MATCH(K$8,'Vehicle numbers'!$B$4:$D$4,0))*1000</f>
        <v>129610.99999999999</v>
      </c>
      <c r="L3133" s="183">
        <f ca="1">VLOOKUP(F3133,
    OFFSET(INDIRECT(ADDRESS(MATCH(J3133,'Vehicle numbers'!$A$5:$A$162,0),1,1,1,$L$6)),4,1,COUNTIF('Vehicle numbers'!$A$5:$A$162,J3133),4),
    MATCH(L$8,'Vehicle numbers'!$B$4:$D$4,0))*1000</f>
        <v>136507</v>
      </c>
      <c r="M3133" s="184">
        <f ca="1">VLOOKUP(F3133,'Annual distance covered (GB)'!$A$8:$H$33,MATCH(J3133,'Annual distance covered (GB)'!$A$7:$H$7,0))</f>
        <v>15.4</v>
      </c>
      <c r="N3133" s="2">
        <f t="shared" ca="1" si="110"/>
        <v>10952.611145535491</v>
      </c>
      <c r="O3133" s="180">
        <f t="shared" ca="1" si="111"/>
        <v>8.0234794886236541E-2</v>
      </c>
      <c r="P3133" s="180"/>
      <c r="Q3133" s="180"/>
      <c r="R3133" s="180"/>
      <c r="S3133" s="180"/>
      <c r="T3133" s="180"/>
    </row>
    <row r="3134" spans="1:20" x14ac:dyDescent="0.25">
      <c r="A3134" t="s">
        <v>236</v>
      </c>
      <c r="B3134" t="s">
        <v>237</v>
      </c>
      <c r="C3134" t="s">
        <v>238</v>
      </c>
      <c r="D3134" t="s">
        <v>265</v>
      </c>
      <c r="E3134" t="s">
        <v>228</v>
      </c>
      <c r="F3134">
        <v>2018</v>
      </c>
      <c r="G3134">
        <v>3.1494399999999999E-2</v>
      </c>
      <c r="H3134" t="s">
        <v>240</v>
      </c>
      <c r="I3134" t="s">
        <v>241</v>
      </c>
      <c r="J3134" t="s">
        <v>247</v>
      </c>
      <c r="K3134" s="183">
        <f ca="1">VLOOKUP(F3134,
    OFFSET(INDIRECT(ADDRESS(MATCH(J3134,'Vehicle numbers'!$A$5:$A$162,0),1,1,1,$L$6)),4,1,COUNTIF('Vehicle numbers'!$A$5:$A$162,J3134),4),
    MATCH(K$8,'Vehicle numbers'!$B$4:$D$4,0))*1000</f>
        <v>129610.99999999999</v>
      </c>
      <c r="L3134" s="183">
        <f ca="1">VLOOKUP(F3134,
    OFFSET(INDIRECT(ADDRESS(MATCH(J3134,'Vehicle numbers'!$A$5:$A$162,0),1,1,1,$L$6)),4,1,COUNTIF('Vehicle numbers'!$A$5:$A$162,J3134),4),
    MATCH(L$8,'Vehicle numbers'!$B$4:$D$4,0))*1000</f>
        <v>136507</v>
      </c>
      <c r="M3134" s="184">
        <f ca="1">VLOOKUP(F3134,'Annual distance covered (GB)'!$A$8:$H$33,MATCH(J3134,'Annual distance covered (GB)'!$A$7:$H$7,0))</f>
        <v>15.4</v>
      </c>
      <c r="N3134" s="2">
        <f t="shared" ca="1" si="110"/>
        <v>510819.09202397958</v>
      </c>
      <c r="O3134" s="180">
        <f t="shared" ca="1" si="111"/>
        <v>3.7420725092777629</v>
      </c>
      <c r="P3134" s="180"/>
      <c r="Q3134" s="180"/>
      <c r="R3134" s="180"/>
      <c r="S3134" s="180"/>
      <c r="T3134" s="180"/>
    </row>
    <row r="3135" spans="1:20" x14ac:dyDescent="0.25">
      <c r="A3135" t="s">
        <v>243</v>
      </c>
      <c r="B3135" t="s">
        <v>237</v>
      </c>
      <c r="C3135" t="s">
        <v>238</v>
      </c>
      <c r="D3135" t="s">
        <v>265</v>
      </c>
      <c r="E3135" t="s">
        <v>228</v>
      </c>
      <c r="F3135">
        <v>2018</v>
      </c>
      <c r="G3135">
        <v>2.2046079999999999E-2</v>
      </c>
      <c r="H3135" t="s">
        <v>240</v>
      </c>
      <c r="I3135" t="s">
        <v>241</v>
      </c>
      <c r="J3135" t="s">
        <v>247</v>
      </c>
      <c r="K3135" s="183">
        <f ca="1">VLOOKUP(F3135,
    OFFSET(INDIRECT(ADDRESS(MATCH(J3135,'Vehicle numbers'!$A$5:$A$162,0),1,1,1,$L$6)),4,1,COUNTIF('Vehicle numbers'!$A$5:$A$162,J3135),4),
    MATCH(K$8,'Vehicle numbers'!$B$4:$D$4,0))*1000</f>
        <v>129610.99999999999</v>
      </c>
      <c r="L3135" s="183">
        <f ca="1">VLOOKUP(F3135,
    OFFSET(INDIRECT(ADDRESS(MATCH(J3135,'Vehicle numbers'!$A$5:$A$162,0),1,1,1,$L$6)),4,1,COUNTIF('Vehicle numbers'!$A$5:$A$162,J3135),4),
    MATCH(L$8,'Vehicle numbers'!$B$4:$D$4,0))*1000</f>
        <v>136507</v>
      </c>
      <c r="M3135" s="184">
        <f ca="1">VLOOKUP(F3135,'Annual distance covered (GB)'!$A$8:$H$33,MATCH(J3135,'Annual distance covered (GB)'!$A$7:$H$7,0))</f>
        <v>15.4</v>
      </c>
      <c r="N3135" s="2">
        <f t="shared" ca="1" si="110"/>
        <v>357573.36441678565</v>
      </c>
      <c r="O3135" s="180">
        <f t="shared" ca="1" si="111"/>
        <v>2.6194507564944338</v>
      </c>
      <c r="P3135" s="180"/>
      <c r="Q3135" s="180"/>
      <c r="R3135" s="180"/>
      <c r="S3135" s="180"/>
      <c r="T3135" s="180"/>
    </row>
    <row r="3136" spans="1:20" x14ac:dyDescent="0.25">
      <c r="A3136" t="s">
        <v>244</v>
      </c>
      <c r="B3136" t="s">
        <v>237</v>
      </c>
      <c r="C3136" t="s">
        <v>238</v>
      </c>
      <c r="D3136" t="s">
        <v>265</v>
      </c>
      <c r="E3136" t="s">
        <v>228</v>
      </c>
      <c r="F3136">
        <v>2018</v>
      </c>
      <c r="G3136">
        <v>3.1050816901408399E-3</v>
      </c>
      <c r="H3136" t="s">
        <v>240</v>
      </c>
      <c r="I3136" t="s">
        <v>241</v>
      </c>
      <c r="J3136" t="s">
        <v>247</v>
      </c>
      <c r="K3136" s="183">
        <f ca="1">VLOOKUP(F3136,
    OFFSET(INDIRECT(ADDRESS(MATCH(J3136,'Vehicle numbers'!$A$5:$A$162,0),1,1,1,$L$6)),4,1,COUNTIF('Vehicle numbers'!$A$5:$A$162,J3136),4),
    MATCH(K$8,'Vehicle numbers'!$B$4:$D$4,0))*1000</f>
        <v>129610.99999999999</v>
      </c>
      <c r="L3136" s="183">
        <f ca="1">VLOOKUP(F3136,
    OFFSET(INDIRECT(ADDRESS(MATCH(J3136,'Vehicle numbers'!$A$5:$A$162,0),1,1,1,$L$6)),4,1,COUNTIF('Vehicle numbers'!$A$5:$A$162,J3136),4),
    MATCH(L$8,'Vehicle numbers'!$B$4:$D$4,0))*1000</f>
        <v>136507</v>
      </c>
      <c r="M3136" s="184">
        <f ca="1">VLOOKUP(F3136,'Annual distance covered (GB)'!$A$8:$H$33,MATCH(J3136,'Annual distance covered (GB)'!$A$7:$H$7,0))</f>
        <v>15.4</v>
      </c>
      <c r="N3136" s="2">
        <f t="shared" ca="1" si="110"/>
        <v>50362.445692504945</v>
      </c>
      <c r="O3136" s="180">
        <f t="shared" ca="1" si="111"/>
        <v>0.36893672626682106</v>
      </c>
      <c r="P3136" s="180"/>
      <c r="Q3136" s="180"/>
      <c r="R3136" s="180"/>
      <c r="S3136" s="180"/>
      <c r="T3136" s="180"/>
    </row>
    <row r="3137" spans="1:20" x14ac:dyDescent="0.25">
      <c r="A3137" t="s">
        <v>246</v>
      </c>
      <c r="B3137" t="s">
        <v>237</v>
      </c>
      <c r="C3137" t="s">
        <v>238</v>
      </c>
      <c r="D3137" t="s">
        <v>265</v>
      </c>
      <c r="E3137" t="s">
        <v>228</v>
      </c>
      <c r="F3137">
        <v>2018</v>
      </c>
      <c r="G3137">
        <v>2.4840653521126699E-3</v>
      </c>
      <c r="H3137" t="s">
        <v>240</v>
      </c>
      <c r="I3137" t="s">
        <v>241</v>
      </c>
      <c r="J3137" t="s">
        <v>247</v>
      </c>
      <c r="K3137" s="183">
        <f ca="1">VLOOKUP(F3137,
    OFFSET(INDIRECT(ADDRESS(MATCH(J3137,'Vehicle numbers'!$A$5:$A$162,0),1,1,1,$L$6)),4,1,COUNTIF('Vehicle numbers'!$A$5:$A$162,J3137),4),
    MATCH(K$8,'Vehicle numbers'!$B$4:$D$4,0))*1000</f>
        <v>129610.99999999999</v>
      </c>
      <c r="L3137" s="183">
        <f ca="1">VLOOKUP(F3137,
    OFFSET(INDIRECT(ADDRESS(MATCH(J3137,'Vehicle numbers'!$A$5:$A$162,0),1,1,1,$L$6)),4,1,COUNTIF('Vehicle numbers'!$A$5:$A$162,J3137),4),
    MATCH(L$8,'Vehicle numbers'!$B$4:$D$4,0))*1000</f>
        <v>136507</v>
      </c>
      <c r="M3137" s="184">
        <f ca="1">VLOOKUP(F3137,'Annual distance covered (GB)'!$A$8:$H$33,MATCH(J3137,'Annual distance covered (GB)'!$A$7:$H$7,0))</f>
        <v>15.4</v>
      </c>
      <c r="N3137" s="2">
        <f t="shared" ca="1" si="110"/>
        <v>40289.956554003918</v>
      </c>
      <c r="O3137" s="180">
        <f t="shared" ca="1" si="111"/>
        <v>0.29514938101345661</v>
      </c>
      <c r="P3137" s="180"/>
      <c r="Q3137" s="180"/>
      <c r="R3137" s="180"/>
      <c r="S3137" s="180"/>
      <c r="T3137" s="180"/>
    </row>
    <row r="3138" spans="1:20" x14ac:dyDescent="0.25">
      <c r="A3138" t="s">
        <v>236</v>
      </c>
      <c r="B3138" t="s">
        <v>237</v>
      </c>
      <c r="C3138" t="s">
        <v>238</v>
      </c>
      <c r="D3138" t="s">
        <v>266</v>
      </c>
      <c r="E3138" t="s">
        <v>229</v>
      </c>
      <c r="F3138">
        <v>2018</v>
      </c>
      <c r="G3138">
        <v>2.7143E-2</v>
      </c>
      <c r="H3138" t="s">
        <v>240</v>
      </c>
      <c r="I3138" t="s">
        <v>241</v>
      </c>
      <c r="J3138" t="s">
        <v>247</v>
      </c>
      <c r="K3138" s="183">
        <f ca="1">VLOOKUP(F3138,
    OFFSET(INDIRECT(ADDRESS(MATCH(J3138,'Vehicle numbers'!$A$5:$A$162,0),1,1,1,$L$6)),4,1,COUNTIF('Vehicle numbers'!$A$5:$A$162,J3138),4),
    MATCH(K$8,'Vehicle numbers'!$B$4:$D$4,0))*1000</f>
        <v>129610.99999999999</v>
      </c>
      <c r="L3138" s="183">
        <f ca="1">VLOOKUP(F3138,
    OFFSET(INDIRECT(ADDRESS(MATCH(J3138,'Vehicle numbers'!$A$5:$A$162,0),1,1,1,$L$6)),4,1,COUNTIF('Vehicle numbers'!$A$5:$A$162,J3138),4),
    MATCH(L$8,'Vehicle numbers'!$B$4:$D$4,0))*1000</f>
        <v>136507</v>
      </c>
      <c r="M3138" s="184">
        <f ca="1">VLOOKUP(F3138,'Annual distance covered (GB)'!$A$8:$H$33,MATCH(J3138,'Annual distance covered (GB)'!$A$7:$H$7,0))</f>
        <v>15.4</v>
      </c>
      <c r="N3138" s="2">
        <f t="shared" ca="1" si="110"/>
        <v>440242.1578060505</v>
      </c>
      <c r="O3138" s="180">
        <f t="shared" ca="1" si="111"/>
        <v>3.2250518860281927</v>
      </c>
      <c r="P3138" s="180"/>
      <c r="Q3138" s="180"/>
      <c r="R3138" s="180"/>
      <c r="S3138" s="180"/>
      <c r="T3138" s="180"/>
    </row>
    <row r="3139" spans="1:20" x14ac:dyDescent="0.25">
      <c r="A3139" t="s">
        <v>243</v>
      </c>
      <c r="B3139" t="s">
        <v>237</v>
      </c>
      <c r="C3139" t="s">
        <v>238</v>
      </c>
      <c r="D3139" t="s">
        <v>266</v>
      </c>
      <c r="E3139" t="s">
        <v>229</v>
      </c>
      <c r="F3139">
        <v>2018</v>
      </c>
      <c r="G3139">
        <v>1.0857199999999999E-2</v>
      </c>
      <c r="H3139" t="s">
        <v>240</v>
      </c>
      <c r="I3139" t="s">
        <v>241</v>
      </c>
      <c r="J3139" t="s">
        <v>247</v>
      </c>
      <c r="K3139" s="183">
        <f ca="1">VLOOKUP(F3139,
    OFFSET(INDIRECT(ADDRESS(MATCH(J3139,'Vehicle numbers'!$A$5:$A$162,0),1,1,1,$L$6)),4,1,COUNTIF('Vehicle numbers'!$A$5:$A$162,J3139),4),
    MATCH(K$8,'Vehicle numbers'!$B$4:$D$4,0))*1000</f>
        <v>129610.99999999999</v>
      </c>
      <c r="L3139" s="183">
        <f ca="1">VLOOKUP(F3139,
    OFFSET(INDIRECT(ADDRESS(MATCH(J3139,'Vehicle numbers'!$A$5:$A$162,0),1,1,1,$L$6)),4,1,COUNTIF('Vehicle numbers'!$A$5:$A$162,J3139),4),
    MATCH(L$8,'Vehicle numbers'!$B$4:$D$4,0))*1000</f>
        <v>136507</v>
      </c>
      <c r="M3139" s="184">
        <f ca="1">VLOOKUP(F3139,'Annual distance covered (GB)'!$A$8:$H$33,MATCH(J3139,'Annual distance covered (GB)'!$A$7:$H$7,0))</f>
        <v>15.4</v>
      </c>
      <c r="N3139" s="2">
        <f t="shared" ca="1" si="110"/>
        <v>176096.86312242021</v>
      </c>
      <c r="O3139" s="180">
        <f t="shared" ca="1" si="111"/>
        <v>1.2900207544112772</v>
      </c>
      <c r="P3139" s="180"/>
      <c r="Q3139" s="180"/>
      <c r="R3139" s="180"/>
      <c r="S3139" s="180"/>
      <c r="T3139" s="180"/>
    </row>
    <row r="3140" spans="1:20" x14ac:dyDescent="0.25">
      <c r="A3140" t="s">
        <v>244</v>
      </c>
      <c r="B3140" t="s">
        <v>237</v>
      </c>
      <c r="C3140" t="s">
        <v>238</v>
      </c>
      <c r="D3140" t="s">
        <v>266</v>
      </c>
      <c r="E3140" t="s">
        <v>229</v>
      </c>
      <c r="F3140">
        <v>2018</v>
      </c>
      <c r="G3140">
        <v>2.7142999999999998E-3</v>
      </c>
      <c r="H3140" t="s">
        <v>240</v>
      </c>
      <c r="I3140" t="s">
        <v>241</v>
      </c>
      <c r="J3140" t="s">
        <v>247</v>
      </c>
      <c r="K3140" s="183">
        <f ca="1">VLOOKUP(F3140,
    OFFSET(INDIRECT(ADDRESS(MATCH(J3140,'Vehicle numbers'!$A$5:$A$162,0),1,1,1,$L$6)),4,1,COUNTIF('Vehicle numbers'!$A$5:$A$162,J3140),4),
    MATCH(K$8,'Vehicle numbers'!$B$4:$D$4,0))*1000</f>
        <v>129610.99999999999</v>
      </c>
      <c r="L3140" s="183">
        <f ca="1">VLOOKUP(F3140,
    OFFSET(INDIRECT(ADDRESS(MATCH(J3140,'Vehicle numbers'!$A$5:$A$162,0),1,1,1,$L$6)),4,1,COUNTIF('Vehicle numbers'!$A$5:$A$162,J3140),4),
    MATCH(L$8,'Vehicle numbers'!$B$4:$D$4,0))*1000</f>
        <v>136507</v>
      </c>
      <c r="M3140" s="184">
        <f ca="1">VLOOKUP(F3140,'Annual distance covered (GB)'!$A$8:$H$33,MATCH(J3140,'Annual distance covered (GB)'!$A$7:$H$7,0))</f>
        <v>15.4</v>
      </c>
      <c r="N3140" s="2">
        <f t="shared" ca="1" si="110"/>
        <v>44024.215780605053</v>
      </c>
      <c r="O3140" s="180">
        <f t="shared" ca="1" si="111"/>
        <v>0.32250518860281929</v>
      </c>
      <c r="P3140" s="180"/>
      <c r="Q3140" s="180"/>
      <c r="R3140" s="180"/>
      <c r="S3140" s="180"/>
      <c r="T3140" s="180"/>
    </row>
    <row r="3141" spans="1:20" x14ac:dyDescent="0.25">
      <c r="A3141" t="s">
        <v>246</v>
      </c>
      <c r="B3141" t="s">
        <v>237</v>
      </c>
      <c r="C3141" t="s">
        <v>238</v>
      </c>
      <c r="D3141" t="s">
        <v>266</v>
      </c>
      <c r="E3141" t="s">
        <v>229</v>
      </c>
      <c r="F3141">
        <v>2018</v>
      </c>
      <c r="G3141">
        <v>2.1714400000000002E-3</v>
      </c>
      <c r="H3141" t="s">
        <v>240</v>
      </c>
      <c r="I3141" t="s">
        <v>241</v>
      </c>
      <c r="J3141" t="s">
        <v>247</v>
      </c>
      <c r="K3141" s="183">
        <f ca="1">VLOOKUP(F3141,
    OFFSET(INDIRECT(ADDRESS(MATCH(J3141,'Vehicle numbers'!$A$5:$A$162,0),1,1,1,$L$6)),4,1,COUNTIF('Vehicle numbers'!$A$5:$A$162,J3141),4),
    MATCH(K$8,'Vehicle numbers'!$B$4:$D$4,0))*1000</f>
        <v>129610.99999999999</v>
      </c>
      <c r="L3141" s="183">
        <f ca="1">VLOOKUP(F3141,
    OFFSET(INDIRECT(ADDRESS(MATCH(J3141,'Vehicle numbers'!$A$5:$A$162,0),1,1,1,$L$6)),4,1,COUNTIF('Vehicle numbers'!$A$5:$A$162,J3141),4),
    MATCH(L$8,'Vehicle numbers'!$B$4:$D$4,0))*1000</f>
        <v>136507</v>
      </c>
      <c r="M3141" s="184">
        <f ca="1">VLOOKUP(F3141,'Annual distance covered (GB)'!$A$8:$H$33,MATCH(J3141,'Annual distance covered (GB)'!$A$7:$H$7,0))</f>
        <v>15.4</v>
      </c>
      <c r="N3141" s="2">
        <f t="shared" ca="1" si="110"/>
        <v>35219.372624484036</v>
      </c>
      <c r="O3141" s="180">
        <f t="shared" ca="1" si="111"/>
        <v>0.25800415088225537</v>
      </c>
      <c r="P3141" s="180"/>
      <c r="Q3141" s="180"/>
      <c r="R3141" s="180"/>
      <c r="S3141" s="180"/>
      <c r="T3141" s="180"/>
    </row>
    <row r="3142" spans="1:20" x14ac:dyDescent="0.25">
      <c r="A3142" t="s">
        <v>236</v>
      </c>
      <c r="B3142" t="s">
        <v>237</v>
      </c>
      <c r="C3142" t="s">
        <v>238</v>
      </c>
      <c r="D3142" t="s">
        <v>266</v>
      </c>
      <c r="E3142" t="s">
        <v>228</v>
      </c>
      <c r="F3142">
        <v>2018</v>
      </c>
      <c r="G3142">
        <v>3.8239919999999997E-2</v>
      </c>
      <c r="H3142" t="s">
        <v>240</v>
      </c>
      <c r="I3142" t="s">
        <v>241</v>
      </c>
      <c r="J3142" t="s">
        <v>247</v>
      </c>
      <c r="K3142" s="183">
        <f ca="1">VLOOKUP(F3142,
    OFFSET(INDIRECT(ADDRESS(MATCH(J3142,'Vehicle numbers'!$A$5:$A$162,0),1,1,1,$L$6)),4,1,COUNTIF('Vehicle numbers'!$A$5:$A$162,J3142),4),
    MATCH(K$8,'Vehicle numbers'!$B$4:$D$4,0))*1000</f>
        <v>129610.99999999999</v>
      </c>
      <c r="L3142" s="183">
        <f ca="1">VLOOKUP(F3142,
    OFFSET(INDIRECT(ADDRESS(MATCH(J3142,'Vehicle numbers'!$A$5:$A$162,0),1,1,1,$L$6)),4,1,COUNTIF('Vehicle numbers'!$A$5:$A$162,J3142),4),
    MATCH(L$8,'Vehicle numbers'!$B$4:$D$4,0))*1000</f>
        <v>136507</v>
      </c>
      <c r="M3142" s="184">
        <f ca="1">VLOOKUP(F3142,'Annual distance covered (GB)'!$A$8:$H$33,MATCH(J3142,'Annual distance covered (GB)'!$A$7:$H$7,0))</f>
        <v>15.4</v>
      </c>
      <c r="N3142" s="2">
        <f t="shared" ca="1" si="110"/>
        <v>620227.12651994044</v>
      </c>
      <c r="O3142" s="180">
        <f t="shared" ca="1" si="111"/>
        <v>4.5435554698289495</v>
      </c>
      <c r="P3142" s="180"/>
      <c r="Q3142" s="180"/>
      <c r="R3142" s="180"/>
      <c r="S3142" s="180"/>
      <c r="T3142" s="180"/>
    </row>
    <row r="3143" spans="1:20" x14ac:dyDescent="0.25">
      <c r="A3143" t="s">
        <v>243</v>
      </c>
      <c r="B3143" t="s">
        <v>237</v>
      </c>
      <c r="C3143" t="s">
        <v>238</v>
      </c>
      <c r="D3143" t="s">
        <v>266</v>
      </c>
      <c r="E3143" t="s">
        <v>228</v>
      </c>
      <c r="F3143">
        <v>2018</v>
      </c>
      <c r="G3143">
        <v>2.6767943999999998E-2</v>
      </c>
      <c r="H3143" t="s">
        <v>240</v>
      </c>
      <c r="I3143" t="s">
        <v>241</v>
      </c>
      <c r="J3143" t="s">
        <v>247</v>
      </c>
      <c r="K3143" s="183">
        <f ca="1">VLOOKUP(F3143,
    OFFSET(INDIRECT(ADDRESS(MATCH(J3143,'Vehicle numbers'!$A$5:$A$162,0),1,1,1,$L$6)),4,1,COUNTIF('Vehicle numbers'!$A$5:$A$162,J3143),4),
    MATCH(K$8,'Vehicle numbers'!$B$4:$D$4,0))*1000</f>
        <v>129610.99999999999</v>
      </c>
      <c r="L3143" s="183">
        <f ca="1">VLOOKUP(F3143,
    OFFSET(INDIRECT(ADDRESS(MATCH(J3143,'Vehicle numbers'!$A$5:$A$162,0),1,1,1,$L$6)),4,1,COUNTIF('Vehicle numbers'!$A$5:$A$162,J3143),4),
    MATCH(L$8,'Vehicle numbers'!$B$4:$D$4,0))*1000</f>
        <v>136507</v>
      </c>
      <c r="M3143" s="184">
        <f ca="1">VLOOKUP(F3143,'Annual distance covered (GB)'!$A$8:$H$33,MATCH(J3143,'Annual distance covered (GB)'!$A$7:$H$7,0))</f>
        <v>15.4</v>
      </c>
      <c r="N3143" s="2">
        <f t="shared" ca="1" si="110"/>
        <v>434158.98856395838</v>
      </c>
      <c r="O3143" s="180">
        <f t="shared" ca="1" si="111"/>
        <v>3.1804888288802653</v>
      </c>
      <c r="P3143" s="180"/>
      <c r="Q3143" s="180"/>
      <c r="R3143" s="180"/>
      <c r="S3143" s="180"/>
      <c r="T3143" s="180"/>
    </row>
    <row r="3144" spans="1:20" x14ac:dyDescent="0.25">
      <c r="A3144" t="s">
        <v>244</v>
      </c>
      <c r="B3144" t="s">
        <v>237</v>
      </c>
      <c r="C3144" t="s">
        <v>238</v>
      </c>
      <c r="D3144" t="s">
        <v>266</v>
      </c>
      <c r="E3144" t="s">
        <v>228</v>
      </c>
      <c r="F3144">
        <v>2018</v>
      </c>
      <c r="G3144">
        <v>3.7701329577464701E-3</v>
      </c>
      <c r="H3144" t="s">
        <v>240</v>
      </c>
      <c r="I3144" t="s">
        <v>241</v>
      </c>
      <c r="J3144" t="s">
        <v>247</v>
      </c>
      <c r="K3144" s="183">
        <f ca="1">VLOOKUP(F3144,
    OFFSET(INDIRECT(ADDRESS(MATCH(J3144,'Vehicle numbers'!$A$5:$A$162,0),1,1,1,$L$6)),4,1,COUNTIF('Vehicle numbers'!$A$5:$A$162,J3144),4),
    MATCH(K$8,'Vehicle numbers'!$B$4:$D$4,0))*1000</f>
        <v>129610.99999999999</v>
      </c>
      <c r="L3144" s="183">
        <f ca="1">VLOOKUP(F3144,
    OFFSET(INDIRECT(ADDRESS(MATCH(J3144,'Vehicle numbers'!$A$5:$A$162,0),1,1,1,$L$6)),4,1,COUNTIF('Vehicle numbers'!$A$5:$A$162,J3144),4),
    MATCH(L$8,'Vehicle numbers'!$B$4:$D$4,0))*1000</f>
        <v>136507</v>
      </c>
      <c r="M3144" s="184">
        <f ca="1">VLOOKUP(F3144,'Annual distance covered (GB)'!$A$8:$H$33,MATCH(J3144,'Annual distance covered (GB)'!$A$7:$H$7,0))</f>
        <v>15.4</v>
      </c>
      <c r="N3144" s="2">
        <f t="shared" ca="1" si="110"/>
        <v>61149.15331886724</v>
      </c>
      <c r="O3144" s="180">
        <f t="shared" ca="1" si="111"/>
        <v>0.44795617308172653</v>
      </c>
      <c r="P3144" s="180"/>
      <c r="Q3144" s="180"/>
      <c r="R3144" s="180"/>
      <c r="S3144" s="180"/>
      <c r="T3144" s="180"/>
    </row>
    <row r="3145" spans="1:20" x14ac:dyDescent="0.25">
      <c r="A3145" t="s">
        <v>246</v>
      </c>
      <c r="B3145" t="s">
        <v>237</v>
      </c>
      <c r="C3145" t="s">
        <v>238</v>
      </c>
      <c r="D3145" t="s">
        <v>266</v>
      </c>
      <c r="E3145" t="s">
        <v>228</v>
      </c>
      <c r="F3145">
        <v>2018</v>
      </c>
      <c r="G3145">
        <v>3.01610636619718E-3</v>
      </c>
      <c r="H3145" t="s">
        <v>240</v>
      </c>
      <c r="I3145" t="s">
        <v>241</v>
      </c>
      <c r="J3145" t="s">
        <v>247</v>
      </c>
      <c r="K3145" s="183">
        <f ca="1">VLOOKUP(F3145,
    OFFSET(INDIRECT(ADDRESS(MATCH(J3145,'Vehicle numbers'!$A$5:$A$162,0),1,1,1,$L$6)),4,1,COUNTIF('Vehicle numbers'!$A$5:$A$162,J3145),4),
    MATCH(K$8,'Vehicle numbers'!$B$4:$D$4,0))*1000</f>
        <v>129610.99999999999</v>
      </c>
      <c r="L3145" s="183">
        <f ca="1">VLOOKUP(F3145,
    OFFSET(INDIRECT(ADDRESS(MATCH(J3145,'Vehicle numbers'!$A$5:$A$162,0),1,1,1,$L$6)),4,1,COUNTIF('Vehicle numbers'!$A$5:$A$162,J3145),4),
    MATCH(L$8,'Vehicle numbers'!$B$4:$D$4,0))*1000</f>
        <v>136507</v>
      </c>
      <c r="M3145" s="184">
        <f ca="1">VLOOKUP(F3145,'Annual distance covered (GB)'!$A$8:$H$33,MATCH(J3145,'Annual distance covered (GB)'!$A$7:$H$7,0))</f>
        <v>15.4</v>
      </c>
      <c r="N3145" s="2">
        <f t="shared" ca="1" si="110"/>
        <v>48919.322655093849</v>
      </c>
      <c r="O3145" s="180">
        <f t="shared" ca="1" si="111"/>
        <v>0.35836493846538164</v>
      </c>
      <c r="P3145" s="180"/>
      <c r="Q3145" s="180"/>
      <c r="R3145" s="180"/>
      <c r="S3145" s="180"/>
      <c r="T3145" s="180"/>
    </row>
    <row r="3146" spans="1:20" x14ac:dyDescent="0.25">
      <c r="A3146" t="s">
        <v>236</v>
      </c>
      <c r="B3146" t="s">
        <v>237</v>
      </c>
      <c r="C3146" t="s">
        <v>238</v>
      </c>
      <c r="D3146" t="s">
        <v>267</v>
      </c>
      <c r="E3146" t="s">
        <v>229</v>
      </c>
      <c r="F3146">
        <v>2018</v>
      </c>
      <c r="G3146">
        <v>5.0994999999999999E-2</v>
      </c>
      <c r="H3146" t="s">
        <v>240</v>
      </c>
      <c r="I3146" t="s">
        <v>241</v>
      </c>
      <c r="J3146" t="s">
        <v>247</v>
      </c>
      <c r="K3146" s="183">
        <f ca="1">VLOOKUP(F3146,
    OFFSET(INDIRECT(ADDRESS(MATCH(J3146,'Vehicle numbers'!$A$5:$A$162,0),1,1,1,$L$6)),4,1,COUNTIF('Vehicle numbers'!$A$5:$A$162,J3146),4),
    MATCH(K$8,'Vehicle numbers'!$B$4:$D$4,0))*1000</f>
        <v>129610.99999999999</v>
      </c>
      <c r="L3146" s="183">
        <f ca="1">VLOOKUP(F3146,
    OFFSET(INDIRECT(ADDRESS(MATCH(J3146,'Vehicle numbers'!$A$5:$A$162,0),1,1,1,$L$6)),4,1,COUNTIF('Vehicle numbers'!$A$5:$A$162,J3146),4),
    MATCH(L$8,'Vehicle numbers'!$B$4:$D$4,0))*1000</f>
        <v>136507</v>
      </c>
      <c r="M3146" s="184">
        <f ca="1">VLOOKUP(F3146,'Annual distance covered (GB)'!$A$8:$H$33,MATCH(J3146,'Annual distance covered (GB)'!$A$7:$H$7,0))</f>
        <v>15.4</v>
      </c>
      <c r="N3146" s="2">
        <f t="shared" ca="1" si="110"/>
        <v>827106.39344654407</v>
      </c>
      <c r="O3146" s="180">
        <f t="shared" ca="1" si="111"/>
        <v>6.0590767758909365</v>
      </c>
      <c r="P3146" s="180"/>
      <c r="Q3146" s="180"/>
      <c r="R3146" s="180"/>
      <c r="S3146" s="180"/>
      <c r="T3146" s="180"/>
    </row>
    <row r="3147" spans="1:20" x14ac:dyDescent="0.25">
      <c r="A3147" t="s">
        <v>243</v>
      </c>
      <c r="B3147" t="s">
        <v>237</v>
      </c>
      <c r="C3147" t="s">
        <v>238</v>
      </c>
      <c r="D3147" t="s">
        <v>267</v>
      </c>
      <c r="E3147" t="s">
        <v>229</v>
      </c>
      <c r="F3147">
        <v>2018</v>
      </c>
      <c r="G3147">
        <v>2.0397999999999999E-2</v>
      </c>
      <c r="H3147" t="s">
        <v>240</v>
      </c>
      <c r="I3147" t="s">
        <v>241</v>
      </c>
      <c r="J3147" t="s">
        <v>247</v>
      </c>
      <c r="K3147" s="183">
        <f ca="1">VLOOKUP(F3147,
    OFFSET(INDIRECT(ADDRESS(MATCH(J3147,'Vehicle numbers'!$A$5:$A$162,0),1,1,1,$L$6)),4,1,COUNTIF('Vehicle numbers'!$A$5:$A$162,J3147),4),
    MATCH(K$8,'Vehicle numbers'!$B$4:$D$4,0))*1000</f>
        <v>129610.99999999999</v>
      </c>
      <c r="L3147" s="183">
        <f ca="1">VLOOKUP(F3147,
    OFFSET(INDIRECT(ADDRESS(MATCH(J3147,'Vehicle numbers'!$A$5:$A$162,0),1,1,1,$L$6)),4,1,COUNTIF('Vehicle numbers'!$A$5:$A$162,J3147),4),
    MATCH(L$8,'Vehicle numbers'!$B$4:$D$4,0))*1000</f>
        <v>136507</v>
      </c>
      <c r="M3147" s="184">
        <f ca="1">VLOOKUP(F3147,'Annual distance covered (GB)'!$A$8:$H$33,MATCH(J3147,'Annual distance covered (GB)'!$A$7:$H$7,0))</f>
        <v>15.4</v>
      </c>
      <c r="N3147" s="2">
        <f t="shared" ref="N3147:N3210" ca="1" si="112">M3147*G3147*1000000*(L3147/K3147)</f>
        <v>330842.55737861764</v>
      </c>
      <c r="O3147" s="180">
        <f t="shared" ref="O3147:O3210" ca="1" si="113">N3147/L3147</f>
        <v>2.4236307103563748</v>
      </c>
      <c r="P3147" s="180"/>
      <c r="Q3147" s="180"/>
      <c r="R3147" s="180"/>
      <c r="S3147" s="180"/>
      <c r="T3147" s="180"/>
    </row>
    <row r="3148" spans="1:20" x14ac:dyDescent="0.25">
      <c r="A3148" t="s">
        <v>244</v>
      </c>
      <c r="B3148" t="s">
        <v>237</v>
      </c>
      <c r="C3148" t="s">
        <v>238</v>
      </c>
      <c r="D3148" t="s">
        <v>267</v>
      </c>
      <c r="E3148" t="s">
        <v>229</v>
      </c>
      <c r="F3148">
        <v>2018</v>
      </c>
      <c r="G3148">
        <v>5.0994999999999999E-3</v>
      </c>
      <c r="H3148" t="s">
        <v>240</v>
      </c>
      <c r="I3148" t="s">
        <v>241</v>
      </c>
      <c r="J3148" t="s">
        <v>247</v>
      </c>
      <c r="K3148" s="183">
        <f ca="1">VLOOKUP(F3148,
    OFFSET(INDIRECT(ADDRESS(MATCH(J3148,'Vehicle numbers'!$A$5:$A$162,0),1,1,1,$L$6)),4,1,COUNTIF('Vehicle numbers'!$A$5:$A$162,J3148),4),
    MATCH(K$8,'Vehicle numbers'!$B$4:$D$4,0))*1000</f>
        <v>129610.99999999999</v>
      </c>
      <c r="L3148" s="183">
        <f ca="1">VLOOKUP(F3148,
    OFFSET(INDIRECT(ADDRESS(MATCH(J3148,'Vehicle numbers'!$A$5:$A$162,0),1,1,1,$L$6)),4,1,COUNTIF('Vehicle numbers'!$A$5:$A$162,J3148),4),
    MATCH(L$8,'Vehicle numbers'!$B$4:$D$4,0))*1000</f>
        <v>136507</v>
      </c>
      <c r="M3148" s="184">
        <f ca="1">VLOOKUP(F3148,'Annual distance covered (GB)'!$A$8:$H$33,MATCH(J3148,'Annual distance covered (GB)'!$A$7:$H$7,0))</f>
        <v>15.4</v>
      </c>
      <c r="N3148" s="2">
        <f t="shared" ca="1" si="112"/>
        <v>82710.63934465441</v>
      </c>
      <c r="O3148" s="180">
        <f t="shared" ca="1" si="113"/>
        <v>0.6059076775890937</v>
      </c>
      <c r="P3148" s="180"/>
      <c r="Q3148" s="180"/>
      <c r="R3148" s="180"/>
      <c r="S3148" s="180"/>
      <c r="T3148" s="180"/>
    </row>
    <row r="3149" spans="1:20" x14ac:dyDescent="0.25">
      <c r="A3149" t="s">
        <v>246</v>
      </c>
      <c r="B3149" t="s">
        <v>237</v>
      </c>
      <c r="C3149" t="s">
        <v>238</v>
      </c>
      <c r="D3149" t="s">
        <v>267</v>
      </c>
      <c r="E3149" t="s">
        <v>229</v>
      </c>
      <c r="F3149">
        <v>2018</v>
      </c>
      <c r="G3149">
        <v>4.0796000000000001E-3</v>
      </c>
      <c r="H3149" t="s">
        <v>240</v>
      </c>
      <c r="I3149" t="s">
        <v>241</v>
      </c>
      <c r="J3149" t="s">
        <v>247</v>
      </c>
      <c r="K3149" s="183">
        <f ca="1">VLOOKUP(F3149,
    OFFSET(INDIRECT(ADDRESS(MATCH(J3149,'Vehicle numbers'!$A$5:$A$162,0),1,1,1,$L$6)),4,1,COUNTIF('Vehicle numbers'!$A$5:$A$162,J3149),4),
    MATCH(K$8,'Vehicle numbers'!$B$4:$D$4,0))*1000</f>
        <v>129610.99999999999</v>
      </c>
      <c r="L3149" s="183">
        <f ca="1">VLOOKUP(F3149,
    OFFSET(INDIRECT(ADDRESS(MATCH(J3149,'Vehicle numbers'!$A$5:$A$162,0),1,1,1,$L$6)),4,1,COUNTIF('Vehicle numbers'!$A$5:$A$162,J3149),4),
    MATCH(L$8,'Vehicle numbers'!$B$4:$D$4,0))*1000</f>
        <v>136507</v>
      </c>
      <c r="M3149" s="184">
        <f ca="1">VLOOKUP(F3149,'Annual distance covered (GB)'!$A$8:$H$33,MATCH(J3149,'Annual distance covered (GB)'!$A$7:$H$7,0))</f>
        <v>15.4</v>
      </c>
      <c r="N3149" s="2">
        <f t="shared" ca="1" si="112"/>
        <v>66168.511475723542</v>
      </c>
      <c r="O3149" s="180">
        <f t="shared" ca="1" si="113"/>
        <v>0.48472614207127507</v>
      </c>
      <c r="P3149" s="180"/>
      <c r="Q3149" s="180"/>
      <c r="R3149" s="180"/>
      <c r="S3149" s="180"/>
      <c r="T3149" s="180"/>
    </row>
    <row r="3150" spans="1:20" x14ac:dyDescent="0.25">
      <c r="A3150" t="s">
        <v>236</v>
      </c>
      <c r="B3150" t="s">
        <v>237</v>
      </c>
      <c r="C3150" t="s">
        <v>238</v>
      </c>
      <c r="D3150" t="s">
        <v>267</v>
      </c>
      <c r="E3150" t="s">
        <v>228</v>
      </c>
      <c r="F3150">
        <v>2018</v>
      </c>
      <c r="G3150">
        <v>4.7072879999999998E-2</v>
      </c>
      <c r="H3150" t="s">
        <v>240</v>
      </c>
      <c r="I3150" t="s">
        <v>241</v>
      </c>
      <c r="J3150" t="s">
        <v>247</v>
      </c>
      <c r="K3150" s="183">
        <f ca="1">VLOOKUP(F3150,
    OFFSET(INDIRECT(ADDRESS(MATCH(J3150,'Vehicle numbers'!$A$5:$A$162,0),1,1,1,$L$6)),4,1,COUNTIF('Vehicle numbers'!$A$5:$A$162,J3150),4),
    MATCH(K$8,'Vehicle numbers'!$B$4:$D$4,0))*1000</f>
        <v>129610.99999999999</v>
      </c>
      <c r="L3150" s="183">
        <f ca="1">VLOOKUP(F3150,
    OFFSET(INDIRECT(ADDRESS(MATCH(J3150,'Vehicle numbers'!$A$5:$A$162,0),1,1,1,$L$6)),4,1,COUNTIF('Vehicle numbers'!$A$5:$A$162,J3150),4),
    MATCH(L$8,'Vehicle numbers'!$B$4:$D$4,0))*1000</f>
        <v>136507</v>
      </c>
      <c r="M3150" s="184">
        <f ca="1">VLOOKUP(F3150,'Annual distance covered (GB)'!$A$8:$H$33,MATCH(J3150,'Annual distance covered (GB)'!$A$7:$H$7,0))</f>
        <v>15.4</v>
      </c>
      <c r="N3150" s="2">
        <f t="shared" ca="1" si="112"/>
        <v>763492.10718584084</v>
      </c>
      <c r="O3150" s="180">
        <f t="shared" ca="1" si="113"/>
        <v>5.5930619469026555</v>
      </c>
      <c r="P3150" s="180"/>
      <c r="Q3150" s="180"/>
      <c r="R3150" s="180"/>
      <c r="S3150" s="180"/>
      <c r="T3150" s="180"/>
    </row>
    <row r="3151" spans="1:20" x14ac:dyDescent="0.25">
      <c r="A3151" t="s">
        <v>243</v>
      </c>
      <c r="B3151" t="s">
        <v>237</v>
      </c>
      <c r="C3151" t="s">
        <v>238</v>
      </c>
      <c r="D3151" t="s">
        <v>267</v>
      </c>
      <c r="E3151" t="s">
        <v>228</v>
      </c>
      <c r="F3151">
        <v>2018</v>
      </c>
      <c r="G3151">
        <v>3.2951016E-2</v>
      </c>
      <c r="H3151" t="s">
        <v>240</v>
      </c>
      <c r="I3151" t="s">
        <v>241</v>
      </c>
      <c r="J3151" t="s">
        <v>247</v>
      </c>
      <c r="K3151" s="183">
        <f ca="1">VLOOKUP(F3151,
    OFFSET(INDIRECT(ADDRESS(MATCH(J3151,'Vehicle numbers'!$A$5:$A$162,0),1,1,1,$L$6)),4,1,COUNTIF('Vehicle numbers'!$A$5:$A$162,J3151),4),
    MATCH(K$8,'Vehicle numbers'!$B$4:$D$4,0))*1000</f>
        <v>129610.99999999999</v>
      </c>
      <c r="L3151" s="183">
        <f ca="1">VLOOKUP(F3151,
    OFFSET(INDIRECT(ADDRESS(MATCH(J3151,'Vehicle numbers'!$A$5:$A$162,0),1,1,1,$L$6)),4,1,COUNTIF('Vehicle numbers'!$A$5:$A$162,J3151),4),
    MATCH(L$8,'Vehicle numbers'!$B$4:$D$4,0))*1000</f>
        <v>136507</v>
      </c>
      <c r="M3151" s="184">
        <f ca="1">VLOOKUP(F3151,'Annual distance covered (GB)'!$A$8:$H$33,MATCH(J3151,'Annual distance covered (GB)'!$A$7:$H$7,0))</f>
        <v>15.4</v>
      </c>
      <c r="N3151" s="2">
        <f t="shared" ca="1" si="112"/>
        <v>534444.47503008868</v>
      </c>
      <c r="O3151" s="180">
        <f t="shared" ca="1" si="113"/>
        <v>3.9151433628318597</v>
      </c>
      <c r="P3151" s="180"/>
      <c r="Q3151" s="180"/>
      <c r="R3151" s="180"/>
      <c r="S3151" s="180"/>
      <c r="T3151" s="180"/>
    </row>
    <row r="3152" spans="1:20" x14ac:dyDescent="0.25">
      <c r="A3152" t="s">
        <v>244</v>
      </c>
      <c r="B3152" t="s">
        <v>237</v>
      </c>
      <c r="C3152" t="s">
        <v>238</v>
      </c>
      <c r="D3152" t="s">
        <v>267</v>
      </c>
      <c r="E3152" t="s">
        <v>228</v>
      </c>
      <c r="F3152">
        <v>2018</v>
      </c>
      <c r="G3152">
        <v>4.64098816901408E-3</v>
      </c>
      <c r="H3152" t="s">
        <v>240</v>
      </c>
      <c r="I3152" t="s">
        <v>241</v>
      </c>
      <c r="J3152" t="s">
        <v>247</v>
      </c>
      <c r="K3152" s="183">
        <f ca="1">VLOOKUP(F3152,
    OFFSET(INDIRECT(ADDRESS(MATCH(J3152,'Vehicle numbers'!$A$5:$A$162,0),1,1,1,$L$6)),4,1,COUNTIF('Vehicle numbers'!$A$5:$A$162,J3152),4),
    MATCH(K$8,'Vehicle numbers'!$B$4:$D$4,0))*1000</f>
        <v>129610.99999999999</v>
      </c>
      <c r="L3152" s="183">
        <f ca="1">VLOOKUP(F3152,
    OFFSET(INDIRECT(ADDRESS(MATCH(J3152,'Vehicle numbers'!$A$5:$A$162,0),1,1,1,$L$6)),4,1,COUNTIF('Vehicle numbers'!$A$5:$A$162,J3152),4),
    MATCH(L$8,'Vehicle numbers'!$B$4:$D$4,0))*1000</f>
        <v>136507</v>
      </c>
      <c r="M3152" s="184">
        <f ca="1">VLOOKUP(F3152,'Annual distance covered (GB)'!$A$8:$H$33,MATCH(J3152,'Annual distance covered (GB)'!$A$7:$H$7,0))</f>
        <v>15.4</v>
      </c>
      <c r="N3152" s="2">
        <f t="shared" ca="1" si="112"/>
        <v>75273.869722547606</v>
      </c>
      <c r="O3152" s="180">
        <f t="shared" ca="1" si="113"/>
        <v>0.5514286426523739</v>
      </c>
      <c r="P3152" s="180"/>
      <c r="Q3152" s="180"/>
      <c r="R3152" s="180"/>
      <c r="S3152" s="180"/>
      <c r="T3152" s="180"/>
    </row>
    <row r="3153" spans="1:20" x14ac:dyDescent="0.25">
      <c r="A3153" t="s">
        <v>246</v>
      </c>
      <c r="B3153" t="s">
        <v>237</v>
      </c>
      <c r="C3153" t="s">
        <v>238</v>
      </c>
      <c r="D3153" t="s">
        <v>267</v>
      </c>
      <c r="E3153" t="s">
        <v>228</v>
      </c>
      <c r="F3153">
        <v>2018</v>
      </c>
      <c r="G3153">
        <v>3.71279053521126E-3</v>
      </c>
      <c r="H3153" t="s">
        <v>240</v>
      </c>
      <c r="I3153" t="s">
        <v>241</v>
      </c>
      <c r="J3153" t="s">
        <v>247</v>
      </c>
      <c r="K3153" s="183">
        <f ca="1">VLOOKUP(F3153,
    OFFSET(INDIRECT(ADDRESS(MATCH(J3153,'Vehicle numbers'!$A$5:$A$162,0),1,1,1,$L$6)),4,1,COUNTIF('Vehicle numbers'!$A$5:$A$162,J3153),4),
    MATCH(K$8,'Vehicle numbers'!$B$4:$D$4,0))*1000</f>
        <v>129610.99999999999</v>
      </c>
      <c r="L3153" s="183">
        <f ca="1">VLOOKUP(F3153,
    OFFSET(INDIRECT(ADDRESS(MATCH(J3153,'Vehicle numbers'!$A$5:$A$162,0),1,1,1,$L$6)),4,1,COUNTIF('Vehicle numbers'!$A$5:$A$162,J3153),4),
    MATCH(L$8,'Vehicle numbers'!$B$4:$D$4,0))*1000</f>
        <v>136507</v>
      </c>
      <c r="M3153" s="184">
        <f ca="1">VLOOKUP(F3153,'Annual distance covered (GB)'!$A$8:$H$33,MATCH(J3153,'Annual distance covered (GB)'!$A$7:$H$7,0))</f>
        <v>15.4</v>
      </c>
      <c r="N3153" s="2">
        <f t="shared" ca="1" si="112"/>
        <v>60219.095778038027</v>
      </c>
      <c r="O3153" s="180">
        <f t="shared" ca="1" si="113"/>
        <v>0.44114291412189871</v>
      </c>
      <c r="P3153" s="180"/>
      <c r="Q3153" s="180"/>
      <c r="R3153" s="180"/>
      <c r="S3153" s="180"/>
      <c r="T3153" s="180"/>
    </row>
    <row r="3154" spans="1:20" x14ac:dyDescent="0.25">
      <c r="A3154" t="s">
        <v>236</v>
      </c>
      <c r="B3154" t="s">
        <v>237</v>
      </c>
      <c r="C3154" t="s">
        <v>238</v>
      </c>
      <c r="D3154" t="s">
        <v>268</v>
      </c>
      <c r="E3154" t="s">
        <v>229</v>
      </c>
      <c r="F3154">
        <v>2018</v>
      </c>
      <c r="G3154">
        <v>8.4410000000000093E-3</v>
      </c>
      <c r="H3154" t="s">
        <v>240</v>
      </c>
      <c r="I3154" t="s">
        <v>241</v>
      </c>
      <c r="J3154" t="s">
        <v>245</v>
      </c>
      <c r="K3154" s="183">
        <f ca="1">VLOOKUP(F3154,
    OFFSET(INDIRECT(ADDRESS(MATCH(J3154,'Vehicle numbers'!$A$5:$A$162,0),1,1,1,$L$6)),4,1,COUNTIF('Vehicle numbers'!$A$5:$A$162,J3154),4),
    MATCH(K$8,'Vehicle numbers'!$B$4:$D$4,0))*1000</f>
        <v>276866</v>
      </c>
      <c r="L3154" s="183">
        <f ca="1">VLOOKUP(F3154,
    OFFSET(INDIRECT(ADDRESS(MATCH(J3154,'Vehicle numbers'!$A$5:$A$162,0),1,1,1,$L$6)),4,1,COUNTIF('Vehicle numbers'!$A$5:$A$162,J3154),4),
    MATCH(L$8,'Vehicle numbers'!$B$4:$D$4,0))*1000</f>
        <v>290995</v>
      </c>
      <c r="M3154" s="184">
        <f ca="1">VLOOKUP(F3154,'Annual distance covered (GB)'!$A$8:$H$33,MATCH(J3154,'Annual distance covered (GB)'!$A$7:$H$7,0))</f>
        <v>12.5</v>
      </c>
      <c r="N3154" s="2">
        <f t="shared" ca="1" si="112"/>
        <v>110897.00410126211</v>
      </c>
      <c r="O3154" s="180">
        <f t="shared" ca="1" si="113"/>
        <v>0.38109590921239922</v>
      </c>
      <c r="P3154" s="180"/>
      <c r="Q3154" s="180"/>
      <c r="R3154" s="180"/>
      <c r="S3154" s="180"/>
      <c r="T3154" s="180"/>
    </row>
    <row r="3155" spans="1:20" x14ac:dyDescent="0.25">
      <c r="A3155" t="s">
        <v>243</v>
      </c>
      <c r="B3155" t="s">
        <v>237</v>
      </c>
      <c r="C3155" t="s">
        <v>238</v>
      </c>
      <c r="D3155" t="s">
        <v>268</v>
      </c>
      <c r="E3155" t="s">
        <v>229</v>
      </c>
      <c r="F3155">
        <v>2018</v>
      </c>
      <c r="G3155">
        <v>3.3763999999999999E-3</v>
      </c>
      <c r="H3155" t="s">
        <v>240</v>
      </c>
      <c r="I3155" t="s">
        <v>241</v>
      </c>
      <c r="J3155" t="s">
        <v>245</v>
      </c>
      <c r="K3155" s="183">
        <f ca="1">VLOOKUP(F3155,
    OFFSET(INDIRECT(ADDRESS(MATCH(J3155,'Vehicle numbers'!$A$5:$A$162,0),1,1,1,$L$6)),4,1,COUNTIF('Vehicle numbers'!$A$5:$A$162,J3155),4),
    MATCH(K$8,'Vehicle numbers'!$B$4:$D$4,0))*1000</f>
        <v>276866</v>
      </c>
      <c r="L3155" s="183">
        <f ca="1">VLOOKUP(F3155,
    OFFSET(INDIRECT(ADDRESS(MATCH(J3155,'Vehicle numbers'!$A$5:$A$162,0),1,1,1,$L$6)),4,1,COUNTIF('Vehicle numbers'!$A$5:$A$162,J3155),4),
    MATCH(L$8,'Vehicle numbers'!$B$4:$D$4,0))*1000</f>
        <v>290995</v>
      </c>
      <c r="M3155" s="184">
        <f ca="1">VLOOKUP(F3155,'Annual distance covered (GB)'!$A$8:$H$33,MATCH(J3155,'Annual distance covered (GB)'!$A$7:$H$7,0))</f>
        <v>12.5</v>
      </c>
      <c r="N3155" s="2">
        <f t="shared" ca="1" si="112"/>
        <v>44358.801640504797</v>
      </c>
      <c r="O3155" s="180">
        <f t="shared" ca="1" si="113"/>
        <v>0.15243836368495953</v>
      </c>
      <c r="P3155" s="180"/>
      <c r="Q3155" s="180"/>
      <c r="R3155" s="180"/>
      <c r="S3155" s="180"/>
      <c r="T3155" s="180"/>
    </row>
    <row r="3156" spans="1:20" x14ac:dyDescent="0.25">
      <c r="A3156" t="s">
        <v>244</v>
      </c>
      <c r="B3156" t="s">
        <v>237</v>
      </c>
      <c r="C3156" t="s">
        <v>238</v>
      </c>
      <c r="D3156" t="s">
        <v>268</v>
      </c>
      <c r="E3156" t="s">
        <v>229</v>
      </c>
      <c r="F3156">
        <v>2018</v>
      </c>
      <c r="G3156">
        <v>8.4409999999999997E-4</v>
      </c>
      <c r="H3156" t="s">
        <v>240</v>
      </c>
      <c r="I3156" t="s">
        <v>241</v>
      </c>
      <c r="J3156" t="s">
        <v>245</v>
      </c>
      <c r="K3156" s="183">
        <f ca="1">VLOOKUP(F3156,
    OFFSET(INDIRECT(ADDRESS(MATCH(J3156,'Vehicle numbers'!$A$5:$A$162,0),1,1,1,$L$6)),4,1,COUNTIF('Vehicle numbers'!$A$5:$A$162,J3156),4),
    MATCH(K$8,'Vehicle numbers'!$B$4:$D$4,0))*1000</f>
        <v>276866</v>
      </c>
      <c r="L3156" s="183">
        <f ca="1">VLOOKUP(F3156,
    OFFSET(INDIRECT(ADDRESS(MATCH(J3156,'Vehicle numbers'!$A$5:$A$162,0),1,1,1,$L$6)),4,1,COUNTIF('Vehicle numbers'!$A$5:$A$162,J3156),4),
    MATCH(L$8,'Vehicle numbers'!$B$4:$D$4,0))*1000</f>
        <v>290995</v>
      </c>
      <c r="M3156" s="184">
        <f ca="1">VLOOKUP(F3156,'Annual distance covered (GB)'!$A$8:$H$33,MATCH(J3156,'Annual distance covered (GB)'!$A$7:$H$7,0))</f>
        <v>12.5</v>
      </c>
      <c r="N3156" s="2">
        <f t="shared" ca="1" si="112"/>
        <v>11089.700410126199</v>
      </c>
      <c r="O3156" s="180">
        <f t="shared" ca="1" si="113"/>
        <v>3.8109590921239882E-2</v>
      </c>
      <c r="P3156" s="180"/>
      <c r="Q3156" s="180"/>
      <c r="R3156" s="180"/>
      <c r="S3156" s="180"/>
      <c r="T3156" s="180"/>
    </row>
    <row r="3157" spans="1:20" x14ac:dyDescent="0.25">
      <c r="A3157" t="s">
        <v>246</v>
      </c>
      <c r="B3157" t="s">
        <v>237</v>
      </c>
      <c r="C3157" t="s">
        <v>238</v>
      </c>
      <c r="D3157" t="s">
        <v>268</v>
      </c>
      <c r="E3157" t="s">
        <v>229</v>
      </c>
      <c r="F3157">
        <v>2018</v>
      </c>
      <c r="G3157">
        <v>6.7528E-4</v>
      </c>
      <c r="H3157" t="s">
        <v>240</v>
      </c>
      <c r="I3157" t="s">
        <v>241</v>
      </c>
      <c r="J3157" t="s">
        <v>245</v>
      </c>
      <c r="K3157" s="183">
        <f ca="1">VLOOKUP(F3157,
    OFFSET(INDIRECT(ADDRESS(MATCH(J3157,'Vehicle numbers'!$A$5:$A$162,0),1,1,1,$L$6)),4,1,COUNTIF('Vehicle numbers'!$A$5:$A$162,J3157),4),
    MATCH(K$8,'Vehicle numbers'!$B$4:$D$4,0))*1000</f>
        <v>276866</v>
      </c>
      <c r="L3157" s="183">
        <f ca="1">VLOOKUP(F3157,
    OFFSET(INDIRECT(ADDRESS(MATCH(J3157,'Vehicle numbers'!$A$5:$A$162,0),1,1,1,$L$6)),4,1,COUNTIF('Vehicle numbers'!$A$5:$A$162,J3157),4),
    MATCH(L$8,'Vehicle numbers'!$B$4:$D$4,0))*1000</f>
        <v>290995</v>
      </c>
      <c r="M3157" s="184">
        <f ca="1">VLOOKUP(F3157,'Annual distance covered (GB)'!$A$8:$H$33,MATCH(J3157,'Annual distance covered (GB)'!$A$7:$H$7,0))</f>
        <v>12.5</v>
      </c>
      <c r="N3157" s="2">
        <f t="shared" ca="1" si="112"/>
        <v>8871.7603281009597</v>
      </c>
      <c r="O3157" s="180">
        <f t="shared" ca="1" si="113"/>
        <v>3.0487672736991905E-2</v>
      </c>
      <c r="P3157" s="180"/>
      <c r="Q3157" s="180"/>
      <c r="R3157" s="180"/>
      <c r="S3157" s="180"/>
      <c r="T3157" s="180"/>
    </row>
    <row r="3158" spans="1:20" x14ac:dyDescent="0.25">
      <c r="A3158" t="s">
        <v>236</v>
      </c>
      <c r="B3158" t="s">
        <v>237</v>
      </c>
      <c r="C3158" t="s">
        <v>238</v>
      </c>
      <c r="D3158" t="s">
        <v>268</v>
      </c>
      <c r="E3158" t="s">
        <v>228</v>
      </c>
      <c r="F3158">
        <v>2018</v>
      </c>
      <c r="G3158">
        <v>1.3984E-2</v>
      </c>
      <c r="H3158" t="s">
        <v>240</v>
      </c>
      <c r="I3158" t="s">
        <v>241</v>
      </c>
      <c r="J3158" t="s">
        <v>245</v>
      </c>
      <c r="K3158" s="183">
        <f ca="1">VLOOKUP(F3158,
    OFFSET(INDIRECT(ADDRESS(MATCH(J3158,'Vehicle numbers'!$A$5:$A$162,0),1,1,1,$L$6)),4,1,COUNTIF('Vehicle numbers'!$A$5:$A$162,J3158),4),
    MATCH(K$8,'Vehicle numbers'!$B$4:$D$4,0))*1000</f>
        <v>276866</v>
      </c>
      <c r="L3158" s="183">
        <f ca="1">VLOOKUP(F3158,
    OFFSET(INDIRECT(ADDRESS(MATCH(J3158,'Vehicle numbers'!$A$5:$A$162,0),1,1,1,$L$6)),4,1,COUNTIF('Vehicle numbers'!$A$5:$A$162,J3158),4),
    MATCH(L$8,'Vehicle numbers'!$B$4:$D$4,0))*1000</f>
        <v>290995</v>
      </c>
      <c r="M3158" s="184">
        <f ca="1">VLOOKUP(F3158,'Annual distance covered (GB)'!$A$8:$H$33,MATCH(J3158,'Annual distance covered (GB)'!$A$7:$H$7,0))</f>
        <v>12.5</v>
      </c>
      <c r="N3158" s="2">
        <f t="shared" ca="1" si="112"/>
        <v>183720.37736666837</v>
      </c>
      <c r="O3158" s="180">
        <f t="shared" ca="1" si="113"/>
        <v>0.63135235095678055</v>
      </c>
      <c r="P3158" s="180"/>
      <c r="Q3158" s="180"/>
      <c r="R3158" s="180"/>
      <c r="S3158" s="180"/>
      <c r="T3158" s="180"/>
    </row>
    <row r="3159" spans="1:20" x14ac:dyDescent="0.25">
      <c r="A3159" t="s">
        <v>243</v>
      </c>
      <c r="B3159" t="s">
        <v>237</v>
      </c>
      <c r="C3159" t="s">
        <v>238</v>
      </c>
      <c r="D3159" t="s">
        <v>268</v>
      </c>
      <c r="E3159" t="s">
        <v>228</v>
      </c>
      <c r="F3159">
        <v>2018</v>
      </c>
      <c r="G3159">
        <v>9.7888000000000003E-3</v>
      </c>
      <c r="H3159" t="s">
        <v>240</v>
      </c>
      <c r="I3159" t="s">
        <v>241</v>
      </c>
      <c r="J3159" t="s">
        <v>245</v>
      </c>
      <c r="K3159" s="183">
        <f ca="1">VLOOKUP(F3159,
    OFFSET(INDIRECT(ADDRESS(MATCH(J3159,'Vehicle numbers'!$A$5:$A$162,0),1,1,1,$L$6)),4,1,COUNTIF('Vehicle numbers'!$A$5:$A$162,J3159),4),
    MATCH(K$8,'Vehicle numbers'!$B$4:$D$4,0))*1000</f>
        <v>276866</v>
      </c>
      <c r="L3159" s="183">
        <f ca="1">VLOOKUP(F3159,
    OFFSET(INDIRECT(ADDRESS(MATCH(J3159,'Vehicle numbers'!$A$5:$A$162,0),1,1,1,$L$6)),4,1,COUNTIF('Vehicle numbers'!$A$5:$A$162,J3159),4),
    MATCH(L$8,'Vehicle numbers'!$B$4:$D$4,0))*1000</f>
        <v>290995</v>
      </c>
      <c r="M3159" s="184">
        <f ca="1">VLOOKUP(F3159,'Annual distance covered (GB)'!$A$8:$H$33,MATCH(J3159,'Annual distance covered (GB)'!$A$7:$H$7,0))</f>
        <v>12.5</v>
      </c>
      <c r="N3159" s="2">
        <f t="shared" ca="1" si="112"/>
        <v>128604.26415666785</v>
      </c>
      <c r="O3159" s="180">
        <f t="shared" ca="1" si="113"/>
        <v>0.4419466456697464</v>
      </c>
      <c r="P3159" s="180"/>
      <c r="Q3159" s="180"/>
      <c r="R3159" s="180"/>
      <c r="S3159" s="180"/>
      <c r="T3159" s="180"/>
    </row>
    <row r="3160" spans="1:20" x14ac:dyDescent="0.25">
      <c r="A3160" t="s">
        <v>244</v>
      </c>
      <c r="B3160" t="s">
        <v>237</v>
      </c>
      <c r="C3160" t="s">
        <v>238</v>
      </c>
      <c r="D3160" t="s">
        <v>268</v>
      </c>
      <c r="E3160" t="s">
        <v>228</v>
      </c>
      <c r="F3160">
        <v>2018</v>
      </c>
      <c r="G3160">
        <v>1.3787042253521099E-3</v>
      </c>
      <c r="H3160" t="s">
        <v>240</v>
      </c>
      <c r="I3160" t="s">
        <v>241</v>
      </c>
      <c r="J3160" t="s">
        <v>245</v>
      </c>
      <c r="K3160" s="183">
        <f ca="1">VLOOKUP(F3160,
    OFFSET(INDIRECT(ADDRESS(MATCH(J3160,'Vehicle numbers'!$A$5:$A$162,0),1,1,1,$L$6)),4,1,COUNTIF('Vehicle numbers'!$A$5:$A$162,J3160),4),
    MATCH(K$8,'Vehicle numbers'!$B$4:$D$4,0))*1000</f>
        <v>276866</v>
      </c>
      <c r="L3160" s="183">
        <f ca="1">VLOOKUP(F3160,
    OFFSET(INDIRECT(ADDRESS(MATCH(J3160,'Vehicle numbers'!$A$5:$A$162,0),1,1,1,$L$6)),4,1,COUNTIF('Vehicle numbers'!$A$5:$A$162,J3160),4),
    MATCH(L$8,'Vehicle numbers'!$B$4:$D$4,0))*1000</f>
        <v>290995</v>
      </c>
      <c r="M3160" s="184">
        <f ca="1">VLOOKUP(F3160,'Annual distance covered (GB)'!$A$8:$H$33,MATCH(J3160,'Annual distance covered (GB)'!$A$7:$H$7,0))</f>
        <v>12.5</v>
      </c>
      <c r="N3160" s="2">
        <f t="shared" ca="1" si="112"/>
        <v>18113.27664178417</v>
      </c>
      <c r="O3160" s="180">
        <f t="shared" ca="1" si="113"/>
        <v>6.224600643235853E-2</v>
      </c>
      <c r="P3160" s="180"/>
      <c r="Q3160" s="180"/>
      <c r="R3160" s="180"/>
      <c r="S3160" s="180"/>
      <c r="T3160" s="180"/>
    </row>
    <row r="3161" spans="1:20" x14ac:dyDescent="0.25">
      <c r="A3161" t="s">
        <v>246</v>
      </c>
      <c r="B3161" t="s">
        <v>237</v>
      </c>
      <c r="C3161" t="s">
        <v>238</v>
      </c>
      <c r="D3161" t="s">
        <v>268</v>
      </c>
      <c r="E3161" t="s">
        <v>228</v>
      </c>
      <c r="F3161">
        <v>2018</v>
      </c>
      <c r="G3161">
        <v>1.10296338028169E-3</v>
      </c>
      <c r="H3161" t="s">
        <v>240</v>
      </c>
      <c r="I3161" t="s">
        <v>241</v>
      </c>
      <c r="J3161" t="s">
        <v>245</v>
      </c>
      <c r="K3161" s="183">
        <f ca="1">VLOOKUP(F3161,
    OFFSET(INDIRECT(ADDRESS(MATCH(J3161,'Vehicle numbers'!$A$5:$A$162,0),1,1,1,$L$6)),4,1,COUNTIF('Vehicle numbers'!$A$5:$A$162,J3161),4),
    MATCH(K$8,'Vehicle numbers'!$B$4:$D$4,0))*1000</f>
        <v>276866</v>
      </c>
      <c r="L3161" s="183">
        <f ca="1">VLOOKUP(F3161,
    OFFSET(INDIRECT(ADDRESS(MATCH(J3161,'Vehicle numbers'!$A$5:$A$162,0),1,1,1,$L$6)),4,1,COUNTIF('Vehicle numbers'!$A$5:$A$162,J3161),4),
    MATCH(L$8,'Vehicle numbers'!$B$4:$D$4,0))*1000</f>
        <v>290995</v>
      </c>
      <c r="M3161" s="184">
        <f ca="1">VLOOKUP(F3161,'Annual distance covered (GB)'!$A$8:$H$33,MATCH(J3161,'Annual distance covered (GB)'!$A$7:$H$7,0))</f>
        <v>12.5</v>
      </c>
      <c r="N3161" s="2">
        <f t="shared" ca="1" si="112"/>
        <v>14490.621313427362</v>
      </c>
      <c r="O3161" s="180">
        <f t="shared" ca="1" si="113"/>
        <v>4.9796805145886913E-2</v>
      </c>
      <c r="P3161" s="180"/>
      <c r="Q3161" s="180"/>
      <c r="R3161" s="180"/>
      <c r="S3161" s="180"/>
      <c r="T3161" s="180"/>
    </row>
    <row r="3162" spans="1:20" x14ac:dyDescent="0.25">
      <c r="A3162" t="s">
        <v>236</v>
      </c>
      <c r="B3162" t="s">
        <v>237</v>
      </c>
      <c r="C3162" t="s">
        <v>238</v>
      </c>
      <c r="D3162" t="s">
        <v>269</v>
      </c>
      <c r="E3162" t="s">
        <v>229</v>
      </c>
      <c r="F3162">
        <v>2018</v>
      </c>
      <c r="G3162">
        <v>2.7143E-2</v>
      </c>
      <c r="H3162" t="s">
        <v>240</v>
      </c>
      <c r="I3162" t="s">
        <v>241</v>
      </c>
      <c r="J3162" t="s">
        <v>245</v>
      </c>
      <c r="K3162" s="183">
        <f ca="1">VLOOKUP(F3162,
    OFFSET(INDIRECT(ADDRESS(MATCH(J3162,'Vehicle numbers'!$A$5:$A$162,0),1,1,1,$L$6)),4,1,COUNTIF('Vehicle numbers'!$A$5:$A$162,J3162),4),
    MATCH(K$8,'Vehicle numbers'!$B$4:$D$4,0))*1000</f>
        <v>276866</v>
      </c>
      <c r="L3162" s="183">
        <f ca="1">VLOOKUP(F3162,
    OFFSET(INDIRECT(ADDRESS(MATCH(J3162,'Vehicle numbers'!$A$5:$A$162,0),1,1,1,$L$6)),4,1,COUNTIF('Vehicle numbers'!$A$5:$A$162,J3162),4),
    MATCH(L$8,'Vehicle numbers'!$B$4:$D$4,0))*1000</f>
        <v>290995</v>
      </c>
      <c r="M3162" s="184">
        <f ca="1">VLOOKUP(F3162,'Annual distance covered (GB)'!$A$8:$H$33,MATCH(J3162,'Annual distance covered (GB)'!$A$7:$H$7,0))</f>
        <v>12.5</v>
      </c>
      <c r="N3162" s="2">
        <f t="shared" ca="1" si="112"/>
        <v>356601.98819103825</v>
      </c>
      <c r="O3162" s="180">
        <f t="shared" ca="1" si="113"/>
        <v>1.2254574415059993</v>
      </c>
      <c r="P3162" s="180"/>
      <c r="Q3162" s="180"/>
      <c r="R3162" s="180"/>
      <c r="S3162" s="180"/>
      <c r="T3162" s="180"/>
    </row>
    <row r="3163" spans="1:20" x14ac:dyDescent="0.25">
      <c r="A3163" t="s">
        <v>243</v>
      </c>
      <c r="B3163" t="s">
        <v>237</v>
      </c>
      <c r="C3163" t="s">
        <v>238</v>
      </c>
      <c r="D3163" t="s">
        <v>269</v>
      </c>
      <c r="E3163" t="s">
        <v>229</v>
      </c>
      <c r="F3163">
        <v>2018</v>
      </c>
      <c r="G3163">
        <v>1.0857199999999999E-2</v>
      </c>
      <c r="H3163" t="s">
        <v>240</v>
      </c>
      <c r="I3163" t="s">
        <v>241</v>
      </c>
      <c r="J3163" t="s">
        <v>245</v>
      </c>
      <c r="K3163" s="183">
        <f ca="1">VLOOKUP(F3163,
    OFFSET(INDIRECT(ADDRESS(MATCH(J3163,'Vehicle numbers'!$A$5:$A$162,0),1,1,1,$L$6)),4,1,COUNTIF('Vehicle numbers'!$A$5:$A$162,J3163),4),
    MATCH(K$8,'Vehicle numbers'!$B$4:$D$4,0))*1000</f>
        <v>276866</v>
      </c>
      <c r="L3163" s="183">
        <f ca="1">VLOOKUP(F3163,
    OFFSET(INDIRECT(ADDRESS(MATCH(J3163,'Vehicle numbers'!$A$5:$A$162,0),1,1,1,$L$6)),4,1,COUNTIF('Vehicle numbers'!$A$5:$A$162,J3163),4),
    MATCH(L$8,'Vehicle numbers'!$B$4:$D$4,0))*1000</f>
        <v>290995</v>
      </c>
      <c r="M3163" s="184">
        <f ca="1">VLOOKUP(F3163,'Annual distance covered (GB)'!$A$8:$H$33,MATCH(J3163,'Annual distance covered (GB)'!$A$7:$H$7,0))</f>
        <v>12.5</v>
      </c>
      <c r="N3163" s="2">
        <f t="shared" ca="1" si="112"/>
        <v>142640.7952764153</v>
      </c>
      <c r="O3163" s="180">
        <f t="shared" ca="1" si="113"/>
        <v>0.49018297660239968</v>
      </c>
      <c r="P3163" s="180"/>
      <c r="Q3163" s="180"/>
      <c r="R3163" s="180"/>
      <c r="S3163" s="180"/>
      <c r="T3163" s="180"/>
    </row>
    <row r="3164" spans="1:20" x14ac:dyDescent="0.25">
      <c r="A3164" t="s">
        <v>244</v>
      </c>
      <c r="B3164" t="s">
        <v>237</v>
      </c>
      <c r="C3164" t="s">
        <v>238</v>
      </c>
      <c r="D3164" t="s">
        <v>269</v>
      </c>
      <c r="E3164" t="s">
        <v>229</v>
      </c>
      <c r="F3164">
        <v>2018</v>
      </c>
      <c r="G3164">
        <v>2.7142999999999998E-3</v>
      </c>
      <c r="H3164" t="s">
        <v>240</v>
      </c>
      <c r="I3164" t="s">
        <v>241</v>
      </c>
      <c r="J3164" t="s">
        <v>245</v>
      </c>
      <c r="K3164" s="183">
        <f ca="1">VLOOKUP(F3164,
    OFFSET(INDIRECT(ADDRESS(MATCH(J3164,'Vehicle numbers'!$A$5:$A$162,0),1,1,1,$L$6)),4,1,COUNTIF('Vehicle numbers'!$A$5:$A$162,J3164),4),
    MATCH(K$8,'Vehicle numbers'!$B$4:$D$4,0))*1000</f>
        <v>276866</v>
      </c>
      <c r="L3164" s="183">
        <f ca="1">VLOOKUP(F3164,
    OFFSET(INDIRECT(ADDRESS(MATCH(J3164,'Vehicle numbers'!$A$5:$A$162,0),1,1,1,$L$6)),4,1,COUNTIF('Vehicle numbers'!$A$5:$A$162,J3164),4),
    MATCH(L$8,'Vehicle numbers'!$B$4:$D$4,0))*1000</f>
        <v>290995</v>
      </c>
      <c r="M3164" s="184">
        <f ca="1">VLOOKUP(F3164,'Annual distance covered (GB)'!$A$8:$H$33,MATCH(J3164,'Annual distance covered (GB)'!$A$7:$H$7,0))</f>
        <v>12.5</v>
      </c>
      <c r="N3164" s="2">
        <f t="shared" ca="1" si="112"/>
        <v>35660.198819103825</v>
      </c>
      <c r="O3164" s="180">
        <f t="shared" ca="1" si="113"/>
        <v>0.12254574415059992</v>
      </c>
      <c r="P3164" s="180"/>
      <c r="Q3164" s="180"/>
      <c r="R3164" s="180"/>
      <c r="S3164" s="180"/>
      <c r="T3164" s="180"/>
    </row>
    <row r="3165" spans="1:20" x14ac:dyDescent="0.25">
      <c r="A3165" t="s">
        <v>246</v>
      </c>
      <c r="B3165" t="s">
        <v>237</v>
      </c>
      <c r="C3165" t="s">
        <v>238</v>
      </c>
      <c r="D3165" t="s">
        <v>269</v>
      </c>
      <c r="E3165" t="s">
        <v>229</v>
      </c>
      <c r="F3165">
        <v>2018</v>
      </c>
      <c r="G3165">
        <v>2.1714400000000002E-3</v>
      </c>
      <c r="H3165" t="s">
        <v>240</v>
      </c>
      <c r="I3165" t="s">
        <v>241</v>
      </c>
      <c r="J3165" t="s">
        <v>245</v>
      </c>
      <c r="K3165" s="183">
        <f ca="1">VLOOKUP(F3165,
    OFFSET(INDIRECT(ADDRESS(MATCH(J3165,'Vehicle numbers'!$A$5:$A$162,0),1,1,1,$L$6)),4,1,COUNTIF('Vehicle numbers'!$A$5:$A$162,J3165),4),
    MATCH(K$8,'Vehicle numbers'!$B$4:$D$4,0))*1000</f>
        <v>276866</v>
      </c>
      <c r="L3165" s="183">
        <f ca="1">VLOOKUP(F3165,
    OFFSET(INDIRECT(ADDRESS(MATCH(J3165,'Vehicle numbers'!$A$5:$A$162,0),1,1,1,$L$6)),4,1,COUNTIF('Vehicle numbers'!$A$5:$A$162,J3165),4),
    MATCH(L$8,'Vehicle numbers'!$B$4:$D$4,0))*1000</f>
        <v>290995</v>
      </c>
      <c r="M3165" s="184">
        <f ca="1">VLOOKUP(F3165,'Annual distance covered (GB)'!$A$8:$H$33,MATCH(J3165,'Annual distance covered (GB)'!$A$7:$H$7,0))</f>
        <v>12.5</v>
      </c>
      <c r="N3165" s="2">
        <f t="shared" ca="1" si="112"/>
        <v>28528.159055283064</v>
      </c>
      <c r="O3165" s="180">
        <f t="shared" ca="1" si="113"/>
        <v>9.8036595320479952E-2</v>
      </c>
      <c r="P3165" s="180"/>
      <c r="Q3165" s="180"/>
      <c r="R3165" s="180"/>
      <c r="S3165" s="180"/>
      <c r="T3165" s="180"/>
    </row>
    <row r="3166" spans="1:20" x14ac:dyDescent="0.25">
      <c r="A3166" t="s">
        <v>236</v>
      </c>
      <c r="B3166" t="s">
        <v>237</v>
      </c>
      <c r="C3166" t="s">
        <v>238</v>
      </c>
      <c r="D3166" t="s">
        <v>269</v>
      </c>
      <c r="E3166" t="s">
        <v>228</v>
      </c>
      <c r="F3166">
        <v>2018</v>
      </c>
      <c r="G3166">
        <v>1.7388480000000001E-2</v>
      </c>
      <c r="H3166" t="s">
        <v>240</v>
      </c>
      <c r="I3166" t="s">
        <v>241</v>
      </c>
      <c r="J3166" t="s">
        <v>245</v>
      </c>
      <c r="K3166" s="183">
        <f ca="1">VLOOKUP(F3166,
    OFFSET(INDIRECT(ADDRESS(MATCH(J3166,'Vehicle numbers'!$A$5:$A$162,0),1,1,1,$L$6)),4,1,COUNTIF('Vehicle numbers'!$A$5:$A$162,J3166),4),
    MATCH(K$8,'Vehicle numbers'!$B$4:$D$4,0))*1000</f>
        <v>276866</v>
      </c>
      <c r="L3166" s="183">
        <f ca="1">VLOOKUP(F3166,
    OFFSET(INDIRECT(ADDRESS(MATCH(J3166,'Vehicle numbers'!$A$5:$A$162,0),1,1,1,$L$6)),4,1,COUNTIF('Vehicle numbers'!$A$5:$A$162,J3166),4),
    MATCH(L$8,'Vehicle numbers'!$B$4:$D$4,0))*1000</f>
        <v>290995</v>
      </c>
      <c r="M3166" s="184">
        <f ca="1">VLOOKUP(F3166,'Annual distance covered (GB)'!$A$8:$H$33,MATCH(J3166,'Annual distance covered (GB)'!$A$7:$H$7,0))</f>
        <v>12.5</v>
      </c>
      <c r="N3166" s="2">
        <f t="shared" ca="1" si="112"/>
        <v>228448.0912065765</v>
      </c>
      <c r="O3166" s="180">
        <f t="shared" ca="1" si="113"/>
        <v>0.7850584759414303</v>
      </c>
      <c r="P3166" s="180"/>
      <c r="Q3166" s="180"/>
      <c r="R3166" s="180"/>
      <c r="S3166" s="180"/>
      <c r="T3166" s="180"/>
    </row>
    <row r="3167" spans="1:20" x14ac:dyDescent="0.25">
      <c r="A3167" t="s">
        <v>243</v>
      </c>
      <c r="B3167" t="s">
        <v>237</v>
      </c>
      <c r="C3167" t="s">
        <v>238</v>
      </c>
      <c r="D3167" t="s">
        <v>269</v>
      </c>
      <c r="E3167" t="s">
        <v>228</v>
      </c>
      <c r="F3167">
        <v>2018</v>
      </c>
      <c r="G3167">
        <v>1.2171936E-2</v>
      </c>
      <c r="H3167" t="s">
        <v>240</v>
      </c>
      <c r="I3167" t="s">
        <v>241</v>
      </c>
      <c r="J3167" t="s">
        <v>245</v>
      </c>
      <c r="K3167" s="183">
        <f ca="1">VLOOKUP(F3167,
    OFFSET(INDIRECT(ADDRESS(MATCH(J3167,'Vehicle numbers'!$A$5:$A$162,0),1,1,1,$L$6)),4,1,COUNTIF('Vehicle numbers'!$A$5:$A$162,J3167),4),
    MATCH(K$8,'Vehicle numbers'!$B$4:$D$4,0))*1000</f>
        <v>276866</v>
      </c>
      <c r="L3167" s="183">
        <f ca="1">VLOOKUP(F3167,
    OFFSET(INDIRECT(ADDRESS(MATCH(J3167,'Vehicle numbers'!$A$5:$A$162,0),1,1,1,$L$6)),4,1,COUNTIF('Vehicle numbers'!$A$5:$A$162,J3167),4),
    MATCH(L$8,'Vehicle numbers'!$B$4:$D$4,0))*1000</f>
        <v>290995</v>
      </c>
      <c r="M3167" s="184">
        <f ca="1">VLOOKUP(F3167,'Annual distance covered (GB)'!$A$8:$H$33,MATCH(J3167,'Annual distance covered (GB)'!$A$7:$H$7,0))</f>
        <v>12.5</v>
      </c>
      <c r="N3167" s="2">
        <f t="shared" ca="1" si="112"/>
        <v>159913.66384460352</v>
      </c>
      <c r="O3167" s="180">
        <f t="shared" ca="1" si="113"/>
        <v>0.5495409331590011</v>
      </c>
      <c r="P3167" s="180"/>
      <c r="Q3167" s="180"/>
      <c r="R3167" s="180"/>
      <c r="S3167" s="180"/>
      <c r="T3167" s="180"/>
    </row>
    <row r="3168" spans="1:20" x14ac:dyDescent="0.25">
      <c r="A3168" t="s">
        <v>244</v>
      </c>
      <c r="B3168" t="s">
        <v>237</v>
      </c>
      <c r="C3168" t="s">
        <v>238</v>
      </c>
      <c r="D3168" t="s">
        <v>269</v>
      </c>
      <c r="E3168" t="s">
        <v>228</v>
      </c>
      <c r="F3168">
        <v>2018</v>
      </c>
      <c r="G3168">
        <v>1.71435718309859E-3</v>
      </c>
      <c r="H3168" t="s">
        <v>240</v>
      </c>
      <c r="I3168" t="s">
        <v>241</v>
      </c>
      <c r="J3168" t="s">
        <v>245</v>
      </c>
      <c r="K3168" s="183">
        <f ca="1">VLOOKUP(F3168,
    OFFSET(INDIRECT(ADDRESS(MATCH(J3168,'Vehicle numbers'!$A$5:$A$162,0),1,1,1,$L$6)),4,1,COUNTIF('Vehicle numbers'!$A$5:$A$162,J3168),4),
    MATCH(K$8,'Vehicle numbers'!$B$4:$D$4,0))*1000</f>
        <v>276866</v>
      </c>
      <c r="L3168" s="183">
        <f ca="1">VLOOKUP(F3168,
    OFFSET(INDIRECT(ADDRESS(MATCH(J3168,'Vehicle numbers'!$A$5:$A$162,0),1,1,1,$L$6)),4,1,COUNTIF('Vehicle numbers'!$A$5:$A$162,J3168),4),
    MATCH(L$8,'Vehicle numbers'!$B$4:$D$4,0))*1000</f>
        <v>290995</v>
      </c>
      <c r="M3168" s="184">
        <f ca="1">VLOOKUP(F3168,'Annual distance covered (GB)'!$A$8:$H$33,MATCH(J3168,'Annual distance covered (GB)'!$A$7:$H$7,0))</f>
        <v>12.5</v>
      </c>
      <c r="N3168" s="2">
        <f t="shared" ca="1" si="112"/>
        <v>22523.051245718791</v>
      </c>
      <c r="O3168" s="180">
        <f t="shared" ca="1" si="113"/>
        <v>7.7400131430845176E-2</v>
      </c>
      <c r="P3168" s="180"/>
      <c r="Q3168" s="180"/>
      <c r="R3168" s="180"/>
      <c r="S3168" s="180"/>
      <c r="T3168" s="180"/>
    </row>
    <row r="3169" spans="1:20" x14ac:dyDescent="0.25">
      <c r="A3169" t="s">
        <v>246</v>
      </c>
      <c r="B3169" t="s">
        <v>237</v>
      </c>
      <c r="C3169" t="s">
        <v>238</v>
      </c>
      <c r="D3169" t="s">
        <v>269</v>
      </c>
      <c r="E3169" t="s">
        <v>228</v>
      </c>
      <c r="F3169">
        <v>2018</v>
      </c>
      <c r="G3169">
        <v>1.37148574647887E-3</v>
      </c>
      <c r="H3169" t="s">
        <v>240</v>
      </c>
      <c r="I3169" t="s">
        <v>241</v>
      </c>
      <c r="J3169" t="s">
        <v>245</v>
      </c>
      <c r="K3169" s="183">
        <f ca="1">VLOOKUP(F3169,
    OFFSET(INDIRECT(ADDRESS(MATCH(J3169,'Vehicle numbers'!$A$5:$A$162,0),1,1,1,$L$6)),4,1,COUNTIF('Vehicle numbers'!$A$5:$A$162,J3169),4),
    MATCH(K$8,'Vehicle numbers'!$B$4:$D$4,0))*1000</f>
        <v>276866</v>
      </c>
      <c r="L3169" s="183">
        <f ca="1">VLOOKUP(F3169,
    OFFSET(INDIRECT(ADDRESS(MATCH(J3169,'Vehicle numbers'!$A$5:$A$162,0),1,1,1,$L$6)),4,1,COUNTIF('Vehicle numbers'!$A$5:$A$162,J3169),4),
    MATCH(L$8,'Vehicle numbers'!$B$4:$D$4,0))*1000</f>
        <v>290995</v>
      </c>
      <c r="M3169" s="184">
        <f ca="1">VLOOKUP(F3169,'Annual distance covered (GB)'!$A$8:$H$33,MATCH(J3169,'Annual distance covered (GB)'!$A$7:$H$7,0))</f>
        <v>12.5</v>
      </c>
      <c r="N3169" s="2">
        <f t="shared" ca="1" si="112"/>
        <v>18018.440996575002</v>
      </c>
      <c r="O3169" s="180">
        <f t="shared" ca="1" si="113"/>
        <v>6.1920105144676031E-2</v>
      </c>
      <c r="P3169" s="180"/>
      <c r="Q3169" s="180"/>
      <c r="R3169" s="180"/>
      <c r="S3169" s="180"/>
      <c r="T3169" s="180"/>
    </row>
    <row r="3170" spans="1:20" x14ac:dyDescent="0.25">
      <c r="A3170" t="s">
        <v>236</v>
      </c>
      <c r="B3170" t="s">
        <v>237</v>
      </c>
      <c r="C3170" t="s">
        <v>238</v>
      </c>
      <c r="D3170" t="s">
        <v>270</v>
      </c>
      <c r="E3170" t="s">
        <v>229</v>
      </c>
      <c r="F3170">
        <v>2018</v>
      </c>
      <c r="G3170">
        <v>5.0995000000000103E-2</v>
      </c>
      <c r="H3170" t="s">
        <v>240</v>
      </c>
      <c r="I3170" t="s">
        <v>241</v>
      </c>
      <c r="J3170" t="s">
        <v>245</v>
      </c>
      <c r="K3170" s="183">
        <f ca="1">VLOOKUP(F3170,
    OFFSET(INDIRECT(ADDRESS(MATCH(J3170,'Vehicle numbers'!$A$5:$A$162,0),1,1,1,$L$6)),4,1,COUNTIF('Vehicle numbers'!$A$5:$A$162,J3170),4),
    MATCH(K$8,'Vehicle numbers'!$B$4:$D$4,0))*1000</f>
        <v>276866</v>
      </c>
      <c r="L3170" s="183">
        <f ca="1">VLOOKUP(F3170,
    OFFSET(INDIRECT(ADDRESS(MATCH(J3170,'Vehicle numbers'!$A$5:$A$162,0),1,1,1,$L$6)),4,1,COUNTIF('Vehicle numbers'!$A$5:$A$162,J3170),4),
    MATCH(L$8,'Vehicle numbers'!$B$4:$D$4,0))*1000</f>
        <v>290995</v>
      </c>
      <c r="M3170" s="184">
        <f ca="1">VLOOKUP(F3170,'Annual distance covered (GB)'!$A$8:$H$33,MATCH(J3170,'Annual distance covered (GB)'!$A$7:$H$7,0))</f>
        <v>12.5</v>
      </c>
      <c r="N3170" s="2">
        <f t="shared" ca="1" si="112"/>
        <v>669967.15130243648</v>
      </c>
      <c r="O3170" s="180">
        <f t="shared" ca="1" si="113"/>
        <v>2.302332175131657</v>
      </c>
      <c r="P3170" s="180"/>
      <c r="Q3170" s="180"/>
      <c r="R3170" s="180"/>
      <c r="S3170" s="180"/>
      <c r="T3170" s="180"/>
    </row>
    <row r="3171" spans="1:20" x14ac:dyDescent="0.25">
      <c r="A3171" t="s">
        <v>243</v>
      </c>
      <c r="B3171" t="s">
        <v>237</v>
      </c>
      <c r="C3171" t="s">
        <v>238</v>
      </c>
      <c r="D3171" t="s">
        <v>270</v>
      </c>
      <c r="E3171" t="s">
        <v>229</v>
      </c>
      <c r="F3171">
        <v>2018</v>
      </c>
      <c r="G3171">
        <v>2.0397999999999999E-2</v>
      </c>
      <c r="H3171" t="s">
        <v>240</v>
      </c>
      <c r="I3171" t="s">
        <v>241</v>
      </c>
      <c r="J3171" t="s">
        <v>245</v>
      </c>
      <c r="K3171" s="183">
        <f ca="1">VLOOKUP(F3171,
    OFFSET(INDIRECT(ADDRESS(MATCH(J3171,'Vehicle numbers'!$A$5:$A$162,0),1,1,1,$L$6)),4,1,COUNTIF('Vehicle numbers'!$A$5:$A$162,J3171),4),
    MATCH(K$8,'Vehicle numbers'!$B$4:$D$4,0))*1000</f>
        <v>276866</v>
      </c>
      <c r="L3171" s="183">
        <f ca="1">VLOOKUP(F3171,
    OFFSET(INDIRECT(ADDRESS(MATCH(J3171,'Vehicle numbers'!$A$5:$A$162,0),1,1,1,$L$6)),4,1,COUNTIF('Vehicle numbers'!$A$5:$A$162,J3171),4),
    MATCH(L$8,'Vehicle numbers'!$B$4:$D$4,0))*1000</f>
        <v>290995</v>
      </c>
      <c r="M3171" s="184">
        <f ca="1">VLOOKUP(F3171,'Annual distance covered (GB)'!$A$8:$H$33,MATCH(J3171,'Annual distance covered (GB)'!$A$7:$H$7,0))</f>
        <v>12.5</v>
      </c>
      <c r="N3171" s="2">
        <f t="shared" ca="1" si="112"/>
        <v>267986.86052097403</v>
      </c>
      <c r="O3171" s="180">
        <f t="shared" ca="1" si="113"/>
        <v>0.92093287005266078</v>
      </c>
      <c r="P3171" s="180"/>
      <c r="Q3171" s="180"/>
      <c r="R3171" s="180"/>
      <c r="S3171" s="180"/>
      <c r="T3171" s="180"/>
    </row>
    <row r="3172" spans="1:20" x14ac:dyDescent="0.25">
      <c r="A3172" t="s">
        <v>244</v>
      </c>
      <c r="B3172" t="s">
        <v>237</v>
      </c>
      <c r="C3172" t="s">
        <v>238</v>
      </c>
      <c r="D3172" t="s">
        <v>270</v>
      </c>
      <c r="E3172" t="s">
        <v>229</v>
      </c>
      <c r="F3172">
        <v>2018</v>
      </c>
      <c r="G3172">
        <v>5.0994999999999999E-3</v>
      </c>
      <c r="H3172" t="s">
        <v>240</v>
      </c>
      <c r="I3172" t="s">
        <v>241</v>
      </c>
      <c r="J3172" t="s">
        <v>245</v>
      </c>
      <c r="K3172" s="183">
        <f ca="1">VLOOKUP(F3172,
    OFFSET(INDIRECT(ADDRESS(MATCH(J3172,'Vehicle numbers'!$A$5:$A$162,0),1,1,1,$L$6)),4,1,COUNTIF('Vehicle numbers'!$A$5:$A$162,J3172),4),
    MATCH(K$8,'Vehicle numbers'!$B$4:$D$4,0))*1000</f>
        <v>276866</v>
      </c>
      <c r="L3172" s="183">
        <f ca="1">VLOOKUP(F3172,
    OFFSET(INDIRECT(ADDRESS(MATCH(J3172,'Vehicle numbers'!$A$5:$A$162,0),1,1,1,$L$6)),4,1,COUNTIF('Vehicle numbers'!$A$5:$A$162,J3172),4),
    MATCH(L$8,'Vehicle numbers'!$B$4:$D$4,0))*1000</f>
        <v>290995</v>
      </c>
      <c r="M3172" s="184">
        <f ca="1">VLOOKUP(F3172,'Annual distance covered (GB)'!$A$8:$H$33,MATCH(J3172,'Annual distance covered (GB)'!$A$7:$H$7,0))</f>
        <v>12.5</v>
      </c>
      <c r="N3172" s="2">
        <f t="shared" ca="1" si="112"/>
        <v>66996.715130243509</v>
      </c>
      <c r="O3172" s="180">
        <f t="shared" ca="1" si="113"/>
        <v>0.23023321751316519</v>
      </c>
      <c r="P3172" s="180"/>
      <c r="Q3172" s="180"/>
      <c r="R3172" s="180"/>
      <c r="S3172" s="180"/>
      <c r="T3172" s="180"/>
    </row>
    <row r="3173" spans="1:20" x14ac:dyDescent="0.25">
      <c r="A3173" t="s">
        <v>246</v>
      </c>
      <c r="B3173" t="s">
        <v>237</v>
      </c>
      <c r="C3173" t="s">
        <v>238</v>
      </c>
      <c r="D3173" t="s">
        <v>270</v>
      </c>
      <c r="E3173" t="s">
        <v>229</v>
      </c>
      <c r="F3173">
        <v>2018</v>
      </c>
      <c r="G3173">
        <v>4.0796000000000001E-3</v>
      </c>
      <c r="H3173" t="s">
        <v>240</v>
      </c>
      <c r="I3173" t="s">
        <v>241</v>
      </c>
      <c r="J3173" t="s">
        <v>245</v>
      </c>
      <c r="K3173" s="183">
        <f ca="1">VLOOKUP(F3173,
    OFFSET(INDIRECT(ADDRESS(MATCH(J3173,'Vehicle numbers'!$A$5:$A$162,0),1,1,1,$L$6)),4,1,COUNTIF('Vehicle numbers'!$A$5:$A$162,J3173),4),
    MATCH(K$8,'Vehicle numbers'!$B$4:$D$4,0))*1000</f>
        <v>276866</v>
      </c>
      <c r="L3173" s="183">
        <f ca="1">VLOOKUP(F3173,
    OFFSET(INDIRECT(ADDRESS(MATCH(J3173,'Vehicle numbers'!$A$5:$A$162,0),1,1,1,$L$6)),4,1,COUNTIF('Vehicle numbers'!$A$5:$A$162,J3173),4),
    MATCH(L$8,'Vehicle numbers'!$B$4:$D$4,0))*1000</f>
        <v>290995</v>
      </c>
      <c r="M3173" s="184">
        <f ca="1">VLOOKUP(F3173,'Annual distance covered (GB)'!$A$8:$H$33,MATCH(J3173,'Annual distance covered (GB)'!$A$7:$H$7,0))</f>
        <v>12.5</v>
      </c>
      <c r="N3173" s="2">
        <f t="shared" ca="1" si="112"/>
        <v>53597.372104194808</v>
      </c>
      <c r="O3173" s="180">
        <f t="shared" ca="1" si="113"/>
        <v>0.18418657401053218</v>
      </c>
      <c r="P3173" s="180"/>
      <c r="Q3173" s="180"/>
      <c r="R3173" s="180"/>
      <c r="S3173" s="180"/>
      <c r="T3173" s="180"/>
    </row>
    <row r="3174" spans="1:20" x14ac:dyDescent="0.25">
      <c r="A3174" t="s">
        <v>236</v>
      </c>
      <c r="B3174" t="s">
        <v>237</v>
      </c>
      <c r="C3174" t="s">
        <v>238</v>
      </c>
      <c r="D3174" t="s">
        <v>270</v>
      </c>
      <c r="E3174" t="s">
        <v>228</v>
      </c>
      <c r="F3174">
        <v>2018</v>
      </c>
      <c r="G3174">
        <v>2.0737760000000001E-2</v>
      </c>
      <c r="H3174" t="s">
        <v>240</v>
      </c>
      <c r="I3174" t="s">
        <v>241</v>
      </c>
      <c r="J3174" t="s">
        <v>245</v>
      </c>
      <c r="K3174" s="183">
        <f ca="1">VLOOKUP(F3174,
    OFFSET(INDIRECT(ADDRESS(MATCH(J3174,'Vehicle numbers'!$A$5:$A$162,0),1,1,1,$L$6)),4,1,COUNTIF('Vehicle numbers'!$A$5:$A$162,J3174),4),
    MATCH(K$8,'Vehicle numbers'!$B$4:$D$4,0))*1000</f>
        <v>276866</v>
      </c>
      <c r="L3174" s="183">
        <f ca="1">VLOOKUP(F3174,
    OFFSET(INDIRECT(ADDRESS(MATCH(J3174,'Vehicle numbers'!$A$5:$A$162,0),1,1,1,$L$6)),4,1,COUNTIF('Vehicle numbers'!$A$5:$A$162,J3174),4),
    MATCH(L$8,'Vehicle numbers'!$B$4:$D$4,0))*1000</f>
        <v>290995</v>
      </c>
      <c r="M3174" s="184">
        <f ca="1">VLOOKUP(F3174,'Annual distance covered (GB)'!$A$8:$H$33,MATCH(J3174,'Annual distance covered (GB)'!$A$7:$H$7,0))</f>
        <v>12.5</v>
      </c>
      <c r="N3174" s="2">
        <f t="shared" ca="1" si="112"/>
        <v>272450.59303056356</v>
      </c>
      <c r="O3174" s="180">
        <f t="shared" ca="1" si="113"/>
        <v>0.93627242059335569</v>
      </c>
      <c r="P3174" s="180"/>
      <c r="Q3174" s="180"/>
      <c r="R3174" s="180"/>
      <c r="S3174" s="180"/>
      <c r="T3174" s="180"/>
    </row>
    <row r="3175" spans="1:20" x14ac:dyDescent="0.25">
      <c r="A3175" t="s">
        <v>243</v>
      </c>
      <c r="B3175" t="s">
        <v>237</v>
      </c>
      <c r="C3175" t="s">
        <v>238</v>
      </c>
      <c r="D3175" t="s">
        <v>270</v>
      </c>
      <c r="E3175" t="s">
        <v>228</v>
      </c>
      <c r="F3175">
        <v>2018</v>
      </c>
      <c r="G3175">
        <v>1.4516431999999999E-2</v>
      </c>
      <c r="H3175" t="s">
        <v>240</v>
      </c>
      <c r="I3175" t="s">
        <v>241</v>
      </c>
      <c r="J3175" t="s">
        <v>245</v>
      </c>
      <c r="K3175" s="183">
        <f ca="1">VLOOKUP(F3175,
    OFFSET(INDIRECT(ADDRESS(MATCH(J3175,'Vehicle numbers'!$A$5:$A$162,0),1,1,1,$L$6)),4,1,COUNTIF('Vehicle numbers'!$A$5:$A$162,J3175),4),
    MATCH(K$8,'Vehicle numbers'!$B$4:$D$4,0))*1000</f>
        <v>276866</v>
      </c>
      <c r="L3175" s="183">
        <f ca="1">VLOOKUP(F3175,
    OFFSET(INDIRECT(ADDRESS(MATCH(J3175,'Vehicle numbers'!$A$5:$A$162,0),1,1,1,$L$6)),4,1,COUNTIF('Vehicle numbers'!$A$5:$A$162,J3175),4),
    MATCH(L$8,'Vehicle numbers'!$B$4:$D$4,0))*1000</f>
        <v>290995</v>
      </c>
      <c r="M3175" s="184">
        <f ca="1">VLOOKUP(F3175,'Annual distance covered (GB)'!$A$8:$H$33,MATCH(J3175,'Annual distance covered (GB)'!$A$7:$H$7,0))</f>
        <v>12.5</v>
      </c>
      <c r="N3175" s="2">
        <f t="shared" ca="1" si="112"/>
        <v>190715.41512139447</v>
      </c>
      <c r="O3175" s="180">
        <f t="shared" ca="1" si="113"/>
        <v>0.65539069441534892</v>
      </c>
      <c r="P3175" s="180"/>
      <c r="Q3175" s="180"/>
      <c r="R3175" s="180"/>
      <c r="S3175" s="180"/>
      <c r="T3175" s="180"/>
    </row>
    <row r="3176" spans="1:20" x14ac:dyDescent="0.25">
      <c r="A3176" t="s">
        <v>244</v>
      </c>
      <c r="B3176" t="s">
        <v>237</v>
      </c>
      <c r="C3176" t="s">
        <v>238</v>
      </c>
      <c r="D3176" t="s">
        <v>270</v>
      </c>
      <c r="E3176" t="s">
        <v>228</v>
      </c>
      <c r="F3176">
        <v>2018</v>
      </c>
      <c r="G3176">
        <v>2.0445678873239402E-3</v>
      </c>
      <c r="H3176" t="s">
        <v>240</v>
      </c>
      <c r="I3176" t="s">
        <v>241</v>
      </c>
      <c r="J3176" t="s">
        <v>245</v>
      </c>
      <c r="K3176" s="183">
        <f ca="1">VLOOKUP(F3176,
    OFFSET(INDIRECT(ADDRESS(MATCH(J3176,'Vehicle numbers'!$A$5:$A$162,0),1,1,1,$L$6)),4,1,COUNTIF('Vehicle numbers'!$A$5:$A$162,J3176),4),
    MATCH(K$8,'Vehicle numbers'!$B$4:$D$4,0))*1000</f>
        <v>276866</v>
      </c>
      <c r="L3176" s="183">
        <f ca="1">VLOOKUP(F3176,
    OFFSET(INDIRECT(ADDRESS(MATCH(J3176,'Vehicle numbers'!$A$5:$A$162,0),1,1,1,$L$6)),4,1,COUNTIF('Vehicle numbers'!$A$5:$A$162,J3176),4),
    MATCH(L$8,'Vehicle numbers'!$B$4:$D$4,0))*1000</f>
        <v>290995</v>
      </c>
      <c r="M3176" s="184">
        <f ca="1">VLOOKUP(F3176,'Annual distance covered (GB)'!$A$8:$H$33,MATCH(J3176,'Annual distance covered (GB)'!$A$7:$H$7,0))</f>
        <v>12.5</v>
      </c>
      <c r="N3176" s="2">
        <f t="shared" ca="1" si="112"/>
        <v>26861.326073435794</v>
      </c>
      <c r="O3176" s="180">
        <f t="shared" ca="1" si="113"/>
        <v>9.2308548509203919E-2</v>
      </c>
      <c r="P3176" s="180"/>
      <c r="Q3176" s="180"/>
      <c r="R3176" s="180"/>
      <c r="S3176" s="180"/>
      <c r="T3176" s="180"/>
    </row>
    <row r="3177" spans="1:20" x14ac:dyDescent="0.25">
      <c r="A3177" t="s">
        <v>246</v>
      </c>
      <c r="B3177" t="s">
        <v>237</v>
      </c>
      <c r="C3177" t="s">
        <v>238</v>
      </c>
      <c r="D3177" t="s">
        <v>270</v>
      </c>
      <c r="E3177" t="s">
        <v>228</v>
      </c>
      <c r="F3177">
        <v>2018</v>
      </c>
      <c r="G3177">
        <v>1.6356543098591499E-3</v>
      </c>
      <c r="H3177" t="s">
        <v>240</v>
      </c>
      <c r="I3177" t="s">
        <v>241</v>
      </c>
      <c r="J3177" t="s">
        <v>245</v>
      </c>
      <c r="K3177" s="183">
        <f ca="1">VLOOKUP(F3177,
    OFFSET(INDIRECT(ADDRESS(MATCH(J3177,'Vehicle numbers'!$A$5:$A$162,0),1,1,1,$L$6)),4,1,COUNTIF('Vehicle numbers'!$A$5:$A$162,J3177),4),
    MATCH(K$8,'Vehicle numbers'!$B$4:$D$4,0))*1000</f>
        <v>276866</v>
      </c>
      <c r="L3177" s="183">
        <f ca="1">VLOOKUP(F3177,
    OFFSET(INDIRECT(ADDRESS(MATCH(J3177,'Vehicle numbers'!$A$5:$A$162,0),1,1,1,$L$6)),4,1,COUNTIF('Vehicle numbers'!$A$5:$A$162,J3177),4),
    MATCH(L$8,'Vehicle numbers'!$B$4:$D$4,0))*1000</f>
        <v>290995</v>
      </c>
      <c r="M3177" s="184">
        <f ca="1">VLOOKUP(F3177,'Annual distance covered (GB)'!$A$8:$H$33,MATCH(J3177,'Annual distance covered (GB)'!$A$7:$H$7,0))</f>
        <v>12.5</v>
      </c>
      <c r="N3177" s="2">
        <f t="shared" ca="1" si="112"/>
        <v>21489.060858748609</v>
      </c>
      <c r="O3177" s="180">
        <f t="shared" ca="1" si="113"/>
        <v>7.3846838807363049E-2</v>
      </c>
      <c r="P3177" s="180"/>
      <c r="Q3177" s="180"/>
      <c r="R3177" s="180"/>
      <c r="S3177" s="180"/>
      <c r="T3177" s="180"/>
    </row>
    <row r="3178" spans="1:20" x14ac:dyDescent="0.25">
      <c r="A3178" t="s">
        <v>236</v>
      </c>
      <c r="B3178" t="s">
        <v>237</v>
      </c>
      <c r="C3178" t="s">
        <v>238</v>
      </c>
      <c r="D3178" t="s">
        <v>257</v>
      </c>
      <c r="E3178" t="s">
        <v>229</v>
      </c>
      <c r="F3178">
        <v>2018</v>
      </c>
      <c r="G3178">
        <v>2.1210000000000001E-3</v>
      </c>
      <c r="H3178" t="s">
        <v>240</v>
      </c>
      <c r="I3178" t="s">
        <v>241</v>
      </c>
      <c r="J3178" t="s">
        <v>188</v>
      </c>
      <c r="K3178" s="183">
        <f ca="1">VLOOKUP(F3178,
    OFFSET(INDIRECT(ADDRESS(MATCH(J3178,'Vehicle numbers'!$A$5:$A$162,0),1,1,1,$L$6)),4,1,COUNTIF('Vehicle numbers'!$A$5:$A$162,J3178),4),
    MATCH(K$8,'Vehicle numbers'!$B$4:$D$4,0))*1000</f>
        <v>4009887</v>
      </c>
      <c r="L3178" s="183">
        <f ca="1">VLOOKUP(F3178,
    OFFSET(INDIRECT(ADDRESS(MATCH(J3178,'Vehicle numbers'!$A$5:$A$162,0),1,1,1,$L$6)),4,1,COUNTIF('Vehicle numbers'!$A$5:$A$162,J3178),4),
    MATCH(L$8,'Vehicle numbers'!$B$4:$D$4,0))*1000</f>
        <v>4127555.9999999995</v>
      </c>
      <c r="M3178" s="184">
        <f>VLOOKUP(F3178,'Annual distance covered (GB)'!$A$8:$H$33,MATCH(J3178,'Annual distance covered (GB)'!$A$7:$H$7,0))</f>
        <v>87.6</v>
      </c>
      <c r="N3178" s="2">
        <f t="shared" ca="1" si="112"/>
        <v>191251.83671699473</v>
      </c>
      <c r="O3178" s="180">
        <f t="shared" ca="1" si="113"/>
        <v>4.6335370547848351E-2</v>
      </c>
      <c r="P3178" s="180"/>
      <c r="Q3178" s="180"/>
      <c r="R3178" s="180"/>
      <c r="S3178" s="180"/>
      <c r="T3178" s="180"/>
    </row>
    <row r="3179" spans="1:20" x14ac:dyDescent="0.25">
      <c r="A3179" t="s">
        <v>243</v>
      </c>
      <c r="B3179" t="s">
        <v>237</v>
      </c>
      <c r="C3179" t="s">
        <v>238</v>
      </c>
      <c r="D3179" t="s">
        <v>257</v>
      </c>
      <c r="E3179" t="s">
        <v>229</v>
      </c>
      <c r="F3179">
        <v>2018</v>
      </c>
      <c r="G3179">
        <v>8.4840000000000002E-4</v>
      </c>
      <c r="H3179" t="s">
        <v>240</v>
      </c>
      <c r="I3179" t="s">
        <v>241</v>
      </c>
      <c r="J3179" t="s">
        <v>188</v>
      </c>
      <c r="K3179" s="183">
        <f ca="1">VLOOKUP(F3179,
    OFFSET(INDIRECT(ADDRESS(MATCH(J3179,'Vehicle numbers'!$A$5:$A$162,0),1,1,1,$L$6)),4,1,COUNTIF('Vehicle numbers'!$A$5:$A$162,J3179),4),
    MATCH(K$8,'Vehicle numbers'!$B$4:$D$4,0))*1000</f>
        <v>4009887</v>
      </c>
      <c r="L3179" s="183">
        <f ca="1">VLOOKUP(F3179,
    OFFSET(INDIRECT(ADDRESS(MATCH(J3179,'Vehicle numbers'!$A$5:$A$162,0),1,1,1,$L$6)),4,1,COUNTIF('Vehicle numbers'!$A$5:$A$162,J3179),4),
    MATCH(L$8,'Vehicle numbers'!$B$4:$D$4,0))*1000</f>
        <v>4127555.9999999995</v>
      </c>
      <c r="M3179" s="184">
        <f>VLOOKUP(F3179,'Annual distance covered (GB)'!$A$8:$H$33,MATCH(J3179,'Annual distance covered (GB)'!$A$7:$H$7,0))</f>
        <v>87.6</v>
      </c>
      <c r="N3179" s="2">
        <f t="shared" ca="1" si="112"/>
        <v>76500.734686797907</v>
      </c>
      <c r="O3179" s="180">
        <f t="shared" ca="1" si="113"/>
        <v>1.8534148219139346E-2</v>
      </c>
      <c r="P3179" s="180"/>
      <c r="Q3179" s="180"/>
      <c r="R3179" s="180"/>
      <c r="S3179" s="180"/>
      <c r="T3179" s="180"/>
    </row>
    <row r="3180" spans="1:20" x14ac:dyDescent="0.25">
      <c r="A3180" t="s">
        <v>244</v>
      </c>
      <c r="B3180" t="s">
        <v>237</v>
      </c>
      <c r="C3180" t="s">
        <v>238</v>
      </c>
      <c r="D3180" t="s">
        <v>257</v>
      </c>
      <c r="E3180" t="s">
        <v>229</v>
      </c>
      <c r="F3180">
        <v>2018</v>
      </c>
      <c r="G3180">
        <v>2.1210000000000001E-4</v>
      </c>
      <c r="H3180" t="s">
        <v>240</v>
      </c>
      <c r="I3180" t="s">
        <v>241</v>
      </c>
      <c r="J3180" t="s">
        <v>188</v>
      </c>
      <c r="K3180" s="183">
        <f ca="1">VLOOKUP(F3180,
    OFFSET(INDIRECT(ADDRESS(MATCH(J3180,'Vehicle numbers'!$A$5:$A$162,0),1,1,1,$L$6)),4,1,COUNTIF('Vehicle numbers'!$A$5:$A$162,J3180),4),
    MATCH(K$8,'Vehicle numbers'!$B$4:$D$4,0))*1000</f>
        <v>4009887</v>
      </c>
      <c r="L3180" s="183">
        <f ca="1">VLOOKUP(F3180,
    OFFSET(INDIRECT(ADDRESS(MATCH(J3180,'Vehicle numbers'!$A$5:$A$162,0),1,1,1,$L$6)),4,1,COUNTIF('Vehicle numbers'!$A$5:$A$162,J3180),4),
    MATCH(L$8,'Vehicle numbers'!$B$4:$D$4,0))*1000</f>
        <v>4127555.9999999995</v>
      </c>
      <c r="M3180" s="184">
        <f>VLOOKUP(F3180,'Annual distance covered (GB)'!$A$8:$H$33,MATCH(J3180,'Annual distance covered (GB)'!$A$7:$H$7,0))</f>
        <v>87.6</v>
      </c>
      <c r="N3180" s="2">
        <f t="shared" ca="1" si="112"/>
        <v>19125.183671699477</v>
      </c>
      <c r="O3180" s="180">
        <f t="shared" ca="1" si="113"/>
        <v>4.6335370547848365E-3</v>
      </c>
      <c r="P3180" s="180"/>
      <c r="Q3180" s="180"/>
      <c r="R3180" s="180"/>
      <c r="S3180" s="180"/>
      <c r="T3180" s="180"/>
    </row>
    <row r="3181" spans="1:20" x14ac:dyDescent="0.25">
      <c r="A3181" t="s">
        <v>246</v>
      </c>
      <c r="B3181" t="s">
        <v>237</v>
      </c>
      <c r="C3181" t="s">
        <v>238</v>
      </c>
      <c r="D3181" t="s">
        <v>257</v>
      </c>
      <c r="E3181" t="s">
        <v>229</v>
      </c>
      <c r="F3181">
        <v>2018</v>
      </c>
      <c r="G3181">
        <v>1.6967999999999999E-4</v>
      </c>
      <c r="H3181" t="s">
        <v>240</v>
      </c>
      <c r="I3181" t="s">
        <v>241</v>
      </c>
      <c r="J3181" t="s">
        <v>188</v>
      </c>
      <c r="K3181" s="183">
        <f ca="1">VLOOKUP(F3181,
    OFFSET(INDIRECT(ADDRESS(MATCH(J3181,'Vehicle numbers'!$A$5:$A$162,0),1,1,1,$L$6)),4,1,COUNTIF('Vehicle numbers'!$A$5:$A$162,J3181),4),
    MATCH(K$8,'Vehicle numbers'!$B$4:$D$4,0))*1000</f>
        <v>4009887</v>
      </c>
      <c r="L3181" s="183">
        <f ca="1">VLOOKUP(F3181,
    OFFSET(INDIRECT(ADDRESS(MATCH(J3181,'Vehicle numbers'!$A$5:$A$162,0),1,1,1,$L$6)),4,1,COUNTIF('Vehicle numbers'!$A$5:$A$162,J3181),4),
    MATCH(L$8,'Vehicle numbers'!$B$4:$D$4,0))*1000</f>
        <v>4127555.9999999995</v>
      </c>
      <c r="M3181" s="184">
        <f>VLOOKUP(F3181,'Annual distance covered (GB)'!$A$8:$H$33,MATCH(J3181,'Annual distance covered (GB)'!$A$7:$H$7,0))</f>
        <v>87.6</v>
      </c>
      <c r="N3181" s="2">
        <f t="shared" ca="1" si="112"/>
        <v>15300.146937359579</v>
      </c>
      <c r="O3181" s="180">
        <f t="shared" ca="1" si="113"/>
        <v>3.7068296438278682E-3</v>
      </c>
      <c r="P3181" s="180"/>
      <c r="Q3181" s="180"/>
      <c r="R3181" s="180"/>
      <c r="S3181" s="180"/>
      <c r="T3181" s="180"/>
    </row>
    <row r="3182" spans="1:20" x14ac:dyDescent="0.25">
      <c r="A3182" t="s">
        <v>236</v>
      </c>
      <c r="B3182" t="s">
        <v>237</v>
      </c>
      <c r="C3182" t="s">
        <v>238</v>
      </c>
      <c r="D3182" t="s">
        <v>257</v>
      </c>
      <c r="E3182" t="s">
        <v>228</v>
      </c>
      <c r="F3182">
        <v>2018</v>
      </c>
      <c r="G3182">
        <v>9.1459999999999996E-3</v>
      </c>
      <c r="H3182" t="s">
        <v>240</v>
      </c>
      <c r="I3182" t="s">
        <v>241</v>
      </c>
      <c r="J3182" t="s">
        <v>188</v>
      </c>
      <c r="K3182" s="183">
        <f ca="1">VLOOKUP(F3182,
    OFFSET(INDIRECT(ADDRESS(MATCH(J3182,'Vehicle numbers'!$A$5:$A$162,0),1,1,1,$L$6)),4,1,COUNTIF('Vehicle numbers'!$A$5:$A$162,J3182),4),
    MATCH(K$8,'Vehicle numbers'!$B$4:$D$4,0))*1000</f>
        <v>4009887</v>
      </c>
      <c r="L3182" s="183">
        <f ca="1">VLOOKUP(F3182,
    OFFSET(INDIRECT(ADDRESS(MATCH(J3182,'Vehicle numbers'!$A$5:$A$162,0),1,1,1,$L$6)),4,1,COUNTIF('Vehicle numbers'!$A$5:$A$162,J3182),4),
    MATCH(L$8,'Vehicle numbers'!$B$4:$D$4,0))*1000</f>
        <v>4127555.9999999995</v>
      </c>
      <c r="M3182" s="184">
        <f>VLOOKUP(F3182,'Annual distance covered (GB)'!$A$8:$H$33,MATCH(J3182,'Annual distance covered (GB)'!$A$7:$H$7,0))</f>
        <v>87.6</v>
      </c>
      <c r="N3182" s="2">
        <f t="shared" ca="1" si="112"/>
        <v>824700.28223179351</v>
      </c>
      <c r="O3182" s="180">
        <f t="shared" ca="1" si="113"/>
        <v>0.19980353561085387</v>
      </c>
      <c r="P3182" s="180"/>
      <c r="Q3182" s="180"/>
      <c r="R3182" s="180"/>
      <c r="S3182" s="180"/>
      <c r="T3182" s="180"/>
    </row>
    <row r="3183" spans="1:20" x14ac:dyDescent="0.25">
      <c r="A3183" t="s">
        <v>243</v>
      </c>
      <c r="B3183" t="s">
        <v>237</v>
      </c>
      <c r="C3183" t="s">
        <v>238</v>
      </c>
      <c r="D3183" t="s">
        <v>257</v>
      </c>
      <c r="E3183" t="s">
        <v>228</v>
      </c>
      <c r="F3183">
        <v>2018</v>
      </c>
      <c r="G3183">
        <v>6.4022000000000003E-3</v>
      </c>
      <c r="H3183" t="s">
        <v>240</v>
      </c>
      <c r="I3183" t="s">
        <v>241</v>
      </c>
      <c r="J3183" t="s">
        <v>188</v>
      </c>
      <c r="K3183" s="183">
        <f ca="1">VLOOKUP(F3183,
    OFFSET(INDIRECT(ADDRESS(MATCH(J3183,'Vehicle numbers'!$A$5:$A$162,0),1,1,1,$L$6)),4,1,COUNTIF('Vehicle numbers'!$A$5:$A$162,J3183),4),
    MATCH(K$8,'Vehicle numbers'!$B$4:$D$4,0))*1000</f>
        <v>4009887</v>
      </c>
      <c r="L3183" s="183">
        <f ca="1">VLOOKUP(F3183,
    OFFSET(INDIRECT(ADDRESS(MATCH(J3183,'Vehicle numbers'!$A$5:$A$162,0),1,1,1,$L$6)),4,1,COUNTIF('Vehicle numbers'!$A$5:$A$162,J3183),4),
    MATCH(L$8,'Vehicle numbers'!$B$4:$D$4,0))*1000</f>
        <v>4127555.9999999995</v>
      </c>
      <c r="M3183" s="184">
        <f>VLOOKUP(F3183,'Annual distance covered (GB)'!$A$8:$H$33,MATCH(J3183,'Annual distance covered (GB)'!$A$7:$H$7,0))</f>
        <v>87.6</v>
      </c>
      <c r="N3183" s="2">
        <f t="shared" ca="1" si="112"/>
        <v>577290.19756225543</v>
      </c>
      <c r="O3183" s="180">
        <f t="shared" ca="1" si="113"/>
        <v>0.13986247492759771</v>
      </c>
      <c r="P3183" s="180"/>
      <c r="Q3183" s="180"/>
      <c r="R3183" s="180"/>
      <c r="S3183" s="180"/>
      <c r="T3183" s="180"/>
    </row>
    <row r="3184" spans="1:20" x14ac:dyDescent="0.25">
      <c r="A3184" t="s">
        <v>244</v>
      </c>
      <c r="B3184" t="s">
        <v>237</v>
      </c>
      <c r="C3184" t="s">
        <v>238</v>
      </c>
      <c r="D3184" t="s">
        <v>257</v>
      </c>
      <c r="E3184" t="s">
        <v>228</v>
      </c>
      <c r="F3184">
        <v>2018</v>
      </c>
      <c r="G3184">
        <v>9.0171830985915399E-4</v>
      </c>
      <c r="H3184" t="s">
        <v>240</v>
      </c>
      <c r="I3184" t="s">
        <v>241</v>
      </c>
      <c r="J3184" t="s">
        <v>188</v>
      </c>
      <c r="K3184" s="183">
        <f ca="1">VLOOKUP(F3184,
    OFFSET(INDIRECT(ADDRESS(MATCH(J3184,'Vehicle numbers'!$A$5:$A$162,0),1,1,1,$L$6)),4,1,COUNTIF('Vehicle numbers'!$A$5:$A$162,J3184),4),
    MATCH(K$8,'Vehicle numbers'!$B$4:$D$4,0))*1000</f>
        <v>4009887</v>
      </c>
      <c r="L3184" s="183">
        <f ca="1">VLOOKUP(F3184,
    OFFSET(INDIRECT(ADDRESS(MATCH(J3184,'Vehicle numbers'!$A$5:$A$162,0),1,1,1,$L$6)),4,1,COUNTIF('Vehicle numbers'!$A$5:$A$162,J3184),4),
    MATCH(L$8,'Vehicle numbers'!$B$4:$D$4,0))*1000</f>
        <v>4127555.9999999995</v>
      </c>
      <c r="M3184" s="184">
        <f>VLOOKUP(F3184,'Annual distance covered (GB)'!$A$8:$H$33,MATCH(J3184,'Annual distance covered (GB)'!$A$7:$H$7,0))</f>
        <v>87.6</v>
      </c>
      <c r="N3184" s="2">
        <f t="shared" ca="1" si="112"/>
        <v>81308.47852989503</v>
      </c>
      <c r="O3184" s="180">
        <f t="shared" ca="1" si="113"/>
        <v>1.969894013064754E-2</v>
      </c>
      <c r="P3184" s="180"/>
      <c r="Q3184" s="180"/>
      <c r="R3184" s="180"/>
      <c r="S3184" s="180"/>
      <c r="T3184" s="180"/>
    </row>
    <row r="3185" spans="1:20" x14ac:dyDescent="0.25">
      <c r="A3185" t="s">
        <v>246</v>
      </c>
      <c r="B3185" t="s">
        <v>237</v>
      </c>
      <c r="C3185" t="s">
        <v>238</v>
      </c>
      <c r="D3185" t="s">
        <v>257</v>
      </c>
      <c r="E3185" t="s">
        <v>228</v>
      </c>
      <c r="F3185">
        <v>2018</v>
      </c>
      <c r="G3185">
        <v>7.21374647887323E-4</v>
      </c>
      <c r="H3185" t="s">
        <v>240</v>
      </c>
      <c r="I3185" t="s">
        <v>241</v>
      </c>
      <c r="J3185" t="s">
        <v>188</v>
      </c>
      <c r="K3185" s="183">
        <f ca="1">VLOOKUP(F3185,
    OFFSET(INDIRECT(ADDRESS(MATCH(J3185,'Vehicle numbers'!$A$5:$A$162,0),1,1,1,$L$6)),4,1,COUNTIF('Vehicle numbers'!$A$5:$A$162,J3185),4),
    MATCH(K$8,'Vehicle numbers'!$B$4:$D$4,0))*1000</f>
        <v>4009887</v>
      </c>
      <c r="L3185" s="183">
        <f ca="1">VLOOKUP(F3185,
    OFFSET(INDIRECT(ADDRESS(MATCH(J3185,'Vehicle numbers'!$A$5:$A$162,0),1,1,1,$L$6)),4,1,COUNTIF('Vehicle numbers'!$A$5:$A$162,J3185),4),
    MATCH(L$8,'Vehicle numbers'!$B$4:$D$4,0))*1000</f>
        <v>4127555.9999999995</v>
      </c>
      <c r="M3185" s="184">
        <f>VLOOKUP(F3185,'Annual distance covered (GB)'!$A$8:$H$33,MATCH(J3185,'Annual distance covered (GB)'!$A$7:$H$7,0))</f>
        <v>87.6</v>
      </c>
      <c r="N3185" s="2">
        <f t="shared" ca="1" si="112"/>
        <v>65046.782823916015</v>
      </c>
      <c r="O3185" s="180">
        <f t="shared" ca="1" si="113"/>
        <v>1.5759152104518032E-2</v>
      </c>
      <c r="P3185" s="180"/>
      <c r="Q3185" s="180"/>
      <c r="R3185" s="180"/>
      <c r="S3185" s="180"/>
      <c r="T3185" s="180"/>
    </row>
    <row r="3186" spans="1:20" x14ac:dyDescent="0.25">
      <c r="A3186" t="s">
        <v>236</v>
      </c>
      <c r="B3186" t="s">
        <v>237</v>
      </c>
      <c r="C3186" t="s">
        <v>238</v>
      </c>
      <c r="D3186" t="s">
        <v>258</v>
      </c>
      <c r="E3186" t="s">
        <v>229</v>
      </c>
      <c r="F3186">
        <v>2018</v>
      </c>
      <c r="G3186">
        <v>8.6220000000000099E-3</v>
      </c>
      <c r="H3186" t="s">
        <v>240</v>
      </c>
      <c r="I3186" t="s">
        <v>241</v>
      </c>
      <c r="J3186" t="s">
        <v>188</v>
      </c>
      <c r="K3186" s="183">
        <f ca="1">VLOOKUP(F3186,
    OFFSET(INDIRECT(ADDRESS(MATCH(J3186,'Vehicle numbers'!$A$5:$A$162,0),1,1,1,$L$6)),4,1,COUNTIF('Vehicle numbers'!$A$5:$A$162,J3186),4),
    MATCH(K$8,'Vehicle numbers'!$B$4:$D$4,0))*1000</f>
        <v>4009887</v>
      </c>
      <c r="L3186" s="183">
        <f ca="1">VLOOKUP(F3186,
    OFFSET(INDIRECT(ADDRESS(MATCH(J3186,'Vehicle numbers'!$A$5:$A$162,0),1,1,1,$L$6)),4,1,COUNTIF('Vehicle numbers'!$A$5:$A$162,J3186),4),
    MATCH(L$8,'Vehicle numbers'!$B$4:$D$4,0))*1000</f>
        <v>4127555.9999999995</v>
      </c>
      <c r="M3186" s="184">
        <f>VLOOKUP(F3186,'Annual distance covered (GB)'!$A$8:$H$33,MATCH(J3186,'Annual distance covered (GB)'!$A$7:$H$7,0))</f>
        <v>87.6</v>
      </c>
      <c r="N3186" s="2">
        <f t="shared" ca="1" si="112"/>
        <v>777450.88928521005</v>
      </c>
      <c r="O3186" s="180">
        <f t="shared" ca="1" si="113"/>
        <v>0.18835623048729325</v>
      </c>
      <c r="P3186" s="180"/>
      <c r="Q3186" s="180"/>
      <c r="R3186" s="180"/>
      <c r="S3186" s="180"/>
      <c r="T3186" s="180"/>
    </row>
    <row r="3187" spans="1:20" x14ac:dyDescent="0.25">
      <c r="A3187" t="s">
        <v>243</v>
      </c>
      <c r="B3187" t="s">
        <v>237</v>
      </c>
      <c r="C3187" t="s">
        <v>238</v>
      </c>
      <c r="D3187" t="s">
        <v>258</v>
      </c>
      <c r="E3187" t="s">
        <v>229</v>
      </c>
      <c r="F3187">
        <v>2018</v>
      </c>
      <c r="G3187">
        <v>3.4488000000000001E-3</v>
      </c>
      <c r="H3187" t="s">
        <v>240</v>
      </c>
      <c r="I3187" t="s">
        <v>241</v>
      </c>
      <c r="J3187" t="s">
        <v>188</v>
      </c>
      <c r="K3187" s="183">
        <f ca="1">VLOOKUP(F3187,
    OFFSET(INDIRECT(ADDRESS(MATCH(J3187,'Vehicle numbers'!$A$5:$A$162,0),1,1,1,$L$6)),4,1,COUNTIF('Vehicle numbers'!$A$5:$A$162,J3187),4),
    MATCH(K$8,'Vehicle numbers'!$B$4:$D$4,0))*1000</f>
        <v>4009887</v>
      </c>
      <c r="L3187" s="183">
        <f ca="1">VLOOKUP(F3187,
    OFFSET(INDIRECT(ADDRESS(MATCH(J3187,'Vehicle numbers'!$A$5:$A$162,0),1,1,1,$L$6)),4,1,COUNTIF('Vehicle numbers'!$A$5:$A$162,J3187),4),
    MATCH(L$8,'Vehicle numbers'!$B$4:$D$4,0))*1000</f>
        <v>4127555.9999999995</v>
      </c>
      <c r="M3187" s="184">
        <f>VLOOKUP(F3187,'Annual distance covered (GB)'!$A$8:$H$33,MATCH(J3187,'Annual distance covered (GB)'!$A$7:$H$7,0))</f>
        <v>87.6</v>
      </c>
      <c r="N3187" s="2">
        <f t="shared" ca="1" si="112"/>
        <v>310980.35571408365</v>
      </c>
      <c r="O3187" s="180">
        <f t="shared" ca="1" si="113"/>
        <v>7.5342492194917204E-2</v>
      </c>
      <c r="P3187" s="180"/>
      <c r="Q3187" s="180"/>
      <c r="R3187" s="180"/>
      <c r="S3187" s="180"/>
      <c r="T3187" s="180"/>
    </row>
    <row r="3188" spans="1:20" x14ac:dyDescent="0.25">
      <c r="A3188" t="s">
        <v>244</v>
      </c>
      <c r="B3188" t="s">
        <v>237</v>
      </c>
      <c r="C3188" t="s">
        <v>238</v>
      </c>
      <c r="D3188" t="s">
        <v>258</v>
      </c>
      <c r="E3188" t="s">
        <v>229</v>
      </c>
      <c r="F3188">
        <v>2018</v>
      </c>
      <c r="G3188">
        <v>8.6220000000000003E-4</v>
      </c>
      <c r="H3188" t="s">
        <v>240</v>
      </c>
      <c r="I3188" t="s">
        <v>241</v>
      </c>
      <c r="J3188" t="s">
        <v>188</v>
      </c>
      <c r="K3188" s="183">
        <f ca="1">VLOOKUP(F3188,
    OFFSET(INDIRECT(ADDRESS(MATCH(J3188,'Vehicle numbers'!$A$5:$A$162,0),1,1,1,$L$6)),4,1,COUNTIF('Vehicle numbers'!$A$5:$A$162,J3188),4),
    MATCH(K$8,'Vehicle numbers'!$B$4:$D$4,0))*1000</f>
        <v>4009887</v>
      </c>
      <c r="L3188" s="183">
        <f ca="1">VLOOKUP(F3188,
    OFFSET(INDIRECT(ADDRESS(MATCH(J3188,'Vehicle numbers'!$A$5:$A$162,0),1,1,1,$L$6)),4,1,COUNTIF('Vehicle numbers'!$A$5:$A$162,J3188),4),
    MATCH(L$8,'Vehicle numbers'!$B$4:$D$4,0))*1000</f>
        <v>4127555.9999999995</v>
      </c>
      <c r="M3188" s="184">
        <f>VLOOKUP(F3188,'Annual distance covered (GB)'!$A$8:$H$33,MATCH(J3188,'Annual distance covered (GB)'!$A$7:$H$7,0))</f>
        <v>87.6</v>
      </c>
      <c r="N3188" s="2">
        <f t="shared" ca="1" si="112"/>
        <v>77745.088928520912</v>
      </c>
      <c r="O3188" s="180">
        <f t="shared" ca="1" si="113"/>
        <v>1.8835623048729301E-2</v>
      </c>
      <c r="P3188" s="180"/>
      <c r="Q3188" s="180"/>
      <c r="R3188" s="180"/>
      <c r="S3188" s="180"/>
      <c r="T3188" s="180"/>
    </row>
    <row r="3189" spans="1:20" x14ac:dyDescent="0.25">
      <c r="A3189" t="s">
        <v>246</v>
      </c>
      <c r="B3189" t="s">
        <v>237</v>
      </c>
      <c r="C3189" t="s">
        <v>238</v>
      </c>
      <c r="D3189" t="s">
        <v>258</v>
      </c>
      <c r="E3189" t="s">
        <v>229</v>
      </c>
      <c r="F3189">
        <v>2018</v>
      </c>
      <c r="G3189">
        <v>6.8975999999999998E-4</v>
      </c>
      <c r="H3189" t="s">
        <v>240</v>
      </c>
      <c r="I3189" t="s">
        <v>241</v>
      </c>
      <c r="J3189" t="s">
        <v>188</v>
      </c>
      <c r="K3189" s="183">
        <f ca="1">VLOOKUP(F3189,
    OFFSET(INDIRECT(ADDRESS(MATCH(J3189,'Vehicle numbers'!$A$5:$A$162,0),1,1,1,$L$6)),4,1,COUNTIF('Vehicle numbers'!$A$5:$A$162,J3189),4),
    MATCH(K$8,'Vehicle numbers'!$B$4:$D$4,0))*1000</f>
        <v>4009887</v>
      </c>
      <c r="L3189" s="183">
        <f ca="1">VLOOKUP(F3189,
    OFFSET(INDIRECT(ADDRESS(MATCH(J3189,'Vehicle numbers'!$A$5:$A$162,0),1,1,1,$L$6)),4,1,COUNTIF('Vehicle numbers'!$A$5:$A$162,J3189),4),
    MATCH(L$8,'Vehicle numbers'!$B$4:$D$4,0))*1000</f>
        <v>4127555.9999999995</v>
      </c>
      <c r="M3189" s="184">
        <f>VLOOKUP(F3189,'Annual distance covered (GB)'!$A$8:$H$33,MATCH(J3189,'Annual distance covered (GB)'!$A$7:$H$7,0))</f>
        <v>87.6</v>
      </c>
      <c r="N3189" s="2">
        <f t="shared" ca="1" si="112"/>
        <v>62196.071142816734</v>
      </c>
      <c r="O3189" s="180">
        <f t="shared" ca="1" si="113"/>
        <v>1.5068498438983443E-2</v>
      </c>
      <c r="P3189" s="180"/>
      <c r="Q3189" s="180"/>
      <c r="R3189" s="180"/>
      <c r="S3189" s="180"/>
      <c r="T3189" s="180"/>
    </row>
    <row r="3190" spans="1:20" x14ac:dyDescent="0.25">
      <c r="A3190" t="s">
        <v>236</v>
      </c>
      <c r="B3190" t="s">
        <v>237</v>
      </c>
      <c r="C3190" t="s">
        <v>238</v>
      </c>
      <c r="D3190" t="s">
        <v>258</v>
      </c>
      <c r="E3190" t="s">
        <v>228</v>
      </c>
      <c r="F3190">
        <v>2018</v>
      </c>
      <c r="G3190">
        <v>1.0741000000000001E-2</v>
      </c>
      <c r="H3190" t="s">
        <v>240</v>
      </c>
      <c r="I3190" t="s">
        <v>241</v>
      </c>
      <c r="J3190" t="s">
        <v>188</v>
      </c>
      <c r="K3190" s="183">
        <f ca="1">VLOOKUP(F3190,
    OFFSET(INDIRECT(ADDRESS(MATCH(J3190,'Vehicle numbers'!$A$5:$A$162,0),1,1,1,$L$6)),4,1,COUNTIF('Vehicle numbers'!$A$5:$A$162,J3190),4),
    MATCH(K$8,'Vehicle numbers'!$B$4:$D$4,0))*1000</f>
        <v>4009887</v>
      </c>
      <c r="L3190" s="183">
        <f ca="1">VLOOKUP(F3190,
    OFFSET(INDIRECT(ADDRESS(MATCH(J3190,'Vehicle numbers'!$A$5:$A$162,0),1,1,1,$L$6)),4,1,COUNTIF('Vehicle numbers'!$A$5:$A$162,J3190),4),
    MATCH(L$8,'Vehicle numbers'!$B$4:$D$4,0))*1000</f>
        <v>4127555.9999999995</v>
      </c>
      <c r="M3190" s="184">
        <f>VLOOKUP(F3190,'Annual distance covered (GB)'!$A$8:$H$33,MATCH(J3190,'Annual distance covered (GB)'!$A$7:$H$7,0))</f>
        <v>87.6</v>
      </c>
      <c r="N3190" s="2">
        <f t="shared" ca="1" si="112"/>
        <v>968522.3848077514</v>
      </c>
      <c r="O3190" s="180">
        <f t="shared" ca="1" si="113"/>
        <v>0.234647909030853</v>
      </c>
      <c r="P3190" s="180"/>
      <c r="Q3190" s="180"/>
      <c r="R3190" s="180"/>
      <c r="S3190" s="180"/>
      <c r="T3190" s="180"/>
    </row>
    <row r="3191" spans="1:20" x14ac:dyDescent="0.25">
      <c r="A3191" t="s">
        <v>243</v>
      </c>
      <c r="B3191" t="s">
        <v>237</v>
      </c>
      <c r="C3191" t="s">
        <v>238</v>
      </c>
      <c r="D3191" t="s">
        <v>258</v>
      </c>
      <c r="E3191" t="s">
        <v>228</v>
      </c>
      <c r="F3191">
        <v>2018</v>
      </c>
      <c r="G3191">
        <v>7.5186999999999997E-3</v>
      </c>
      <c r="H3191" t="s">
        <v>240</v>
      </c>
      <c r="I3191" t="s">
        <v>241</v>
      </c>
      <c r="J3191" t="s">
        <v>188</v>
      </c>
      <c r="K3191" s="183">
        <f ca="1">VLOOKUP(F3191,
    OFFSET(INDIRECT(ADDRESS(MATCH(J3191,'Vehicle numbers'!$A$5:$A$162,0),1,1,1,$L$6)),4,1,COUNTIF('Vehicle numbers'!$A$5:$A$162,J3191),4),
    MATCH(K$8,'Vehicle numbers'!$B$4:$D$4,0))*1000</f>
        <v>4009887</v>
      </c>
      <c r="L3191" s="183">
        <f ca="1">VLOOKUP(F3191,
    OFFSET(INDIRECT(ADDRESS(MATCH(J3191,'Vehicle numbers'!$A$5:$A$162,0),1,1,1,$L$6)),4,1,COUNTIF('Vehicle numbers'!$A$5:$A$162,J3191),4),
    MATCH(L$8,'Vehicle numbers'!$B$4:$D$4,0))*1000</f>
        <v>4127555.9999999995</v>
      </c>
      <c r="M3191" s="184">
        <f>VLOOKUP(F3191,'Annual distance covered (GB)'!$A$8:$H$33,MATCH(J3191,'Annual distance covered (GB)'!$A$7:$H$7,0))</f>
        <v>87.6</v>
      </c>
      <c r="N3191" s="2">
        <f t="shared" ca="1" si="112"/>
        <v>677965.66936542583</v>
      </c>
      <c r="O3191" s="180">
        <f t="shared" ca="1" si="113"/>
        <v>0.16425353632159706</v>
      </c>
      <c r="P3191" s="180"/>
      <c r="Q3191" s="180"/>
      <c r="R3191" s="180"/>
      <c r="S3191" s="180"/>
      <c r="T3191" s="180"/>
    </row>
    <row r="3192" spans="1:20" x14ac:dyDescent="0.25">
      <c r="A3192" t="s">
        <v>244</v>
      </c>
      <c r="B3192" t="s">
        <v>237</v>
      </c>
      <c r="C3192" t="s">
        <v>238</v>
      </c>
      <c r="D3192" t="s">
        <v>258</v>
      </c>
      <c r="E3192" t="s">
        <v>228</v>
      </c>
      <c r="F3192">
        <v>2018</v>
      </c>
      <c r="G3192">
        <v>1.05897183098591E-3</v>
      </c>
      <c r="H3192" t="s">
        <v>240</v>
      </c>
      <c r="I3192" t="s">
        <v>241</v>
      </c>
      <c r="J3192" t="s">
        <v>188</v>
      </c>
      <c r="K3192" s="183">
        <f ca="1">VLOOKUP(F3192,
    OFFSET(INDIRECT(ADDRESS(MATCH(J3192,'Vehicle numbers'!$A$5:$A$162,0),1,1,1,$L$6)),4,1,COUNTIF('Vehicle numbers'!$A$5:$A$162,J3192),4),
    MATCH(K$8,'Vehicle numbers'!$B$4:$D$4,0))*1000</f>
        <v>4009887</v>
      </c>
      <c r="L3192" s="183">
        <f ca="1">VLOOKUP(F3192,
    OFFSET(INDIRECT(ADDRESS(MATCH(J3192,'Vehicle numbers'!$A$5:$A$162,0),1,1,1,$L$6)),4,1,COUNTIF('Vehicle numbers'!$A$5:$A$162,J3192),4),
    MATCH(L$8,'Vehicle numbers'!$B$4:$D$4,0))*1000</f>
        <v>4127555.9999999995</v>
      </c>
      <c r="M3192" s="184">
        <f>VLOOKUP(F3192,'Annual distance covered (GB)'!$A$8:$H$33,MATCH(J3192,'Annual distance covered (GB)'!$A$7:$H$7,0))</f>
        <v>87.6</v>
      </c>
      <c r="N3192" s="2">
        <f t="shared" ca="1" si="112"/>
        <v>95488.122445834146</v>
      </c>
      <c r="O3192" s="180">
        <f t="shared" ca="1" si="113"/>
        <v>2.3134300890365667E-2</v>
      </c>
      <c r="P3192" s="180"/>
      <c r="Q3192" s="180"/>
      <c r="R3192" s="180"/>
      <c r="S3192" s="180"/>
      <c r="T3192" s="180"/>
    </row>
    <row r="3193" spans="1:20" x14ac:dyDescent="0.25">
      <c r="A3193" t="s">
        <v>246</v>
      </c>
      <c r="B3193" t="s">
        <v>237</v>
      </c>
      <c r="C3193" t="s">
        <v>238</v>
      </c>
      <c r="D3193" t="s">
        <v>258</v>
      </c>
      <c r="E3193" t="s">
        <v>228</v>
      </c>
      <c r="F3193">
        <v>2018</v>
      </c>
      <c r="G3193">
        <v>8.47177464788731E-4</v>
      </c>
      <c r="H3193" t="s">
        <v>240</v>
      </c>
      <c r="I3193" t="s">
        <v>241</v>
      </c>
      <c r="J3193" t="s">
        <v>188</v>
      </c>
      <c r="K3193" s="183">
        <f ca="1">VLOOKUP(F3193,
    OFFSET(INDIRECT(ADDRESS(MATCH(J3193,'Vehicle numbers'!$A$5:$A$162,0),1,1,1,$L$6)),4,1,COUNTIF('Vehicle numbers'!$A$5:$A$162,J3193),4),
    MATCH(K$8,'Vehicle numbers'!$B$4:$D$4,0))*1000</f>
        <v>4009887</v>
      </c>
      <c r="L3193" s="183">
        <f ca="1">VLOOKUP(F3193,
    OFFSET(INDIRECT(ADDRESS(MATCH(J3193,'Vehicle numbers'!$A$5:$A$162,0),1,1,1,$L$6)),4,1,COUNTIF('Vehicle numbers'!$A$5:$A$162,J3193),4),
    MATCH(L$8,'Vehicle numbers'!$B$4:$D$4,0))*1000</f>
        <v>4127555.9999999995</v>
      </c>
      <c r="M3193" s="184">
        <f>VLOOKUP(F3193,'Annual distance covered (GB)'!$A$8:$H$33,MATCH(J3193,'Annual distance covered (GB)'!$A$7:$H$7,0))</f>
        <v>87.6</v>
      </c>
      <c r="N3193" s="2">
        <f t="shared" ca="1" si="112"/>
        <v>76390.49795666759</v>
      </c>
      <c r="O3193" s="180">
        <f t="shared" ca="1" si="113"/>
        <v>1.85074407122926E-2</v>
      </c>
      <c r="P3193" s="180"/>
      <c r="Q3193" s="180"/>
      <c r="R3193" s="180"/>
      <c r="S3193" s="180"/>
      <c r="T3193" s="180"/>
    </row>
    <row r="3194" spans="1:20" x14ac:dyDescent="0.25">
      <c r="A3194" t="s">
        <v>236</v>
      </c>
      <c r="B3194" t="s">
        <v>237</v>
      </c>
      <c r="C3194" t="s">
        <v>238</v>
      </c>
      <c r="D3194" t="s">
        <v>259</v>
      </c>
      <c r="E3194" t="s">
        <v>229</v>
      </c>
      <c r="F3194">
        <v>2018</v>
      </c>
      <c r="G3194">
        <v>1.8218999999999999E-2</v>
      </c>
      <c r="H3194" t="s">
        <v>240</v>
      </c>
      <c r="I3194" t="s">
        <v>241</v>
      </c>
      <c r="J3194" t="s">
        <v>188</v>
      </c>
      <c r="K3194" s="183">
        <f ca="1">VLOOKUP(F3194,
    OFFSET(INDIRECT(ADDRESS(MATCH(J3194,'Vehicle numbers'!$A$5:$A$162,0),1,1,1,$L$6)),4,1,COUNTIF('Vehicle numbers'!$A$5:$A$162,J3194),4),
    MATCH(K$8,'Vehicle numbers'!$B$4:$D$4,0))*1000</f>
        <v>4009887</v>
      </c>
      <c r="L3194" s="183">
        <f ca="1">VLOOKUP(F3194,
    OFFSET(INDIRECT(ADDRESS(MATCH(J3194,'Vehicle numbers'!$A$5:$A$162,0),1,1,1,$L$6)),4,1,COUNTIF('Vehicle numbers'!$A$5:$A$162,J3194),4),
    MATCH(L$8,'Vehicle numbers'!$B$4:$D$4,0))*1000</f>
        <v>4127555.9999999995</v>
      </c>
      <c r="M3194" s="184">
        <f>VLOOKUP(F3194,'Annual distance covered (GB)'!$A$8:$H$33,MATCH(J3194,'Annual distance covered (GB)'!$A$7:$H$7,0))</f>
        <v>87.6</v>
      </c>
      <c r="N3194" s="2">
        <f t="shared" ca="1" si="112"/>
        <v>1642818.1108660665</v>
      </c>
      <c r="O3194" s="180">
        <f t="shared" ca="1" si="113"/>
        <v>0.39801231306518114</v>
      </c>
      <c r="P3194" s="180"/>
      <c r="Q3194" s="180"/>
      <c r="R3194" s="180"/>
      <c r="S3194" s="180"/>
      <c r="T3194" s="180"/>
    </row>
    <row r="3195" spans="1:20" x14ac:dyDescent="0.25">
      <c r="A3195" t="s">
        <v>243</v>
      </c>
      <c r="B3195" t="s">
        <v>237</v>
      </c>
      <c r="C3195" t="s">
        <v>238</v>
      </c>
      <c r="D3195" t="s">
        <v>259</v>
      </c>
      <c r="E3195" t="s">
        <v>229</v>
      </c>
      <c r="F3195">
        <v>2018</v>
      </c>
      <c r="G3195">
        <v>7.2876E-3</v>
      </c>
      <c r="H3195" t="s">
        <v>240</v>
      </c>
      <c r="I3195" t="s">
        <v>241</v>
      </c>
      <c r="J3195" t="s">
        <v>188</v>
      </c>
      <c r="K3195" s="183">
        <f ca="1">VLOOKUP(F3195,
    OFFSET(INDIRECT(ADDRESS(MATCH(J3195,'Vehicle numbers'!$A$5:$A$162,0),1,1,1,$L$6)),4,1,COUNTIF('Vehicle numbers'!$A$5:$A$162,J3195),4),
    MATCH(K$8,'Vehicle numbers'!$B$4:$D$4,0))*1000</f>
        <v>4009887</v>
      </c>
      <c r="L3195" s="183">
        <f ca="1">VLOOKUP(F3195,
    OFFSET(INDIRECT(ADDRESS(MATCH(J3195,'Vehicle numbers'!$A$5:$A$162,0),1,1,1,$L$6)),4,1,COUNTIF('Vehicle numbers'!$A$5:$A$162,J3195),4),
    MATCH(L$8,'Vehicle numbers'!$B$4:$D$4,0))*1000</f>
        <v>4127555.9999999995</v>
      </c>
      <c r="M3195" s="184">
        <f>VLOOKUP(F3195,'Annual distance covered (GB)'!$A$8:$H$33,MATCH(J3195,'Annual distance covered (GB)'!$A$7:$H$7,0))</f>
        <v>87.6</v>
      </c>
      <c r="N3195" s="2">
        <f t="shared" ca="1" si="112"/>
        <v>657127.24434642657</v>
      </c>
      <c r="O3195" s="180">
        <f t="shared" ca="1" si="113"/>
        <v>0.15920492522607244</v>
      </c>
      <c r="P3195" s="180"/>
      <c r="Q3195" s="180"/>
      <c r="R3195" s="180"/>
      <c r="S3195" s="180"/>
      <c r="T3195" s="180"/>
    </row>
    <row r="3196" spans="1:20" x14ac:dyDescent="0.25">
      <c r="A3196" t="s">
        <v>244</v>
      </c>
      <c r="B3196" t="s">
        <v>237</v>
      </c>
      <c r="C3196" t="s">
        <v>238</v>
      </c>
      <c r="D3196" t="s">
        <v>259</v>
      </c>
      <c r="E3196" t="s">
        <v>229</v>
      </c>
      <c r="F3196">
        <v>2018</v>
      </c>
      <c r="G3196">
        <v>1.8219E-3</v>
      </c>
      <c r="H3196" t="s">
        <v>240</v>
      </c>
      <c r="I3196" t="s">
        <v>241</v>
      </c>
      <c r="J3196" t="s">
        <v>188</v>
      </c>
      <c r="K3196" s="183">
        <f ca="1">VLOOKUP(F3196,
    OFFSET(INDIRECT(ADDRESS(MATCH(J3196,'Vehicle numbers'!$A$5:$A$162,0),1,1,1,$L$6)),4,1,COUNTIF('Vehicle numbers'!$A$5:$A$162,J3196),4),
    MATCH(K$8,'Vehicle numbers'!$B$4:$D$4,0))*1000</f>
        <v>4009887</v>
      </c>
      <c r="L3196" s="183">
        <f ca="1">VLOOKUP(F3196,
    OFFSET(INDIRECT(ADDRESS(MATCH(J3196,'Vehicle numbers'!$A$5:$A$162,0),1,1,1,$L$6)),4,1,COUNTIF('Vehicle numbers'!$A$5:$A$162,J3196),4),
    MATCH(L$8,'Vehicle numbers'!$B$4:$D$4,0))*1000</f>
        <v>4127555.9999999995</v>
      </c>
      <c r="M3196" s="184">
        <f>VLOOKUP(F3196,'Annual distance covered (GB)'!$A$8:$H$33,MATCH(J3196,'Annual distance covered (GB)'!$A$7:$H$7,0))</f>
        <v>87.6</v>
      </c>
      <c r="N3196" s="2">
        <f t="shared" ca="1" si="112"/>
        <v>164281.81108660664</v>
      </c>
      <c r="O3196" s="180">
        <f t="shared" ca="1" si="113"/>
        <v>3.9801231306518109E-2</v>
      </c>
      <c r="P3196" s="180"/>
      <c r="Q3196" s="180"/>
      <c r="R3196" s="180"/>
      <c r="S3196" s="180"/>
      <c r="T3196" s="180"/>
    </row>
    <row r="3197" spans="1:20" x14ac:dyDescent="0.25">
      <c r="A3197" t="s">
        <v>246</v>
      </c>
      <c r="B3197" t="s">
        <v>237</v>
      </c>
      <c r="C3197" t="s">
        <v>238</v>
      </c>
      <c r="D3197" t="s">
        <v>259</v>
      </c>
      <c r="E3197" t="s">
        <v>229</v>
      </c>
      <c r="F3197">
        <v>2018</v>
      </c>
      <c r="G3197">
        <v>1.4575199999999999E-3</v>
      </c>
      <c r="H3197" t="s">
        <v>240</v>
      </c>
      <c r="I3197" t="s">
        <v>241</v>
      </c>
      <c r="J3197" t="s">
        <v>188</v>
      </c>
      <c r="K3197" s="183">
        <f ca="1">VLOOKUP(F3197,
    OFFSET(INDIRECT(ADDRESS(MATCH(J3197,'Vehicle numbers'!$A$5:$A$162,0),1,1,1,$L$6)),4,1,COUNTIF('Vehicle numbers'!$A$5:$A$162,J3197),4),
    MATCH(K$8,'Vehicle numbers'!$B$4:$D$4,0))*1000</f>
        <v>4009887</v>
      </c>
      <c r="L3197" s="183">
        <f ca="1">VLOOKUP(F3197,
    OFFSET(INDIRECT(ADDRESS(MATCH(J3197,'Vehicle numbers'!$A$5:$A$162,0),1,1,1,$L$6)),4,1,COUNTIF('Vehicle numbers'!$A$5:$A$162,J3197),4),
    MATCH(L$8,'Vehicle numbers'!$B$4:$D$4,0))*1000</f>
        <v>4127555.9999999995</v>
      </c>
      <c r="M3197" s="184">
        <f>VLOOKUP(F3197,'Annual distance covered (GB)'!$A$8:$H$33,MATCH(J3197,'Annual distance covered (GB)'!$A$7:$H$7,0))</f>
        <v>87.6</v>
      </c>
      <c r="N3197" s="2">
        <f t="shared" ca="1" si="112"/>
        <v>131425.44886928532</v>
      </c>
      <c r="O3197" s="180">
        <f t="shared" ca="1" si="113"/>
        <v>3.1840985045214487E-2</v>
      </c>
      <c r="P3197" s="180"/>
      <c r="Q3197" s="180"/>
      <c r="R3197" s="180"/>
      <c r="S3197" s="180"/>
      <c r="T3197" s="180"/>
    </row>
    <row r="3198" spans="1:20" x14ac:dyDescent="0.25">
      <c r="A3198" t="s">
        <v>236</v>
      </c>
      <c r="B3198" t="s">
        <v>237</v>
      </c>
      <c r="C3198" t="s">
        <v>238</v>
      </c>
      <c r="D3198" t="s">
        <v>259</v>
      </c>
      <c r="E3198" t="s">
        <v>228</v>
      </c>
      <c r="F3198">
        <v>2018</v>
      </c>
      <c r="G3198">
        <v>1.3802E-2</v>
      </c>
      <c r="H3198" t="s">
        <v>240</v>
      </c>
      <c r="I3198" t="s">
        <v>241</v>
      </c>
      <c r="J3198" t="s">
        <v>188</v>
      </c>
      <c r="K3198" s="183">
        <f ca="1">VLOOKUP(F3198,
    OFFSET(INDIRECT(ADDRESS(MATCH(J3198,'Vehicle numbers'!$A$5:$A$162,0),1,1,1,$L$6)),4,1,COUNTIF('Vehicle numbers'!$A$5:$A$162,J3198),4),
    MATCH(K$8,'Vehicle numbers'!$B$4:$D$4,0))*1000</f>
        <v>4009887</v>
      </c>
      <c r="L3198" s="183">
        <f ca="1">VLOOKUP(F3198,
    OFFSET(INDIRECT(ADDRESS(MATCH(J3198,'Vehicle numbers'!$A$5:$A$162,0),1,1,1,$L$6)),4,1,COUNTIF('Vehicle numbers'!$A$5:$A$162,J3198),4),
    MATCH(L$8,'Vehicle numbers'!$B$4:$D$4,0))*1000</f>
        <v>4127555.9999999995</v>
      </c>
      <c r="M3198" s="184">
        <f>VLOOKUP(F3198,'Annual distance covered (GB)'!$A$8:$H$33,MATCH(J3198,'Annual distance covered (GB)'!$A$7:$H$7,0))</f>
        <v>87.6</v>
      </c>
      <c r="N3198" s="2">
        <f t="shared" ca="1" si="112"/>
        <v>1244534.5829174737</v>
      </c>
      <c r="O3198" s="180">
        <f t="shared" ca="1" si="113"/>
        <v>0.30151852159424947</v>
      </c>
      <c r="P3198" s="180"/>
      <c r="Q3198" s="180"/>
      <c r="R3198" s="180"/>
      <c r="S3198" s="180"/>
      <c r="T3198" s="180"/>
    </row>
    <row r="3199" spans="1:20" x14ac:dyDescent="0.25">
      <c r="A3199" t="s">
        <v>243</v>
      </c>
      <c r="B3199" t="s">
        <v>237</v>
      </c>
      <c r="C3199" t="s">
        <v>238</v>
      </c>
      <c r="D3199" t="s">
        <v>259</v>
      </c>
      <c r="E3199" t="s">
        <v>228</v>
      </c>
      <c r="F3199">
        <v>2018</v>
      </c>
      <c r="G3199">
        <v>9.6614000000000005E-3</v>
      </c>
      <c r="H3199" t="s">
        <v>240</v>
      </c>
      <c r="I3199" t="s">
        <v>241</v>
      </c>
      <c r="J3199" t="s">
        <v>188</v>
      </c>
      <c r="K3199" s="183">
        <f ca="1">VLOOKUP(F3199,
    OFFSET(INDIRECT(ADDRESS(MATCH(J3199,'Vehicle numbers'!$A$5:$A$162,0),1,1,1,$L$6)),4,1,COUNTIF('Vehicle numbers'!$A$5:$A$162,J3199),4),
    MATCH(K$8,'Vehicle numbers'!$B$4:$D$4,0))*1000</f>
        <v>4009887</v>
      </c>
      <c r="L3199" s="183">
        <f ca="1">VLOOKUP(F3199,
    OFFSET(INDIRECT(ADDRESS(MATCH(J3199,'Vehicle numbers'!$A$5:$A$162,0),1,1,1,$L$6)),4,1,COUNTIF('Vehicle numbers'!$A$5:$A$162,J3199),4),
    MATCH(L$8,'Vehicle numbers'!$B$4:$D$4,0))*1000</f>
        <v>4127555.9999999995</v>
      </c>
      <c r="M3199" s="184">
        <f>VLOOKUP(F3199,'Annual distance covered (GB)'!$A$8:$H$33,MATCH(J3199,'Annual distance covered (GB)'!$A$7:$H$7,0))</f>
        <v>87.6</v>
      </c>
      <c r="N3199" s="2">
        <f t="shared" ca="1" si="112"/>
        <v>871174.20804223162</v>
      </c>
      <c r="O3199" s="180">
        <f t="shared" ca="1" si="113"/>
        <v>0.21106296511597461</v>
      </c>
      <c r="P3199" s="180"/>
      <c r="Q3199" s="180"/>
      <c r="R3199" s="180"/>
      <c r="S3199" s="180"/>
      <c r="T3199" s="180"/>
    </row>
    <row r="3200" spans="1:20" x14ac:dyDescent="0.25">
      <c r="A3200" t="s">
        <v>244</v>
      </c>
      <c r="B3200" t="s">
        <v>237</v>
      </c>
      <c r="C3200" t="s">
        <v>238</v>
      </c>
      <c r="D3200" t="s">
        <v>259</v>
      </c>
      <c r="E3200" t="s">
        <v>228</v>
      </c>
      <c r="F3200">
        <v>2018</v>
      </c>
      <c r="G3200">
        <v>1.3607605633802801E-3</v>
      </c>
      <c r="H3200" t="s">
        <v>240</v>
      </c>
      <c r="I3200" t="s">
        <v>241</v>
      </c>
      <c r="J3200" t="s">
        <v>188</v>
      </c>
      <c r="K3200" s="183">
        <f ca="1">VLOOKUP(F3200,
    OFFSET(INDIRECT(ADDRESS(MATCH(J3200,'Vehicle numbers'!$A$5:$A$162,0),1,1,1,$L$6)),4,1,COUNTIF('Vehicle numbers'!$A$5:$A$162,J3200),4),
    MATCH(K$8,'Vehicle numbers'!$B$4:$D$4,0))*1000</f>
        <v>4009887</v>
      </c>
      <c r="L3200" s="183">
        <f ca="1">VLOOKUP(F3200,
    OFFSET(INDIRECT(ADDRESS(MATCH(J3200,'Vehicle numbers'!$A$5:$A$162,0),1,1,1,$L$6)),4,1,COUNTIF('Vehicle numbers'!$A$5:$A$162,J3200),4),
    MATCH(L$8,'Vehicle numbers'!$B$4:$D$4,0))*1000</f>
        <v>4127555.9999999995</v>
      </c>
      <c r="M3200" s="184">
        <f>VLOOKUP(F3200,'Annual distance covered (GB)'!$A$8:$H$33,MATCH(J3200,'Annual distance covered (GB)'!$A$7:$H$7,0))</f>
        <v>87.6</v>
      </c>
      <c r="N3200" s="2">
        <f t="shared" ca="1" si="112"/>
        <v>122700.5926820043</v>
      </c>
      <c r="O3200" s="180">
        <f t="shared" ca="1" si="113"/>
        <v>2.97271781853485E-2</v>
      </c>
      <c r="P3200" s="180"/>
      <c r="Q3200" s="180"/>
      <c r="R3200" s="180"/>
      <c r="S3200" s="180"/>
      <c r="T3200" s="180"/>
    </row>
    <row r="3201" spans="1:20" x14ac:dyDescent="0.25">
      <c r="A3201" t="s">
        <v>246</v>
      </c>
      <c r="B3201" t="s">
        <v>237</v>
      </c>
      <c r="C3201" t="s">
        <v>238</v>
      </c>
      <c r="D3201" t="s">
        <v>259</v>
      </c>
      <c r="E3201" t="s">
        <v>228</v>
      </c>
      <c r="F3201">
        <v>2018</v>
      </c>
      <c r="G3201">
        <v>1.0886084507042201E-3</v>
      </c>
      <c r="H3201" t="s">
        <v>240</v>
      </c>
      <c r="I3201" t="s">
        <v>241</v>
      </c>
      <c r="J3201" t="s">
        <v>188</v>
      </c>
      <c r="K3201" s="183">
        <f ca="1">VLOOKUP(F3201,
    OFFSET(INDIRECT(ADDRESS(MATCH(J3201,'Vehicle numbers'!$A$5:$A$162,0),1,1,1,$L$6)),4,1,COUNTIF('Vehicle numbers'!$A$5:$A$162,J3201),4),
    MATCH(K$8,'Vehicle numbers'!$B$4:$D$4,0))*1000</f>
        <v>4009887</v>
      </c>
      <c r="L3201" s="183">
        <f ca="1">VLOOKUP(F3201,
    OFFSET(INDIRECT(ADDRESS(MATCH(J3201,'Vehicle numbers'!$A$5:$A$162,0),1,1,1,$L$6)),4,1,COUNTIF('Vehicle numbers'!$A$5:$A$162,J3201),4),
    MATCH(L$8,'Vehicle numbers'!$B$4:$D$4,0))*1000</f>
        <v>4127555.9999999995</v>
      </c>
      <c r="M3201" s="184">
        <f>VLOOKUP(F3201,'Annual distance covered (GB)'!$A$8:$H$33,MATCH(J3201,'Annual distance covered (GB)'!$A$7:$H$7,0))</f>
        <v>87.6</v>
      </c>
      <c r="N3201" s="2">
        <f t="shared" ca="1" si="112"/>
        <v>98160.47414560309</v>
      </c>
      <c r="O3201" s="180">
        <f t="shared" ca="1" si="113"/>
        <v>2.3781742548278716E-2</v>
      </c>
      <c r="P3201" s="180"/>
      <c r="Q3201" s="180"/>
      <c r="R3201" s="180"/>
      <c r="S3201" s="180"/>
      <c r="T3201" s="180"/>
    </row>
    <row r="3202" spans="1:20" x14ac:dyDescent="0.25">
      <c r="A3202" t="s">
        <v>236</v>
      </c>
      <c r="B3202" t="s">
        <v>237</v>
      </c>
      <c r="C3202" t="s">
        <v>238</v>
      </c>
      <c r="D3202" t="s">
        <v>260</v>
      </c>
      <c r="E3202" t="s">
        <v>229</v>
      </c>
      <c r="F3202">
        <v>2018</v>
      </c>
      <c r="G3202">
        <v>5.8399999999999902E-3</v>
      </c>
      <c r="H3202" t="s">
        <v>240</v>
      </c>
      <c r="I3202" t="s">
        <v>241</v>
      </c>
      <c r="J3202" t="s">
        <v>3</v>
      </c>
      <c r="K3202" s="183">
        <f ca="1">VLOOKUP(F3202,
    OFFSET(INDIRECT(ADDRESS(MATCH(J3202,'Vehicle numbers'!$A$5:$A$162,0),1,1,1,$L$6)),4,1,COUNTIF('Vehicle numbers'!$A$5:$A$162,J3202),4),
    MATCH(K$8,'Vehicle numbers'!$B$4:$D$4,0))*1000</f>
        <v>1242690</v>
      </c>
      <c r="L3202" s="183">
        <f ca="1">VLOOKUP(F3202,
    OFFSET(INDIRECT(ADDRESS(MATCH(J3202,'Vehicle numbers'!$A$5:$A$162,0),1,1,1,$L$6)),4,1,COUNTIF('Vehicle numbers'!$A$5:$A$162,J3202),4),
    MATCH(L$8,'Vehicle numbers'!$B$4:$D$4,0))*1000</f>
        <v>1265142</v>
      </c>
      <c r="M3202" s="184">
        <f>VLOOKUP(F3202,'Annual distance covered (GB)'!$A$8:$H$33,MATCH(J3202,'Annual distance covered (GB)'!$A$7:$H$7,0))</f>
        <v>4.8</v>
      </c>
      <c r="N3202" s="2">
        <f t="shared" ca="1" si="112"/>
        <v>28538.461357216955</v>
      </c>
      <c r="O3202" s="180">
        <f t="shared" ca="1" si="113"/>
        <v>2.2557516355647789E-2</v>
      </c>
      <c r="P3202" s="180"/>
      <c r="Q3202" s="180"/>
      <c r="R3202" s="180"/>
      <c r="S3202" s="180"/>
      <c r="T3202" s="180"/>
    </row>
    <row r="3203" spans="1:20" x14ac:dyDescent="0.25">
      <c r="A3203" t="s">
        <v>243</v>
      </c>
      <c r="B3203" t="s">
        <v>237</v>
      </c>
      <c r="C3203" t="s">
        <v>238</v>
      </c>
      <c r="D3203" t="s">
        <v>260</v>
      </c>
      <c r="E3203" t="s">
        <v>229</v>
      </c>
      <c r="F3203">
        <v>2018</v>
      </c>
      <c r="G3203">
        <v>2.336E-3</v>
      </c>
      <c r="H3203" t="s">
        <v>240</v>
      </c>
      <c r="I3203" t="s">
        <v>241</v>
      </c>
      <c r="J3203" t="s">
        <v>3</v>
      </c>
      <c r="K3203" s="183">
        <f ca="1">VLOOKUP(F3203,
    OFFSET(INDIRECT(ADDRESS(MATCH(J3203,'Vehicle numbers'!$A$5:$A$162,0),1,1,1,$L$6)),4,1,COUNTIF('Vehicle numbers'!$A$5:$A$162,J3203),4),
    MATCH(K$8,'Vehicle numbers'!$B$4:$D$4,0))*1000</f>
        <v>1242690</v>
      </c>
      <c r="L3203" s="183">
        <f ca="1">VLOOKUP(F3203,
    OFFSET(INDIRECT(ADDRESS(MATCH(J3203,'Vehicle numbers'!$A$5:$A$162,0),1,1,1,$L$6)),4,1,COUNTIF('Vehicle numbers'!$A$5:$A$162,J3203),4),
    MATCH(L$8,'Vehicle numbers'!$B$4:$D$4,0))*1000</f>
        <v>1265142</v>
      </c>
      <c r="M3203" s="184">
        <f>VLOOKUP(F3203,'Annual distance covered (GB)'!$A$8:$H$33,MATCH(J3203,'Annual distance covered (GB)'!$A$7:$H$7,0))</f>
        <v>4.8</v>
      </c>
      <c r="N3203" s="2">
        <f t="shared" ca="1" si="112"/>
        <v>11415.384542886803</v>
      </c>
      <c r="O3203" s="180">
        <f t="shared" ca="1" si="113"/>
        <v>9.0230065422591318E-3</v>
      </c>
      <c r="P3203" s="180"/>
      <c r="Q3203" s="180"/>
      <c r="R3203" s="180"/>
      <c r="S3203" s="180"/>
      <c r="T3203" s="180"/>
    </row>
    <row r="3204" spans="1:20" x14ac:dyDescent="0.25">
      <c r="A3204" t="s">
        <v>244</v>
      </c>
      <c r="B3204" t="s">
        <v>237</v>
      </c>
      <c r="C3204" t="s">
        <v>238</v>
      </c>
      <c r="D3204" t="s">
        <v>260</v>
      </c>
      <c r="E3204" t="s">
        <v>229</v>
      </c>
      <c r="F3204">
        <v>2018</v>
      </c>
      <c r="G3204">
        <v>5.8399999999999999E-4</v>
      </c>
      <c r="H3204" t="s">
        <v>240</v>
      </c>
      <c r="I3204" t="s">
        <v>241</v>
      </c>
      <c r="J3204" t="s">
        <v>3</v>
      </c>
      <c r="K3204" s="183">
        <f ca="1">VLOOKUP(F3204,
    OFFSET(INDIRECT(ADDRESS(MATCH(J3204,'Vehicle numbers'!$A$5:$A$162,0),1,1,1,$L$6)),4,1,COUNTIF('Vehicle numbers'!$A$5:$A$162,J3204),4),
    MATCH(K$8,'Vehicle numbers'!$B$4:$D$4,0))*1000</f>
        <v>1242690</v>
      </c>
      <c r="L3204" s="183">
        <f ca="1">VLOOKUP(F3204,
    OFFSET(INDIRECT(ADDRESS(MATCH(J3204,'Vehicle numbers'!$A$5:$A$162,0),1,1,1,$L$6)),4,1,COUNTIF('Vehicle numbers'!$A$5:$A$162,J3204),4),
    MATCH(L$8,'Vehicle numbers'!$B$4:$D$4,0))*1000</f>
        <v>1265142</v>
      </c>
      <c r="M3204" s="184">
        <f>VLOOKUP(F3204,'Annual distance covered (GB)'!$A$8:$H$33,MATCH(J3204,'Annual distance covered (GB)'!$A$7:$H$7,0))</f>
        <v>4.8</v>
      </c>
      <c r="N3204" s="2">
        <f t="shared" ca="1" si="112"/>
        <v>2853.8461357217006</v>
      </c>
      <c r="O3204" s="180">
        <f t="shared" ca="1" si="113"/>
        <v>2.2557516355647829E-3</v>
      </c>
      <c r="P3204" s="180"/>
      <c r="Q3204" s="180"/>
      <c r="R3204" s="180"/>
      <c r="S3204" s="180"/>
      <c r="T3204" s="180"/>
    </row>
    <row r="3205" spans="1:20" x14ac:dyDescent="0.25">
      <c r="A3205" t="s">
        <v>246</v>
      </c>
      <c r="B3205" t="s">
        <v>237</v>
      </c>
      <c r="C3205" t="s">
        <v>238</v>
      </c>
      <c r="D3205" t="s">
        <v>260</v>
      </c>
      <c r="E3205" t="s">
        <v>229</v>
      </c>
      <c r="F3205">
        <v>2018</v>
      </c>
      <c r="G3205">
        <v>4.6720000000000003E-4</v>
      </c>
      <c r="H3205" t="s">
        <v>240</v>
      </c>
      <c r="I3205" t="s">
        <v>241</v>
      </c>
      <c r="J3205" t="s">
        <v>3</v>
      </c>
      <c r="K3205" s="183">
        <f ca="1">VLOOKUP(F3205,
    OFFSET(INDIRECT(ADDRESS(MATCH(J3205,'Vehicle numbers'!$A$5:$A$162,0),1,1,1,$L$6)),4,1,COUNTIF('Vehicle numbers'!$A$5:$A$162,J3205),4),
    MATCH(K$8,'Vehicle numbers'!$B$4:$D$4,0))*1000</f>
        <v>1242690</v>
      </c>
      <c r="L3205" s="183">
        <f ca="1">VLOOKUP(F3205,
    OFFSET(INDIRECT(ADDRESS(MATCH(J3205,'Vehicle numbers'!$A$5:$A$162,0),1,1,1,$L$6)),4,1,COUNTIF('Vehicle numbers'!$A$5:$A$162,J3205),4),
    MATCH(L$8,'Vehicle numbers'!$B$4:$D$4,0))*1000</f>
        <v>1265142</v>
      </c>
      <c r="M3205" s="184">
        <f>VLOOKUP(F3205,'Annual distance covered (GB)'!$A$8:$H$33,MATCH(J3205,'Annual distance covered (GB)'!$A$7:$H$7,0))</f>
        <v>4.8</v>
      </c>
      <c r="N3205" s="2">
        <f t="shared" ca="1" si="112"/>
        <v>2283.0769085773609</v>
      </c>
      <c r="O3205" s="180">
        <f t="shared" ca="1" si="113"/>
        <v>1.8046013084518267E-3</v>
      </c>
      <c r="P3205" s="180"/>
      <c r="Q3205" s="180"/>
      <c r="R3205" s="180"/>
      <c r="S3205" s="180"/>
      <c r="T3205" s="180"/>
    </row>
    <row r="3206" spans="1:20" x14ac:dyDescent="0.25">
      <c r="A3206" t="s">
        <v>236</v>
      </c>
      <c r="B3206" t="s">
        <v>237</v>
      </c>
      <c r="C3206" t="s">
        <v>238</v>
      </c>
      <c r="D3206" t="s">
        <v>260</v>
      </c>
      <c r="E3206" t="s">
        <v>228</v>
      </c>
      <c r="F3206">
        <v>2018</v>
      </c>
      <c r="G3206">
        <v>3.7569999999999899E-3</v>
      </c>
      <c r="H3206" t="s">
        <v>240</v>
      </c>
      <c r="I3206" t="s">
        <v>241</v>
      </c>
      <c r="J3206" t="s">
        <v>3</v>
      </c>
      <c r="K3206" s="183">
        <f ca="1">VLOOKUP(F3206,
    OFFSET(INDIRECT(ADDRESS(MATCH(J3206,'Vehicle numbers'!$A$5:$A$162,0),1,1,1,$L$6)),4,1,COUNTIF('Vehicle numbers'!$A$5:$A$162,J3206),4),
    MATCH(K$8,'Vehicle numbers'!$B$4:$D$4,0))*1000</f>
        <v>1242690</v>
      </c>
      <c r="L3206" s="183">
        <f ca="1">VLOOKUP(F3206,
    OFFSET(INDIRECT(ADDRESS(MATCH(J3206,'Vehicle numbers'!$A$5:$A$162,0),1,1,1,$L$6)),4,1,COUNTIF('Vehicle numbers'!$A$5:$A$162,J3206),4),
    MATCH(L$8,'Vehicle numbers'!$B$4:$D$4,0))*1000</f>
        <v>1265142</v>
      </c>
      <c r="M3206" s="184">
        <f>VLOOKUP(F3206,'Annual distance covered (GB)'!$A$8:$H$33,MATCH(J3206,'Annual distance covered (GB)'!$A$7:$H$7,0))</f>
        <v>4.8</v>
      </c>
      <c r="N3206" s="2">
        <f t="shared" ca="1" si="112"/>
        <v>18359.417691620547</v>
      </c>
      <c r="O3206" s="180">
        <f t="shared" ca="1" si="113"/>
        <v>1.4511744682905593E-2</v>
      </c>
      <c r="P3206" s="180"/>
      <c r="Q3206" s="180"/>
      <c r="R3206" s="180"/>
      <c r="S3206" s="180"/>
      <c r="T3206" s="180"/>
    </row>
    <row r="3207" spans="1:20" x14ac:dyDescent="0.25">
      <c r="A3207" t="s">
        <v>243</v>
      </c>
      <c r="B3207" t="s">
        <v>237</v>
      </c>
      <c r="C3207" t="s">
        <v>238</v>
      </c>
      <c r="D3207" t="s">
        <v>260</v>
      </c>
      <c r="E3207" t="s">
        <v>228</v>
      </c>
      <c r="F3207">
        <v>2018</v>
      </c>
      <c r="G3207">
        <v>2.6298999999999901E-3</v>
      </c>
      <c r="H3207" t="s">
        <v>240</v>
      </c>
      <c r="I3207" t="s">
        <v>241</v>
      </c>
      <c r="J3207" t="s">
        <v>3</v>
      </c>
      <c r="K3207" s="183">
        <f ca="1">VLOOKUP(F3207,
    OFFSET(INDIRECT(ADDRESS(MATCH(J3207,'Vehicle numbers'!$A$5:$A$162,0),1,1,1,$L$6)),4,1,COUNTIF('Vehicle numbers'!$A$5:$A$162,J3207),4),
    MATCH(K$8,'Vehicle numbers'!$B$4:$D$4,0))*1000</f>
        <v>1242690</v>
      </c>
      <c r="L3207" s="183">
        <f ca="1">VLOOKUP(F3207,
    OFFSET(INDIRECT(ADDRESS(MATCH(J3207,'Vehicle numbers'!$A$5:$A$162,0),1,1,1,$L$6)),4,1,COUNTIF('Vehicle numbers'!$A$5:$A$162,J3207),4),
    MATCH(L$8,'Vehicle numbers'!$B$4:$D$4,0))*1000</f>
        <v>1265142</v>
      </c>
      <c r="M3207" s="184">
        <f>VLOOKUP(F3207,'Annual distance covered (GB)'!$A$8:$H$33,MATCH(J3207,'Annual distance covered (GB)'!$A$7:$H$7,0))</f>
        <v>4.8</v>
      </c>
      <c r="N3207" s="2">
        <f t="shared" ca="1" si="112"/>
        <v>12851.59238413437</v>
      </c>
      <c r="O3207" s="180">
        <f t="shared" ca="1" si="113"/>
        <v>1.0158221278033905E-2</v>
      </c>
      <c r="P3207" s="180"/>
      <c r="Q3207" s="180"/>
      <c r="R3207" s="180"/>
      <c r="S3207" s="180"/>
      <c r="T3207" s="180"/>
    </row>
    <row r="3208" spans="1:20" x14ac:dyDescent="0.25">
      <c r="A3208" t="s">
        <v>244</v>
      </c>
      <c r="B3208" t="s">
        <v>237</v>
      </c>
      <c r="C3208" t="s">
        <v>238</v>
      </c>
      <c r="D3208" t="s">
        <v>260</v>
      </c>
      <c r="E3208" t="s">
        <v>228</v>
      </c>
      <c r="F3208">
        <v>2018</v>
      </c>
      <c r="G3208">
        <v>3.7040845070422299E-4</v>
      </c>
      <c r="H3208" t="s">
        <v>240</v>
      </c>
      <c r="I3208" t="s">
        <v>241</v>
      </c>
      <c r="J3208" t="s">
        <v>3</v>
      </c>
      <c r="K3208" s="183">
        <f ca="1">VLOOKUP(F3208,
    OFFSET(INDIRECT(ADDRESS(MATCH(J3208,'Vehicle numbers'!$A$5:$A$162,0),1,1,1,$L$6)),4,1,COUNTIF('Vehicle numbers'!$A$5:$A$162,J3208),4),
    MATCH(K$8,'Vehicle numbers'!$B$4:$D$4,0))*1000</f>
        <v>1242690</v>
      </c>
      <c r="L3208" s="183">
        <f ca="1">VLOOKUP(F3208,
    OFFSET(INDIRECT(ADDRESS(MATCH(J3208,'Vehicle numbers'!$A$5:$A$162,0),1,1,1,$L$6)),4,1,COUNTIF('Vehicle numbers'!$A$5:$A$162,J3208),4),
    MATCH(L$8,'Vehicle numbers'!$B$4:$D$4,0))*1000</f>
        <v>1265142</v>
      </c>
      <c r="M3208" s="184">
        <f>VLOOKUP(F3208,'Annual distance covered (GB)'!$A$8:$H$33,MATCH(J3208,'Annual distance covered (GB)'!$A$7:$H$7,0))</f>
        <v>4.8</v>
      </c>
      <c r="N3208" s="2">
        <f t="shared" ca="1" si="112"/>
        <v>1810.0834343851177</v>
      </c>
      <c r="O3208" s="180">
        <f t="shared" ca="1" si="113"/>
        <v>1.4307353912723772E-3</v>
      </c>
      <c r="P3208" s="180"/>
      <c r="Q3208" s="180"/>
      <c r="R3208" s="180"/>
      <c r="S3208" s="180"/>
      <c r="T3208" s="180"/>
    </row>
    <row r="3209" spans="1:20" x14ac:dyDescent="0.25">
      <c r="A3209" t="s">
        <v>246</v>
      </c>
      <c r="B3209" t="s">
        <v>237</v>
      </c>
      <c r="C3209" t="s">
        <v>238</v>
      </c>
      <c r="D3209" t="s">
        <v>260</v>
      </c>
      <c r="E3209" t="s">
        <v>228</v>
      </c>
      <c r="F3209">
        <v>2018</v>
      </c>
      <c r="G3209">
        <v>2.9632676056337901E-4</v>
      </c>
      <c r="H3209" t="s">
        <v>240</v>
      </c>
      <c r="I3209" t="s">
        <v>241</v>
      </c>
      <c r="J3209" t="s">
        <v>3</v>
      </c>
      <c r="K3209" s="183">
        <f ca="1">VLOOKUP(F3209,
    OFFSET(INDIRECT(ADDRESS(MATCH(J3209,'Vehicle numbers'!$A$5:$A$162,0),1,1,1,$L$6)),4,1,COUNTIF('Vehicle numbers'!$A$5:$A$162,J3209),4),
    MATCH(K$8,'Vehicle numbers'!$B$4:$D$4,0))*1000</f>
        <v>1242690</v>
      </c>
      <c r="L3209" s="183">
        <f ca="1">VLOOKUP(F3209,
    OFFSET(INDIRECT(ADDRESS(MATCH(J3209,'Vehicle numbers'!$A$5:$A$162,0),1,1,1,$L$6)),4,1,COUNTIF('Vehicle numbers'!$A$5:$A$162,J3209),4),
    MATCH(L$8,'Vehicle numbers'!$B$4:$D$4,0))*1000</f>
        <v>1265142</v>
      </c>
      <c r="M3209" s="184">
        <f>VLOOKUP(F3209,'Annual distance covered (GB)'!$A$8:$H$33,MATCH(J3209,'Annual distance covered (GB)'!$A$7:$H$7,0))</f>
        <v>4.8</v>
      </c>
      <c r="N3209" s="2">
        <f t="shared" ca="1" si="112"/>
        <v>1448.066747508097</v>
      </c>
      <c r="O3209" s="180">
        <f t="shared" ca="1" si="113"/>
        <v>1.1445883130179039E-3</v>
      </c>
      <c r="P3209" s="180"/>
      <c r="Q3209" s="180"/>
      <c r="R3209" s="180"/>
      <c r="S3209" s="180"/>
      <c r="T3209" s="180"/>
    </row>
    <row r="3210" spans="1:20" x14ac:dyDescent="0.25">
      <c r="A3210" t="s">
        <v>236</v>
      </c>
      <c r="B3210" t="s">
        <v>237</v>
      </c>
      <c r="C3210" t="s">
        <v>238</v>
      </c>
      <c r="D3210" t="s">
        <v>261</v>
      </c>
      <c r="E3210" t="s">
        <v>229</v>
      </c>
      <c r="F3210">
        <v>2018</v>
      </c>
      <c r="G3210">
        <v>5.8399999999999997E-3</v>
      </c>
      <c r="H3210" t="s">
        <v>240</v>
      </c>
      <c r="I3210" t="s">
        <v>241</v>
      </c>
      <c r="J3210" t="s">
        <v>3</v>
      </c>
      <c r="K3210" s="183">
        <f ca="1">VLOOKUP(F3210,
    OFFSET(INDIRECT(ADDRESS(MATCH(J3210,'Vehicle numbers'!$A$5:$A$162,0),1,1,1,$L$6)),4,1,COUNTIF('Vehicle numbers'!$A$5:$A$162,J3210),4),
    MATCH(K$8,'Vehicle numbers'!$B$4:$D$4,0))*1000</f>
        <v>1242690</v>
      </c>
      <c r="L3210" s="183">
        <f ca="1">VLOOKUP(F3210,
    OFFSET(INDIRECT(ADDRESS(MATCH(J3210,'Vehicle numbers'!$A$5:$A$162,0),1,1,1,$L$6)),4,1,COUNTIF('Vehicle numbers'!$A$5:$A$162,J3210),4),
    MATCH(L$8,'Vehicle numbers'!$B$4:$D$4,0))*1000</f>
        <v>1265142</v>
      </c>
      <c r="M3210" s="184">
        <f>VLOOKUP(F3210,'Annual distance covered (GB)'!$A$8:$H$33,MATCH(J3210,'Annual distance covered (GB)'!$A$7:$H$7,0))</f>
        <v>4.8</v>
      </c>
      <c r="N3210" s="2">
        <f t="shared" ca="1" si="112"/>
        <v>28538.461357216998</v>
      </c>
      <c r="O3210" s="180">
        <f t="shared" ca="1" si="113"/>
        <v>2.2557516355647823E-2</v>
      </c>
      <c r="P3210" s="180"/>
      <c r="Q3210" s="180"/>
      <c r="R3210" s="180"/>
      <c r="S3210" s="180"/>
      <c r="T3210" s="180"/>
    </row>
    <row r="3211" spans="1:20" x14ac:dyDescent="0.25">
      <c r="A3211" t="s">
        <v>243</v>
      </c>
      <c r="B3211" t="s">
        <v>237</v>
      </c>
      <c r="C3211" t="s">
        <v>238</v>
      </c>
      <c r="D3211" t="s">
        <v>261</v>
      </c>
      <c r="E3211" t="s">
        <v>229</v>
      </c>
      <c r="F3211">
        <v>2018</v>
      </c>
      <c r="G3211">
        <v>2.336E-3</v>
      </c>
      <c r="H3211" t="s">
        <v>240</v>
      </c>
      <c r="I3211" t="s">
        <v>241</v>
      </c>
      <c r="J3211" t="s">
        <v>3</v>
      </c>
      <c r="K3211" s="183">
        <f ca="1">VLOOKUP(F3211,
    OFFSET(INDIRECT(ADDRESS(MATCH(J3211,'Vehicle numbers'!$A$5:$A$162,0),1,1,1,$L$6)),4,1,COUNTIF('Vehicle numbers'!$A$5:$A$162,J3211),4),
    MATCH(K$8,'Vehicle numbers'!$B$4:$D$4,0))*1000</f>
        <v>1242690</v>
      </c>
      <c r="L3211" s="183">
        <f ca="1">VLOOKUP(F3211,
    OFFSET(INDIRECT(ADDRESS(MATCH(J3211,'Vehicle numbers'!$A$5:$A$162,0),1,1,1,$L$6)),4,1,COUNTIF('Vehicle numbers'!$A$5:$A$162,J3211),4),
    MATCH(L$8,'Vehicle numbers'!$B$4:$D$4,0))*1000</f>
        <v>1265142</v>
      </c>
      <c r="M3211" s="184">
        <f>VLOOKUP(F3211,'Annual distance covered (GB)'!$A$8:$H$33,MATCH(J3211,'Annual distance covered (GB)'!$A$7:$H$7,0))</f>
        <v>4.8</v>
      </c>
      <c r="N3211" s="2">
        <f t="shared" ref="N3211:N3241" ca="1" si="114">M3211*G3211*1000000*(L3211/K3211)</f>
        <v>11415.384542886803</v>
      </c>
      <c r="O3211" s="180">
        <f t="shared" ref="O3211:O3241" ca="1" si="115">N3211/L3211</f>
        <v>9.0230065422591318E-3</v>
      </c>
      <c r="P3211" s="180"/>
      <c r="Q3211" s="180"/>
      <c r="R3211" s="180"/>
      <c r="S3211" s="180"/>
      <c r="T3211" s="180"/>
    </row>
    <row r="3212" spans="1:20" x14ac:dyDescent="0.25">
      <c r="A3212" t="s">
        <v>244</v>
      </c>
      <c r="B3212" t="s">
        <v>237</v>
      </c>
      <c r="C3212" t="s">
        <v>238</v>
      </c>
      <c r="D3212" t="s">
        <v>261</v>
      </c>
      <c r="E3212" t="s">
        <v>229</v>
      </c>
      <c r="F3212">
        <v>2018</v>
      </c>
      <c r="G3212">
        <v>5.8399999999999999E-4</v>
      </c>
      <c r="H3212" t="s">
        <v>240</v>
      </c>
      <c r="I3212" t="s">
        <v>241</v>
      </c>
      <c r="J3212" t="s">
        <v>3</v>
      </c>
      <c r="K3212" s="183">
        <f ca="1">VLOOKUP(F3212,
    OFFSET(INDIRECT(ADDRESS(MATCH(J3212,'Vehicle numbers'!$A$5:$A$162,0),1,1,1,$L$6)),4,1,COUNTIF('Vehicle numbers'!$A$5:$A$162,J3212),4),
    MATCH(K$8,'Vehicle numbers'!$B$4:$D$4,0))*1000</f>
        <v>1242690</v>
      </c>
      <c r="L3212" s="183">
        <f ca="1">VLOOKUP(F3212,
    OFFSET(INDIRECT(ADDRESS(MATCH(J3212,'Vehicle numbers'!$A$5:$A$162,0),1,1,1,$L$6)),4,1,COUNTIF('Vehicle numbers'!$A$5:$A$162,J3212),4),
    MATCH(L$8,'Vehicle numbers'!$B$4:$D$4,0))*1000</f>
        <v>1265142</v>
      </c>
      <c r="M3212" s="184">
        <f>VLOOKUP(F3212,'Annual distance covered (GB)'!$A$8:$H$33,MATCH(J3212,'Annual distance covered (GB)'!$A$7:$H$7,0))</f>
        <v>4.8</v>
      </c>
      <c r="N3212" s="2">
        <f t="shared" ca="1" si="114"/>
        <v>2853.8461357217006</v>
      </c>
      <c r="O3212" s="180">
        <f t="shared" ca="1" si="115"/>
        <v>2.2557516355647829E-3</v>
      </c>
      <c r="P3212" s="180"/>
      <c r="Q3212" s="180"/>
      <c r="R3212" s="180"/>
      <c r="S3212" s="180"/>
      <c r="T3212" s="180"/>
    </row>
    <row r="3213" spans="1:20" x14ac:dyDescent="0.25">
      <c r="A3213" t="s">
        <v>246</v>
      </c>
      <c r="B3213" t="s">
        <v>237</v>
      </c>
      <c r="C3213" t="s">
        <v>238</v>
      </c>
      <c r="D3213" t="s">
        <v>261</v>
      </c>
      <c r="E3213" t="s">
        <v>229</v>
      </c>
      <c r="F3213">
        <v>2018</v>
      </c>
      <c r="G3213">
        <v>4.6720000000000003E-4</v>
      </c>
      <c r="H3213" t="s">
        <v>240</v>
      </c>
      <c r="I3213" t="s">
        <v>241</v>
      </c>
      <c r="J3213" t="s">
        <v>3</v>
      </c>
      <c r="K3213" s="183">
        <f ca="1">VLOOKUP(F3213,
    OFFSET(INDIRECT(ADDRESS(MATCH(J3213,'Vehicle numbers'!$A$5:$A$162,0),1,1,1,$L$6)),4,1,COUNTIF('Vehicle numbers'!$A$5:$A$162,J3213),4),
    MATCH(K$8,'Vehicle numbers'!$B$4:$D$4,0))*1000</f>
        <v>1242690</v>
      </c>
      <c r="L3213" s="183">
        <f ca="1">VLOOKUP(F3213,
    OFFSET(INDIRECT(ADDRESS(MATCH(J3213,'Vehicle numbers'!$A$5:$A$162,0),1,1,1,$L$6)),4,1,COUNTIF('Vehicle numbers'!$A$5:$A$162,J3213),4),
    MATCH(L$8,'Vehicle numbers'!$B$4:$D$4,0))*1000</f>
        <v>1265142</v>
      </c>
      <c r="M3213" s="184">
        <f>VLOOKUP(F3213,'Annual distance covered (GB)'!$A$8:$H$33,MATCH(J3213,'Annual distance covered (GB)'!$A$7:$H$7,0))</f>
        <v>4.8</v>
      </c>
      <c r="N3213" s="2">
        <f t="shared" ca="1" si="114"/>
        <v>2283.0769085773609</v>
      </c>
      <c r="O3213" s="180">
        <f t="shared" ca="1" si="115"/>
        <v>1.8046013084518267E-3</v>
      </c>
      <c r="P3213" s="180"/>
      <c r="Q3213" s="180"/>
      <c r="R3213" s="180"/>
      <c r="S3213" s="180"/>
      <c r="T3213" s="180"/>
    </row>
    <row r="3214" spans="1:20" x14ac:dyDescent="0.25">
      <c r="A3214" t="s">
        <v>236</v>
      </c>
      <c r="B3214" t="s">
        <v>237</v>
      </c>
      <c r="C3214" t="s">
        <v>238</v>
      </c>
      <c r="D3214" t="s">
        <v>261</v>
      </c>
      <c r="E3214" t="s">
        <v>228</v>
      </c>
      <c r="F3214">
        <v>2018</v>
      </c>
      <c r="G3214">
        <v>3.7569999999999999E-3</v>
      </c>
      <c r="H3214" t="s">
        <v>240</v>
      </c>
      <c r="I3214" t="s">
        <v>241</v>
      </c>
      <c r="J3214" t="s">
        <v>3</v>
      </c>
      <c r="K3214" s="183">
        <f ca="1">VLOOKUP(F3214,
    OFFSET(INDIRECT(ADDRESS(MATCH(J3214,'Vehicle numbers'!$A$5:$A$162,0),1,1,1,$L$6)),4,1,COUNTIF('Vehicle numbers'!$A$5:$A$162,J3214),4),
    MATCH(K$8,'Vehicle numbers'!$B$4:$D$4,0))*1000</f>
        <v>1242690</v>
      </c>
      <c r="L3214" s="183">
        <f ca="1">VLOOKUP(F3214,
    OFFSET(INDIRECT(ADDRESS(MATCH(J3214,'Vehicle numbers'!$A$5:$A$162,0),1,1,1,$L$6)),4,1,COUNTIF('Vehicle numbers'!$A$5:$A$162,J3214),4),
    MATCH(L$8,'Vehicle numbers'!$B$4:$D$4,0))*1000</f>
        <v>1265142</v>
      </c>
      <c r="M3214" s="184">
        <f>VLOOKUP(F3214,'Annual distance covered (GB)'!$A$8:$H$33,MATCH(J3214,'Annual distance covered (GB)'!$A$7:$H$7,0))</f>
        <v>4.8</v>
      </c>
      <c r="N3214" s="2">
        <f t="shared" ca="1" si="114"/>
        <v>18359.417691620594</v>
      </c>
      <c r="O3214" s="180">
        <f t="shared" ca="1" si="115"/>
        <v>1.451174468290563E-2</v>
      </c>
      <c r="P3214" s="180"/>
      <c r="Q3214" s="180"/>
      <c r="R3214" s="180"/>
      <c r="S3214" s="180"/>
      <c r="T3214" s="180"/>
    </row>
    <row r="3215" spans="1:20" x14ac:dyDescent="0.25">
      <c r="A3215" t="s">
        <v>243</v>
      </c>
      <c r="B3215" t="s">
        <v>237</v>
      </c>
      <c r="C3215" t="s">
        <v>238</v>
      </c>
      <c r="D3215" t="s">
        <v>261</v>
      </c>
      <c r="E3215" t="s">
        <v>228</v>
      </c>
      <c r="F3215">
        <v>2018</v>
      </c>
      <c r="G3215">
        <v>2.6299000000000001E-3</v>
      </c>
      <c r="H3215" t="s">
        <v>240</v>
      </c>
      <c r="I3215" t="s">
        <v>241</v>
      </c>
      <c r="J3215" t="s">
        <v>3</v>
      </c>
      <c r="K3215" s="183">
        <f ca="1">VLOOKUP(F3215,
    OFFSET(INDIRECT(ADDRESS(MATCH(J3215,'Vehicle numbers'!$A$5:$A$162,0),1,1,1,$L$6)),4,1,COUNTIF('Vehicle numbers'!$A$5:$A$162,J3215),4),
    MATCH(K$8,'Vehicle numbers'!$B$4:$D$4,0))*1000</f>
        <v>1242690</v>
      </c>
      <c r="L3215" s="183">
        <f ca="1">VLOOKUP(F3215,
    OFFSET(INDIRECT(ADDRESS(MATCH(J3215,'Vehicle numbers'!$A$5:$A$162,0),1,1,1,$L$6)),4,1,COUNTIF('Vehicle numbers'!$A$5:$A$162,J3215),4),
    MATCH(L$8,'Vehicle numbers'!$B$4:$D$4,0))*1000</f>
        <v>1265142</v>
      </c>
      <c r="M3215" s="184">
        <f>VLOOKUP(F3215,'Annual distance covered (GB)'!$A$8:$H$33,MATCH(J3215,'Annual distance covered (GB)'!$A$7:$H$7,0))</f>
        <v>4.8</v>
      </c>
      <c r="N3215" s="2">
        <f t="shared" ca="1" si="114"/>
        <v>12851.592384134417</v>
      </c>
      <c r="O3215" s="180">
        <f t="shared" ca="1" si="115"/>
        <v>1.0158221278033942E-2</v>
      </c>
      <c r="P3215" s="180"/>
      <c r="Q3215" s="180"/>
      <c r="R3215" s="180"/>
      <c r="S3215" s="180"/>
      <c r="T3215" s="180"/>
    </row>
    <row r="3216" spans="1:20" x14ac:dyDescent="0.25">
      <c r="A3216" t="s">
        <v>244</v>
      </c>
      <c r="B3216" t="s">
        <v>237</v>
      </c>
      <c r="C3216" t="s">
        <v>238</v>
      </c>
      <c r="D3216" t="s">
        <v>261</v>
      </c>
      <c r="E3216" t="s">
        <v>228</v>
      </c>
      <c r="F3216">
        <v>2018</v>
      </c>
      <c r="G3216">
        <v>3.7040845070422499E-4</v>
      </c>
      <c r="H3216" t="s">
        <v>240</v>
      </c>
      <c r="I3216" t="s">
        <v>241</v>
      </c>
      <c r="J3216" t="s">
        <v>3</v>
      </c>
      <c r="K3216" s="183">
        <f ca="1">VLOOKUP(F3216,
    OFFSET(INDIRECT(ADDRESS(MATCH(J3216,'Vehicle numbers'!$A$5:$A$162,0),1,1,1,$L$6)),4,1,COUNTIF('Vehicle numbers'!$A$5:$A$162,J3216),4),
    MATCH(K$8,'Vehicle numbers'!$B$4:$D$4,0))*1000</f>
        <v>1242690</v>
      </c>
      <c r="L3216" s="183">
        <f ca="1">VLOOKUP(F3216,
    OFFSET(INDIRECT(ADDRESS(MATCH(J3216,'Vehicle numbers'!$A$5:$A$162,0),1,1,1,$L$6)),4,1,COUNTIF('Vehicle numbers'!$A$5:$A$162,J3216),4),
    MATCH(L$8,'Vehicle numbers'!$B$4:$D$4,0))*1000</f>
        <v>1265142</v>
      </c>
      <c r="M3216" s="184">
        <f>VLOOKUP(F3216,'Annual distance covered (GB)'!$A$8:$H$33,MATCH(J3216,'Annual distance covered (GB)'!$A$7:$H$7,0))</f>
        <v>4.8</v>
      </c>
      <c r="N3216" s="2">
        <f t="shared" ca="1" si="114"/>
        <v>1810.0834343851272</v>
      </c>
      <c r="O3216" s="180">
        <f t="shared" ca="1" si="115"/>
        <v>1.4307353912723845E-3</v>
      </c>
      <c r="P3216" s="180"/>
      <c r="Q3216" s="180"/>
      <c r="R3216" s="180"/>
      <c r="S3216" s="180"/>
      <c r="T3216" s="180"/>
    </row>
    <row r="3217" spans="1:20" x14ac:dyDescent="0.25">
      <c r="A3217" t="s">
        <v>246</v>
      </c>
      <c r="B3217" t="s">
        <v>237</v>
      </c>
      <c r="C3217" t="s">
        <v>238</v>
      </c>
      <c r="D3217" t="s">
        <v>261</v>
      </c>
      <c r="E3217" t="s">
        <v>228</v>
      </c>
      <c r="F3217">
        <v>2018</v>
      </c>
      <c r="G3217">
        <v>2.9632676056337998E-4</v>
      </c>
      <c r="H3217" t="s">
        <v>240</v>
      </c>
      <c r="I3217" t="s">
        <v>241</v>
      </c>
      <c r="J3217" t="s">
        <v>3</v>
      </c>
      <c r="K3217" s="183">
        <f ca="1">VLOOKUP(F3217,
    OFFSET(INDIRECT(ADDRESS(MATCH(J3217,'Vehicle numbers'!$A$5:$A$162,0),1,1,1,$L$6)),4,1,COUNTIF('Vehicle numbers'!$A$5:$A$162,J3217),4),
    MATCH(K$8,'Vehicle numbers'!$B$4:$D$4,0))*1000</f>
        <v>1242690</v>
      </c>
      <c r="L3217" s="183">
        <f ca="1">VLOOKUP(F3217,
    OFFSET(INDIRECT(ADDRESS(MATCH(J3217,'Vehicle numbers'!$A$5:$A$162,0),1,1,1,$L$6)),4,1,COUNTIF('Vehicle numbers'!$A$5:$A$162,J3217),4),
    MATCH(L$8,'Vehicle numbers'!$B$4:$D$4,0))*1000</f>
        <v>1265142</v>
      </c>
      <c r="M3217" s="184">
        <f>VLOOKUP(F3217,'Annual distance covered (GB)'!$A$8:$H$33,MATCH(J3217,'Annual distance covered (GB)'!$A$7:$H$7,0))</f>
        <v>4.8</v>
      </c>
      <c r="N3217" s="2">
        <f t="shared" ca="1" si="114"/>
        <v>1448.066747508102</v>
      </c>
      <c r="O3217" s="180">
        <f t="shared" ca="1" si="115"/>
        <v>1.1445883130179078E-3</v>
      </c>
      <c r="P3217" s="180"/>
      <c r="Q3217" s="180"/>
      <c r="R3217" s="180"/>
      <c r="S3217" s="180"/>
      <c r="T3217" s="180"/>
    </row>
    <row r="3218" spans="1:20" x14ac:dyDescent="0.25">
      <c r="A3218" t="s">
        <v>236</v>
      </c>
      <c r="B3218" t="s">
        <v>237</v>
      </c>
      <c r="C3218" t="s">
        <v>238</v>
      </c>
      <c r="D3218" t="s">
        <v>262</v>
      </c>
      <c r="E3218" t="s">
        <v>229</v>
      </c>
      <c r="F3218">
        <v>2018</v>
      </c>
      <c r="G3218">
        <v>6.7999999999999896E-4</v>
      </c>
      <c r="H3218" t="s">
        <v>240</v>
      </c>
      <c r="I3218" t="s">
        <v>241</v>
      </c>
      <c r="J3218" t="s">
        <v>3</v>
      </c>
      <c r="K3218" s="183">
        <f ca="1">VLOOKUP(F3218,
    OFFSET(INDIRECT(ADDRESS(MATCH(J3218,'Vehicle numbers'!$A$5:$A$162,0),1,1,1,$L$6)),4,1,COUNTIF('Vehicle numbers'!$A$5:$A$162,J3218),4),
    MATCH(K$8,'Vehicle numbers'!$B$4:$D$4,0))*1000</f>
        <v>1242690</v>
      </c>
      <c r="L3218" s="183">
        <f ca="1">VLOOKUP(F3218,
    OFFSET(INDIRECT(ADDRESS(MATCH(J3218,'Vehicle numbers'!$A$5:$A$162,0),1,1,1,$L$6)),4,1,COUNTIF('Vehicle numbers'!$A$5:$A$162,J3218),4),
    MATCH(L$8,'Vehicle numbers'!$B$4:$D$4,0))*1000</f>
        <v>1265142</v>
      </c>
      <c r="M3218" s="184">
        <f>VLOOKUP(F3218,'Annual distance covered (GB)'!$A$8:$H$33,MATCH(J3218,'Annual distance covered (GB)'!$A$7:$H$7,0))</f>
        <v>4.8</v>
      </c>
      <c r="N3218" s="2">
        <f t="shared" ca="1" si="114"/>
        <v>3322.9715278951248</v>
      </c>
      <c r="O3218" s="180">
        <f t="shared" ca="1" si="115"/>
        <v>2.6265601236028246E-3</v>
      </c>
      <c r="P3218" s="180"/>
      <c r="Q3218" s="180"/>
      <c r="R3218" s="180"/>
      <c r="S3218" s="180"/>
      <c r="T3218" s="180"/>
    </row>
    <row r="3219" spans="1:20" x14ac:dyDescent="0.25">
      <c r="A3219" t="s">
        <v>243</v>
      </c>
      <c r="B3219" t="s">
        <v>237</v>
      </c>
      <c r="C3219" t="s">
        <v>238</v>
      </c>
      <c r="D3219" t="s">
        <v>262</v>
      </c>
      <c r="E3219" t="s">
        <v>229</v>
      </c>
      <c r="F3219">
        <v>2018</v>
      </c>
      <c r="G3219">
        <v>2.72E-4</v>
      </c>
      <c r="H3219" t="s">
        <v>240</v>
      </c>
      <c r="I3219" t="s">
        <v>241</v>
      </c>
      <c r="J3219" t="s">
        <v>3</v>
      </c>
      <c r="K3219" s="183">
        <f ca="1">VLOOKUP(F3219,
    OFFSET(INDIRECT(ADDRESS(MATCH(J3219,'Vehicle numbers'!$A$5:$A$162,0),1,1,1,$L$6)),4,1,COUNTIF('Vehicle numbers'!$A$5:$A$162,J3219),4),
    MATCH(K$8,'Vehicle numbers'!$B$4:$D$4,0))*1000</f>
        <v>1242690</v>
      </c>
      <c r="L3219" s="183">
        <f ca="1">VLOOKUP(F3219,
    OFFSET(INDIRECT(ADDRESS(MATCH(J3219,'Vehicle numbers'!$A$5:$A$162,0),1,1,1,$L$6)),4,1,COUNTIF('Vehicle numbers'!$A$5:$A$162,J3219),4),
    MATCH(L$8,'Vehicle numbers'!$B$4:$D$4,0))*1000</f>
        <v>1265142</v>
      </c>
      <c r="M3219" s="184">
        <f>VLOOKUP(F3219,'Annual distance covered (GB)'!$A$8:$H$33,MATCH(J3219,'Annual distance covered (GB)'!$A$7:$H$7,0))</f>
        <v>4.8</v>
      </c>
      <c r="N3219" s="2">
        <f t="shared" ca="1" si="114"/>
        <v>1329.188611158052</v>
      </c>
      <c r="O3219" s="180">
        <f t="shared" ca="1" si="115"/>
        <v>1.0506240494411315E-3</v>
      </c>
      <c r="P3219" s="180"/>
      <c r="Q3219" s="180"/>
      <c r="R3219" s="180"/>
      <c r="S3219" s="180"/>
      <c r="T3219" s="180"/>
    </row>
    <row r="3220" spans="1:20" x14ac:dyDescent="0.25">
      <c r="A3220" t="s">
        <v>244</v>
      </c>
      <c r="B3220" t="s">
        <v>237</v>
      </c>
      <c r="C3220" t="s">
        <v>238</v>
      </c>
      <c r="D3220" t="s">
        <v>262</v>
      </c>
      <c r="E3220" t="s">
        <v>229</v>
      </c>
      <c r="F3220">
        <v>2018</v>
      </c>
      <c r="G3220" s="189">
        <v>6.7999999999999999E-5</v>
      </c>
      <c r="H3220" t="s">
        <v>240</v>
      </c>
      <c r="I3220" t="s">
        <v>241</v>
      </c>
      <c r="J3220" t="s">
        <v>3</v>
      </c>
      <c r="K3220" s="183">
        <f ca="1">VLOOKUP(F3220,
    OFFSET(INDIRECT(ADDRESS(MATCH(J3220,'Vehicle numbers'!$A$5:$A$162,0),1,1,1,$L$6)),4,1,COUNTIF('Vehicle numbers'!$A$5:$A$162,J3220),4),
    MATCH(K$8,'Vehicle numbers'!$B$4:$D$4,0))*1000</f>
        <v>1242690</v>
      </c>
      <c r="L3220" s="183">
        <f ca="1">VLOOKUP(F3220,
    OFFSET(INDIRECT(ADDRESS(MATCH(J3220,'Vehicle numbers'!$A$5:$A$162,0),1,1,1,$L$6)),4,1,COUNTIF('Vehicle numbers'!$A$5:$A$162,J3220),4),
    MATCH(L$8,'Vehicle numbers'!$B$4:$D$4,0))*1000</f>
        <v>1265142</v>
      </c>
      <c r="M3220" s="184">
        <f>VLOOKUP(F3220,'Annual distance covered (GB)'!$A$8:$H$33,MATCH(J3220,'Annual distance covered (GB)'!$A$7:$H$7,0))</f>
        <v>4.8</v>
      </c>
      <c r="N3220" s="2">
        <f t="shared" ca="1" si="114"/>
        <v>332.29715278951301</v>
      </c>
      <c r="O3220" s="180">
        <f t="shared" ca="1" si="115"/>
        <v>2.6265601236028288E-4</v>
      </c>
      <c r="P3220" s="180"/>
      <c r="Q3220" s="180"/>
      <c r="R3220" s="180"/>
      <c r="S3220" s="180"/>
      <c r="T3220" s="180"/>
    </row>
    <row r="3221" spans="1:20" x14ac:dyDescent="0.25">
      <c r="A3221" t="s">
        <v>246</v>
      </c>
      <c r="B3221" t="s">
        <v>237</v>
      </c>
      <c r="C3221" t="s">
        <v>238</v>
      </c>
      <c r="D3221" t="s">
        <v>262</v>
      </c>
      <c r="E3221" t="s">
        <v>229</v>
      </c>
      <c r="F3221">
        <v>2018</v>
      </c>
      <c r="G3221" s="189">
        <v>5.4400000000000001E-5</v>
      </c>
      <c r="H3221" t="s">
        <v>240</v>
      </c>
      <c r="I3221" t="s">
        <v>241</v>
      </c>
      <c r="J3221" t="s">
        <v>3</v>
      </c>
      <c r="K3221" s="183">
        <f ca="1">VLOOKUP(F3221,
    OFFSET(INDIRECT(ADDRESS(MATCH(J3221,'Vehicle numbers'!$A$5:$A$162,0),1,1,1,$L$6)),4,1,COUNTIF('Vehicle numbers'!$A$5:$A$162,J3221),4),
    MATCH(K$8,'Vehicle numbers'!$B$4:$D$4,0))*1000</f>
        <v>1242690</v>
      </c>
      <c r="L3221" s="183">
        <f ca="1">VLOOKUP(F3221,
    OFFSET(INDIRECT(ADDRESS(MATCH(J3221,'Vehicle numbers'!$A$5:$A$162,0),1,1,1,$L$6)),4,1,COUNTIF('Vehicle numbers'!$A$5:$A$162,J3221),4),
    MATCH(L$8,'Vehicle numbers'!$B$4:$D$4,0))*1000</f>
        <v>1265142</v>
      </c>
      <c r="M3221" s="184">
        <f>VLOOKUP(F3221,'Annual distance covered (GB)'!$A$8:$H$33,MATCH(J3221,'Annual distance covered (GB)'!$A$7:$H$7,0))</f>
        <v>4.8</v>
      </c>
      <c r="N3221" s="2">
        <f t="shared" ca="1" si="114"/>
        <v>265.83772223161043</v>
      </c>
      <c r="O3221" s="180">
        <f t="shared" ca="1" si="115"/>
        <v>2.1012480988822632E-4</v>
      </c>
      <c r="P3221" s="180"/>
      <c r="Q3221" s="180"/>
      <c r="R3221" s="180"/>
      <c r="S3221" s="180"/>
      <c r="T3221" s="180"/>
    </row>
    <row r="3222" spans="1:20" x14ac:dyDescent="0.25">
      <c r="A3222" t="s">
        <v>236</v>
      </c>
      <c r="B3222" t="s">
        <v>237</v>
      </c>
      <c r="C3222" t="s">
        <v>238</v>
      </c>
      <c r="D3222" t="s">
        <v>262</v>
      </c>
      <c r="E3222" t="s">
        <v>228</v>
      </c>
      <c r="F3222">
        <v>2018</v>
      </c>
      <c r="G3222">
        <v>2.49E-3</v>
      </c>
      <c r="H3222" t="s">
        <v>240</v>
      </c>
      <c r="I3222" t="s">
        <v>241</v>
      </c>
      <c r="J3222" t="s">
        <v>3</v>
      </c>
      <c r="K3222" s="183">
        <f ca="1">VLOOKUP(F3222,
    OFFSET(INDIRECT(ADDRESS(MATCH(J3222,'Vehicle numbers'!$A$5:$A$162,0),1,1,1,$L$6)),4,1,COUNTIF('Vehicle numbers'!$A$5:$A$162,J3222),4),
    MATCH(K$8,'Vehicle numbers'!$B$4:$D$4,0))*1000</f>
        <v>1242690</v>
      </c>
      <c r="L3222" s="183">
        <f ca="1">VLOOKUP(F3222,
    OFFSET(INDIRECT(ADDRESS(MATCH(J3222,'Vehicle numbers'!$A$5:$A$162,0),1,1,1,$L$6)),4,1,COUNTIF('Vehicle numbers'!$A$5:$A$162,J3222),4),
    MATCH(L$8,'Vehicle numbers'!$B$4:$D$4,0))*1000</f>
        <v>1265142</v>
      </c>
      <c r="M3222" s="184">
        <f>VLOOKUP(F3222,'Annual distance covered (GB)'!$A$8:$H$33,MATCH(J3222,'Annual distance covered (GB)'!$A$7:$H$7,0))</f>
        <v>4.8</v>
      </c>
      <c r="N3222" s="2">
        <f t="shared" ca="1" si="114"/>
        <v>12167.939859498343</v>
      </c>
      <c r="O3222" s="180">
        <f t="shared" ca="1" si="115"/>
        <v>9.6178451584868277E-3</v>
      </c>
      <c r="P3222" s="180"/>
      <c r="Q3222" s="180"/>
      <c r="R3222" s="180"/>
      <c r="S3222" s="180"/>
      <c r="T3222" s="180"/>
    </row>
    <row r="3223" spans="1:20" x14ac:dyDescent="0.25">
      <c r="A3223" t="s">
        <v>243</v>
      </c>
      <c r="B3223" t="s">
        <v>237</v>
      </c>
      <c r="C3223" t="s">
        <v>238</v>
      </c>
      <c r="D3223" t="s">
        <v>262</v>
      </c>
      <c r="E3223" t="s">
        <v>228</v>
      </c>
      <c r="F3223">
        <v>2018</v>
      </c>
      <c r="G3223">
        <v>1.743E-3</v>
      </c>
      <c r="H3223" t="s">
        <v>240</v>
      </c>
      <c r="I3223" t="s">
        <v>241</v>
      </c>
      <c r="J3223" t="s">
        <v>3</v>
      </c>
      <c r="K3223" s="183">
        <f ca="1">VLOOKUP(F3223,
    OFFSET(INDIRECT(ADDRESS(MATCH(J3223,'Vehicle numbers'!$A$5:$A$162,0),1,1,1,$L$6)),4,1,COUNTIF('Vehicle numbers'!$A$5:$A$162,J3223),4),
    MATCH(K$8,'Vehicle numbers'!$B$4:$D$4,0))*1000</f>
        <v>1242690</v>
      </c>
      <c r="L3223" s="183">
        <f ca="1">VLOOKUP(F3223,
    OFFSET(INDIRECT(ADDRESS(MATCH(J3223,'Vehicle numbers'!$A$5:$A$162,0),1,1,1,$L$6)),4,1,COUNTIF('Vehicle numbers'!$A$5:$A$162,J3223),4),
    MATCH(L$8,'Vehicle numbers'!$B$4:$D$4,0))*1000</f>
        <v>1265142</v>
      </c>
      <c r="M3223" s="184">
        <f>VLOOKUP(F3223,'Annual distance covered (GB)'!$A$8:$H$33,MATCH(J3223,'Annual distance covered (GB)'!$A$7:$H$7,0))</f>
        <v>4.8</v>
      </c>
      <c r="N3223" s="2">
        <f t="shared" ca="1" si="114"/>
        <v>8517.5579016488409</v>
      </c>
      <c r="O3223" s="180">
        <f t="shared" ca="1" si="115"/>
        <v>6.7324916109407808E-3</v>
      </c>
      <c r="P3223" s="180"/>
      <c r="Q3223" s="180"/>
      <c r="R3223" s="180"/>
      <c r="S3223" s="180"/>
      <c r="T3223" s="180"/>
    </row>
    <row r="3224" spans="1:20" x14ac:dyDescent="0.25">
      <c r="A3224" t="s">
        <v>244</v>
      </c>
      <c r="B3224" t="s">
        <v>237</v>
      </c>
      <c r="C3224" t="s">
        <v>238</v>
      </c>
      <c r="D3224" t="s">
        <v>262</v>
      </c>
      <c r="E3224" t="s">
        <v>228</v>
      </c>
      <c r="F3224">
        <v>2018</v>
      </c>
      <c r="G3224">
        <v>2.4549295774647798E-4</v>
      </c>
      <c r="H3224" t="s">
        <v>240</v>
      </c>
      <c r="I3224" t="s">
        <v>241</v>
      </c>
      <c r="J3224" t="s">
        <v>3</v>
      </c>
      <c r="K3224" s="183">
        <f ca="1">VLOOKUP(F3224,
    OFFSET(INDIRECT(ADDRESS(MATCH(J3224,'Vehicle numbers'!$A$5:$A$162,0),1,1,1,$L$6)),4,1,COUNTIF('Vehicle numbers'!$A$5:$A$162,J3224),4),
    MATCH(K$8,'Vehicle numbers'!$B$4:$D$4,0))*1000</f>
        <v>1242690</v>
      </c>
      <c r="L3224" s="183">
        <f ca="1">VLOOKUP(F3224,
    OFFSET(INDIRECT(ADDRESS(MATCH(J3224,'Vehicle numbers'!$A$5:$A$162,0),1,1,1,$L$6)),4,1,COUNTIF('Vehicle numbers'!$A$5:$A$162,J3224),4),
    MATCH(L$8,'Vehicle numbers'!$B$4:$D$4,0))*1000</f>
        <v>1265142</v>
      </c>
      <c r="M3224" s="184">
        <f>VLOOKUP(F3224,'Annual distance covered (GB)'!$A$8:$H$33,MATCH(J3224,'Annual distance covered (GB)'!$A$7:$H$7,0))</f>
        <v>4.8</v>
      </c>
      <c r="N3224" s="2">
        <f t="shared" ca="1" si="114"/>
        <v>1199.656042485748</v>
      </c>
      <c r="O3224" s="180">
        <f t="shared" ca="1" si="115"/>
        <v>9.4823825506207846E-4</v>
      </c>
      <c r="P3224" s="180"/>
      <c r="Q3224" s="180"/>
      <c r="R3224" s="180"/>
      <c r="S3224" s="180"/>
      <c r="T3224" s="180"/>
    </row>
    <row r="3225" spans="1:20" x14ac:dyDescent="0.25">
      <c r="A3225" t="s">
        <v>246</v>
      </c>
      <c r="B3225" t="s">
        <v>237</v>
      </c>
      <c r="C3225" t="s">
        <v>238</v>
      </c>
      <c r="D3225" t="s">
        <v>262</v>
      </c>
      <c r="E3225" t="s">
        <v>228</v>
      </c>
      <c r="F3225">
        <v>2018</v>
      </c>
      <c r="G3225">
        <v>1.96394366197183E-4</v>
      </c>
      <c r="H3225" t="s">
        <v>240</v>
      </c>
      <c r="I3225" t="s">
        <v>241</v>
      </c>
      <c r="J3225" t="s">
        <v>3</v>
      </c>
      <c r="K3225" s="183">
        <f ca="1">VLOOKUP(F3225,
    OFFSET(INDIRECT(ADDRESS(MATCH(J3225,'Vehicle numbers'!$A$5:$A$162,0),1,1,1,$L$6)),4,1,COUNTIF('Vehicle numbers'!$A$5:$A$162,J3225),4),
    MATCH(K$8,'Vehicle numbers'!$B$4:$D$4,0))*1000</f>
        <v>1242690</v>
      </c>
      <c r="L3225" s="183">
        <f ca="1">VLOOKUP(F3225,
    OFFSET(INDIRECT(ADDRESS(MATCH(J3225,'Vehicle numbers'!$A$5:$A$162,0),1,1,1,$L$6)),4,1,COUNTIF('Vehicle numbers'!$A$5:$A$162,J3225),4),
    MATCH(L$8,'Vehicle numbers'!$B$4:$D$4,0))*1000</f>
        <v>1265142</v>
      </c>
      <c r="M3225" s="184">
        <f>VLOOKUP(F3225,'Annual distance covered (GB)'!$A$8:$H$33,MATCH(J3225,'Annual distance covered (GB)'!$A$7:$H$7,0))</f>
        <v>4.8</v>
      </c>
      <c r="N3225" s="2">
        <f t="shared" ca="1" si="114"/>
        <v>959.7248339886014</v>
      </c>
      <c r="O3225" s="180">
        <f t="shared" ca="1" si="115"/>
        <v>7.5859060404966506E-4</v>
      </c>
      <c r="P3225" s="180"/>
      <c r="Q3225" s="180"/>
      <c r="R3225" s="180"/>
      <c r="S3225" s="180"/>
      <c r="T3225" s="180"/>
    </row>
    <row r="3226" spans="1:20" x14ac:dyDescent="0.25">
      <c r="A3226" t="s">
        <v>236</v>
      </c>
      <c r="B3226" t="s">
        <v>237</v>
      </c>
      <c r="C3226" t="s">
        <v>238</v>
      </c>
      <c r="D3226" t="s">
        <v>263</v>
      </c>
      <c r="E3226" t="s">
        <v>229</v>
      </c>
      <c r="F3226">
        <v>2018</v>
      </c>
      <c r="G3226">
        <v>2.764E-3</v>
      </c>
      <c r="H3226" t="s">
        <v>240</v>
      </c>
      <c r="I3226" t="s">
        <v>241</v>
      </c>
      <c r="J3226" t="s">
        <v>3</v>
      </c>
      <c r="K3226" s="183">
        <f ca="1">VLOOKUP(F3226,
    OFFSET(INDIRECT(ADDRESS(MATCH(J3226,'Vehicle numbers'!$A$5:$A$162,0),1,1,1,$L$6)),4,1,COUNTIF('Vehicle numbers'!$A$5:$A$162,J3226),4),
    MATCH(K$8,'Vehicle numbers'!$B$4:$D$4,0))*1000</f>
        <v>1242690</v>
      </c>
      <c r="L3226" s="183">
        <f ca="1">VLOOKUP(F3226,
    OFFSET(INDIRECT(ADDRESS(MATCH(J3226,'Vehicle numbers'!$A$5:$A$162,0),1,1,1,$L$6)),4,1,COUNTIF('Vehicle numbers'!$A$5:$A$162,J3226),4),
    MATCH(L$8,'Vehicle numbers'!$B$4:$D$4,0))*1000</f>
        <v>1265142</v>
      </c>
      <c r="M3226" s="184">
        <f>VLOOKUP(F3226,'Annual distance covered (GB)'!$A$8:$H$33,MATCH(J3226,'Annual distance covered (GB)'!$A$7:$H$7,0))</f>
        <v>4.8</v>
      </c>
      <c r="N3226" s="2">
        <f t="shared" ca="1" si="114"/>
        <v>13506.901916326678</v>
      </c>
      <c r="O3226" s="180">
        <f t="shared" ca="1" si="115"/>
        <v>1.0676194384762088E-2</v>
      </c>
      <c r="P3226" s="180"/>
      <c r="Q3226" s="180"/>
      <c r="R3226" s="180"/>
      <c r="S3226" s="180"/>
      <c r="T3226" s="180"/>
    </row>
    <row r="3227" spans="1:20" x14ac:dyDescent="0.25">
      <c r="A3227" t="s">
        <v>243</v>
      </c>
      <c r="B3227" t="s">
        <v>237</v>
      </c>
      <c r="C3227" t="s">
        <v>238</v>
      </c>
      <c r="D3227" t="s">
        <v>263</v>
      </c>
      <c r="E3227" t="s">
        <v>229</v>
      </c>
      <c r="F3227">
        <v>2018</v>
      </c>
      <c r="G3227">
        <v>1.1056E-3</v>
      </c>
      <c r="H3227" t="s">
        <v>240</v>
      </c>
      <c r="I3227" t="s">
        <v>241</v>
      </c>
      <c r="J3227" t="s">
        <v>3</v>
      </c>
      <c r="K3227" s="183">
        <f ca="1">VLOOKUP(F3227,
    OFFSET(INDIRECT(ADDRESS(MATCH(J3227,'Vehicle numbers'!$A$5:$A$162,0),1,1,1,$L$6)),4,1,COUNTIF('Vehicle numbers'!$A$5:$A$162,J3227),4),
    MATCH(K$8,'Vehicle numbers'!$B$4:$D$4,0))*1000</f>
        <v>1242690</v>
      </c>
      <c r="L3227" s="183">
        <f ca="1">VLOOKUP(F3227,
    OFFSET(INDIRECT(ADDRESS(MATCH(J3227,'Vehicle numbers'!$A$5:$A$162,0),1,1,1,$L$6)),4,1,COUNTIF('Vehicle numbers'!$A$5:$A$162,J3227),4),
    MATCH(L$8,'Vehicle numbers'!$B$4:$D$4,0))*1000</f>
        <v>1265142</v>
      </c>
      <c r="M3227" s="184">
        <f>VLOOKUP(F3227,'Annual distance covered (GB)'!$A$8:$H$33,MATCH(J3227,'Annual distance covered (GB)'!$A$7:$H$7,0))</f>
        <v>4.8</v>
      </c>
      <c r="N3227" s="2">
        <f t="shared" ca="1" si="114"/>
        <v>5402.7607665306714</v>
      </c>
      <c r="O3227" s="180">
        <f t="shared" ca="1" si="115"/>
        <v>4.2704777539048352E-3</v>
      </c>
      <c r="P3227" s="180"/>
      <c r="Q3227" s="180"/>
      <c r="R3227" s="180"/>
      <c r="S3227" s="180"/>
      <c r="T3227" s="180"/>
    </row>
    <row r="3228" spans="1:20" x14ac:dyDescent="0.25">
      <c r="A3228" t="s">
        <v>244</v>
      </c>
      <c r="B3228" t="s">
        <v>237</v>
      </c>
      <c r="C3228" t="s">
        <v>238</v>
      </c>
      <c r="D3228" t="s">
        <v>263</v>
      </c>
      <c r="E3228" t="s">
        <v>229</v>
      </c>
      <c r="F3228">
        <v>2018</v>
      </c>
      <c r="G3228">
        <v>2.764E-4</v>
      </c>
      <c r="H3228" t="s">
        <v>240</v>
      </c>
      <c r="I3228" t="s">
        <v>241</v>
      </c>
      <c r="J3228" t="s">
        <v>3</v>
      </c>
      <c r="K3228" s="183">
        <f ca="1">VLOOKUP(F3228,
    OFFSET(INDIRECT(ADDRESS(MATCH(J3228,'Vehicle numbers'!$A$5:$A$162,0),1,1,1,$L$6)),4,1,COUNTIF('Vehicle numbers'!$A$5:$A$162,J3228),4),
    MATCH(K$8,'Vehicle numbers'!$B$4:$D$4,0))*1000</f>
        <v>1242690</v>
      </c>
      <c r="L3228" s="183">
        <f ca="1">VLOOKUP(F3228,
    OFFSET(INDIRECT(ADDRESS(MATCH(J3228,'Vehicle numbers'!$A$5:$A$162,0),1,1,1,$L$6)),4,1,COUNTIF('Vehicle numbers'!$A$5:$A$162,J3228),4),
    MATCH(L$8,'Vehicle numbers'!$B$4:$D$4,0))*1000</f>
        <v>1265142</v>
      </c>
      <c r="M3228" s="184">
        <f>VLOOKUP(F3228,'Annual distance covered (GB)'!$A$8:$H$33,MATCH(J3228,'Annual distance covered (GB)'!$A$7:$H$7,0))</f>
        <v>4.8</v>
      </c>
      <c r="N3228" s="2">
        <f t="shared" ca="1" si="114"/>
        <v>1350.6901916326678</v>
      </c>
      <c r="O3228" s="180">
        <f t="shared" ca="1" si="115"/>
        <v>1.0676194384762088E-3</v>
      </c>
      <c r="P3228" s="180"/>
      <c r="Q3228" s="180"/>
      <c r="R3228" s="180"/>
      <c r="S3228" s="180"/>
      <c r="T3228" s="180"/>
    </row>
    <row r="3229" spans="1:20" x14ac:dyDescent="0.25">
      <c r="A3229" t="s">
        <v>246</v>
      </c>
      <c r="B3229" t="s">
        <v>237</v>
      </c>
      <c r="C3229" t="s">
        <v>238</v>
      </c>
      <c r="D3229" t="s">
        <v>263</v>
      </c>
      <c r="E3229" t="s">
        <v>229</v>
      </c>
      <c r="F3229">
        <v>2018</v>
      </c>
      <c r="G3229">
        <v>2.2112E-4</v>
      </c>
      <c r="H3229" t="s">
        <v>240</v>
      </c>
      <c r="I3229" t="s">
        <v>241</v>
      </c>
      <c r="J3229" t="s">
        <v>3</v>
      </c>
      <c r="K3229" s="183">
        <f ca="1">VLOOKUP(F3229,
    OFFSET(INDIRECT(ADDRESS(MATCH(J3229,'Vehicle numbers'!$A$5:$A$162,0),1,1,1,$L$6)),4,1,COUNTIF('Vehicle numbers'!$A$5:$A$162,J3229),4),
    MATCH(K$8,'Vehicle numbers'!$B$4:$D$4,0))*1000</f>
        <v>1242690</v>
      </c>
      <c r="L3229" s="183">
        <f ca="1">VLOOKUP(F3229,
    OFFSET(INDIRECT(ADDRESS(MATCH(J3229,'Vehicle numbers'!$A$5:$A$162,0),1,1,1,$L$6)),4,1,COUNTIF('Vehicle numbers'!$A$5:$A$162,J3229),4),
    MATCH(L$8,'Vehicle numbers'!$B$4:$D$4,0))*1000</f>
        <v>1265142</v>
      </c>
      <c r="M3229" s="184">
        <f>VLOOKUP(F3229,'Annual distance covered (GB)'!$A$8:$H$33,MATCH(J3229,'Annual distance covered (GB)'!$A$7:$H$7,0))</f>
        <v>4.8</v>
      </c>
      <c r="N3229" s="2">
        <f t="shared" ca="1" si="114"/>
        <v>1080.5521533061342</v>
      </c>
      <c r="O3229" s="180">
        <f t="shared" ca="1" si="115"/>
        <v>8.5409555078096698E-4</v>
      </c>
      <c r="P3229" s="180"/>
      <c r="Q3229" s="180"/>
      <c r="R3229" s="180"/>
      <c r="S3229" s="180"/>
      <c r="T3229" s="180"/>
    </row>
    <row r="3230" spans="1:20" x14ac:dyDescent="0.25">
      <c r="A3230" t="s">
        <v>236</v>
      </c>
      <c r="B3230" t="s">
        <v>237</v>
      </c>
      <c r="C3230" t="s">
        <v>238</v>
      </c>
      <c r="D3230" t="s">
        <v>263</v>
      </c>
      <c r="E3230" t="s">
        <v>228</v>
      </c>
      <c r="F3230">
        <v>2018</v>
      </c>
      <c r="G3230">
        <v>2.9239999999999999E-3</v>
      </c>
      <c r="H3230" t="s">
        <v>240</v>
      </c>
      <c r="I3230" t="s">
        <v>241</v>
      </c>
      <c r="J3230" t="s">
        <v>3</v>
      </c>
      <c r="K3230" s="183">
        <f ca="1">VLOOKUP(F3230,
    OFFSET(INDIRECT(ADDRESS(MATCH(J3230,'Vehicle numbers'!$A$5:$A$162,0),1,1,1,$L$6)),4,1,COUNTIF('Vehicle numbers'!$A$5:$A$162,J3230),4),
    MATCH(K$8,'Vehicle numbers'!$B$4:$D$4,0))*1000</f>
        <v>1242690</v>
      </c>
      <c r="L3230" s="183">
        <f ca="1">VLOOKUP(F3230,
    OFFSET(INDIRECT(ADDRESS(MATCH(J3230,'Vehicle numbers'!$A$5:$A$162,0),1,1,1,$L$6)),4,1,COUNTIF('Vehicle numbers'!$A$5:$A$162,J3230),4),
    MATCH(L$8,'Vehicle numbers'!$B$4:$D$4,0))*1000</f>
        <v>1265142</v>
      </c>
      <c r="M3230" s="184">
        <f>VLOOKUP(F3230,'Annual distance covered (GB)'!$A$8:$H$33,MATCH(J3230,'Annual distance covered (GB)'!$A$7:$H$7,0))</f>
        <v>4.8</v>
      </c>
      <c r="N3230" s="2">
        <f t="shared" ca="1" si="114"/>
        <v>14288.777569949059</v>
      </c>
      <c r="O3230" s="180">
        <f t="shared" ca="1" si="115"/>
        <v>1.1294208531492165E-2</v>
      </c>
      <c r="P3230" s="180"/>
      <c r="Q3230" s="180"/>
      <c r="R3230" s="180"/>
      <c r="S3230" s="180"/>
      <c r="T3230" s="180"/>
    </row>
    <row r="3231" spans="1:20" x14ac:dyDescent="0.25">
      <c r="A3231" t="s">
        <v>243</v>
      </c>
      <c r="B3231" t="s">
        <v>237</v>
      </c>
      <c r="C3231" t="s">
        <v>238</v>
      </c>
      <c r="D3231" t="s">
        <v>263</v>
      </c>
      <c r="E3231" t="s">
        <v>228</v>
      </c>
      <c r="F3231">
        <v>2018</v>
      </c>
      <c r="G3231">
        <v>2.0468000000000001E-3</v>
      </c>
      <c r="H3231" t="s">
        <v>240</v>
      </c>
      <c r="I3231" t="s">
        <v>241</v>
      </c>
      <c r="J3231" t="s">
        <v>3</v>
      </c>
      <c r="K3231" s="183">
        <f ca="1">VLOOKUP(F3231,
    OFFSET(INDIRECT(ADDRESS(MATCH(J3231,'Vehicle numbers'!$A$5:$A$162,0),1,1,1,$L$6)),4,1,COUNTIF('Vehicle numbers'!$A$5:$A$162,J3231),4),
    MATCH(K$8,'Vehicle numbers'!$B$4:$D$4,0))*1000</f>
        <v>1242690</v>
      </c>
      <c r="L3231" s="183">
        <f ca="1">VLOOKUP(F3231,
    OFFSET(INDIRECT(ADDRESS(MATCH(J3231,'Vehicle numbers'!$A$5:$A$162,0),1,1,1,$L$6)),4,1,COUNTIF('Vehicle numbers'!$A$5:$A$162,J3231),4),
    MATCH(L$8,'Vehicle numbers'!$B$4:$D$4,0))*1000</f>
        <v>1265142</v>
      </c>
      <c r="M3231" s="184">
        <f>VLOOKUP(F3231,'Annual distance covered (GB)'!$A$8:$H$33,MATCH(J3231,'Annual distance covered (GB)'!$A$7:$H$7,0))</f>
        <v>4.8</v>
      </c>
      <c r="N3231" s="2">
        <f t="shared" ca="1" si="114"/>
        <v>10002.144298964344</v>
      </c>
      <c r="O3231" s="180">
        <f t="shared" ca="1" si="115"/>
        <v>7.9059459720445171E-3</v>
      </c>
      <c r="P3231" s="180"/>
      <c r="Q3231" s="180"/>
      <c r="R3231" s="180"/>
      <c r="S3231" s="180"/>
      <c r="T3231" s="180"/>
    </row>
    <row r="3232" spans="1:20" x14ac:dyDescent="0.25">
      <c r="A3232" t="s">
        <v>244</v>
      </c>
      <c r="B3232" t="s">
        <v>237</v>
      </c>
      <c r="C3232" t="s">
        <v>238</v>
      </c>
      <c r="D3232" t="s">
        <v>263</v>
      </c>
      <c r="E3232" t="s">
        <v>228</v>
      </c>
      <c r="F3232">
        <v>2018</v>
      </c>
      <c r="G3232">
        <v>2.8828169014084501E-4</v>
      </c>
      <c r="H3232" t="s">
        <v>240</v>
      </c>
      <c r="I3232" t="s">
        <v>241</v>
      </c>
      <c r="J3232" t="s">
        <v>3</v>
      </c>
      <c r="K3232" s="183">
        <f ca="1">VLOOKUP(F3232,
    OFFSET(INDIRECT(ADDRESS(MATCH(J3232,'Vehicle numbers'!$A$5:$A$162,0),1,1,1,$L$6)),4,1,COUNTIF('Vehicle numbers'!$A$5:$A$162,J3232),4),
    MATCH(K$8,'Vehicle numbers'!$B$4:$D$4,0))*1000</f>
        <v>1242690</v>
      </c>
      <c r="L3232" s="183">
        <f ca="1">VLOOKUP(F3232,
    OFFSET(INDIRECT(ADDRESS(MATCH(J3232,'Vehicle numbers'!$A$5:$A$162,0),1,1,1,$L$6)),4,1,COUNTIF('Vehicle numbers'!$A$5:$A$162,J3232),4),
    MATCH(L$8,'Vehicle numbers'!$B$4:$D$4,0))*1000</f>
        <v>1265142</v>
      </c>
      <c r="M3232" s="184">
        <f>VLOOKUP(F3232,'Annual distance covered (GB)'!$A$8:$H$33,MATCH(J3232,'Annual distance covered (GB)'!$A$7:$H$7,0))</f>
        <v>4.8</v>
      </c>
      <c r="N3232" s="2">
        <f t="shared" ca="1" si="114"/>
        <v>1408.7527181639916</v>
      </c>
      <c r="O3232" s="180">
        <f t="shared" ca="1" si="115"/>
        <v>1.1135135171893682E-3</v>
      </c>
      <c r="P3232" s="180"/>
      <c r="Q3232" s="180"/>
      <c r="R3232" s="180"/>
      <c r="S3232" s="180"/>
      <c r="T3232" s="180"/>
    </row>
    <row r="3233" spans="1:33" x14ac:dyDescent="0.25">
      <c r="A3233" t="s">
        <v>246</v>
      </c>
      <c r="B3233" t="s">
        <v>237</v>
      </c>
      <c r="C3233" t="s">
        <v>238</v>
      </c>
      <c r="D3233" t="s">
        <v>263</v>
      </c>
      <c r="E3233" t="s">
        <v>228</v>
      </c>
      <c r="F3233">
        <v>2018</v>
      </c>
      <c r="G3233">
        <v>2.3062535211267599E-4</v>
      </c>
      <c r="H3233" t="s">
        <v>240</v>
      </c>
      <c r="I3233" t="s">
        <v>241</v>
      </c>
      <c r="J3233" t="s">
        <v>3</v>
      </c>
      <c r="K3233" s="183">
        <f ca="1">VLOOKUP(F3233,
    OFFSET(INDIRECT(ADDRESS(MATCH(J3233,'Vehicle numbers'!$A$5:$A$162,0),1,1,1,$L$6)),4,1,COUNTIF('Vehicle numbers'!$A$5:$A$162,J3233),4),
    MATCH(K$8,'Vehicle numbers'!$B$4:$D$4,0))*1000</f>
        <v>1242690</v>
      </c>
      <c r="L3233" s="183">
        <f ca="1">VLOOKUP(F3233,
    OFFSET(INDIRECT(ADDRESS(MATCH(J3233,'Vehicle numbers'!$A$5:$A$162,0),1,1,1,$L$6)),4,1,COUNTIF('Vehicle numbers'!$A$5:$A$162,J3233),4),
    MATCH(L$8,'Vehicle numbers'!$B$4:$D$4,0))*1000</f>
        <v>1265142</v>
      </c>
      <c r="M3233" s="184">
        <f>VLOOKUP(F3233,'Annual distance covered (GB)'!$A$8:$H$33,MATCH(J3233,'Annual distance covered (GB)'!$A$7:$H$7,0))</f>
        <v>4.8</v>
      </c>
      <c r="N3233" s="2">
        <f t="shared" ca="1" si="114"/>
        <v>1127.0021745311931</v>
      </c>
      <c r="O3233" s="180">
        <f t="shared" ca="1" si="115"/>
        <v>8.9081081375149437E-4</v>
      </c>
      <c r="P3233" s="180"/>
      <c r="Q3233" s="180"/>
      <c r="R3233" s="180"/>
      <c r="S3233" s="180"/>
      <c r="T3233" s="180"/>
    </row>
    <row r="3234" spans="1:33" x14ac:dyDescent="0.25">
      <c r="A3234" t="s">
        <v>236</v>
      </c>
      <c r="B3234" t="s">
        <v>237</v>
      </c>
      <c r="C3234" t="s">
        <v>238</v>
      </c>
      <c r="D3234" t="s">
        <v>264</v>
      </c>
      <c r="E3234" t="s">
        <v>229</v>
      </c>
      <c r="F3234">
        <v>2018</v>
      </c>
      <c r="G3234">
        <v>5.8399999999999902E-3</v>
      </c>
      <c r="H3234" t="s">
        <v>240</v>
      </c>
      <c r="I3234" t="s">
        <v>241</v>
      </c>
      <c r="J3234" t="s">
        <v>3</v>
      </c>
      <c r="K3234" s="183">
        <f ca="1">VLOOKUP(F3234,
    OFFSET(INDIRECT(ADDRESS(MATCH(J3234,'Vehicle numbers'!$A$5:$A$162,0),1,1,1,$L$6)),4,1,COUNTIF('Vehicle numbers'!$A$5:$A$162,J3234),4),
    MATCH(K$8,'Vehicle numbers'!$B$4:$D$4,0))*1000</f>
        <v>1242690</v>
      </c>
      <c r="L3234" s="183">
        <f ca="1">VLOOKUP(F3234,
    OFFSET(INDIRECT(ADDRESS(MATCH(J3234,'Vehicle numbers'!$A$5:$A$162,0),1,1,1,$L$6)),4,1,COUNTIF('Vehicle numbers'!$A$5:$A$162,J3234),4),
    MATCH(L$8,'Vehicle numbers'!$B$4:$D$4,0))*1000</f>
        <v>1265142</v>
      </c>
      <c r="M3234" s="184">
        <f>VLOOKUP(F3234,'Annual distance covered (GB)'!$A$8:$H$33,MATCH(J3234,'Annual distance covered (GB)'!$A$7:$H$7,0))</f>
        <v>4.8</v>
      </c>
      <c r="N3234" s="2">
        <f t="shared" ca="1" si="114"/>
        <v>28538.461357216955</v>
      </c>
      <c r="O3234" s="180">
        <f t="shared" ca="1" si="115"/>
        <v>2.2557516355647789E-2</v>
      </c>
      <c r="P3234" s="180"/>
      <c r="Q3234" s="180"/>
      <c r="R3234" s="180"/>
      <c r="S3234" s="180"/>
      <c r="T3234" s="180"/>
    </row>
    <row r="3235" spans="1:33" x14ac:dyDescent="0.25">
      <c r="A3235" t="s">
        <v>243</v>
      </c>
      <c r="B3235" t="s">
        <v>237</v>
      </c>
      <c r="C3235" t="s">
        <v>238</v>
      </c>
      <c r="D3235" t="s">
        <v>264</v>
      </c>
      <c r="E3235" t="s">
        <v>229</v>
      </c>
      <c r="F3235">
        <v>2018</v>
      </c>
      <c r="G3235">
        <v>2.336E-3</v>
      </c>
      <c r="H3235" t="s">
        <v>240</v>
      </c>
      <c r="I3235" t="s">
        <v>241</v>
      </c>
      <c r="J3235" t="s">
        <v>3</v>
      </c>
      <c r="K3235" s="183">
        <f ca="1">VLOOKUP(F3235,
    OFFSET(INDIRECT(ADDRESS(MATCH(J3235,'Vehicle numbers'!$A$5:$A$162,0),1,1,1,$L$6)),4,1,COUNTIF('Vehicle numbers'!$A$5:$A$162,J3235),4),
    MATCH(K$8,'Vehicle numbers'!$B$4:$D$4,0))*1000</f>
        <v>1242690</v>
      </c>
      <c r="L3235" s="183">
        <f ca="1">VLOOKUP(F3235,
    OFFSET(INDIRECT(ADDRESS(MATCH(J3235,'Vehicle numbers'!$A$5:$A$162,0),1,1,1,$L$6)),4,1,COUNTIF('Vehicle numbers'!$A$5:$A$162,J3235),4),
    MATCH(L$8,'Vehicle numbers'!$B$4:$D$4,0))*1000</f>
        <v>1265142</v>
      </c>
      <c r="M3235" s="184">
        <f>VLOOKUP(F3235,'Annual distance covered (GB)'!$A$8:$H$33,MATCH(J3235,'Annual distance covered (GB)'!$A$7:$H$7,0))</f>
        <v>4.8</v>
      </c>
      <c r="N3235" s="2">
        <f t="shared" ca="1" si="114"/>
        <v>11415.384542886803</v>
      </c>
      <c r="O3235" s="180">
        <f t="shared" ca="1" si="115"/>
        <v>9.0230065422591318E-3</v>
      </c>
      <c r="P3235" s="180"/>
      <c r="Q3235" s="180"/>
      <c r="R3235" s="180"/>
      <c r="S3235" s="180"/>
      <c r="T3235" s="180"/>
    </row>
    <row r="3236" spans="1:33" x14ac:dyDescent="0.25">
      <c r="A3236" t="s">
        <v>244</v>
      </c>
      <c r="B3236" t="s">
        <v>237</v>
      </c>
      <c r="C3236" t="s">
        <v>238</v>
      </c>
      <c r="D3236" t="s">
        <v>264</v>
      </c>
      <c r="E3236" t="s">
        <v>229</v>
      </c>
      <c r="F3236">
        <v>2018</v>
      </c>
      <c r="G3236">
        <v>5.8399999999999999E-4</v>
      </c>
      <c r="H3236" t="s">
        <v>240</v>
      </c>
      <c r="I3236" t="s">
        <v>241</v>
      </c>
      <c r="J3236" t="s">
        <v>3</v>
      </c>
      <c r="K3236" s="183">
        <f ca="1">VLOOKUP(F3236,
    OFFSET(INDIRECT(ADDRESS(MATCH(J3236,'Vehicle numbers'!$A$5:$A$162,0),1,1,1,$L$6)),4,1,COUNTIF('Vehicle numbers'!$A$5:$A$162,J3236),4),
    MATCH(K$8,'Vehicle numbers'!$B$4:$D$4,0))*1000</f>
        <v>1242690</v>
      </c>
      <c r="L3236" s="183">
        <f ca="1">VLOOKUP(F3236,
    OFFSET(INDIRECT(ADDRESS(MATCH(J3236,'Vehicle numbers'!$A$5:$A$162,0),1,1,1,$L$6)),4,1,COUNTIF('Vehicle numbers'!$A$5:$A$162,J3236),4),
    MATCH(L$8,'Vehicle numbers'!$B$4:$D$4,0))*1000</f>
        <v>1265142</v>
      </c>
      <c r="M3236" s="184">
        <f>VLOOKUP(F3236,'Annual distance covered (GB)'!$A$8:$H$33,MATCH(J3236,'Annual distance covered (GB)'!$A$7:$H$7,0))</f>
        <v>4.8</v>
      </c>
      <c r="N3236" s="2">
        <f t="shared" ca="1" si="114"/>
        <v>2853.8461357217006</v>
      </c>
      <c r="O3236" s="180">
        <f t="shared" ca="1" si="115"/>
        <v>2.2557516355647829E-3</v>
      </c>
      <c r="P3236" s="180"/>
      <c r="Q3236" s="180"/>
      <c r="R3236" s="180"/>
      <c r="S3236" s="180"/>
      <c r="T3236" s="180"/>
    </row>
    <row r="3237" spans="1:33" x14ac:dyDescent="0.25">
      <c r="A3237" t="s">
        <v>246</v>
      </c>
      <c r="B3237" t="s">
        <v>237</v>
      </c>
      <c r="C3237" t="s">
        <v>238</v>
      </c>
      <c r="D3237" t="s">
        <v>264</v>
      </c>
      <c r="E3237" t="s">
        <v>229</v>
      </c>
      <c r="F3237">
        <v>2018</v>
      </c>
      <c r="G3237">
        <v>4.6720000000000003E-4</v>
      </c>
      <c r="H3237" t="s">
        <v>240</v>
      </c>
      <c r="I3237" t="s">
        <v>241</v>
      </c>
      <c r="J3237" t="s">
        <v>3</v>
      </c>
      <c r="K3237" s="183">
        <f ca="1">VLOOKUP(F3237,
    OFFSET(INDIRECT(ADDRESS(MATCH(J3237,'Vehicle numbers'!$A$5:$A$162,0),1,1,1,$L$6)),4,1,COUNTIF('Vehicle numbers'!$A$5:$A$162,J3237),4),
    MATCH(K$8,'Vehicle numbers'!$B$4:$D$4,0))*1000</f>
        <v>1242690</v>
      </c>
      <c r="L3237" s="183">
        <f ca="1">VLOOKUP(F3237,
    OFFSET(INDIRECT(ADDRESS(MATCH(J3237,'Vehicle numbers'!$A$5:$A$162,0),1,1,1,$L$6)),4,1,COUNTIF('Vehicle numbers'!$A$5:$A$162,J3237),4),
    MATCH(L$8,'Vehicle numbers'!$B$4:$D$4,0))*1000</f>
        <v>1265142</v>
      </c>
      <c r="M3237" s="184">
        <f>VLOOKUP(F3237,'Annual distance covered (GB)'!$A$8:$H$33,MATCH(J3237,'Annual distance covered (GB)'!$A$7:$H$7,0))</f>
        <v>4.8</v>
      </c>
      <c r="N3237" s="2">
        <f t="shared" ca="1" si="114"/>
        <v>2283.0769085773609</v>
      </c>
      <c r="O3237" s="180">
        <f t="shared" ca="1" si="115"/>
        <v>1.8046013084518267E-3</v>
      </c>
      <c r="P3237" s="180"/>
      <c r="Q3237" s="180"/>
      <c r="R3237" s="180"/>
      <c r="S3237" s="180"/>
      <c r="T3237" s="180"/>
    </row>
    <row r="3238" spans="1:33" x14ac:dyDescent="0.25">
      <c r="A3238" t="s">
        <v>236</v>
      </c>
      <c r="B3238" t="s">
        <v>237</v>
      </c>
      <c r="C3238" t="s">
        <v>238</v>
      </c>
      <c r="D3238" t="s">
        <v>264</v>
      </c>
      <c r="E3238" t="s">
        <v>228</v>
      </c>
      <c r="F3238">
        <v>2018</v>
      </c>
      <c r="G3238">
        <v>3.7569999999999899E-3</v>
      </c>
      <c r="H3238" t="s">
        <v>240</v>
      </c>
      <c r="I3238" t="s">
        <v>241</v>
      </c>
      <c r="J3238" t="s">
        <v>3</v>
      </c>
      <c r="K3238" s="183">
        <f ca="1">VLOOKUP(F3238,
    OFFSET(INDIRECT(ADDRESS(MATCH(J3238,'Vehicle numbers'!$A$5:$A$162,0),1,1,1,$L$6)),4,1,COUNTIF('Vehicle numbers'!$A$5:$A$162,J3238),4),
    MATCH(K$8,'Vehicle numbers'!$B$4:$D$4,0))*1000</f>
        <v>1242690</v>
      </c>
      <c r="L3238" s="183">
        <f ca="1">VLOOKUP(F3238,
    OFFSET(INDIRECT(ADDRESS(MATCH(J3238,'Vehicle numbers'!$A$5:$A$162,0),1,1,1,$L$6)),4,1,COUNTIF('Vehicle numbers'!$A$5:$A$162,J3238),4),
    MATCH(L$8,'Vehicle numbers'!$B$4:$D$4,0))*1000</f>
        <v>1265142</v>
      </c>
      <c r="M3238" s="184">
        <f>VLOOKUP(F3238,'Annual distance covered (GB)'!$A$8:$H$33,MATCH(J3238,'Annual distance covered (GB)'!$A$7:$H$7,0))</f>
        <v>4.8</v>
      </c>
      <c r="N3238" s="2">
        <f t="shared" ca="1" si="114"/>
        <v>18359.417691620547</v>
      </c>
      <c r="O3238" s="180">
        <f t="shared" ca="1" si="115"/>
        <v>1.4511744682905593E-2</v>
      </c>
      <c r="P3238" s="180"/>
      <c r="Q3238" s="180"/>
      <c r="R3238" s="180"/>
      <c r="S3238" s="180"/>
      <c r="T3238" s="180"/>
    </row>
    <row r="3239" spans="1:33" x14ac:dyDescent="0.25">
      <c r="A3239" t="s">
        <v>243</v>
      </c>
      <c r="B3239" t="s">
        <v>237</v>
      </c>
      <c r="C3239" t="s">
        <v>238</v>
      </c>
      <c r="D3239" t="s">
        <v>264</v>
      </c>
      <c r="E3239" t="s">
        <v>228</v>
      </c>
      <c r="F3239">
        <v>2018</v>
      </c>
      <c r="G3239">
        <v>2.6298999999999901E-3</v>
      </c>
      <c r="H3239" t="s">
        <v>240</v>
      </c>
      <c r="I3239" t="s">
        <v>241</v>
      </c>
      <c r="J3239" t="s">
        <v>3</v>
      </c>
      <c r="K3239" s="183">
        <f ca="1">VLOOKUP(F3239,
    OFFSET(INDIRECT(ADDRESS(MATCH(J3239,'Vehicle numbers'!$A$5:$A$162,0),1,1,1,$L$6)),4,1,COUNTIF('Vehicle numbers'!$A$5:$A$162,J3239),4),
    MATCH(K$8,'Vehicle numbers'!$B$4:$D$4,0))*1000</f>
        <v>1242690</v>
      </c>
      <c r="L3239" s="183">
        <f ca="1">VLOOKUP(F3239,
    OFFSET(INDIRECT(ADDRESS(MATCH(J3239,'Vehicle numbers'!$A$5:$A$162,0),1,1,1,$L$6)),4,1,COUNTIF('Vehicle numbers'!$A$5:$A$162,J3239),4),
    MATCH(L$8,'Vehicle numbers'!$B$4:$D$4,0))*1000</f>
        <v>1265142</v>
      </c>
      <c r="M3239" s="184">
        <f>VLOOKUP(F3239,'Annual distance covered (GB)'!$A$8:$H$33,MATCH(J3239,'Annual distance covered (GB)'!$A$7:$H$7,0))</f>
        <v>4.8</v>
      </c>
      <c r="N3239" s="2">
        <f t="shared" ca="1" si="114"/>
        <v>12851.59238413437</v>
      </c>
      <c r="O3239" s="180">
        <f t="shared" ca="1" si="115"/>
        <v>1.0158221278033905E-2</v>
      </c>
      <c r="P3239" s="180"/>
      <c r="Q3239" s="180"/>
      <c r="R3239" s="180"/>
      <c r="S3239" s="180"/>
      <c r="T3239" s="180"/>
    </row>
    <row r="3240" spans="1:33" x14ac:dyDescent="0.25">
      <c r="A3240" t="s">
        <v>244</v>
      </c>
      <c r="B3240" t="s">
        <v>237</v>
      </c>
      <c r="C3240" t="s">
        <v>238</v>
      </c>
      <c r="D3240" t="s">
        <v>264</v>
      </c>
      <c r="E3240" t="s">
        <v>228</v>
      </c>
      <c r="F3240">
        <v>2018</v>
      </c>
      <c r="G3240">
        <v>3.7040845070422299E-4</v>
      </c>
      <c r="H3240" t="s">
        <v>240</v>
      </c>
      <c r="I3240" t="s">
        <v>241</v>
      </c>
      <c r="J3240" t="s">
        <v>3</v>
      </c>
      <c r="K3240" s="183">
        <f ca="1">VLOOKUP(F3240,
    OFFSET(INDIRECT(ADDRESS(MATCH(J3240,'Vehicle numbers'!$A$5:$A$162,0),1,1,1,$L$6)),4,1,COUNTIF('Vehicle numbers'!$A$5:$A$162,J3240),4),
    MATCH(K$8,'Vehicle numbers'!$B$4:$D$4,0))*1000</f>
        <v>1242690</v>
      </c>
      <c r="L3240" s="183">
        <f ca="1">VLOOKUP(F3240,
    OFFSET(INDIRECT(ADDRESS(MATCH(J3240,'Vehicle numbers'!$A$5:$A$162,0),1,1,1,$L$6)),4,1,COUNTIF('Vehicle numbers'!$A$5:$A$162,J3240),4),
    MATCH(L$8,'Vehicle numbers'!$B$4:$D$4,0))*1000</f>
        <v>1265142</v>
      </c>
      <c r="M3240" s="184">
        <f>VLOOKUP(F3240,'Annual distance covered (GB)'!$A$8:$H$33,MATCH(J3240,'Annual distance covered (GB)'!$A$7:$H$7,0))</f>
        <v>4.8</v>
      </c>
      <c r="N3240" s="2">
        <f t="shared" ca="1" si="114"/>
        <v>1810.0834343851177</v>
      </c>
      <c r="O3240" s="180">
        <f t="shared" ca="1" si="115"/>
        <v>1.4307353912723772E-3</v>
      </c>
      <c r="P3240" s="180"/>
      <c r="Q3240" s="180"/>
      <c r="R3240" s="180"/>
      <c r="S3240" s="180"/>
      <c r="T3240" s="180"/>
    </row>
    <row r="3241" spans="1:33" x14ac:dyDescent="0.25">
      <c r="A3241" t="s">
        <v>246</v>
      </c>
      <c r="B3241" t="s">
        <v>237</v>
      </c>
      <c r="C3241" t="s">
        <v>238</v>
      </c>
      <c r="D3241" t="s">
        <v>264</v>
      </c>
      <c r="E3241" t="s">
        <v>228</v>
      </c>
      <c r="F3241">
        <v>2018</v>
      </c>
      <c r="G3241">
        <v>2.9632676056337901E-4</v>
      </c>
      <c r="H3241" t="s">
        <v>240</v>
      </c>
      <c r="I3241" t="s">
        <v>241</v>
      </c>
      <c r="J3241" t="s">
        <v>3</v>
      </c>
      <c r="K3241" s="183">
        <f ca="1">VLOOKUP(F3241,
    OFFSET(INDIRECT(ADDRESS(MATCH(J3241,'Vehicle numbers'!$A$5:$A$162,0),1,1,1,$L$6)),4,1,COUNTIF('Vehicle numbers'!$A$5:$A$162,J3241),4),
    MATCH(K$8,'Vehicle numbers'!$B$4:$D$4,0))*1000</f>
        <v>1242690</v>
      </c>
      <c r="L3241" s="183">
        <f ca="1">VLOOKUP(F3241,
    OFFSET(INDIRECT(ADDRESS(MATCH(J3241,'Vehicle numbers'!$A$5:$A$162,0),1,1,1,$L$6)),4,1,COUNTIF('Vehicle numbers'!$A$5:$A$162,J3241),4),
    MATCH(L$8,'Vehicle numbers'!$B$4:$D$4,0))*1000</f>
        <v>1265142</v>
      </c>
      <c r="M3241" s="184">
        <f>VLOOKUP(F3241,'Annual distance covered (GB)'!$A$8:$H$33,MATCH(J3241,'Annual distance covered (GB)'!$A$7:$H$7,0))</f>
        <v>4.8</v>
      </c>
      <c r="N3241" s="2">
        <f t="shared" ca="1" si="114"/>
        <v>1448.066747508097</v>
      </c>
      <c r="O3241" s="180">
        <f t="shared" ca="1" si="115"/>
        <v>1.1445883130179039E-3</v>
      </c>
      <c r="P3241" s="180"/>
      <c r="Q3241" s="180"/>
      <c r="R3241" s="180"/>
      <c r="S3241" s="180"/>
      <c r="T3241" s="180"/>
    </row>
    <row r="3244" spans="1:33" x14ac:dyDescent="0.25">
      <c r="Y3244" s="129"/>
      <c r="Z3244" s="129"/>
      <c r="AA3244" s="129"/>
      <c r="AB3244" s="129"/>
      <c r="AC3244" s="129"/>
      <c r="AD3244" s="129"/>
    </row>
    <row r="3245" spans="1:33" x14ac:dyDescent="0.25">
      <c r="A3245" s="129"/>
      <c r="B3245" s="129"/>
      <c r="C3245" s="195"/>
      <c r="D3245" s="129"/>
      <c r="E3245" s="129"/>
      <c r="F3245" s="129"/>
      <c r="G3245" s="129"/>
      <c r="H3245" s="129"/>
      <c r="I3245" s="129"/>
      <c r="J3245" s="129"/>
      <c r="K3245" s="129"/>
      <c r="L3245" s="129"/>
      <c r="M3245" s="129"/>
      <c r="N3245" s="129"/>
      <c r="O3245" s="129"/>
      <c r="P3245" s="129"/>
      <c r="Q3245" s="129"/>
      <c r="R3245" s="129"/>
      <c r="S3245" s="129"/>
      <c r="T3245" s="129"/>
      <c r="U3245" s="129"/>
      <c r="V3245" s="129"/>
      <c r="W3245" s="129"/>
      <c r="X3245" s="129"/>
      <c r="Y3245" s="129"/>
      <c r="Z3245" s="129"/>
      <c r="AA3245" s="129"/>
      <c r="AB3245" s="129"/>
      <c r="AC3245" s="129"/>
      <c r="AD3245" s="129"/>
      <c r="AE3245" s="129"/>
      <c r="AF3245" s="129"/>
      <c r="AG3245" s="196"/>
    </row>
    <row r="3246" spans="1:33" x14ac:dyDescent="0.25">
      <c r="A3246" s="129"/>
      <c r="B3246" s="129"/>
      <c r="C3246" s="129"/>
      <c r="D3246" s="129"/>
      <c r="E3246" s="129"/>
      <c r="F3246" s="195"/>
      <c r="G3246" s="195"/>
      <c r="H3246" s="195"/>
      <c r="I3246" s="195"/>
      <c r="J3246" s="195"/>
      <c r="K3246" s="195"/>
      <c r="L3246" s="195"/>
      <c r="M3246" s="129"/>
      <c r="N3246" s="129"/>
      <c r="O3246" s="129"/>
      <c r="P3246" s="129"/>
      <c r="Q3246" s="129"/>
      <c r="R3246" s="129"/>
      <c r="S3246" s="129"/>
      <c r="T3246" s="129"/>
      <c r="U3246" s="129"/>
      <c r="V3246" s="129"/>
      <c r="W3246" s="129"/>
      <c r="X3246" s="129"/>
      <c r="Y3246" s="129"/>
      <c r="Z3246" s="129"/>
      <c r="AA3246" s="129"/>
      <c r="AB3246" s="129"/>
      <c r="AC3246" s="129"/>
      <c r="AD3246" s="129"/>
      <c r="AE3246" s="129"/>
      <c r="AF3246" s="129"/>
      <c r="AG3246" s="129"/>
    </row>
    <row r="3247" spans="1:33" x14ac:dyDescent="0.25">
      <c r="A3247" s="195"/>
      <c r="B3247" s="195"/>
      <c r="C3247" s="181"/>
      <c r="D3247" s="181"/>
      <c r="E3247" s="181"/>
      <c r="F3247" s="197"/>
      <c r="G3247" s="197"/>
      <c r="H3247" s="197"/>
      <c r="I3247" s="197"/>
      <c r="J3247" s="197"/>
      <c r="K3247" s="197"/>
      <c r="L3247" s="197"/>
      <c r="M3247" s="197"/>
      <c r="N3247" s="197"/>
      <c r="O3247" s="197"/>
      <c r="P3247" s="197"/>
      <c r="Q3247" s="197"/>
      <c r="R3247" s="197"/>
      <c r="S3247" s="197"/>
      <c r="T3247" s="197"/>
      <c r="U3247" s="197"/>
      <c r="V3247" s="197"/>
      <c r="W3247" s="197"/>
      <c r="X3247" s="129"/>
      <c r="Y3247" s="198"/>
      <c r="Z3247" s="129"/>
      <c r="AA3247" s="129"/>
      <c r="AB3247" s="129"/>
      <c r="AC3247" s="129"/>
      <c r="AD3247" s="129"/>
      <c r="AE3247" s="129"/>
      <c r="AF3247" s="129"/>
      <c r="AG3247" s="129"/>
    </row>
    <row r="3248" spans="1:33" x14ac:dyDescent="0.25">
      <c r="A3248" s="129"/>
      <c r="B3248" s="199"/>
      <c r="C3248" s="200"/>
      <c r="D3248" s="201"/>
      <c r="E3248" s="202"/>
      <c r="F3248" s="200"/>
      <c r="G3248" s="200"/>
      <c r="H3248" s="200"/>
      <c r="I3248" s="200"/>
      <c r="J3248" s="200"/>
      <c r="K3248" s="200"/>
      <c r="L3248" s="129"/>
      <c r="M3248" s="129"/>
      <c r="N3248" s="129"/>
      <c r="O3248" s="129"/>
      <c r="P3248" s="129"/>
      <c r="Q3248" s="129"/>
      <c r="R3248" s="129"/>
      <c r="S3248" s="129"/>
      <c r="T3248" s="129"/>
      <c r="U3248" s="129"/>
      <c r="V3248" s="129"/>
      <c r="W3248" s="129"/>
      <c r="X3248" s="129"/>
      <c r="Y3248" s="129"/>
      <c r="Z3248" s="129"/>
      <c r="AA3248" s="129"/>
      <c r="AB3248" s="129"/>
      <c r="AC3248" s="129"/>
      <c r="AD3248" s="129"/>
      <c r="AE3248" s="129"/>
      <c r="AF3248" s="129"/>
      <c r="AG3248" s="129"/>
    </row>
    <row r="3249" spans="1:33" x14ac:dyDescent="0.25">
      <c r="A3249" s="129"/>
      <c r="B3249" s="199"/>
      <c r="C3249" s="200"/>
      <c r="D3249" s="201"/>
      <c r="E3249" s="202"/>
      <c r="F3249" s="200"/>
      <c r="G3249" s="200"/>
      <c r="H3249" s="200"/>
      <c r="I3249" s="200"/>
      <c r="J3249" s="200"/>
      <c r="K3249" s="200"/>
      <c r="L3249" s="129"/>
      <c r="M3249" s="129"/>
      <c r="N3249" s="129"/>
      <c r="O3249" s="129"/>
      <c r="P3249" s="129"/>
      <c r="Q3249" s="129"/>
      <c r="R3249" s="129"/>
      <c r="S3249" s="129"/>
      <c r="T3249" s="129"/>
      <c r="U3249" s="129"/>
      <c r="V3249" s="129"/>
      <c r="W3249" s="129"/>
      <c r="X3249" s="129"/>
      <c r="Y3249" s="129"/>
      <c r="Z3249" s="129"/>
      <c r="AA3249" s="129"/>
      <c r="AB3249" s="129"/>
      <c r="AC3249" s="129"/>
      <c r="AD3249" s="129"/>
      <c r="AE3249" s="129"/>
      <c r="AF3249" s="129"/>
      <c r="AG3249" s="129"/>
    </row>
    <row r="3250" spans="1:33" x14ac:dyDescent="0.25">
      <c r="A3250" s="129"/>
      <c r="B3250" s="199"/>
      <c r="C3250" s="200"/>
      <c r="D3250" s="201"/>
      <c r="E3250" s="202"/>
      <c r="F3250" s="200"/>
      <c r="G3250" s="200"/>
      <c r="H3250" s="200"/>
      <c r="I3250" s="200"/>
      <c r="J3250" s="200"/>
      <c r="K3250" s="200"/>
      <c r="L3250" s="129"/>
      <c r="M3250" s="129"/>
      <c r="N3250" s="129"/>
      <c r="O3250" s="129"/>
      <c r="P3250" s="129"/>
      <c r="Q3250" s="129"/>
      <c r="R3250" s="129"/>
      <c r="S3250" s="129"/>
      <c r="T3250" s="129"/>
      <c r="U3250" s="129"/>
      <c r="V3250" s="129"/>
      <c r="W3250" s="129"/>
      <c r="X3250" s="129"/>
      <c r="Y3250" s="129"/>
      <c r="Z3250" s="129"/>
      <c r="AA3250" s="129"/>
      <c r="AB3250" s="129"/>
      <c r="AC3250" s="129"/>
      <c r="AD3250" s="129"/>
      <c r="AE3250" s="129"/>
      <c r="AF3250" s="129"/>
      <c r="AG3250" s="129"/>
    </row>
    <row r="3251" spans="1:33" x14ac:dyDescent="0.25">
      <c r="A3251" s="129"/>
      <c r="B3251" s="199"/>
      <c r="C3251" s="200"/>
      <c r="D3251" s="201"/>
      <c r="E3251" s="202"/>
      <c r="F3251" s="200"/>
      <c r="G3251" s="200"/>
      <c r="H3251" s="200"/>
      <c r="I3251" s="200"/>
      <c r="J3251" s="200"/>
      <c r="K3251" s="200"/>
      <c r="L3251" s="129"/>
      <c r="M3251" s="129"/>
      <c r="N3251" s="129"/>
      <c r="O3251" s="129"/>
      <c r="P3251" s="129"/>
      <c r="Q3251" s="129"/>
      <c r="R3251" s="129"/>
      <c r="S3251" s="129"/>
      <c r="T3251" s="129"/>
      <c r="U3251" s="129"/>
      <c r="V3251" s="129"/>
      <c r="W3251" s="129"/>
      <c r="X3251" s="129"/>
      <c r="Y3251" s="129"/>
      <c r="Z3251" s="129"/>
      <c r="AA3251" s="129"/>
      <c r="AB3251" s="129"/>
      <c r="AC3251" s="129"/>
      <c r="AD3251" s="129"/>
      <c r="AE3251" s="129"/>
      <c r="AF3251" s="129"/>
      <c r="AG3251" s="129"/>
    </row>
    <row r="3252" spans="1:33" x14ac:dyDescent="0.25">
      <c r="A3252" s="129"/>
      <c r="B3252" s="199"/>
      <c r="C3252" s="200"/>
      <c r="D3252" s="201"/>
      <c r="E3252" s="202"/>
      <c r="F3252" s="200"/>
      <c r="G3252" s="200"/>
      <c r="H3252" s="200"/>
      <c r="I3252" s="200"/>
      <c r="J3252" s="200"/>
      <c r="K3252" s="200"/>
      <c r="L3252" s="129"/>
      <c r="M3252" s="129"/>
      <c r="N3252" s="129"/>
      <c r="O3252" s="129"/>
      <c r="P3252" s="129"/>
      <c r="Q3252" s="129"/>
      <c r="R3252" s="129"/>
      <c r="S3252" s="129"/>
      <c r="T3252" s="129"/>
      <c r="U3252" s="129"/>
      <c r="V3252" s="129"/>
      <c r="W3252" s="129"/>
      <c r="X3252" s="129"/>
      <c r="Y3252" s="129"/>
      <c r="Z3252" s="129"/>
      <c r="AA3252" s="129"/>
      <c r="AB3252" s="129"/>
      <c r="AC3252" s="129"/>
      <c r="AD3252" s="129"/>
      <c r="AE3252" s="129"/>
      <c r="AF3252" s="129"/>
      <c r="AG3252" s="129"/>
    </row>
    <row r="3253" spans="1:33" x14ac:dyDescent="0.25">
      <c r="A3253" s="129"/>
      <c r="B3253" s="199"/>
      <c r="C3253" s="200"/>
      <c r="D3253" s="201"/>
      <c r="E3253" s="202"/>
      <c r="F3253" s="200"/>
      <c r="G3253" s="200"/>
      <c r="H3253" s="200"/>
      <c r="I3253" s="200"/>
      <c r="J3253" s="200"/>
      <c r="K3253" s="200"/>
      <c r="L3253" s="129"/>
      <c r="M3253" s="129"/>
      <c r="N3253" s="129"/>
      <c r="O3253" s="129"/>
      <c r="P3253" s="129"/>
      <c r="Q3253" s="129"/>
      <c r="R3253" s="129"/>
      <c r="S3253" s="129"/>
      <c r="T3253" s="129"/>
      <c r="U3253" s="129"/>
      <c r="V3253" s="129"/>
      <c r="W3253" s="129"/>
      <c r="X3253" s="129"/>
      <c r="Y3253" s="129"/>
      <c r="Z3253" s="129"/>
      <c r="AA3253" s="129"/>
      <c r="AB3253" s="129"/>
      <c r="AC3253" s="129"/>
      <c r="AD3253" s="129"/>
      <c r="AE3253" s="129"/>
      <c r="AF3253" s="129"/>
      <c r="AG3253" s="129"/>
    </row>
    <row r="3254" spans="1:33" x14ac:dyDescent="0.25">
      <c r="A3254" s="129"/>
      <c r="B3254" s="199"/>
      <c r="C3254" s="200"/>
      <c r="D3254" s="201"/>
      <c r="E3254" s="202"/>
      <c r="F3254" s="200"/>
      <c r="G3254" s="200"/>
      <c r="H3254" s="200"/>
      <c r="I3254" s="200"/>
      <c r="J3254" s="200"/>
      <c r="K3254" s="200"/>
      <c r="L3254" s="129"/>
      <c r="M3254" s="129"/>
      <c r="N3254" s="129"/>
      <c r="O3254" s="129"/>
      <c r="P3254" s="129"/>
      <c r="Q3254" s="129"/>
      <c r="R3254" s="129"/>
      <c r="S3254" s="129"/>
      <c r="T3254" s="129"/>
      <c r="U3254" s="129"/>
      <c r="V3254" s="129"/>
      <c r="W3254" s="129"/>
      <c r="X3254" s="129"/>
      <c r="Y3254" s="129"/>
      <c r="Z3254" s="129"/>
      <c r="AA3254" s="129"/>
      <c r="AB3254" s="129"/>
      <c r="AC3254" s="129"/>
      <c r="AD3254" s="129"/>
      <c r="AE3254" s="129"/>
      <c r="AF3254" s="129"/>
      <c r="AG3254" s="129"/>
    </row>
    <row r="3255" spans="1:33" x14ac:dyDescent="0.25">
      <c r="A3255" s="129"/>
      <c r="B3255" s="199"/>
      <c r="C3255" s="200"/>
      <c r="D3255" s="201"/>
      <c r="E3255" s="202"/>
      <c r="F3255" s="200"/>
      <c r="G3255" s="200"/>
      <c r="H3255" s="200"/>
      <c r="I3255" s="200"/>
      <c r="J3255" s="200"/>
      <c r="K3255" s="200"/>
      <c r="L3255" s="129"/>
      <c r="M3255" s="129"/>
      <c r="N3255" s="129"/>
      <c r="O3255" s="129"/>
      <c r="P3255" s="129"/>
      <c r="Q3255" s="129"/>
      <c r="R3255" s="129"/>
      <c r="S3255" s="129"/>
      <c r="T3255" s="129"/>
      <c r="U3255" s="129"/>
      <c r="V3255" s="129"/>
      <c r="W3255" s="129"/>
      <c r="X3255" s="129"/>
      <c r="Y3255" s="129"/>
      <c r="Z3255" s="129"/>
      <c r="AA3255" s="129"/>
      <c r="AB3255" s="129"/>
      <c r="AC3255" s="129"/>
      <c r="AD3255" s="129"/>
      <c r="AE3255" s="129"/>
      <c r="AF3255" s="129"/>
      <c r="AG3255" s="129"/>
    </row>
    <row r="3256" spans="1:33" x14ac:dyDescent="0.25">
      <c r="A3256" s="129"/>
      <c r="B3256" s="199"/>
      <c r="C3256" s="200"/>
      <c r="D3256" s="201"/>
      <c r="E3256" s="202"/>
      <c r="F3256" s="200"/>
      <c r="G3256" s="200"/>
      <c r="H3256" s="200"/>
      <c r="I3256" s="200"/>
      <c r="J3256" s="200"/>
      <c r="K3256" s="200"/>
      <c r="L3256" s="129"/>
      <c r="M3256" s="129"/>
      <c r="N3256" s="129"/>
      <c r="O3256" s="129"/>
      <c r="P3256" s="129"/>
      <c r="Q3256" s="129"/>
      <c r="R3256" s="129"/>
      <c r="S3256" s="129"/>
      <c r="T3256" s="129"/>
      <c r="U3256" s="129"/>
      <c r="V3256" s="129"/>
      <c r="W3256" s="129"/>
      <c r="X3256" s="129"/>
      <c r="Y3256" s="129"/>
      <c r="Z3256" s="129"/>
      <c r="AA3256" s="129"/>
      <c r="AB3256" s="129"/>
      <c r="AC3256" s="129"/>
      <c r="AD3256" s="129"/>
      <c r="AE3256" s="129"/>
      <c r="AF3256" s="129"/>
      <c r="AG3256" s="129"/>
    </row>
    <row r="3257" spans="1:33" x14ac:dyDescent="0.25">
      <c r="A3257" s="129"/>
      <c r="B3257" s="199"/>
      <c r="C3257" s="200"/>
      <c r="D3257" s="201"/>
      <c r="E3257" s="202"/>
      <c r="F3257" s="200"/>
      <c r="G3257" s="200"/>
      <c r="H3257" s="200"/>
      <c r="I3257" s="200"/>
      <c r="J3257" s="200"/>
      <c r="K3257" s="200"/>
      <c r="L3257" s="129"/>
      <c r="M3257" s="129"/>
      <c r="N3257" s="129"/>
      <c r="O3257" s="129"/>
      <c r="P3257" s="129"/>
      <c r="Q3257" s="129"/>
      <c r="R3257" s="129"/>
      <c r="S3257" s="129"/>
      <c r="T3257" s="129"/>
      <c r="U3257" s="129"/>
      <c r="V3257" s="129"/>
      <c r="W3257" s="129"/>
      <c r="X3257" s="129"/>
      <c r="Y3257" s="129"/>
      <c r="Z3257" s="129"/>
      <c r="AA3257" s="129"/>
      <c r="AB3257" s="129"/>
      <c r="AC3257" s="129"/>
      <c r="AD3257" s="129"/>
      <c r="AE3257" s="129"/>
      <c r="AF3257" s="129"/>
      <c r="AG3257" s="129"/>
    </row>
    <row r="3258" spans="1:33" x14ac:dyDescent="0.25">
      <c r="A3258" s="129"/>
      <c r="B3258" s="199"/>
      <c r="C3258" s="200"/>
      <c r="D3258" s="201"/>
      <c r="E3258" s="202"/>
      <c r="F3258" s="200"/>
      <c r="G3258" s="200"/>
      <c r="H3258" s="200"/>
      <c r="I3258" s="200"/>
      <c r="J3258" s="200"/>
      <c r="K3258" s="200"/>
      <c r="L3258" s="129"/>
      <c r="M3258" s="129"/>
      <c r="N3258" s="129"/>
      <c r="O3258" s="129"/>
      <c r="P3258" s="129"/>
      <c r="Q3258" s="129"/>
      <c r="R3258" s="129"/>
      <c r="S3258" s="129"/>
      <c r="T3258" s="129"/>
      <c r="U3258" s="129"/>
      <c r="V3258" s="129"/>
      <c r="W3258" s="129"/>
      <c r="X3258" s="129"/>
      <c r="Y3258" s="129"/>
      <c r="Z3258" s="129"/>
      <c r="AA3258" s="129"/>
      <c r="AB3258" s="129"/>
      <c r="AC3258" s="129"/>
      <c r="AD3258" s="129"/>
      <c r="AE3258" s="129"/>
      <c r="AF3258" s="129"/>
      <c r="AG3258" s="129"/>
    </row>
    <row r="3259" spans="1:33" x14ac:dyDescent="0.25">
      <c r="A3259" s="129"/>
      <c r="B3259" s="199"/>
      <c r="C3259" s="200"/>
      <c r="D3259" s="201"/>
      <c r="E3259" s="202"/>
      <c r="F3259" s="200"/>
      <c r="G3259" s="200"/>
      <c r="H3259" s="200"/>
      <c r="I3259" s="200"/>
      <c r="J3259" s="200"/>
      <c r="K3259" s="200"/>
      <c r="L3259" s="129"/>
      <c r="M3259" s="129"/>
      <c r="N3259" s="129"/>
      <c r="O3259" s="129"/>
      <c r="P3259" s="129"/>
      <c r="Q3259" s="129"/>
      <c r="R3259" s="129"/>
      <c r="S3259" s="129"/>
      <c r="T3259" s="129"/>
      <c r="U3259" s="129"/>
      <c r="V3259" s="129"/>
      <c r="W3259" s="129"/>
      <c r="X3259" s="129"/>
      <c r="Y3259" s="129"/>
      <c r="Z3259" s="129"/>
      <c r="AA3259" s="129"/>
      <c r="AB3259" s="129"/>
      <c r="AC3259" s="129"/>
      <c r="AD3259" s="129"/>
      <c r="AE3259" s="129"/>
      <c r="AF3259" s="129"/>
      <c r="AG3259" s="129"/>
    </row>
    <row r="3260" spans="1:33" x14ac:dyDescent="0.25">
      <c r="A3260" s="129"/>
      <c r="B3260" s="199"/>
      <c r="C3260" s="200"/>
      <c r="D3260" s="201"/>
      <c r="E3260" s="202"/>
      <c r="F3260" s="200"/>
      <c r="G3260" s="200"/>
      <c r="H3260" s="200"/>
      <c r="I3260" s="200"/>
      <c r="J3260" s="200"/>
      <c r="K3260" s="200"/>
      <c r="L3260" s="129"/>
      <c r="M3260" s="129"/>
      <c r="N3260" s="129"/>
      <c r="O3260" s="129"/>
      <c r="P3260" s="129"/>
      <c r="Q3260" s="129"/>
      <c r="R3260" s="129"/>
      <c r="S3260" s="129"/>
      <c r="T3260" s="129"/>
      <c r="U3260" s="129"/>
      <c r="V3260" s="129"/>
      <c r="W3260" s="129"/>
      <c r="X3260" s="129"/>
      <c r="Y3260" s="129"/>
      <c r="Z3260" s="129"/>
      <c r="AA3260" s="129"/>
      <c r="AB3260" s="129"/>
      <c r="AC3260" s="129"/>
      <c r="AD3260" s="129"/>
      <c r="AE3260" s="129"/>
      <c r="AF3260" s="129"/>
      <c r="AG3260" s="129"/>
    </row>
    <row r="3261" spans="1:33" x14ac:dyDescent="0.25">
      <c r="A3261" s="129"/>
      <c r="B3261" s="199"/>
      <c r="C3261" s="200"/>
      <c r="D3261" s="201"/>
      <c r="E3261" s="202"/>
      <c r="F3261" s="200"/>
      <c r="G3261" s="200"/>
      <c r="H3261" s="200"/>
      <c r="I3261" s="200"/>
      <c r="J3261" s="200"/>
      <c r="K3261" s="200"/>
      <c r="L3261" s="129"/>
      <c r="M3261" s="129"/>
      <c r="N3261" s="129"/>
      <c r="O3261" s="129"/>
      <c r="P3261" s="129"/>
      <c r="Q3261" s="129"/>
      <c r="R3261" s="129"/>
      <c r="S3261" s="129"/>
      <c r="T3261" s="129"/>
      <c r="U3261" s="129"/>
      <c r="V3261" s="129"/>
      <c r="W3261" s="129"/>
      <c r="X3261" s="129"/>
      <c r="Y3261" s="129"/>
      <c r="Z3261" s="129"/>
      <c r="AA3261" s="129"/>
      <c r="AB3261" s="129"/>
      <c r="AC3261" s="129"/>
      <c r="AD3261" s="129"/>
      <c r="AE3261" s="129"/>
      <c r="AF3261" s="129"/>
      <c r="AG3261" s="129"/>
    </row>
    <row r="3262" spans="1:33" x14ac:dyDescent="0.25">
      <c r="A3262" s="129"/>
      <c r="B3262" s="199"/>
      <c r="C3262" s="200"/>
      <c r="D3262" s="201"/>
      <c r="E3262" s="202"/>
      <c r="F3262" s="200"/>
      <c r="G3262" s="200"/>
      <c r="H3262" s="200"/>
      <c r="I3262" s="200"/>
      <c r="J3262" s="200"/>
      <c r="K3262" s="200"/>
      <c r="L3262" s="129"/>
      <c r="M3262" s="129"/>
      <c r="N3262" s="129"/>
      <c r="O3262" s="129"/>
      <c r="P3262" s="129"/>
      <c r="Q3262" s="129"/>
      <c r="R3262" s="129"/>
      <c r="S3262" s="129"/>
      <c r="T3262" s="129"/>
      <c r="U3262" s="129"/>
      <c r="V3262" s="129"/>
      <c r="W3262" s="129"/>
      <c r="X3262" s="129"/>
      <c r="Y3262" s="129"/>
      <c r="Z3262" s="129"/>
      <c r="AA3262" s="129"/>
      <c r="AB3262" s="129"/>
      <c r="AC3262" s="129"/>
      <c r="AD3262" s="129"/>
      <c r="AE3262" s="129"/>
      <c r="AF3262" s="129"/>
      <c r="AG3262" s="129"/>
    </row>
    <row r="3263" spans="1:33" x14ac:dyDescent="0.25">
      <c r="A3263" s="129"/>
      <c r="B3263" s="199"/>
      <c r="C3263" s="203"/>
      <c r="D3263" s="201"/>
      <c r="E3263" s="202"/>
      <c r="F3263" s="203"/>
      <c r="G3263" s="203"/>
      <c r="H3263" s="203"/>
      <c r="I3263" s="203"/>
      <c r="J3263" s="203"/>
      <c r="K3263" s="203"/>
      <c r="L3263" s="129"/>
      <c r="M3263" s="129"/>
      <c r="N3263" s="129"/>
      <c r="O3263" s="129"/>
      <c r="P3263" s="129"/>
      <c r="Q3263" s="129"/>
      <c r="R3263" s="129"/>
      <c r="S3263" s="129"/>
      <c r="T3263" s="129"/>
      <c r="U3263" s="129"/>
      <c r="V3263" s="129"/>
      <c r="W3263" s="129"/>
      <c r="X3263" s="129"/>
      <c r="Y3263" s="129"/>
      <c r="Z3263" s="129"/>
      <c r="AA3263" s="129"/>
      <c r="AB3263" s="129"/>
      <c r="AC3263" s="129"/>
      <c r="AD3263" s="129"/>
      <c r="AE3263" s="129"/>
      <c r="AF3263" s="129"/>
      <c r="AG3263" s="129"/>
    </row>
    <row r="3264" spans="1:33" x14ac:dyDescent="0.25">
      <c r="A3264" s="129"/>
      <c r="B3264" s="199"/>
      <c r="C3264" s="204"/>
      <c r="D3264" s="201"/>
      <c r="E3264" s="202"/>
      <c r="F3264" s="203"/>
      <c r="G3264" s="203"/>
      <c r="H3264" s="203"/>
      <c r="I3264" s="203"/>
      <c r="J3264" s="203"/>
      <c r="K3264" s="203"/>
      <c r="L3264" s="129"/>
      <c r="M3264" s="129"/>
      <c r="N3264" s="129"/>
      <c r="O3264" s="129"/>
      <c r="P3264" s="129"/>
      <c r="Q3264" s="129"/>
      <c r="R3264" s="129"/>
      <c r="S3264" s="129"/>
      <c r="T3264" s="129"/>
      <c r="U3264" s="129"/>
      <c r="V3264" s="129"/>
      <c r="W3264" s="129"/>
      <c r="X3264" s="129"/>
      <c r="Y3264" s="129"/>
      <c r="Z3264" s="129"/>
      <c r="AA3264" s="129"/>
      <c r="AB3264" s="129"/>
      <c r="AC3264" s="129"/>
      <c r="AD3264" s="129"/>
      <c r="AE3264" s="129"/>
      <c r="AF3264" s="129"/>
      <c r="AG3264" s="129"/>
    </row>
    <row r="3265" spans="1:33" x14ac:dyDescent="0.25">
      <c r="A3265" s="129"/>
      <c r="B3265" s="199"/>
      <c r="C3265" s="204"/>
      <c r="D3265" s="201"/>
      <c r="E3265" s="202"/>
      <c r="F3265" s="203"/>
      <c r="G3265" s="203"/>
      <c r="H3265" s="203"/>
      <c r="I3265" s="203"/>
      <c r="J3265" s="203"/>
      <c r="K3265" s="203"/>
      <c r="L3265" s="129"/>
      <c r="M3265" s="129"/>
      <c r="N3265" s="129"/>
      <c r="O3265" s="129"/>
      <c r="P3265" s="129"/>
      <c r="Q3265" s="129"/>
      <c r="R3265" s="129"/>
      <c r="S3265" s="129"/>
      <c r="T3265" s="129"/>
      <c r="U3265" s="129"/>
      <c r="V3265" s="129"/>
      <c r="W3265" s="129"/>
      <c r="X3265" s="129"/>
      <c r="Y3265" s="129"/>
      <c r="Z3265" s="129"/>
      <c r="AA3265" s="129"/>
      <c r="AB3265" s="129"/>
      <c r="AC3265" s="129"/>
      <c r="AD3265" s="129"/>
      <c r="AE3265" s="129"/>
      <c r="AF3265" s="129"/>
      <c r="AG3265" s="129"/>
    </row>
    <row r="3266" spans="1:33" x14ac:dyDescent="0.25">
      <c r="A3266" s="129"/>
      <c r="B3266" s="199"/>
      <c r="C3266" s="204"/>
      <c r="D3266" s="201"/>
      <c r="E3266" s="202"/>
      <c r="F3266" s="203"/>
      <c r="G3266" s="203"/>
      <c r="H3266" s="203"/>
      <c r="I3266" s="203"/>
      <c r="J3266" s="203"/>
      <c r="K3266" s="203"/>
      <c r="L3266" s="129"/>
      <c r="M3266" s="129"/>
      <c r="N3266" s="129"/>
      <c r="O3266" s="129"/>
      <c r="P3266" s="129"/>
      <c r="Q3266" s="129"/>
      <c r="R3266" s="129"/>
      <c r="S3266" s="129"/>
      <c r="T3266" s="129"/>
      <c r="U3266" s="129"/>
      <c r="V3266" s="129"/>
      <c r="W3266" s="129"/>
      <c r="X3266" s="129"/>
      <c r="Y3266" s="129"/>
      <c r="Z3266" s="129"/>
      <c r="AA3266" s="129"/>
      <c r="AB3266" s="129"/>
      <c r="AC3266" s="129"/>
      <c r="AD3266" s="129"/>
      <c r="AE3266" s="129"/>
      <c r="AF3266" s="129"/>
      <c r="AG3266" s="129"/>
    </row>
    <row r="3267" spans="1:33" x14ac:dyDescent="0.25">
      <c r="A3267" s="129"/>
      <c r="B3267" s="199"/>
      <c r="C3267" s="204"/>
      <c r="D3267" s="201"/>
      <c r="E3267" s="202"/>
      <c r="F3267" s="203"/>
      <c r="G3267" s="203"/>
      <c r="H3267" s="203"/>
      <c r="I3267" s="203"/>
      <c r="J3267" s="203"/>
      <c r="K3267" s="203"/>
      <c r="L3267" s="129"/>
      <c r="M3267" s="129"/>
      <c r="N3267" s="129"/>
      <c r="O3267" s="129"/>
      <c r="P3267" s="129"/>
      <c r="Q3267" s="129"/>
      <c r="R3267" s="129"/>
      <c r="S3267" s="129"/>
      <c r="T3267" s="129"/>
      <c r="U3267" s="129"/>
      <c r="V3267" s="129"/>
      <c r="W3267" s="129"/>
      <c r="X3267" s="129"/>
      <c r="Y3267" s="129"/>
      <c r="Z3267" s="129"/>
      <c r="AA3267" s="129"/>
      <c r="AB3267" s="129"/>
      <c r="AC3267" s="129"/>
      <c r="AD3267" s="129"/>
      <c r="AE3267" s="129"/>
      <c r="AF3267" s="129"/>
      <c r="AG3267" s="129"/>
    </row>
    <row r="3268" spans="1:33" x14ac:dyDescent="0.25">
      <c r="A3268" s="129"/>
      <c r="B3268" s="199"/>
      <c r="C3268" s="204"/>
      <c r="D3268" s="200"/>
      <c r="E3268" s="202"/>
      <c r="F3268" s="203"/>
      <c r="G3268" s="203"/>
      <c r="H3268" s="203"/>
      <c r="I3268" s="203"/>
      <c r="J3268" s="203"/>
      <c r="K3268" s="203"/>
      <c r="L3268" s="200"/>
      <c r="M3268" s="200"/>
      <c r="N3268" s="200"/>
      <c r="O3268" s="200"/>
      <c r="P3268" s="200"/>
      <c r="Q3268" s="200"/>
      <c r="R3268" s="200"/>
      <c r="S3268" s="200"/>
      <c r="T3268" s="200"/>
      <c r="U3268" s="200"/>
      <c r="V3268" s="200"/>
      <c r="W3268" s="200"/>
      <c r="X3268" s="129"/>
      <c r="Y3268" s="129"/>
      <c r="Z3268" s="129"/>
      <c r="AA3268" s="129"/>
      <c r="AB3268" s="129"/>
      <c r="AC3268" s="129"/>
      <c r="AD3268" s="129"/>
      <c r="AE3268" s="129"/>
      <c r="AF3268" s="129"/>
      <c r="AG3268" s="129"/>
    </row>
    <row r="3269" spans="1:33" x14ac:dyDescent="0.25">
      <c r="A3269" s="129"/>
      <c r="B3269" s="199"/>
      <c r="C3269" s="204"/>
      <c r="D3269" s="200"/>
      <c r="E3269" s="202"/>
      <c r="F3269" s="203"/>
      <c r="G3269" s="203"/>
      <c r="H3269" s="203"/>
      <c r="I3269" s="203"/>
      <c r="J3269" s="203"/>
      <c r="K3269" s="203"/>
      <c r="L3269" s="200"/>
      <c r="M3269" s="200"/>
      <c r="N3269" s="200"/>
      <c r="O3269" s="200"/>
      <c r="P3269" s="200"/>
      <c r="Q3269" s="200"/>
      <c r="R3269" s="200"/>
      <c r="S3269" s="200"/>
      <c r="T3269" s="200"/>
      <c r="U3269" s="200"/>
      <c r="V3269" s="200"/>
      <c r="W3269" s="200"/>
      <c r="X3269" s="129"/>
      <c r="Y3269" s="129"/>
      <c r="Z3269" s="129"/>
      <c r="AA3269" s="129"/>
      <c r="AB3269" s="129"/>
      <c r="AC3269" s="129"/>
      <c r="AD3269" s="129"/>
      <c r="AE3269" s="129"/>
      <c r="AF3269" s="129"/>
      <c r="AG3269" s="129"/>
    </row>
    <row r="3270" spans="1:33" x14ac:dyDescent="0.25">
      <c r="A3270" s="129"/>
      <c r="B3270" s="199"/>
      <c r="C3270" s="204"/>
      <c r="D3270" s="204"/>
      <c r="E3270" s="202"/>
      <c r="F3270" s="203"/>
      <c r="G3270" s="203"/>
      <c r="H3270" s="203"/>
      <c r="I3270" s="203"/>
      <c r="J3270" s="203"/>
      <c r="K3270" s="203"/>
      <c r="L3270" s="203"/>
      <c r="M3270" s="203"/>
      <c r="N3270" s="203"/>
      <c r="O3270" s="203"/>
      <c r="P3270" s="203"/>
      <c r="Q3270" s="203"/>
      <c r="R3270" s="203"/>
      <c r="S3270" s="203"/>
      <c r="T3270" s="203"/>
      <c r="U3270" s="203"/>
      <c r="V3270" s="203"/>
      <c r="W3270" s="203"/>
      <c r="X3270" s="129"/>
      <c r="Y3270" s="129"/>
      <c r="Z3270" s="129"/>
      <c r="AA3270" s="129"/>
      <c r="AB3270" s="129"/>
      <c r="AC3270" s="129"/>
      <c r="AD3270" s="129"/>
      <c r="AE3270" s="129"/>
      <c r="AF3270" s="129"/>
      <c r="AG3270" s="129"/>
    </row>
    <row r="3271" spans="1:33" x14ac:dyDescent="0.25">
      <c r="A3271" s="129"/>
      <c r="B3271" s="199"/>
      <c r="C3271" s="204"/>
      <c r="D3271" s="200"/>
      <c r="E3271" s="202"/>
      <c r="F3271" s="203"/>
      <c r="G3271" s="203"/>
      <c r="H3271" s="203"/>
      <c r="I3271" s="203"/>
      <c r="J3271" s="203"/>
      <c r="K3271" s="203"/>
      <c r="L3271" s="200"/>
      <c r="M3271" s="200"/>
      <c r="N3271" s="200"/>
      <c r="O3271" s="200"/>
      <c r="P3271" s="200"/>
      <c r="Q3271" s="200"/>
      <c r="R3271" s="200"/>
      <c r="S3271" s="200"/>
      <c r="T3271" s="200"/>
      <c r="U3271" s="200"/>
      <c r="V3271" s="200"/>
      <c r="W3271" s="200"/>
      <c r="X3271" s="129"/>
      <c r="Y3271" s="129"/>
      <c r="Z3271" s="129"/>
      <c r="AA3271" s="129"/>
      <c r="AB3271" s="129"/>
      <c r="AC3271" s="129"/>
      <c r="AD3271" s="129"/>
      <c r="AE3271" s="129"/>
      <c r="AF3271" s="129"/>
      <c r="AG3271" s="129"/>
    </row>
    <row r="3272" spans="1:33" x14ac:dyDescent="0.25">
      <c r="A3272" s="129"/>
      <c r="B3272" s="199"/>
      <c r="C3272" s="204"/>
      <c r="D3272" s="200"/>
      <c r="E3272" s="202"/>
      <c r="F3272" s="203"/>
      <c r="G3272" s="203"/>
      <c r="H3272" s="203"/>
      <c r="I3272" s="203"/>
      <c r="J3272" s="203"/>
      <c r="K3272" s="203"/>
      <c r="L3272" s="200"/>
      <c r="M3272" s="200"/>
      <c r="N3272" s="200"/>
      <c r="O3272" s="200"/>
      <c r="P3272" s="200"/>
      <c r="Q3272" s="200"/>
      <c r="R3272" s="200"/>
      <c r="S3272" s="200"/>
      <c r="T3272" s="200"/>
      <c r="U3272" s="200"/>
      <c r="V3272" s="200"/>
      <c r="W3272" s="200"/>
      <c r="X3272" s="129"/>
      <c r="Y3272" s="129"/>
      <c r="Z3272" s="129"/>
      <c r="AA3272" s="129"/>
      <c r="AB3272" s="129"/>
      <c r="AC3272" s="129"/>
      <c r="AD3272" s="129"/>
      <c r="AE3272" s="129"/>
      <c r="AF3272" s="129"/>
      <c r="AG3272" s="129"/>
    </row>
    <row r="3273" spans="1:33" x14ac:dyDescent="0.25">
      <c r="A3273" s="129"/>
      <c r="B3273" s="199"/>
      <c r="C3273" s="204"/>
      <c r="D3273" s="200"/>
      <c r="E3273" s="202"/>
      <c r="F3273" s="203"/>
      <c r="G3273" s="203"/>
      <c r="H3273" s="203"/>
      <c r="I3273" s="203"/>
      <c r="J3273" s="203"/>
      <c r="K3273" s="203"/>
      <c r="L3273" s="200"/>
      <c r="M3273" s="200"/>
      <c r="N3273" s="200"/>
      <c r="O3273" s="200"/>
      <c r="P3273" s="200"/>
      <c r="Q3273" s="200"/>
      <c r="R3273" s="200"/>
      <c r="S3273" s="200"/>
      <c r="T3273" s="200"/>
      <c r="U3273" s="200"/>
      <c r="V3273" s="200"/>
      <c r="W3273" s="200"/>
      <c r="X3273" s="129"/>
      <c r="Y3273" s="129"/>
      <c r="Z3273" s="129"/>
      <c r="AA3273" s="129"/>
      <c r="AB3273" s="129"/>
      <c r="AC3273" s="129"/>
      <c r="AD3273" s="129"/>
      <c r="AE3273" s="129"/>
      <c r="AF3273" s="129"/>
      <c r="AG3273" s="129"/>
    </row>
    <row r="3274" spans="1:33" x14ac:dyDescent="0.25">
      <c r="A3274" s="129"/>
      <c r="B3274" s="199"/>
      <c r="C3274" s="200"/>
      <c r="D3274" s="201"/>
      <c r="E3274" s="202"/>
      <c r="F3274" s="200"/>
      <c r="G3274" s="200"/>
      <c r="H3274" s="200"/>
      <c r="I3274" s="200"/>
      <c r="J3274" s="200"/>
      <c r="K3274" s="200"/>
      <c r="L3274" s="129"/>
      <c r="M3274" s="129"/>
      <c r="N3274" s="129"/>
      <c r="O3274" s="129"/>
      <c r="P3274" s="129"/>
      <c r="Q3274" s="129"/>
      <c r="R3274" s="129"/>
      <c r="S3274" s="129"/>
      <c r="T3274" s="129"/>
      <c r="U3274" s="129"/>
      <c r="V3274" s="129"/>
      <c r="W3274" s="129"/>
      <c r="X3274" s="129"/>
      <c r="Y3274" s="129"/>
      <c r="Z3274" s="129"/>
      <c r="AA3274" s="129"/>
      <c r="AB3274" s="129"/>
      <c r="AC3274" s="129"/>
      <c r="AD3274" s="129"/>
      <c r="AE3274" s="129"/>
      <c r="AF3274" s="129"/>
      <c r="AG3274" s="129"/>
    </row>
    <row r="3275" spans="1:33" x14ac:dyDescent="0.25">
      <c r="A3275" s="129"/>
      <c r="B3275" s="199"/>
      <c r="C3275" s="200"/>
      <c r="D3275" s="201"/>
      <c r="E3275" s="202"/>
      <c r="F3275" s="200"/>
      <c r="G3275" s="200"/>
      <c r="H3275" s="200"/>
      <c r="I3275" s="200"/>
      <c r="J3275" s="200"/>
      <c r="K3275" s="200"/>
      <c r="L3275" s="129"/>
      <c r="M3275" s="129"/>
      <c r="N3275" s="129"/>
      <c r="O3275" s="129"/>
      <c r="P3275" s="129"/>
      <c r="Q3275" s="129"/>
      <c r="R3275" s="129"/>
      <c r="S3275" s="129"/>
      <c r="T3275" s="129"/>
      <c r="U3275" s="129"/>
      <c r="V3275" s="129"/>
      <c r="W3275" s="129"/>
      <c r="X3275" s="129"/>
      <c r="Y3275" s="129"/>
      <c r="Z3275" s="129"/>
      <c r="AA3275" s="129"/>
      <c r="AB3275" s="129"/>
      <c r="AC3275" s="129"/>
      <c r="AD3275" s="129"/>
      <c r="AE3275" s="129"/>
      <c r="AF3275" s="129"/>
      <c r="AG3275" s="129"/>
    </row>
    <row r="3276" spans="1:33" x14ac:dyDescent="0.25">
      <c r="A3276" s="129"/>
      <c r="B3276" s="199"/>
      <c r="C3276" s="200"/>
      <c r="D3276" s="201"/>
      <c r="E3276" s="202"/>
      <c r="F3276" s="200"/>
      <c r="G3276" s="200"/>
      <c r="H3276" s="200"/>
      <c r="I3276" s="200"/>
      <c r="J3276" s="200"/>
      <c r="K3276" s="200"/>
      <c r="L3276" s="129"/>
      <c r="M3276" s="129"/>
      <c r="N3276" s="129"/>
      <c r="O3276" s="129"/>
      <c r="P3276" s="129"/>
      <c r="Q3276" s="129"/>
      <c r="R3276" s="129"/>
      <c r="S3276" s="129"/>
      <c r="T3276" s="129"/>
      <c r="U3276" s="129"/>
      <c r="V3276" s="129"/>
      <c r="W3276" s="129"/>
      <c r="X3276" s="129"/>
      <c r="Y3276" s="129"/>
      <c r="Z3276" s="129"/>
      <c r="AA3276" s="129"/>
      <c r="AB3276" s="129"/>
      <c r="AC3276" s="129"/>
      <c r="AD3276" s="129"/>
      <c r="AE3276" s="129"/>
      <c r="AF3276" s="129"/>
      <c r="AG3276" s="129"/>
    </row>
    <row r="3277" spans="1:33" x14ac:dyDescent="0.25">
      <c r="A3277" s="129"/>
      <c r="B3277" s="199"/>
      <c r="C3277" s="200"/>
      <c r="D3277" s="201"/>
      <c r="E3277" s="202"/>
      <c r="F3277" s="200"/>
      <c r="G3277" s="200"/>
      <c r="H3277" s="200"/>
      <c r="I3277" s="200"/>
      <c r="J3277" s="200"/>
      <c r="K3277" s="200"/>
      <c r="L3277" s="129"/>
      <c r="M3277" s="129"/>
      <c r="N3277" s="129"/>
      <c r="O3277" s="129"/>
      <c r="P3277" s="129"/>
      <c r="Q3277" s="129"/>
      <c r="R3277" s="129"/>
      <c r="S3277" s="129"/>
      <c r="T3277" s="129"/>
      <c r="U3277" s="129"/>
      <c r="V3277" s="129"/>
      <c r="W3277" s="129"/>
      <c r="X3277" s="129"/>
      <c r="Y3277" s="129"/>
      <c r="Z3277" s="129"/>
      <c r="AA3277" s="129"/>
      <c r="AB3277" s="129"/>
      <c r="AC3277" s="129"/>
      <c r="AD3277" s="129"/>
      <c r="AE3277" s="129"/>
      <c r="AF3277" s="129"/>
      <c r="AG3277" s="129"/>
    </row>
    <row r="3278" spans="1:33" x14ac:dyDescent="0.25">
      <c r="A3278" s="129"/>
      <c r="B3278" s="199"/>
      <c r="C3278" s="200"/>
      <c r="D3278" s="201"/>
      <c r="E3278" s="202"/>
      <c r="F3278" s="200"/>
      <c r="G3278" s="200"/>
      <c r="H3278" s="200"/>
      <c r="I3278" s="200"/>
      <c r="J3278" s="200"/>
      <c r="K3278" s="200"/>
      <c r="L3278" s="129"/>
      <c r="M3278" s="129"/>
      <c r="N3278" s="129"/>
      <c r="O3278" s="129"/>
      <c r="P3278" s="129"/>
      <c r="Q3278" s="129"/>
      <c r="R3278" s="129"/>
      <c r="S3278" s="129"/>
      <c r="T3278" s="129"/>
      <c r="U3278" s="129"/>
      <c r="V3278" s="129"/>
      <c r="W3278" s="129"/>
      <c r="X3278" s="129"/>
      <c r="Y3278" s="129"/>
      <c r="Z3278" s="129"/>
      <c r="AA3278" s="129"/>
      <c r="AB3278" s="129"/>
      <c r="AC3278" s="129"/>
      <c r="AD3278" s="129"/>
      <c r="AE3278" s="129"/>
      <c r="AF3278" s="129"/>
      <c r="AG3278" s="129"/>
    </row>
    <row r="3279" spans="1:33" x14ac:dyDescent="0.25">
      <c r="A3279" s="129"/>
      <c r="B3279" s="199"/>
      <c r="C3279" s="200"/>
      <c r="D3279" s="201"/>
      <c r="E3279" s="202"/>
      <c r="F3279" s="200"/>
      <c r="G3279" s="200"/>
      <c r="H3279" s="200"/>
      <c r="I3279" s="200"/>
      <c r="J3279" s="200"/>
      <c r="K3279" s="200"/>
      <c r="L3279" s="129"/>
      <c r="M3279" s="129"/>
      <c r="N3279" s="129"/>
      <c r="O3279" s="129"/>
      <c r="P3279" s="129"/>
      <c r="Q3279" s="129"/>
      <c r="R3279" s="129"/>
      <c r="S3279" s="129"/>
      <c r="T3279" s="129"/>
      <c r="U3279" s="129"/>
      <c r="V3279" s="129"/>
      <c r="W3279" s="129"/>
      <c r="X3279" s="129"/>
      <c r="Y3279" s="129"/>
      <c r="Z3279" s="129"/>
      <c r="AA3279" s="129"/>
      <c r="AB3279" s="129"/>
      <c r="AC3279" s="129"/>
      <c r="AD3279" s="129"/>
      <c r="AE3279" s="129"/>
      <c r="AF3279" s="129"/>
      <c r="AG3279" s="129"/>
    </row>
    <row r="3280" spans="1:33" x14ac:dyDescent="0.25">
      <c r="A3280" s="129"/>
      <c r="B3280" s="199"/>
      <c r="C3280" s="200"/>
      <c r="D3280" s="201"/>
      <c r="E3280" s="202"/>
      <c r="F3280" s="200"/>
      <c r="G3280" s="200"/>
      <c r="H3280" s="200"/>
      <c r="I3280" s="200"/>
      <c r="J3280" s="200"/>
      <c r="K3280" s="200"/>
      <c r="L3280" s="129"/>
      <c r="M3280" s="129"/>
      <c r="N3280" s="129"/>
      <c r="O3280" s="129"/>
      <c r="P3280" s="129"/>
      <c r="Q3280" s="129"/>
      <c r="R3280" s="129"/>
      <c r="S3280" s="129"/>
      <c r="T3280" s="129"/>
      <c r="U3280" s="129"/>
      <c r="V3280" s="129"/>
      <c r="W3280" s="129"/>
      <c r="X3280" s="129"/>
      <c r="Y3280" s="129"/>
      <c r="Z3280" s="129"/>
      <c r="AA3280" s="129"/>
      <c r="AB3280" s="129"/>
      <c r="AC3280" s="129"/>
      <c r="AD3280" s="129"/>
      <c r="AE3280" s="129"/>
      <c r="AF3280" s="129"/>
      <c r="AG3280" s="129"/>
    </row>
    <row r="3281" spans="1:33" x14ac:dyDescent="0.25">
      <c r="A3281" s="129"/>
      <c r="B3281" s="199"/>
      <c r="C3281" s="200"/>
      <c r="D3281" s="201"/>
      <c r="E3281" s="202"/>
      <c r="F3281" s="200"/>
      <c r="G3281" s="200"/>
      <c r="H3281" s="200"/>
      <c r="I3281" s="200"/>
      <c r="J3281" s="200"/>
      <c r="K3281" s="200"/>
      <c r="L3281" s="129"/>
      <c r="M3281" s="129"/>
      <c r="N3281" s="129"/>
      <c r="O3281" s="129"/>
      <c r="P3281" s="129"/>
      <c r="Q3281" s="129"/>
      <c r="R3281" s="129"/>
      <c r="S3281" s="129"/>
      <c r="T3281" s="129"/>
      <c r="U3281" s="129"/>
      <c r="V3281" s="129"/>
      <c r="W3281" s="129"/>
      <c r="X3281" s="129"/>
      <c r="Y3281" s="129"/>
      <c r="Z3281" s="129"/>
      <c r="AA3281" s="129"/>
      <c r="AB3281" s="129"/>
      <c r="AC3281" s="129"/>
      <c r="AD3281" s="129"/>
      <c r="AE3281" s="129"/>
      <c r="AF3281" s="129"/>
      <c r="AG3281" s="129"/>
    </row>
    <row r="3282" spans="1:33" x14ac:dyDescent="0.25">
      <c r="A3282" s="129"/>
      <c r="B3282" s="199"/>
      <c r="C3282" s="200"/>
      <c r="D3282" s="201"/>
      <c r="E3282" s="202"/>
      <c r="F3282" s="200"/>
      <c r="G3282" s="200"/>
      <c r="H3282" s="200"/>
      <c r="I3282" s="200"/>
      <c r="J3282" s="200"/>
      <c r="K3282" s="200"/>
      <c r="L3282" s="129"/>
      <c r="M3282" s="129"/>
      <c r="N3282" s="129"/>
      <c r="O3282" s="129"/>
      <c r="P3282" s="129"/>
      <c r="Q3282" s="129"/>
      <c r="R3282" s="129"/>
      <c r="S3282" s="129"/>
      <c r="T3282" s="129"/>
      <c r="U3282" s="129"/>
      <c r="V3282" s="129"/>
      <c r="W3282" s="129"/>
      <c r="X3282" s="129"/>
      <c r="Y3282" s="129"/>
      <c r="Z3282" s="129"/>
      <c r="AA3282" s="129"/>
      <c r="AB3282" s="129"/>
      <c r="AC3282" s="129"/>
      <c r="AD3282" s="129"/>
      <c r="AE3282" s="129"/>
      <c r="AF3282" s="129"/>
      <c r="AG3282" s="129"/>
    </row>
    <row r="3283" spans="1:33" x14ac:dyDescent="0.25">
      <c r="A3283" s="129"/>
      <c r="B3283" s="199"/>
      <c r="C3283" s="200"/>
      <c r="D3283" s="201"/>
      <c r="E3283" s="202"/>
      <c r="F3283" s="200"/>
      <c r="G3283" s="200"/>
      <c r="H3283" s="200"/>
      <c r="I3283" s="200"/>
      <c r="J3283" s="200"/>
      <c r="K3283" s="200"/>
      <c r="L3283" s="129"/>
      <c r="M3283" s="129"/>
      <c r="N3283" s="129"/>
      <c r="O3283" s="129"/>
      <c r="P3283" s="129"/>
      <c r="Q3283" s="129"/>
      <c r="R3283" s="129"/>
      <c r="S3283" s="129"/>
      <c r="T3283" s="129"/>
      <c r="U3283" s="129"/>
      <c r="V3283" s="129"/>
      <c r="W3283" s="129"/>
      <c r="X3283" s="129"/>
      <c r="Y3283" s="129"/>
      <c r="Z3283" s="129"/>
      <c r="AA3283" s="129"/>
      <c r="AB3283" s="129"/>
      <c r="AC3283" s="129"/>
      <c r="AD3283" s="129"/>
      <c r="AE3283" s="129"/>
      <c r="AF3283" s="129"/>
      <c r="AG3283" s="129"/>
    </row>
    <row r="3284" spans="1:33" x14ac:dyDescent="0.25">
      <c r="A3284" s="129"/>
      <c r="B3284" s="199"/>
      <c r="C3284" s="200"/>
      <c r="D3284" s="201"/>
      <c r="E3284" s="202"/>
      <c r="F3284" s="200"/>
      <c r="G3284" s="200"/>
      <c r="H3284" s="200"/>
      <c r="I3284" s="200"/>
      <c r="J3284" s="200"/>
      <c r="K3284" s="200"/>
      <c r="L3284" s="129"/>
      <c r="M3284" s="129"/>
      <c r="N3284" s="129"/>
      <c r="O3284" s="129"/>
      <c r="P3284" s="129"/>
      <c r="Q3284" s="129"/>
      <c r="R3284" s="129"/>
      <c r="S3284" s="129"/>
      <c r="T3284" s="129"/>
      <c r="U3284" s="129"/>
      <c r="V3284" s="129"/>
      <c r="W3284" s="129"/>
      <c r="X3284" s="129"/>
      <c r="Y3284" s="129"/>
      <c r="Z3284" s="129"/>
      <c r="AA3284" s="129"/>
      <c r="AB3284" s="129"/>
      <c r="AC3284" s="129"/>
      <c r="AD3284" s="129"/>
      <c r="AE3284" s="129"/>
      <c r="AF3284" s="129"/>
      <c r="AG3284" s="129"/>
    </row>
    <row r="3285" spans="1:33" x14ac:dyDescent="0.25">
      <c r="A3285" s="129"/>
      <c r="B3285" s="199"/>
      <c r="C3285" s="200"/>
      <c r="D3285" s="201"/>
      <c r="E3285" s="202"/>
      <c r="F3285" s="200"/>
      <c r="G3285" s="200"/>
      <c r="H3285" s="200"/>
      <c r="I3285" s="200"/>
      <c r="J3285" s="200"/>
      <c r="K3285" s="200"/>
      <c r="L3285" s="129"/>
      <c r="M3285" s="129"/>
      <c r="N3285" s="129"/>
      <c r="O3285" s="129"/>
      <c r="P3285" s="129"/>
      <c r="Q3285" s="129"/>
      <c r="R3285" s="129"/>
      <c r="S3285" s="129"/>
      <c r="T3285" s="129"/>
      <c r="U3285" s="129"/>
      <c r="V3285" s="129"/>
      <c r="W3285" s="129"/>
      <c r="X3285" s="129"/>
      <c r="Y3285" s="129"/>
      <c r="Z3285" s="129"/>
      <c r="AA3285" s="129"/>
      <c r="AB3285" s="129"/>
      <c r="AC3285" s="129"/>
      <c r="AD3285" s="129"/>
      <c r="AE3285" s="129"/>
      <c r="AF3285" s="129"/>
      <c r="AG3285" s="129"/>
    </row>
    <row r="3286" spans="1:33" x14ac:dyDescent="0.25">
      <c r="A3286" s="129"/>
      <c r="B3286" s="199"/>
      <c r="C3286" s="200"/>
      <c r="D3286" s="201"/>
      <c r="E3286" s="202"/>
      <c r="F3286" s="200"/>
      <c r="G3286" s="200"/>
      <c r="H3286" s="200"/>
      <c r="I3286" s="200"/>
      <c r="J3286" s="200"/>
      <c r="K3286" s="200"/>
      <c r="L3286" s="129"/>
      <c r="M3286" s="129"/>
      <c r="N3286" s="129"/>
      <c r="O3286" s="129"/>
      <c r="P3286" s="129"/>
      <c r="Q3286" s="129"/>
      <c r="R3286" s="129"/>
      <c r="S3286" s="129"/>
      <c r="T3286" s="129"/>
      <c r="U3286" s="129"/>
      <c r="V3286" s="129"/>
      <c r="W3286" s="129"/>
      <c r="X3286" s="129"/>
      <c r="Y3286" s="129"/>
      <c r="Z3286" s="129"/>
      <c r="AA3286" s="129"/>
      <c r="AB3286" s="129"/>
      <c r="AC3286" s="129"/>
      <c r="AD3286" s="129"/>
      <c r="AE3286" s="129"/>
      <c r="AF3286" s="129"/>
      <c r="AG3286" s="129"/>
    </row>
    <row r="3287" spans="1:33" x14ac:dyDescent="0.25">
      <c r="A3287" s="129"/>
      <c r="B3287" s="199"/>
      <c r="C3287" s="200"/>
      <c r="D3287" s="201"/>
      <c r="E3287" s="202"/>
      <c r="F3287" s="200"/>
      <c r="G3287" s="200"/>
      <c r="H3287" s="200"/>
      <c r="I3287" s="200"/>
      <c r="J3287" s="200"/>
      <c r="K3287" s="200"/>
      <c r="L3287" s="129"/>
      <c r="M3287" s="129"/>
      <c r="N3287" s="129"/>
      <c r="O3287" s="129"/>
      <c r="P3287" s="129"/>
      <c r="Q3287" s="129"/>
      <c r="R3287" s="129"/>
      <c r="S3287" s="129"/>
      <c r="T3287" s="129"/>
      <c r="U3287" s="129"/>
      <c r="V3287" s="129"/>
      <c r="W3287" s="129"/>
      <c r="X3287" s="129"/>
      <c r="Y3287" s="129"/>
      <c r="Z3287" s="129"/>
      <c r="AA3287" s="129"/>
      <c r="AB3287" s="129"/>
      <c r="AC3287" s="129"/>
      <c r="AD3287" s="129"/>
      <c r="AE3287" s="129"/>
      <c r="AF3287" s="129"/>
      <c r="AG3287" s="129"/>
    </row>
    <row r="3288" spans="1:33" x14ac:dyDescent="0.25">
      <c r="A3288" s="129"/>
      <c r="B3288" s="199"/>
      <c r="C3288" s="200"/>
      <c r="D3288" s="201"/>
      <c r="E3288" s="202"/>
      <c r="F3288" s="200"/>
      <c r="G3288" s="200"/>
      <c r="H3288" s="200"/>
      <c r="I3288" s="200"/>
      <c r="J3288" s="200"/>
      <c r="K3288" s="200"/>
      <c r="L3288" s="129"/>
      <c r="M3288" s="129"/>
      <c r="N3288" s="129"/>
      <c r="O3288" s="129"/>
      <c r="P3288" s="129"/>
      <c r="Q3288" s="129"/>
      <c r="R3288" s="129"/>
      <c r="S3288" s="129"/>
      <c r="T3288" s="129"/>
      <c r="U3288" s="129"/>
      <c r="V3288" s="129"/>
      <c r="W3288" s="129"/>
      <c r="X3288" s="129"/>
      <c r="Y3288" s="129"/>
      <c r="Z3288" s="129"/>
      <c r="AA3288" s="129"/>
      <c r="AB3288" s="129"/>
      <c r="AC3288" s="129"/>
      <c r="AD3288" s="129"/>
      <c r="AE3288" s="129"/>
      <c r="AF3288" s="129"/>
      <c r="AG3288" s="129"/>
    </row>
    <row r="3289" spans="1:33" x14ac:dyDescent="0.25">
      <c r="A3289" s="129"/>
      <c r="B3289" s="199"/>
      <c r="C3289" s="203"/>
      <c r="D3289" s="201"/>
      <c r="E3289" s="202"/>
      <c r="F3289" s="203"/>
      <c r="G3289" s="203"/>
      <c r="H3289" s="203"/>
      <c r="I3289" s="203"/>
      <c r="J3289" s="203"/>
      <c r="K3289" s="203"/>
      <c r="L3289" s="129"/>
      <c r="M3289" s="129"/>
      <c r="N3289" s="129"/>
      <c r="O3289" s="129"/>
      <c r="P3289" s="129"/>
      <c r="Q3289" s="129"/>
      <c r="R3289" s="129"/>
      <c r="S3289" s="129"/>
      <c r="T3289" s="129"/>
      <c r="U3289" s="129"/>
      <c r="V3289" s="129"/>
      <c r="W3289" s="129"/>
      <c r="X3289" s="129"/>
      <c r="Y3289" s="129"/>
      <c r="Z3289" s="129"/>
      <c r="AA3289" s="129"/>
      <c r="AB3289" s="129"/>
      <c r="AC3289" s="129"/>
      <c r="AD3289" s="129"/>
      <c r="AE3289" s="129"/>
      <c r="AF3289" s="129"/>
      <c r="AG3289" s="129"/>
    </row>
    <row r="3290" spans="1:33" x14ac:dyDescent="0.25">
      <c r="A3290" s="129"/>
      <c r="B3290" s="199"/>
      <c r="C3290" s="204"/>
      <c r="D3290" s="201"/>
      <c r="E3290" s="202"/>
      <c r="F3290" s="203"/>
      <c r="G3290" s="203"/>
      <c r="H3290" s="203"/>
      <c r="I3290" s="203"/>
      <c r="J3290" s="203"/>
      <c r="K3290" s="203"/>
      <c r="L3290" s="129"/>
      <c r="M3290" s="129"/>
      <c r="N3290" s="129"/>
      <c r="O3290" s="129"/>
      <c r="P3290" s="129"/>
      <c r="Q3290" s="129"/>
      <c r="R3290" s="129"/>
      <c r="S3290" s="129"/>
      <c r="T3290" s="129"/>
      <c r="U3290" s="129"/>
      <c r="V3290" s="129"/>
      <c r="W3290" s="129"/>
      <c r="X3290" s="129"/>
      <c r="Y3290" s="129"/>
      <c r="Z3290" s="129"/>
      <c r="AA3290" s="129"/>
      <c r="AB3290" s="129"/>
      <c r="AC3290" s="129"/>
      <c r="AD3290" s="129"/>
      <c r="AE3290" s="129"/>
      <c r="AF3290" s="129"/>
      <c r="AG3290" s="129"/>
    </row>
    <row r="3291" spans="1:33" x14ac:dyDescent="0.25">
      <c r="A3291" s="129"/>
      <c r="B3291" s="199"/>
      <c r="C3291" s="204"/>
      <c r="D3291" s="201"/>
      <c r="E3291" s="202"/>
      <c r="F3291" s="203"/>
      <c r="G3291" s="203"/>
      <c r="H3291" s="203"/>
      <c r="I3291" s="203"/>
      <c r="J3291" s="203"/>
      <c r="K3291" s="203"/>
      <c r="L3291" s="129"/>
      <c r="M3291" s="129"/>
      <c r="N3291" s="129"/>
      <c r="O3291" s="129"/>
      <c r="P3291" s="129"/>
      <c r="Q3291" s="129"/>
      <c r="R3291" s="129"/>
      <c r="S3291" s="129"/>
      <c r="T3291" s="129"/>
      <c r="U3291" s="129"/>
      <c r="V3291" s="129"/>
      <c r="W3291" s="129"/>
      <c r="X3291" s="129"/>
      <c r="Y3291" s="129"/>
      <c r="Z3291" s="129"/>
      <c r="AA3291" s="129"/>
      <c r="AB3291" s="129"/>
      <c r="AC3291" s="129"/>
      <c r="AD3291" s="129"/>
      <c r="AE3291" s="129"/>
      <c r="AF3291" s="129"/>
      <c r="AG3291" s="129"/>
    </row>
    <row r="3292" spans="1:33" x14ac:dyDescent="0.25">
      <c r="A3292" s="129"/>
      <c r="B3292" s="199"/>
      <c r="C3292" s="204"/>
      <c r="D3292" s="201"/>
      <c r="E3292" s="202"/>
      <c r="F3292" s="203"/>
      <c r="G3292" s="203"/>
      <c r="H3292" s="203"/>
      <c r="I3292" s="203"/>
      <c r="J3292" s="203"/>
      <c r="K3292" s="203"/>
      <c r="L3292" s="129"/>
      <c r="M3292" s="129"/>
      <c r="N3292" s="129"/>
      <c r="O3292" s="129"/>
      <c r="P3292" s="129"/>
      <c r="Q3292" s="129"/>
      <c r="R3292" s="129"/>
      <c r="S3292" s="129"/>
      <c r="T3292" s="129"/>
      <c r="U3292" s="129"/>
      <c r="V3292" s="129"/>
      <c r="W3292" s="129"/>
      <c r="X3292" s="129"/>
      <c r="Y3292" s="129"/>
      <c r="Z3292" s="129"/>
      <c r="AA3292" s="129"/>
      <c r="AB3292" s="129"/>
      <c r="AC3292" s="129"/>
      <c r="AD3292" s="129"/>
      <c r="AE3292" s="129"/>
      <c r="AF3292" s="129"/>
      <c r="AG3292" s="129"/>
    </row>
    <row r="3293" spans="1:33" x14ac:dyDescent="0.25">
      <c r="A3293" s="129"/>
      <c r="B3293" s="199"/>
      <c r="C3293" s="204"/>
      <c r="D3293" s="201"/>
      <c r="E3293" s="202"/>
      <c r="F3293" s="203"/>
      <c r="G3293" s="203"/>
      <c r="H3293" s="203"/>
      <c r="I3293" s="203"/>
      <c r="J3293" s="203"/>
      <c r="K3293" s="203"/>
      <c r="L3293" s="129"/>
      <c r="M3293" s="129"/>
      <c r="N3293" s="129"/>
      <c r="O3293" s="129"/>
      <c r="P3293" s="129"/>
      <c r="Q3293" s="129"/>
      <c r="R3293" s="129"/>
      <c r="S3293" s="129"/>
      <c r="T3293" s="129"/>
      <c r="U3293" s="129"/>
      <c r="V3293" s="129"/>
      <c r="W3293" s="129"/>
      <c r="X3293" s="129"/>
      <c r="Y3293" s="129"/>
      <c r="Z3293" s="129"/>
      <c r="AA3293" s="129"/>
      <c r="AB3293" s="129"/>
      <c r="AC3293" s="129"/>
      <c r="AD3293" s="129"/>
      <c r="AE3293" s="129"/>
      <c r="AF3293" s="129"/>
      <c r="AG3293" s="129"/>
    </row>
    <row r="3294" spans="1:33" x14ac:dyDescent="0.25">
      <c r="A3294" s="129"/>
      <c r="B3294" s="199"/>
      <c r="C3294" s="204"/>
      <c r="D3294" s="200"/>
      <c r="E3294" s="202"/>
      <c r="F3294" s="203"/>
      <c r="G3294" s="203"/>
      <c r="H3294" s="203"/>
      <c r="I3294" s="203"/>
      <c r="J3294" s="203"/>
      <c r="K3294" s="203"/>
      <c r="L3294" s="200"/>
      <c r="M3294" s="200"/>
      <c r="N3294" s="200"/>
      <c r="O3294" s="200"/>
      <c r="P3294" s="200"/>
      <c r="Q3294" s="200"/>
      <c r="R3294" s="200"/>
      <c r="S3294" s="200"/>
      <c r="T3294" s="200"/>
      <c r="U3294" s="200"/>
      <c r="V3294" s="200"/>
      <c r="W3294" s="200"/>
      <c r="X3294" s="129"/>
      <c r="Y3294" s="129"/>
      <c r="Z3294" s="129"/>
      <c r="AA3294" s="129"/>
      <c r="AB3294" s="129"/>
      <c r="AC3294" s="129"/>
      <c r="AD3294" s="129"/>
      <c r="AE3294" s="129"/>
      <c r="AF3294" s="129"/>
      <c r="AG3294" s="129"/>
    </row>
    <row r="3295" spans="1:33" x14ac:dyDescent="0.25">
      <c r="A3295" s="129"/>
      <c r="B3295" s="199"/>
      <c r="C3295" s="204"/>
      <c r="D3295" s="200"/>
      <c r="E3295" s="202"/>
      <c r="F3295" s="203"/>
      <c r="G3295" s="203"/>
      <c r="H3295" s="203"/>
      <c r="I3295" s="203"/>
      <c r="J3295" s="203"/>
      <c r="K3295" s="203"/>
      <c r="L3295" s="200"/>
      <c r="M3295" s="200"/>
      <c r="N3295" s="200"/>
      <c r="O3295" s="200"/>
      <c r="P3295" s="200"/>
      <c r="Q3295" s="200"/>
      <c r="R3295" s="200"/>
      <c r="S3295" s="200"/>
      <c r="T3295" s="200"/>
      <c r="U3295" s="200"/>
      <c r="V3295" s="200"/>
      <c r="W3295" s="200"/>
      <c r="X3295" s="129"/>
      <c r="Y3295" s="129"/>
      <c r="Z3295" s="129"/>
      <c r="AA3295" s="129"/>
      <c r="AB3295" s="129"/>
      <c r="AC3295" s="129"/>
      <c r="AD3295" s="129"/>
      <c r="AE3295" s="129"/>
      <c r="AF3295" s="129"/>
      <c r="AG3295" s="129"/>
    </row>
    <row r="3296" spans="1:33" x14ac:dyDescent="0.25">
      <c r="A3296" s="129"/>
      <c r="B3296" s="199"/>
      <c r="C3296" s="204"/>
      <c r="D3296" s="204"/>
      <c r="E3296" s="202"/>
      <c r="F3296" s="203"/>
      <c r="G3296" s="203"/>
      <c r="H3296" s="203"/>
      <c r="I3296" s="203"/>
      <c r="J3296" s="203"/>
      <c r="K3296" s="203"/>
      <c r="L3296" s="203"/>
      <c r="M3296" s="203"/>
      <c r="N3296" s="203"/>
      <c r="O3296" s="203"/>
      <c r="P3296" s="203"/>
      <c r="Q3296" s="203"/>
      <c r="R3296" s="203"/>
      <c r="S3296" s="203"/>
      <c r="T3296" s="203"/>
      <c r="U3296" s="203"/>
      <c r="V3296" s="203"/>
      <c r="W3296" s="203"/>
      <c r="X3296" s="129"/>
      <c r="Y3296" s="129"/>
      <c r="Z3296" s="129"/>
      <c r="AA3296" s="129"/>
      <c r="AB3296" s="129"/>
      <c r="AC3296" s="129"/>
      <c r="AD3296" s="129"/>
      <c r="AE3296" s="129"/>
      <c r="AF3296" s="129"/>
      <c r="AG3296" s="129"/>
    </row>
    <row r="3297" spans="1:33" x14ac:dyDescent="0.25">
      <c r="A3297" s="129"/>
      <c r="B3297" s="199"/>
      <c r="C3297" s="204"/>
      <c r="D3297" s="200"/>
      <c r="E3297" s="202"/>
      <c r="F3297" s="203"/>
      <c r="G3297" s="203"/>
      <c r="H3297" s="203"/>
      <c r="I3297" s="203"/>
      <c r="J3297" s="203"/>
      <c r="K3297" s="203"/>
      <c r="L3297" s="200"/>
      <c r="M3297" s="200"/>
      <c r="N3297" s="200"/>
      <c r="O3297" s="200"/>
      <c r="P3297" s="200"/>
      <c r="Q3297" s="200"/>
      <c r="R3297" s="200"/>
      <c r="S3297" s="200"/>
      <c r="T3297" s="200"/>
      <c r="U3297" s="200"/>
      <c r="V3297" s="200"/>
      <c r="W3297" s="200"/>
      <c r="X3297" s="129"/>
      <c r="Y3297" s="129"/>
      <c r="Z3297" s="129"/>
      <c r="AA3297" s="129"/>
      <c r="AB3297" s="129"/>
      <c r="AC3297" s="129"/>
      <c r="AD3297" s="129"/>
      <c r="AE3297" s="129"/>
      <c r="AF3297" s="129"/>
      <c r="AG3297" s="129"/>
    </row>
    <row r="3298" spans="1:33" x14ac:dyDescent="0.25">
      <c r="A3298" s="129"/>
      <c r="B3298" s="199"/>
      <c r="C3298" s="204"/>
      <c r="D3298" s="200"/>
      <c r="E3298" s="202"/>
      <c r="F3298" s="203"/>
      <c r="G3298" s="203"/>
      <c r="H3298" s="203"/>
      <c r="I3298" s="203"/>
      <c r="J3298" s="203"/>
      <c r="K3298" s="203"/>
      <c r="L3298" s="200"/>
      <c r="M3298" s="200"/>
      <c r="N3298" s="200"/>
      <c r="O3298" s="200"/>
      <c r="P3298" s="200"/>
      <c r="Q3298" s="200"/>
      <c r="R3298" s="200"/>
      <c r="S3298" s="200"/>
      <c r="T3298" s="200"/>
      <c r="U3298" s="200"/>
      <c r="V3298" s="200"/>
      <c r="W3298" s="200"/>
      <c r="X3298" s="129"/>
      <c r="Y3298" s="129"/>
      <c r="Z3298" s="129"/>
      <c r="AA3298" s="129"/>
      <c r="AB3298" s="129"/>
      <c r="AC3298" s="129"/>
      <c r="AD3298" s="129"/>
      <c r="AE3298" s="129"/>
      <c r="AF3298" s="129"/>
      <c r="AG3298" s="129"/>
    </row>
    <row r="3299" spans="1:33" x14ac:dyDescent="0.25">
      <c r="A3299" s="129"/>
      <c r="B3299" s="199"/>
      <c r="C3299" s="204"/>
      <c r="D3299" s="200"/>
      <c r="E3299" s="202"/>
      <c r="F3299" s="203"/>
      <c r="G3299" s="203"/>
      <c r="H3299" s="203"/>
      <c r="I3299" s="203"/>
      <c r="J3299" s="203"/>
      <c r="K3299" s="203"/>
      <c r="L3299" s="200"/>
      <c r="M3299" s="200"/>
      <c r="N3299" s="200"/>
      <c r="O3299" s="200"/>
      <c r="P3299" s="200"/>
      <c r="Q3299" s="200"/>
      <c r="R3299" s="200"/>
      <c r="S3299" s="200"/>
      <c r="T3299" s="200"/>
      <c r="U3299" s="200"/>
      <c r="V3299" s="200"/>
      <c r="W3299" s="200"/>
      <c r="X3299" s="129"/>
      <c r="Y3299" s="129"/>
      <c r="Z3299" s="129"/>
      <c r="AA3299" s="129"/>
      <c r="AB3299" s="129"/>
      <c r="AC3299" s="129"/>
      <c r="AD3299" s="129"/>
      <c r="AE3299" s="129"/>
      <c r="AF3299" s="129"/>
      <c r="AG3299" s="129"/>
    </row>
    <row r="3300" spans="1:33" x14ac:dyDescent="0.25">
      <c r="A3300" s="129"/>
      <c r="B3300" s="205"/>
      <c r="C3300" s="206"/>
      <c r="D3300" s="201"/>
      <c r="E3300" s="202"/>
      <c r="F3300" s="198"/>
      <c r="G3300" s="129"/>
      <c r="H3300" s="129"/>
      <c r="I3300" s="129"/>
      <c r="J3300" s="129"/>
      <c r="K3300" s="129"/>
      <c r="L3300" s="129"/>
      <c r="M3300" s="129"/>
      <c r="N3300" s="129"/>
      <c r="O3300" s="129"/>
      <c r="P3300" s="129"/>
      <c r="Q3300" s="129"/>
      <c r="R3300" s="129"/>
      <c r="S3300" s="129"/>
      <c r="T3300" s="129"/>
      <c r="U3300" s="129"/>
      <c r="V3300" s="129"/>
      <c r="W3300" s="129"/>
      <c r="X3300" s="129"/>
      <c r="Y3300" s="129"/>
      <c r="Z3300" s="129"/>
      <c r="AA3300" s="129"/>
      <c r="AB3300" s="129"/>
      <c r="AC3300" s="129"/>
      <c r="AD3300" s="129"/>
      <c r="AE3300" s="129"/>
      <c r="AF3300" s="129"/>
      <c r="AG3300" s="129"/>
    </row>
    <row r="3301" spans="1:33" x14ac:dyDescent="0.25">
      <c r="A3301" s="129"/>
      <c r="B3301" s="205"/>
      <c r="C3301" s="206"/>
      <c r="D3301" s="201"/>
      <c r="E3301" s="202"/>
      <c r="F3301" s="129"/>
      <c r="G3301" s="129"/>
      <c r="H3301" s="129"/>
      <c r="I3301" s="129"/>
      <c r="J3301" s="129"/>
      <c r="K3301" s="129"/>
      <c r="L3301" s="129"/>
      <c r="M3301" s="129"/>
      <c r="N3301" s="129"/>
      <c r="O3301" s="129"/>
      <c r="P3301" s="129"/>
      <c r="Q3301" s="129"/>
      <c r="R3301" s="129"/>
      <c r="S3301" s="129"/>
      <c r="T3301" s="129"/>
      <c r="U3301" s="129"/>
      <c r="V3301" s="129"/>
      <c r="W3301" s="129"/>
      <c r="X3301" s="129"/>
      <c r="Y3301" s="129"/>
      <c r="Z3301" s="129"/>
      <c r="AA3301" s="129"/>
      <c r="AB3301" s="129"/>
      <c r="AC3301" s="129"/>
      <c r="AD3301" s="129"/>
      <c r="AE3301" s="129"/>
      <c r="AF3301" s="129"/>
      <c r="AG3301" s="129"/>
    </row>
    <row r="3302" spans="1:33" x14ac:dyDescent="0.25">
      <c r="A3302" s="129"/>
      <c r="B3302" s="205"/>
      <c r="C3302" s="206"/>
      <c r="D3302" s="201"/>
      <c r="E3302" s="202"/>
      <c r="F3302" s="129"/>
      <c r="G3302" s="129"/>
      <c r="H3302" s="129"/>
      <c r="I3302" s="129"/>
      <c r="J3302" s="129"/>
      <c r="K3302" s="129"/>
      <c r="L3302" s="129"/>
      <c r="M3302" s="129"/>
      <c r="N3302" s="129"/>
      <c r="O3302" s="129"/>
      <c r="P3302" s="129"/>
      <c r="Q3302" s="129"/>
      <c r="R3302" s="129"/>
      <c r="S3302" s="129"/>
      <c r="T3302" s="129"/>
      <c r="U3302" s="129"/>
      <c r="V3302" s="129"/>
      <c r="W3302" s="129"/>
      <c r="X3302" s="129"/>
      <c r="Y3302" s="129"/>
      <c r="Z3302" s="129"/>
      <c r="AA3302" s="129"/>
      <c r="AB3302" s="129"/>
      <c r="AC3302" s="129"/>
      <c r="AD3302" s="129"/>
      <c r="AE3302" s="129"/>
      <c r="AF3302" s="129"/>
      <c r="AG3302" s="129"/>
    </row>
    <row r="3303" spans="1:33" x14ac:dyDescent="0.25">
      <c r="A3303" s="129"/>
      <c r="B3303" s="205"/>
      <c r="C3303" s="206"/>
      <c r="D3303" s="201"/>
      <c r="E3303" s="202"/>
      <c r="F3303" s="129"/>
      <c r="G3303" s="129"/>
      <c r="H3303" s="129"/>
      <c r="I3303" s="129"/>
      <c r="J3303" s="129"/>
      <c r="K3303" s="129"/>
      <c r="L3303" s="129"/>
      <c r="M3303" s="129"/>
      <c r="N3303" s="129"/>
      <c r="O3303" s="129"/>
      <c r="P3303" s="129"/>
      <c r="Q3303" s="129"/>
      <c r="R3303" s="129"/>
      <c r="S3303" s="129"/>
      <c r="T3303" s="129"/>
      <c r="U3303" s="129"/>
      <c r="V3303" s="129"/>
      <c r="W3303" s="129"/>
      <c r="X3303" s="129"/>
      <c r="Y3303" s="129"/>
      <c r="Z3303" s="129"/>
      <c r="AA3303" s="129"/>
      <c r="AB3303" s="129"/>
      <c r="AC3303" s="129"/>
      <c r="AD3303" s="129"/>
      <c r="AE3303" s="129"/>
      <c r="AF3303" s="129"/>
      <c r="AG3303" s="129"/>
    </row>
    <row r="3304" spans="1:33" x14ac:dyDescent="0.25">
      <c r="A3304" s="129"/>
      <c r="B3304" s="205"/>
      <c r="C3304" s="206"/>
      <c r="D3304" s="201"/>
      <c r="E3304" s="202"/>
      <c r="F3304" s="129"/>
      <c r="G3304" s="129"/>
      <c r="H3304" s="129"/>
      <c r="I3304" s="129"/>
      <c r="J3304" s="129"/>
      <c r="K3304" s="129"/>
      <c r="L3304" s="129"/>
      <c r="M3304" s="129"/>
      <c r="N3304" s="129"/>
      <c r="O3304" s="129"/>
      <c r="P3304" s="129"/>
      <c r="Q3304" s="129"/>
      <c r="R3304" s="129"/>
      <c r="S3304" s="129"/>
      <c r="T3304" s="129"/>
      <c r="U3304" s="129"/>
      <c r="V3304" s="129"/>
      <c r="W3304" s="129"/>
      <c r="X3304" s="129"/>
      <c r="Y3304" s="129"/>
      <c r="Z3304" s="129"/>
      <c r="AA3304" s="129"/>
      <c r="AB3304" s="129"/>
      <c r="AC3304" s="129"/>
      <c r="AD3304" s="129"/>
      <c r="AE3304" s="129"/>
      <c r="AF3304" s="129"/>
      <c r="AG3304" s="129"/>
    </row>
    <row r="3305" spans="1:33" x14ac:dyDescent="0.25">
      <c r="A3305" s="129"/>
      <c r="B3305" s="205"/>
      <c r="C3305" s="206"/>
      <c r="D3305" s="201"/>
      <c r="E3305" s="202"/>
      <c r="F3305" s="129"/>
      <c r="G3305" s="129"/>
      <c r="H3305" s="129"/>
      <c r="I3305" s="129"/>
      <c r="J3305" s="129"/>
      <c r="K3305" s="129"/>
      <c r="L3305" s="129"/>
      <c r="M3305" s="129"/>
      <c r="N3305" s="129"/>
      <c r="O3305" s="129"/>
      <c r="P3305" s="129"/>
      <c r="Q3305" s="129"/>
      <c r="R3305" s="129"/>
      <c r="S3305" s="129"/>
      <c r="T3305" s="129"/>
      <c r="U3305" s="129"/>
      <c r="V3305" s="129"/>
      <c r="W3305" s="129"/>
      <c r="X3305" s="129"/>
      <c r="Y3305" s="129"/>
      <c r="Z3305" s="129"/>
      <c r="AA3305" s="129"/>
      <c r="AB3305" s="129"/>
      <c r="AC3305" s="129"/>
      <c r="AD3305" s="129"/>
      <c r="AE3305" s="129"/>
      <c r="AF3305" s="129"/>
      <c r="AG3305" s="129"/>
    </row>
    <row r="3306" spans="1:33" x14ac:dyDescent="0.25">
      <c r="A3306" s="129"/>
      <c r="B3306" s="205"/>
      <c r="C3306" s="206"/>
      <c r="D3306" s="201"/>
      <c r="E3306" s="202"/>
      <c r="F3306" s="129"/>
      <c r="G3306" s="129"/>
      <c r="H3306" s="129"/>
      <c r="I3306" s="129"/>
      <c r="J3306" s="129"/>
      <c r="K3306" s="129"/>
      <c r="L3306" s="129"/>
      <c r="M3306" s="129"/>
      <c r="N3306" s="129"/>
      <c r="O3306" s="129"/>
      <c r="P3306" s="129"/>
      <c r="Q3306" s="129"/>
      <c r="R3306" s="129"/>
      <c r="S3306" s="129"/>
      <c r="T3306" s="129"/>
      <c r="U3306" s="129"/>
      <c r="V3306" s="129"/>
      <c r="W3306" s="129"/>
      <c r="X3306" s="129"/>
      <c r="Y3306" s="129"/>
      <c r="Z3306" s="129"/>
      <c r="AA3306" s="129"/>
      <c r="AB3306" s="129"/>
      <c r="AC3306" s="129"/>
      <c r="AD3306" s="129"/>
      <c r="AE3306" s="129"/>
      <c r="AF3306" s="129"/>
      <c r="AG3306" s="129"/>
    </row>
    <row r="3307" spans="1:33" x14ac:dyDescent="0.25">
      <c r="A3307" s="129"/>
      <c r="B3307" s="205"/>
      <c r="C3307" s="206"/>
      <c r="D3307" s="201"/>
      <c r="E3307" s="202"/>
      <c r="F3307" s="129"/>
      <c r="G3307" s="129"/>
      <c r="H3307" s="129"/>
      <c r="I3307" s="129"/>
      <c r="J3307" s="129"/>
      <c r="K3307" s="129"/>
      <c r="L3307" s="129"/>
      <c r="M3307" s="129"/>
      <c r="N3307" s="129"/>
      <c r="O3307" s="129"/>
      <c r="P3307" s="129"/>
      <c r="Q3307" s="129"/>
      <c r="R3307" s="129"/>
      <c r="S3307" s="129"/>
      <c r="T3307" s="129"/>
      <c r="U3307" s="129"/>
      <c r="V3307" s="129"/>
      <c r="W3307" s="129"/>
      <c r="X3307" s="129"/>
      <c r="Y3307" s="129"/>
      <c r="Z3307" s="129"/>
      <c r="AA3307" s="129"/>
      <c r="AB3307" s="129"/>
      <c r="AC3307" s="129"/>
      <c r="AD3307" s="129"/>
      <c r="AE3307" s="129"/>
      <c r="AF3307" s="129"/>
      <c r="AG3307" s="129"/>
    </row>
    <row r="3308" spans="1:33" x14ac:dyDescent="0.25">
      <c r="A3308" s="129"/>
      <c r="B3308" s="205"/>
      <c r="C3308" s="206"/>
      <c r="D3308" s="201"/>
      <c r="E3308" s="202"/>
      <c r="F3308" s="129"/>
      <c r="G3308" s="129"/>
      <c r="H3308" s="129"/>
      <c r="I3308" s="129"/>
      <c r="J3308" s="129"/>
      <c r="K3308" s="129"/>
      <c r="L3308" s="129"/>
      <c r="M3308" s="129"/>
      <c r="N3308" s="129"/>
      <c r="O3308" s="129"/>
      <c r="P3308" s="129"/>
      <c r="Q3308" s="129"/>
      <c r="R3308" s="129"/>
      <c r="S3308" s="129"/>
      <c r="T3308" s="129"/>
      <c r="U3308" s="129"/>
      <c r="V3308" s="129"/>
      <c r="W3308" s="129"/>
      <c r="X3308" s="129"/>
      <c r="Y3308" s="129"/>
      <c r="Z3308" s="129"/>
      <c r="AA3308" s="129"/>
      <c r="AB3308" s="129"/>
      <c r="AC3308" s="129"/>
      <c r="AD3308" s="129"/>
      <c r="AE3308" s="129"/>
      <c r="AF3308" s="129"/>
      <c r="AG3308" s="129"/>
    </row>
    <row r="3309" spans="1:33" x14ac:dyDescent="0.25">
      <c r="A3309" s="129"/>
      <c r="B3309" s="205"/>
      <c r="C3309" s="206"/>
      <c r="D3309" s="201"/>
      <c r="E3309" s="202"/>
      <c r="F3309" s="129"/>
      <c r="G3309" s="129"/>
      <c r="H3309" s="129"/>
      <c r="I3309" s="129"/>
      <c r="J3309" s="129"/>
      <c r="K3309" s="129"/>
      <c r="L3309" s="129"/>
      <c r="M3309" s="129"/>
      <c r="N3309" s="129"/>
      <c r="O3309" s="129"/>
      <c r="P3309" s="129"/>
      <c r="Q3309" s="129"/>
      <c r="R3309" s="129"/>
      <c r="S3309" s="129"/>
      <c r="T3309" s="129"/>
      <c r="U3309" s="129"/>
      <c r="V3309" s="129"/>
      <c r="W3309" s="129"/>
      <c r="X3309" s="129"/>
      <c r="Y3309" s="129"/>
      <c r="Z3309" s="129"/>
      <c r="AA3309" s="129"/>
      <c r="AB3309" s="129"/>
      <c r="AC3309" s="129"/>
      <c r="AD3309" s="129"/>
      <c r="AE3309" s="129"/>
      <c r="AF3309" s="129"/>
      <c r="AG3309" s="129"/>
    </row>
    <row r="3310" spans="1:33" x14ac:dyDescent="0.25">
      <c r="A3310" s="129"/>
      <c r="B3310" s="205"/>
      <c r="C3310" s="206"/>
      <c r="D3310" s="201"/>
      <c r="E3310" s="202"/>
      <c r="F3310" s="129"/>
      <c r="G3310" s="129"/>
      <c r="H3310" s="129"/>
      <c r="I3310" s="129"/>
      <c r="J3310" s="129"/>
      <c r="K3310" s="129"/>
      <c r="L3310" s="129"/>
      <c r="M3310" s="129"/>
      <c r="N3310" s="129"/>
      <c r="O3310" s="129"/>
      <c r="P3310" s="129"/>
      <c r="Q3310" s="129"/>
      <c r="R3310" s="129"/>
      <c r="S3310" s="129"/>
      <c r="T3310" s="129"/>
      <c r="U3310" s="129"/>
      <c r="V3310" s="129"/>
      <c r="W3310" s="129"/>
      <c r="X3310" s="129"/>
      <c r="Y3310" s="129"/>
      <c r="Z3310" s="129"/>
      <c r="AA3310" s="129"/>
      <c r="AB3310" s="129"/>
      <c r="AC3310" s="129"/>
      <c r="AD3310" s="129"/>
      <c r="AE3310" s="129"/>
      <c r="AF3310" s="129"/>
      <c r="AG3310" s="129"/>
    </row>
    <row r="3311" spans="1:33" x14ac:dyDescent="0.25">
      <c r="A3311" s="129"/>
      <c r="B3311" s="205"/>
      <c r="C3311" s="206"/>
      <c r="D3311" s="201"/>
      <c r="E3311" s="202"/>
      <c r="F3311" s="129"/>
      <c r="G3311" s="129"/>
      <c r="H3311" s="129"/>
      <c r="I3311" s="129"/>
      <c r="J3311" s="129"/>
      <c r="K3311" s="129"/>
      <c r="L3311" s="129"/>
      <c r="M3311" s="129"/>
      <c r="N3311" s="129"/>
      <c r="O3311" s="129"/>
      <c r="P3311" s="129"/>
      <c r="Q3311" s="129"/>
      <c r="R3311" s="129"/>
      <c r="S3311" s="129"/>
      <c r="T3311" s="129"/>
      <c r="U3311" s="129"/>
      <c r="V3311" s="129"/>
      <c r="W3311" s="129"/>
      <c r="X3311" s="129"/>
      <c r="Y3311" s="129"/>
      <c r="Z3311" s="129"/>
      <c r="AA3311" s="129"/>
      <c r="AB3311" s="129"/>
      <c r="AC3311" s="129"/>
      <c r="AD3311" s="129"/>
      <c r="AE3311" s="129"/>
      <c r="AF3311" s="129"/>
      <c r="AG3311" s="129"/>
    </row>
    <row r="3312" spans="1:33" x14ac:dyDescent="0.25">
      <c r="A3312" s="129"/>
      <c r="B3312" s="205"/>
      <c r="C3312" s="206"/>
      <c r="D3312" s="201"/>
      <c r="E3312" s="202"/>
      <c r="F3312" s="129"/>
      <c r="G3312" s="129"/>
      <c r="H3312" s="129"/>
      <c r="I3312" s="129"/>
      <c r="J3312" s="129"/>
      <c r="K3312" s="129"/>
      <c r="L3312" s="129"/>
      <c r="M3312" s="129"/>
      <c r="N3312" s="129"/>
      <c r="O3312" s="129"/>
      <c r="P3312" s="129"/>
      <c r="Q3312" s="129"/>
      <c r="R3312" s="129"/>
      <c r="S3312" s="129"/>
      <c r="T3312" s="129"/>
      <c r="U3312" s="129"/>
      <c r="V3312" s="129"/>
      <c r="W3312" s="129"/>
      <c r="X3312" s="129"/>
      <c r="Y3312" s="129"/>
      <c r="Z3312" s="129"/>
      <c r="AA3312" s="129"/>
      <c r="AB3312" s="129"/>
      <c r="AC3312" s="129"/>
      <c r="AD3312" s="129"/>
      <c r="AE3312" s="129"/>
      <c r="AF3312" s="129"/>
      <c r="AG3312" s="129"/>
    </row>
    <row r="3313" spans="1:33" x14ac:dyDescent="0.25">
      <c r="A3313" s="129"/>
      <c r="B3313" s="205"/>
      <c r="C3313" s="206"/>
      <c r="D3313" s="201"/>
      <c r="E3313" s="202"/>
      <c r="F3313" s="129"/>
      <c r="G3313" s="129"/>
      <c r="H3313" s="129"/>
      <c r="I3313" s="129"/>
      <c r="J3313" s="129"/>
      <c r="K3313" s="129"/>
      <c r="L3313" s="129"/>
      <c r="M3313" s="129"/>
      <c r="N3313" s="129"/>
      <c r="O3313" s="129"/>
      <c r="P3313" s="129"/>
      <c r="Q3313" s="129"/>
      <c r="R3313" s="129"/>
      <c r="S3313" s="129"/>
      <c r="T3313" s="129"/>
      <c r="U3313" s="129"/>
      <c r="V3313" s="129"/>
      <c r="W3313" s="129"/>
      <c r="X3313" s="129"/>
      <c r="Y3313" s="129"/>
      <c r="Z3313" s="129"/>
      <c r="AA3313" s="129"/>
      <c r="AB3313" s="129"/>
      <c r="AC3313" s="129"/>
      <c r="AD3313" s="129"/>
      <c r="AE3313" s="129"/>
      <c r="AF3313" s="129"/>
      <c r="AG3313" s="129"/>
    </row>
    <row r="3314" spans="1:33" x14ac:dyDescent="0.25">
      <c r="A3314" s="129"/>
      <c r="B3314" s="205"/>
      <c r="C3314" s="206"/>
      <c r="D3314" s="201"/>
      <c r="E3314" s="202"/>
      <c r="F3314" s="129"/>
      <c r="G3314" s="129"/>
      <c r="H3314" s="129"/>
      <c r="I3314" s="129"/>
      <c r="J3314" s="129"/>
      <c r="K3314" s="129"/>
      <c r="L3314" s="129"/>
      <c r="M3314" s="129"/>
      <c r="N3314" s="129"/>
      <c r="O3314" s="129"/>
      <c r="P3314" s="129"/>
      <c r="Q3314" s="129"/>
      <c r="R3314" s="129"/>
      <c r="S3314" s="129"/>
      <c r="T3314" s="129"/>
      <c r="U3314" s="129"/>
      <c r="V3314" s="129"/>
      <c r="W3314" s="129"/>
      <c r="X3314" s="129"/>
      <c r="Y3314" s="129"/>
      <c r="Z3314" s="129"/>
      <c r="AA3314" s="129"/>
      <c r="AB3314" s="129"/>
      <c r="AC3314" s="129"/>
      <c r="AD3314" s="129"/>
      <c r="AE3314" s="129"/>
      <c r="AF3314" s="129"/>
      <c r="AG3314" s="129"/>
    </row>
    <row r="3315" spans="1:33" x14ac:dyDescent="0.25">
      <c r="A3315" s="129"/>
      <c r="B3315" s="205"/>
      <c r="C3315" s="206"/>
      <c r="D3315" s="201"/>
      <c r="E3315" s="202"/>
      <c r="F3315" s="129"/>
      <c r="G3315" s="129"/>
      <c r="H3315" s="129"/>
      <c r="I3315" s="129"/>
      <c r="J3315" s="129"/>
      <c r="K3315" s="129"/>
      <c r="L3315" s="129"/>
      <c r="M3315" s="129"/>
      <c r="N3315" s="129"/>
      <c r="O3315" s="129"/>
      <c r="P3315" s="129"/>
      <c r="Q3315" s="129"/>
      <c r="R3315" s="129"/>
      <c r="S3315" s="129"/>
      <c r="T3315" s="129"/>
      <c r="U3315" s="129"/>
      <c r="V3315" s="129"/>
      <c r="W3315" s="129"/>
      <c r="X3315" s="129"/>
      <c r="Y3315" s="129"/>
      <c r="Z3315" s="129"/>
      <c r="AA3315" s="129"/>
      <c r="AB3315" s="129"/>
      <c r="AC3315" s="129"/>
      <c r="AD3315" s="129"/>
      <c r="AE3315" s="129"/>
      <c r="AF3315" s="129"/>
      <c r="AG3315" s="129"/>
    </row>
    <row r="3316" spans="1:33" x14ac:dyDescent="0.25">
      <c r="A3316" s="129"/>
      <c r="B3316" s="205"/>
      <c r="C3316" s="206"/>
      <c r="D3316" s="201"/>
      <c r="E3316" s="202"/>
      <c r="F3316" s="129"/>
      <c r="G3316" s="129"/>
      <c r="H3316" s="129"/>
      <c r="I3316" s="129"/>
      <c r="J3316" s="129"/>
      <c r="K3316" s="129"/>
      <c r="L3316" s="129"/>
      <c r="M3316" s="129"/>
      <c r="N3316" s="129"/>
      <c r="O3316" s="129"/>
      <c r="P3316" s="129"/>
      <c r="Q3316" s="129"/>
      <c r="R3316" s="129"/>
      <c r="S3316" s="129"/>
      <c r="T3316" s="129"/>
      <c r="U3316" s="129"/>
      <c r="V3316" s="129"/>
      <c r="W3316" s="129"/>
      <c r="X3316" s="129"/>
      <c r="Y3316" s="129"/>
      <c r="Z3316" s="129"/>
      <c r="AA3316" s="129"/>
      <c r="AB3316" s="129"/>
      <c r="AC3316" s="129"/>
      <c r="AD3316" s="129"/>
      <c r="AE3316" s="129"/>
      <c r="AF3316" s="129"/>
      <c r="AG3316" s="129"/>
    </row>
    <row r="3317" spans="1:33" x14ac:dyDescent="0.25">
      <c r="A3317" s="129"/>
      <c r="B3317" s="205"/>
      <c r="C3317" s="206"/>
      <c r="D3317" s="201"/>
      <c r="E3317" s="202"/>
      <c r="F3317" s="129"/>
      <c r="G3317" s="129"/>
      <c r="H3317" s="129"/>
      <c r="I3317" s="129"/>
      <c r="J3317" s="129"/>
      <c r="K3317" s="129"/>
      <c r="L3317" s="129"/>
      <c r="M3317" s="129"/>
      <c r="N3317" s="129"/>
      <c r="O3317" s="129"/>
      <c r="P3317" s="129"/>
      <c r="Q3317" s="129"/>
      <c r="R3317" s="129"/>
      <c r="S3317" s="129"/>
      <c r="T3317" s="129"/>
      <c r="U3317" s="129"/>
      <c r="V3317" s="129"/>
      <c r="W3317" s="129"/>
      <c r="X3317" s="129"/>
      <c r="Y3317" s="129"/>
      <c r="Z3317" s="129"/>
      <c r="AA3317" s="129"/>
      <c r="AB3317" s="129"/>
      <c r="AC3317" s="129"/>
      <c r="AD3317" s="129"/>
      <c r="AE3317" s="129"/>
      <c r="AF3317" s="129"/>
      <c r="AG3317" s="129"/>
    </row>
    <row r="3318" spans="1:33" x14ac:dyDescent="0.25">
      <c r="A3318" s="129"/>
      <c r="B3318" s="205"/>
      <c r="C3318" s="206"/>
      <c r="D3318" s="201"/>
      <c r="E3318" s="202"/>
      <c r="F3318" s="129"/>
      <c r="G3318" s="129"/>
      <c r="H3318" s="129"/>
      <c r="I3318" s="129"/>
      <c r="J3318" s="129"/>
      <c r="K3318" s="129"/>
      <c r="L3318" s="129"/>
      <c r="M3318" s="129"/>
      <c r="N3318" s="129"/>
      <c r="O3318" s="129"/>
      <c r="P3318" s="129"/>
      <c r="Q3318" s="129"/>
      <c r="R3318" s="129"/>
      <c r="S3318" s="129"/>
      <c r="T3318" s="129"/>
      <c r="U3318" s="129"/>
      <c r="V3318" s="129"/>
      <c r="W3318" s="129"/>
      <c r="X3318" s="129"/>
      <c r="Y3318" s="129"/>
      <c r="Z3318" s="129"/>
      <c r="AA3318" s="129"/>
      <c r="AB3318" s="129"/>
      <c r="AC3318" s="129"/>
      <c r="AD3318" s="129"/>
      <c r="AE3318" s="129"/>
      <c r="AF3318" s="129"/>
      <c r="AG3318" s="129"/>
    </row>
    <row r="3319" spans="1:33" x14ac:dyDescent="0.25">
      <c r="A3319" s="129"/>
      <c r="B3319" s="205"/>
      <c r="C3319" s="206"/>
      <c r="D3319" s="201"/>
      <c r="E3319" s="202"/>
      <c r="F3319" s="129"/>
      <c r="G3319" s="129"/>
      <c r="H3319" s="129"/>
      <c r="I3319" s="129"/>
      <c r="J3319" s="129"/>
      <c r="K3319" s="129"/>
      <c r="L3319" s="129"/>
      <c r="M3319" s="129"/>
      <c r="N3319" s="129"/>
      <c r="O3319" s="129"/>
      <c r="P3319" s="129"/>
      <c r="Q3319" s="129"/>
      <c r="R3319" s="129"/>
      <c r="S3319" s="129"/>
      <c r="T3319" s="129"/>
      <c r="U3319" s="129"/>
      <c r="V3319" s="129"/>
      <c r="W3319" s="129"/>
      <c r="X3319" s="129"/>
      <c r="Y3319" s="129"/>
      <c r="Z3319" s="129"/>
      <c r="AA3319" s="129"/>
      <c r="AB3319" s="129"/>
      <c r="AC3319" s="129"/>
      <c r="AD3319" s="129"/>
      <c r="AE3319" s="129"/>
      <c r="AF3319" s="129"/>
      <c r="AG3319" s="129"/>
    </row>
    <row r="3320" spans="1:33" x14ac:dyDescent="0.25">
      <c r="A3320" s="129"/>
      <c r="B3320" s="205"/>
      <c r="C3320" s="206"/>
      <c r="D3320" s="206"/>
      <c r="E3320" s="202"/>
      <c r="F3320" s="129"/>
      <c r="G3320" s="129"/>
      <c r="H3320" s="129"/>
      <c r="I3320" s="129"/>
      <c r="J3320" s="129"/>
      <c r="K3320" s="129"/>
      <c r="L3320" s="129"/>
      <c r="M3320" s="129"/>
      <c r="N3320" s="129"/>
      <c r="O3320" s="129"/>
      <c r="P3320" s="129"/>
      <c r="Q3320" s="129"/>
      <c r="R3320" s="129"/>
      <c r="S3320" s="129"/>
      <c r="T3320" s="129"/>
      <c r="U3320" s="129"/>
      <c r="V3320" s="129"/>
      <c r="W3320" s="129"/>
      <c r="X3320" s="129"/>
      <c r="Y3320" s="129"/>
      <c r="Z3320" s="129"/>
      <c r="AA3320" s="129"/>
      <c r="AB3320" s="129"/>
      <c r="AC3320" s="129"/>
      <c r="AD3320" s="129"/>
      <c r="AE3320" s="129"/>
      <c r="AF3320" s="129"/>
      <c r="AG3320" s="129"/>
    </row>
    <row r="3321" spans="1:33" x14ac:dyDescent="0.25">
      <c r="A3321" s="129"/>
      <c r="B3321" s="205"/>
      <c r="C3321" s="206"/>
      <c r="D3321" s="206"/>
      <c r="E3321" s="202"/>
      <c r="F3321" s="129"/>
      <c r="G3321" s="129"/>
      <c r="H3321" s="129"/>
      <c r="I3321" s="129"/>
      <c r="J3321" s="129"/>
      <c r="K3321" s="129"/>
      <c r="L3321" s="129"/>
      <c r="M3321" s="129"/>
      <c r="N3321" s="129"/>
      <c r="O3321" s="129"/>
      <c r="P3321" s="129"/>
      <c r="Q3321" s="129"/>
      <c r="R3321" s="129"/>
      <c r="S3321" s="129"/>
      <c r="T3321" s="129"/>
      <c r="U3321" s="129"/>
      <c r="V3321" s="129"/>
      <c r="W3321" s="129"/>
      <c r="X3321" s="129"/>
      <c r="Y3321" s="129"/>
      <c r="Z3321" s="129"/>
      <c r="AA3321" s="129"/>
      <c r="AB3321" s="129"/>
      <c r="AC3321" s="129"/>
      <c r="AD3321" s="129"/>
      <c r="AE3321" s="129"/>
      <c r="AF3321" s="129"/>
      <c r="AG3321" s="129"/>
    </row>
    <row r="3322" spans="1:33" x14ac:dyDescent="0.25">
      <c r="A3322" s="129"/>
      <c r="B3322" s="205"/>
      <c r="C3322" s="206"/>
      <c r="D3322" s="206"/>
      <c r="E3322" s="202"/>
      <c r="F3322" s="129"/>
      <c r="G3322" s="129"/>
      <c r="H3322" s="129"/>
      <c r="I3322" s="129"/>
      <c r="J3322" s="129"/>
      <c r="K3322" s="129"/>
      <c r="L3322" s="129"/>
      <c r="M3322" s="129"/>
      <c r="N3322" s="129"/>
      <c r="O3322" s="129"/>
      <c r="P3322" s="129"/>
      <c r="Q3322" s="129"/>
      <c r="R3322" s="129"/>
      <c r="S3322" s="129"/>
      <c r="T3322" s="129"/>
      <c r="U3322" s="129"/>
      <c r="V3322" s="129"/>
      <c r="W3322" s="129"/>
      <c r="X3322" s="129"/>
      <c r="Y3322" s="129"/>
      <c r="Z3322" s="129"/>
      <c r="AA3322" s="129"/>
      <c r="AB3322" s="129"/>
      <c r="AC3322" s="129"/>
      <c r="AD3322" s="129"/>
      <c r="AE3322" s="129"/>
      <c r="AF3322" s="129"/>
      <c r="AG3322" s="129"/>
    </row>
    <row r="3323" spans="1:33" x14ac:dyDescent="0.25">
      <c r="A3323" s="129"/>
      <c r="B3323" s="205"/>
      <c r="C3323" s="206"/>
      <c r="D3323" s="206"/>
      <c r="E3323" s="202"/>
      <c r="F3323" s="129"/>
      <c r="G3323" s="129"/>
      <c r="H3323" s="129"/>
      <c r="I3323" s="129"/>
      <c r="J3323" s="129"/>
      <c r="K3323" s="129"/>
      <c r="L3323" s="129"/>
      <c r="M3323" s="129"/>
      <c r="N3323" s="129"/>
      <c r="O3323" s="129"/>
      <c r="P3323" s="129"/>
      <c r="Q3323" s="129"/>
      <c r="R3323" s="129"/>
      <c r="S3323" s="129"/>
      <c r="T3323" s="129"/>
      <c r="U3323" s="129"/>
      <c r="V3323" s="129"/>
      <c r="W3323" s="129"/>
      <c r="X3323" s="129"/>
      <c r="Y3323" s="129"/>
      <c r="Z3323" s="129"/>
      <c r="AA3323" s="129"/>
      <c r="AB3323" s="129"/>
      <c r="AC3323" s="129"/>
      <c r="AD3323" s="129"/>
      <c r="AE3323" s="129"/>
      <c r="AF3323" s="129"/>
      <c r="AG3323" s="129"/>
    </row>
    <row r="3324" spans="1:33" x14ac:dyDescent="0.25">
      <c r="A3324" s="129"/>
      <c r="B3324" s="205"/>
      <c r="C3324" s="206"/>
      <c r="D3324" s="206"/>
      <c r="E3324" s="202"/>
      <c r="F3324" s="129"/>
      <c r="G3324" s="129"/>
      <c r="H3324" s="129"/>
      <c r="I3324" s="129"/>
      <c r="J3324" s="129"/>
      <c r="K3324" s="129"/>
      <c r="L3324" s="129"/>
      <c r="M3324" s="129"/>
      <c r="N3324" s="129"/>
      <c r="O3324" s="129"/>
      <c r="P3324" s="129"/>
      <c r="Q3324" s="129"/>
      <c r="R3324" s="129"/>
      <c r="S3324" s="129"/>
      <c r="T3324" s="129"/>
      <c r="U3324" s="129"/>
      <c r="V3324" s="129"/>
      <c r="W3324" s="129"/>
      <c r="X3324" s="129"/>
      <c r="Y3324" s="129"/>
      <c r="Z3324" s="129"/>
      <c r="AA3324" s="129"/>
      <c r="AB3324" s="129"/>
      <c r="AC3324" s="129"/>
      <c r="AD3324" s="129"/>
      <c r="AE3324" s="129"/>
      <c r="AF3324" s="129"/>
      <c r="AG3324" s="129"/>
    </row>
    <row r="3325" spans="1:33" x14ac:dyDescent="0.25">
      <c r="A3325" s="129"/>
      <c r="B3325" s="205"/>
      <c r="C3325" s="206"/>
      <c r="D3325" s="206"/>
      <c r="E3325" s="202"/>
      <c r="F3325" s="129"/>
      <c r="G3325" s="129"/>
      <c r="H3325" s="129"/>
      <c r="I3325" s="129"/>
      <c r="J3325" s="129"/>
      <c r="K3325" s="129"/>
      <c r="L3325" s="129"/>
      <c r="M3325" s="129"/>
      <c r="N3325" s="129"/>
      <c r="O3325" s="129"/>
      <c r="P3325" s="129"/>
      <c r="Q3325" s="129"/>
      <c r="R3325" s="129"/>
      <c r="S3325" s="129"/>
      <c r="T3325" s="129"/>
      <c r="U3325" s="129"/>
      <c r="V3325" s="129"/>
      <c r="W3325" s="129"/>
      <c r="X3325" s="129"/>
      <c r="Y3325" s="129"/>
      <c r="Z3325" s="129"/>
      <c r="AA3325" s="129"/>
      <c r="AB3325" s="129"/>
      <c r="AC3325" s="129"/>
      <c r="AD3325" s="129"/>
      <c r="AE3325" s="129"/>
      <c r="AF3325" s="129"/>
      <c r="AG3325" s="129"/>
    </row>
    <row r="3326" spans="1:33" x14ac:dyDescent="0.25">
      <c r="A3326" s="129"/>
      <c r="B3326" s="205"/>
      <c r="C3326" s="207"/>
      <c r="D3326" s="201"/>
      <c r="E3326" s="202"/>
      <c r="F3326" s="198"/>
      <c r="G3326" s="129"/>
      <c r="H3326" s="129"/>
      <c r="I3326" s="129"/>
      <c r="J3326" s="129"/>
      <c r="K3326" s="129"/>
      <c r="L3326" s="129"/>
      <c r="M3326" s="129"/>
      <c r="N3326" s="129"/>
      <c r="O3326" s="129"/>
      <c r="P3326" s="129"/>
      <c r="Q3326" s="129"/>
      <c r="R3326" s="129"/>
      <c r="S3326" s="129"/>
      <c r="T3326" s="129"/>
      <c r="U3326" s="129"/>
      <c r="V3326" s="129"/>
      <c r="W3326" s="129"/>
      <c r="X3326" s="129"/>
      <c r="Y3326" s="129"/>
      <c r="Z3326" s="129"/>
      <c r="AA3326" s="129"/>
      <c r="AB3326" s="129"/>
      <c r="AC3326" s="129"/>
      <c r="AD3326" s="129"/>
      <c r="AE3326" s="129"/>
      <c r="AF3326" s="129"/>
      <c r="AG3326" s="129"/>
    </row>
    <row r="3327" spans="1:33" x14ac:dyDescent="0.25">
      <c r="A3327" s="129"/>
      <c r="B3327" s="205"/>
      <c r="C3327" s="207"/>
      <c r="D3327" s="201"/>
      <c r="E3327" s="202"/>
      <c r="F3327" s="129"/>
      <c r="G3327" s="129"/>
      <c r="H3327" s="129"/>
      <c r="I3327" s="129"/>
      <c r="J3327" s="129"/>
      <c r="K3327" s="129"/>
      <c r="L3327" s="129"/>
      <c r="M3327" s="129"/>
      <c r="N3327" s="129"/>
      <c r="O3327" s="129"/>
      <c r="P3327" s="129"/>
      <c r="Q3327" s="129"/>
      <c r="R3327" s="129"/>
      <c r="S3327" s="129"/>
      <c r="T3327" s="129"/>
      <c r="U3327" s="129"/>
      <c r="V3327" s="129"/>
      <c r="W3327" s="129"/>
      <c r="X3327" s="129"/>
      <c r="Y3327" s="129"/>
      <c r="Z3327" s="129"/>
      <c r="AA3327" s="129"/>
      <c r="AB3327" s="129"/>
      <c r="AC3327" s="129"/>
      <c r="AD3327" s="129"/>
      <c r="AE3327" s="129"/>
      <c r="AF3327" s="129"/>
      <c r="AG3327" s="129"/>
    </row>
    <row r="3328" spans="1:33" x14ac:dyDescent="0.25">
      <c r="A3328" s="129"/>
      <c r="B3328" s="205"/>
      <c r="C3328" s="207"/>
      <c r="D3328" s="201"/>
      <c r="E3328" s="202"/>
      <c r="F3328" s="129"/>
      <c r="G3328" s="129"/>
      <c r="H3328" s="129"/>
      <c r="I3328" s="129"/>
      <c r="J3328" s="129"/>
      <c r="K3328" s="129"/>
      <c r="L3328" s="129"/>
      <c r="M3328" s="129"/>
      <c r="N3328" s="129"/>
      <c r="O3328" s="129"/>
      <c r="P3328" s="129"/>
      <c r="Q3328" s="129"/>
      <c r="R3328" s="129"/>
      <c r="S3328" s="129"/>
      <c r="T3328" s="129"/>
      <c r="U3328" s="129"/>
      <c r="V3328" s="129"/>
      <c r="W3328" s="129"/>
      <c r="X3328" s="129"/>
      <c r="Y3328" s="129"/>
      <c r="Z3328" s="129"/>
      <c r="AA3328" s="129"/>
      <c r="AB3328" s="129"/>
      <c r="AC3328" s="129"/>
      <c r="AD3328" s="129"/>
      <c r="AE3328" s="129"/>
      <c r="AF3328" s="129"/>
      <c r="AG3328" s="129"/>
    </row>
    <row r="3329" spans="1:33" x14ac:dyDescent="0.25">
      <c r="A3329" s="129"/>
      <c r="B3329" s="205"/>
      <c r="C3329" s="207"/>
      <c r="D3329" s="201"/>
      <c r="E3329" s="202"/>
      <c r="F3329" s="129"/>
      <c r="G3329" s="129"/>
      <c r="H3329" s="129"/>
      <c r="I3329" s="129"/>
      <c r="J3329" s="129"/>
      <c r="K3329" s="129"/>
      <c r="L3329" s="129"/>
      <c r="M3329" s="129"/>
      <c r="N3329" s="129"/>
      <c r="O3329" s="129"/>
      <c r="P3329" s="129"/>
      <c r="Q3329" s="129"/>
      <c r="R3329" s="129"/>
      <c r="S3329" s="129"/>
      <c r="T3329" s="129"/>
      <c r="U3329" s="129"/>
      <c r="V3329" s="129"/>
      <c r="W3329" s="129"/>
      <c r="X3329" s="129"/>
      <c r="Y3329" s="129"/>
      <c r="Z3329" s="129"/>
      <c r="AA3329" s="129"/>
      <c r="AB3329" s="129"/>
      <c r="AC3329" s="129"/>
      <c r="AD3329" s="129"/>
      <c r="AE3329" s="129"/>
      <c r="AF3329" s="129"/>
      <c r="AG3329" s="129"/>
    </row>
    <row r="3330" spans="1:33" x14ac:dyDescent="0.25">
      <c r="A3330" s="129"/>
      <c r="B3330" s="205"/>
      <c r="C3330" s="207"/>
      <c r="D3330" s="201"/>
      <c r="E3330" s="202"/>
      <c r="F3330" s="129"/>
      <c r="G3330" s="129"/>
      <c r="H3330" s="129"/>
      <c r="I3330" s="129"/>
      <c r="J3330" s="129"/>
      <c r="K3330" s="129"/>
      <c r="L3330" s="129"/>
      <c r="M3330" s="129"/>
      <c r="N3330" s="129"/>
      <c r="O3330" s="129"/>
      <c r="P3330" s="129"/>
      <c r="Q3330" s="129"/>
      <c r="R3330" s="129"/>
      <c r="S3330" s="129"/>
      <c r="T3330" s="129"/>
      <c r="U3330" s="129"/>
      <c r="V3330" s="129"/>
      <c r="W3330" s="129"/>
      <c r="X3330" s="129"/>
      <c r="Y3330" s="129"/>
      <c r="Z3330" s="129"/>
      <c r="AA3330" s="129"/>
      <c r="AB3330" s="129"/>
      <c r="AC3330" s="129"/>
      <c r="AD3330" s="129"/>
      <c r="AE3330" s="129"/>
      <c r="AF3330" s="129"/>
      <c r="AG3330" s="129"/>
    </row>
    <row r="3331" spans="1:33" x14ac:dyDescent="0.25">
      <c r="A3331" s="129"/>
      <c r="B3331" s="205"/>
      <c r="C3331" s="207"/>
      <c r="D3331" s="201"/>
      <c r="E3331" s="202"/>
      <c r="F3331" s="129"/>
      <c r="G3331" s="129"/>
      <c r="H3331" s="129"/>
      <c r="I3331" s="129"/>
      <c r="J3331" s="129"/>
      <c r="K3331" s="129"/>
      <c r="L3331" s="129"/>
      <c r="M3331" s="129"/>
      <c r="N3331" s="129"/>
      <c r="O3331" s="129"/>
      <c r="P3331" s="129"/>
      <c r="Q3331" s="129"/>
      <c r="R3331" s="129"/>
      <c r="S3331" s="129"/>
      <c r="T3331" s="129"/>
      <c r="U3331" s="129"/>
      <c r="V3331" s="129"/>
      <c r="W3331" s="129"/>
      <c r="X3331" s="129"/>
      <c r="Y3331" s="129"/>
      <c r="Z3331" s="129"/>
      <c r="AA3331" s="129"/>
      <c r="AB3331" s="129"/>
      <c r="AC3331" s="129"/>
      <c r="AD3331" s="129"/>
      <c r="AE3331" s="129"/>
      <c r="AF3331" s="129"/>
      <c r="AG3331" s="129"/>
    </row>
    <row r="3332" spans="1:33" x14ac:dyDescent="0.25">
      <c r="A3332" s="129"/>
      <c r="B3332" s="205"/>
      <c r="C3332" s="207"/>
      <c r="D3332" s="201"/>
      <c r="E3332" s="202"/>
      <c r="F3332" s="129"/>
      <c r="G3332" s="129"/>
      <c r="H3332" s="129"/>
      <c r="I3332" s="129"/>
      <c r="J3332" s="129"/>
      <c r="K3332" s="129"/>
      <c r="L3332" s="129"/>
      <c r="M3332" s="129"/>
      <c r="N3332" s="129"/>
      <c r="O3332" s="129"/>
      <c r="P3332" s="129"/>
      <c r="Q3332" s="129"/>
      <c r="R3332" s="129"/>
      <c r="S3332" s="129"/>
      <c r="T3332" s="129"/>
      <c r="U3332" s="129"/>
      <c r="V3332" s="129"/>
      <c r="W3332" s="129"/>
      <c r="X3332" s="129"/>
      <c r="Y3332" s="129"/>
      <c r="Z3332" s="129"/>
      <c r="AA3332" s="129"/>
      <c r="AB3332" s="129"/>
      <c r="AC3332" s="129"/>
      <c r="AD3332" s="129"/>
      <c r="AE3332" s="129"/>
      <c r="AF3332" s="129"/>
      <c r="AG3332" s="129"/>
    </row>
    <row r="3333" spans="1:33" x14ac:dyDescent="0.25">
      <c r="A3333" s="129"/>
      <c r="B3333" s="205"/>
      <c r="C3333" s="207"/>
      <c r="D3333" s="201"/>
      <c r="E3333" s="202"/>
      <c r="F3333" s="129"/>
      <c r="G3333" s="129"/>
      <c r="H3333" s="129"/>
      <c r="I3333" s="129"/>
      <c r="J3333" s="129"/>
      <c r="K3333" s="129"/>
      <c r="L3333" s="129"/>
      <c r="M3333" s="129"/>
      <c r="N3333" s="129"/>
      <c r="O3333" s="129"/>
      <c r="P3333" s="129"/>
      <c r="Q3333" s="129"/>
      <c r="R3333" s="129"/>
      <c r="S3333" s="129"/>
      <c r="T3333" s="129"/>
      <c r="U3333" s="129"/>
      <c r="V3333" s="129"/>
      <c r="W3333" s="129"/>
      <c r="X3333" s="129"/>
      <c r="Y3333" s="129"/>
      <c r="Z3333" s="129"/>
      <c r="AA3333" s="129"/>
      <c r="AB3333" s="129"/>
      <c r="AC3333" s="129"/>
      <c r="AD3333" s="129"/>
      <c r="AE3333" s="129"/>
      <c r="AF3333" s="129"/>
      <c r="AG3333" s="129"/>
    </row>
    <row r="3334" spans="1:33" x14ac:dyDescent="0.25">
      <c r="A3334" s="129"/>
      <c r="B3334" s="205"/>
      <c r="C3334" s="207"/>
      <c r="D3334" s="201"/>
      <c r="E3334" s="202"/>
      <c r="F3334" s="129"/>
      <c r="G3334" s="129"/>
      <c r="H3334" s="129"/>
      <c r="I3334" s="129"/>
      <c r="J3334" s="129"/>
      <c r="K3334" s="129"/>
      <c r="L3334" s="129"/>
      <c r="M3334" s="129"/>
      <c r="N3334" s="129"/>
      <c r="O3334" s="129"/>
      <c r="P3334" s="129"/>
      <c r="Q3334" s="129"/>
      <c r="R3334" s="129"/>
      <c r="S3334" s="129"/>
      <c r="T3334" s="129"/>
      <c r="U3334" s="129"/>
      <c r="V3334" s="129"/>
      <c r="W3334" s="129"/>
      <c r="X3334" s="129"/>
      <c r="Y3334" s="129"/>
      <c r="Z3334" s="129"/>
      <c r="AA3334" s="129"/>
      <c r="AB3334" s="129"/>
      <c r="AC3334" s="129"/>
      <c r="AD3334" s="129"/>
      <c r="AE3334" s="129"/>
      <c r="AF3334" s="129"/>
      <c r="AG3334" s="129"/>
    </row>
    <row r="3335" spans="1:33" x14ac:dyDescent="0.25">
      <c r="A3335" s="129"/>
      <c r="B3335" s="205"/>
      <c r="C3335" s="207"/>
      <c r="D3335" s="201"/>
      <c r="E3335" s="202"/>
      <c r="F3335" s="129"/>
      <c r="G3335" s="129"/>
      <c r="H3335" s="129"/>
      <c r="I3335" s="129"/>
      <c r="J3335" s="129"/>
      <c r="K3335" s="129"/>
      <c r="L3335" s="129"/>
      <c r="M3335" s="129"/>
      <c r="N3335" s="129"/>
      <c r="O3335" s="129"/>
      <c r="P3335" s="129"/>
      <c r="Q3335" s="129"/>
      <c r="R3335" s="129"/>
      <c r="S3335" s="129"/>
      <c r="T3335" s="129"/>
      <c r="U3335" s="129"/>
      <c r="V3335" s="129"/>
      <c r="W3335" s="129"/>
      <c r="X3335" s="129"/>
      <c r="Y3335" s="129"/>
      <c r="Z3335" s="129"/>
      <c r="AA3335" s="129"/>
      <c r="AB3335" s="129"/>
      <c r="AC3335" s="129"/>
      <c r="AD3335" s="129"/>
      <c r="AE3335" s="129"/>
      <c r="AF3335" s="129"/>
      <c r="AG3335" s="129"/>
    </row>
    <row r="3336" spans="1:33" x14ac:dyDescent="0.25">
      <c r="A3336" s="129"/>
      <c r="B3336" s="205"/>
      <c r="C3336" s="207"/>
      <c r="D3336" s="201"/>
      <c r="E3336" s="202"/>
      <c r="F3336" s="129"/>
      <c r="G3336" s="129"/>
      <c r="H3336" s="129"/>
      <c r="I3336" s="129"/>
      <c r="J3336" s="129"/>
      <c r="K3336" s="129"/>
      <c r="L3336" s="129"/>
      <c r="M3336" s="129"/>
      <c r="N3336" s="129"/>
      <c r="O3336" s="129"/>
      <c r="P3336" s="129"/>
      <c r="Q3336" s="129"/>
      <c r="R3336" s="129"/>
      <c r="S3336" s="129"/>
      <c r="T3336" s="129"/>
      <c r="U3336" s="129"/>
      <c r="V3336" s="129"/>
      <c r="W3336" s="129"/>
      <c r="X3336" s="129"/>
      <c r="Y3336" s="129"/>
      <c r="Z3336" s="129"/>
      <c r="AA3336" s="129"/>
      <c r="AB3336" s="129"/>
      <c r="AC3336" s="129"/>
      <c r="AD3336" s="129"/>
      <c r="AE3336" s="129"/>
      <c r="AF3336" s="129"/>
      <c r="AG3336" s="129"/>
    </row>
    <row r="3337" spans="1:33" x14ac:dyDescent="0.25">
      <c r="A3337" s="129"/>
      <c r="B3337" s="205"/>
      <c r="C3337" s="207"/>
      <c r="D3337" s="201"/>
      <c r="E3337" s="202"/>
      <c r="F3337" s="129"/>
      <c r="G3337" s="129"/>
      <c r="H3337" s="129"/>
      <c r="I3337" s="129"/>
      <c r="J3337" s="129"/>
      <c r="K3337" s="129"/>
      <c r="L3337" s="129"/>
      <c r="M3337" s="129"/>
      <c r="N3337" s="129"/>
      <c r="O3337" s="129"/>
      <c r="P3337" s="129"/>
      <c r="Q3337" s="129"/>
      <c r="R3337" s="129"/>
      <c r="S3337" s="129"/>
      <c r="T3337" s="129"/>
      <c r="U3337" s="129"/>
      <c r="V3337" s="129"/>
      <c r="W3337" s="129"/>
      <c r="X3337" s="129"/>
      <c r="Y3337" s="129"/>
      <c r="Z3337" s="129"/>
      <c r="AA3337" s="129"/>
      <c r="AB3337" s="129"/>
      <c r="AC3337" s="129"/>
      <c r="AD3337" s="129"/>
      <c r="AE3337" s="129"/>
      <c r="AF3337" s="129"/>
      <c r="AG3337" s="129"/>
    </row>
    <row r="3338" spans="1:33" x14ac:dyDescent="0.25">
      <c r="A3338" s="129"/>
      <c r="B3338" s="205"/>
      <c r="C3338" s="207"/>
      <c r="D3338" s="201"/>
      <c r="E3338" s="202"/>
      <c r="F3338" s="129"/>
      <c r="G3338" s="129"/>
      <c r="H3338" s="129"/>
      <c r="I3338" s="129"/>
      <c r="J3338" s="129"/>
      <c r="K3338" s="129"/>
      <c r="L3338" s="129"/>
      <c r="M3338" s="129"/>
      <c r="N3338" s="129"/>
      <c r="O3338" s="129"/>
      <c r="P3338" s="129"/>
      <c r="Q3338" s="129"/>
      <c r="R3338" s="129"/>
      <c r="S3338" s="129"/>
      <c r="T3338" s="129"/>
      <c r="U3338" s="129"/>
      <c r="V3338" s="129"/>
      <c r="W3338" s="129"/>
      <c r="X3338" s="129"/>
      <c r="Y3338" s="129"/>
      <c r="Z3338" s="129"/>
      <c r="AA3338" s="129"/>
      <c r="AB3338" s="129"/>
      <c r="AC3338" s="129"/>
      <c r="AD3338" s="129"/>
      <c r="AE3338" s="129"/>
      <c r="AF3338" s="129"/>
      <c r="AG3338" s="129"/>
    </row>
    <row r="3339" spans="1:33" x14ac:dyDescent="0.25">
      <c r="A3339" s="129"/>
      <c r="B3339" s="205"/>
      <c r="C3339" s="207"/>
      <c r="D3339" s="201"/>
      <c r="E3339" s="202"/>
      <c r="F3339" s="129"/>
      <c r="G3339" s="129"/>
      <c r="H3339" s="129"/>
      <c r="I3339" s="129"/>
      <c r="J3339" s="129"/>
      <c r="K3339" s="129"/>
      <c r="L3339" s="129"/>
      <c r="M3339" s="129"/>
      <c r="N3339" s="129"/>
      <c r="O3339" s="129"/>
      <c r="P3339" s="129"/>
      <c r="Q3339" s="129"/>
      <c r="R3339" s="129"/>
      <c r="S3339" s="129"/>
      <c r="T3339" s="129"/>
      <c r="U3339" s="129"/>
      <c r="V3339" s="129"/>
      <c r="W3339" s="129"/>
      <c r="X3339" s="129"/>
      <c r="Y3339" s="129"/>
      <c r="Z3339" s="129"/>
      <c r="AA3339" s="129"/>
      <c r="AB3339" s="129"/>
      <c r="AC3339" s="129"/>
      <c r="AD3339" s="129"/>
      <c r="AE3339" s="129"/>
      <c r="AF3339" s="129"/>
      <c r="AG3339" s="129"/>
    </row>
    <row r="3340" spans="1:33" x14ac:dyDescent="0.25">
      <c r="A3340" s="129"/>
      <c r="B3340" s="205"/>
      <c r="C3340" s="207"/>
      <c r="D3340" s="201"/>
      <c r="E3340" s="202"/>
      <c r="F3340" s="129"/>
      <c r="G3340" s="129"/>
      <c r="H3340" s="129"/>
      <c r="I3340" s="129"/>
      <c r="J3340" s="129"/>
      <c r="K3340" s="129"/>
      <c r="L3340" s="129"/>
      <c r="M3340" s="129"/>
      <c r="N3340" s="129"/>
      <c r="O3340" s="129"/>
      <c r="P3340" s="129"/>
      <c r="Q3340" s="129"/>
      <c r="R3340" s="129"/>
      <c r="S3340" s="129"/>
      <c r="T3340" s="129"/>
      <c r="U3340" s="129"/>
      <c r="V3340" s="129"/>
      <c r="W3340" s="129"/>
      <c r="X3340" s="129"/>
      <c r="Y3340" s="129"/>
      <c r="Z3340" s="129"/>
      <c r="AA3340" s="129"/>
      <c r="AB3340" s="129"/>
      <c r="AC3340" s="129"/>
      <c r="AD3340" s="129"/>
      <c r="AE3340" s="129"/>
      <c r="AF3340" s="129"/>
      <c r="AG3340" s="129"/>
    </row>
    <row r="3341" spans="1:33" x14ac:dyDescent="0.25">
      <c r="A3341" s="129"/>
      <c r="B3341" s="205"/>
      <c r="C3341" s="207"/>
      <c r="D3341" s="201"/>
      <c r="E3341" s="202"/>
      <c r="F3341" s="129"/>
      <c r="G3341" s="129"/>
      <c r="H3341" s="129"/>
      <c r="I3341" s="129"/>
      <c r="J3341" s="129"/>
      <c r="K3341" s="129"/>
      <c r="L3341" s="129"/>
      <c r="M3341" s="129"/>
      <c r="N3341" s="129"/>
      <c r="O3341" s="129"/>
      <c r="P3341" s="129"/>
      <c r="Q3341" s="129"/>
      <c r="R3341" s="129"/>
      <c r="S3341" s="129"/>
      <c r="T3341" s="129"/>
      <c r="U3341" s="129"/>
      <c r="V3341" s="129"/>
      <c r="W3341" s="129"/>
      <c r="X3341" s="129"/>
      <c r="Y3341" s="129"/>
      <c r="Z3341" s="129"/>
      <c r="AA3341" s="129"/>
      <c r="AB3341" s="129"/>
      <c r="AC3341" s="129"/>
      <c r="AD3341" s="129"/>
      <c r="AE3341" s="129"/>
      <c r="AF3341" s="129"/>
      <c r="AG3341" s="129"/>
    </row>
    <row r="3342" spans="1:33" x14ac:dyDescent="0.25">
      <c r="A3342" s="129"/>
      <c r="B3342" s="205"/>
      <c r="C3342" s="207"/>
      <c r="D3342" s="201"/>
      <c r="E3342" s="202"/>
      <c r="F3342" s="129"/>
      <c r="G3342" s="129"/>
      <c r="H3342" s="129"/>
      <c r="I3342" s="129"/>
      <c r="J3342" s="129"/>
      <c r="K3342" s="129"/>
      <c r="L3342" s="129"/>
      <c r="M3342" s="129"/>
      <c r="N3342" s="129"/>
      <c r="O3342" s="129"/>
      <c r="P3342" s="129"/>
      <c r="Q3342" s="129"/>
      <c r="R3342" s="129"/>
      <c r="S3342" s="129"/>
      <c r="T3342" s="129"/>
      <c r="U3342" s="129"/>
      <c r="V3342" s="129"/>
      <c r="W3342" s="129"/>
      <c r="X3342" s="129"/>
      <c r="Y3342" s="129"/>
      <c r="Z3342" s="129"/>
      <c r="AA3342" s="129"/>
      <c r="AB3342" s="129"/>
      <c r="AC3342" s="129"/>
      <c r="AD3342" s="129"/>
      <c r="AE3342" s="129"/>
      <c r="AF3342" s="129"/>
      <c r="AG3342" s="129"/>
    </row>
    <row r="3343" spans="1:33" x14ac:dyDescent="0.25">
      <c r="A3343" s="129"/>
      <c r="B3343" s="205"/>
      <c r="C3343" s="207"/>
      <c r="D3343" s="201"/>
      <c r="E3343" s="202"/>
      <c r="F3343" s="129"/>
      <c r="G3343" s="129"/>
      <c r="H3343" s="129"/>
      <c r="I3343" s="129"/>
      <c r="J3343" s="129"/>
      <c r="K3343" s="129"/>
      <c r="L3343" s="129"/>
      <c r="M3343" s="129"/>
      <c r="N3343" s="129"/>
      <c r="O3343" s="129"/>
      <c r="P3343" s="129"/>
      <c r="Q3343" s="129"/>
      <c r="R3343" s="129"/>
      <c r="S3343" s="129"/>
      <c r="T3343" s="129"/>
      <c r="U3343" s="129"/>
      <c r="V3343" s="129"/>
      <c r="W3343" s="129"/>
      <c r="X3343" s="129"/>
      <c r="Y3343" s="129"/>
      <c r="Z3343" s="129"/>
      <c r="AA3343" s="129"/>
      <c r="AB3343" s="129"/>
      <c r="AC3343" s="129"/>
      <c r="AD3343" s="129"/>
      <c r="AE3343" s="129"/>
      <c r="AF3343" s="129"/>
      <c r="AG3343" s="129"/>
    </row>
    <row r="3344" spans="1:33" x14ac:dyDescent="0.25">
      <c r="A3344" s="129"/>
      <c r="B3344" s="205"/>
      <c r="C3344" s="207"/>
      <c r="D3344" s="201"/>
      <c r="E3344" s="202"/>
      <c r="F3344" s="129"/>
      <c r="G3344" s="129"/>
      <c r="H3344" s="129"/>
      <c r="I3344" s="129"/>
      <c r="J3344" s="129"/>
      <c r="K3344" s="129"/>
      <c r="L3344" s="129"/>
      <c r="M3344" s="129"/>
      <c r="N3344" s="129"/>
      <c r="O3344" s="129"/>
      <c r="P3344" s="129"/>
      <c r="Q3344" s="129"/>
      <c r="R3344" s="129"/>
      <c r="S3344" s="129"/>
      <c r="T3344" s="129"/>
      <c r="U3344" s="129"/>
      <c r="V3344" s="129"/>
      <c r="W3344" s="129"/>
      <c r="X3344" s="129"/>
      <c r="Y3344" s="129"/>
      <c r="Z3344" s="129"/>
      <c r="AA3344" s="129"/>
      <c r="AB3344" s="129"/>
      <c r="AC3344" s="129"/>
      <c r="AD3344" s="129"/>
      <c r="AE3344" s="129"/>
      <c r="AF3344" s="129"/>
      <c r="AG3344" s="129"/>
    </row>
    <row r="3345" spans="1:33" x14ac:dyDescent="0.25">
      <c r="A3345" s="129"/>
      <c r="B3345" s="205"/>
      <c r="C3345" s="207"/>
      <c r="D3345" s="201"/>
      <c r="E3345" s="202"/>
      <c r="F3345" s="129"/>
      <c r="G3345" s="129"/>
      <c r="H3345" s="129"/>
      <c r="I3345" s="129"/>
      <c r="J3345" s="129"/>
      <c r="K3345" s="129"/>
      <c r="L3345" s="129"/>
      <c r="M3345" s="129"/>
      <c r="N3345" s="129"/>
      <c r="O3345" s="129"/>
      <c r="P3345" s="129"/>
      <c r="Q3345" s="129"/>
      <c r="R3345" s="129"/>
      <c r="S3345" s="129"/>
      <c r="T3345" s="129"/>
      <c r="U3345" s="129"/>
      <c r="V3345" s="129"/>
      <c r="W3345" s="129"/>
      <c r="X3345" s="129"/>
      <c r="Y3345" s="129"/>
      <c r="Z3345" s="129"/>
      <c r="AA3345" s="129"/>
      <c r="AB3345" s="129"/>
      <c r="AC3345" s="129"/>
      <c r="AD3345" s="129"/>
      <c r="AE3345" s="129"/>
      <c r="AF3345" s="129"/>
      <c r="AG3345" s="129"/>
    </row>
    <row r="3346" spans="1:33" x14ac:dyDescent="0.25">
      <c r="A3346" s="129"/>
      <c r="B3346" s="205"/>
      <c r="C3346" s="207"/>
      <c r="D3346" s="207"/>
      <c r="E3346" s="202"/>
      <c r="F3346" s="129"/>
      <c r="G3346" s="129"/>
      <c r="H3346" s="129"/>
      <c r="I3346" s="129"/>
      <c r="J3346" s="129"/>
      <c r="K3346" s="129"/>
      <c r="L3346" s="129"/>
      <c r="M3346" s="129"/>
      <c r="N3346" s="129"/>
      <c r="O3346" s="129"/>
      <c r="P3346" s="129"/>
      <c r="Q3346" s="129"/>
      <c r="R3346" s="129"/>
      <c r="S3346" s="129"/>
      <c r="T3346" s="129"/>
      <c r="U3346" s="129"/>
      <c r="V3346" s="129"/>
      <c r="W3346" s="129"/>
      <c r="X3346" s="129"/>
      <c r="Y3346" s="129"/>
      <c r="Z3346" s="129"/>
      <c r="AA3346" s="129"/>
      <c r="AB3346" s="129"/>
      <c r="AC3346" s="129"/>
      <c r="AD3346" s="129"/>
      <c r="AE3346" s="129"/>
      <c r="AF3346" s="129"/>
      <c r="AG3346" s="129"/>
    </row>
    <row r="3347" spans="1:33" x14ac:dyDescent="0.25">
      <c r="A3347" s="129"/>
      <c r="B3347" s="205"/>
      <c r="C3347" s="207"/>
      <c r="D3347" s="207"/>
      <c r="E3347" s="202"/>
      <c r="F3347" s="129"/>
      <c r="G3347" s="129"/>
      <c r="H3347" s="129"/>
      <c r="I3347" s="129"/>
      <c r="J3347" s="129"/>
      <c r="K3347" s="129"/>
      <c r="L3347" s="129"/>
      <c r="M3347" s="129"/>
      <c r="N3347" s="129"/>
      <c r="O3347" s="129"/>
      <c r="P3347" s="129"/>
      <c r="Q3347" s="129"/>
      <c r="R3347" s="129"/>
      <c r="S3347" s="129"/>
      <c r="T3347" s="129"/>
      <c r="U3347" s="129"/>
      <c r="V3347" s="129"/>
      <c r="W3347" s="129"/>
      <c r="X3347" s="129"/>
      <c r="Y3347" s="129"/>
      <c r="Z3347" s="129"/>
      <c r="AA3347" s="129"/>
      <c r="AB3347" s="129"/>
      <c r="AC3347" s="129"/>
      <c r="AD3347" s="129"/>
      <c r="AE3347" s="129"/>
      <c r="AF3347" s="129"/>
      <c r="AG3347" s="129"/>
    </row>
    <row r="3348" spans="1:33" x14ac:dyDescent="0.25">
      <c r="A3348" s="129"/>
      <c r="B3348" s="205"/>
      <c r="C3348" s="207"/>
      <c r="D3348" s="207"/>
      <c r="E3348" s="202"/>
      <c r="F3348" s="129"/>
      <c r="G3348" s="129"/>
      <c r="H3348" s="129"/>
      <c r="I3348" s="129"/>
      <c r="J3348" s="129"/>
      <c r="K3348" s="129"/>
      <c r="L3348" s="129"/>
      <c r="M3348" s="129"/>
      <c r="N3348" s="129"/>
      <c r="O3348" s="129"/>
      <c r="P3348" s="129"/>
      <c r="Q3348" s="129"/>
      <c r="R3348" s="129"/>
      <c r="S3348" s="129"/>
      <c r="T3348" s="129"/>
      <c r="U3348" s="129"/>
      <c r="V3348" s="129"/>
      <c r="W3348" s="129"/>
      <c r="X3348" s="129"/>
      <c r="Y3348" s="129"/>
      <c r="Z3348" s="129"/>
      <c r="AA3348" s="129"/>
      <c r="AB3348" s="129"/>
      <c r="AC3348" s="129"/>
      <c r="AD3348" s="129"/>
      <c r="AE3348" s="129"/>
      <c r="AF3348" s="129"/>
      <c r="AG3348" s="129"/>
    </row>
    <row r="3349" spans="1:33" x14ac:dyDescent="0.25">
      <c r="A3349" s="129"/>
      <c r="B3349" s="205"/>
      <c r="C3349" s="207"/>
      <c r="D3349" s="207"/>
      <c r="E3349" s="202"/>
      <c r="F3349" s="129"/>
      <c r="G3349" s="129"/>
      <c r="H3349" s="129"/>
      <c r="I3349" s="129"/>
      <c r="J3349" s="129"/>
      <c r="K3349" s="129"/>
      <c r="L3349" s="129"/>
      <c r="M3349" s="129"/>
      <c r="N3349" s="129"/>
      <c r="O3349" s="129"/>
      <c r="P3349" s="129"/>
      <c r="Q3349" s="129"/>
      <c r="R3349" s="129"/>
      <c r="S3349" s="129"/>
      <c r="T3349" s="129"/>
      <c r="U3349" s="129"/>
      <c r="V3349" s="129"/>
      <c r="W3349" s="129"/>
      <c r="X3349" s="129"/>
      <c r="Y3349" s="129"/>
      <c r="Z3349" s="129"/>
      <c r="AA3349" s="129"/>
      <c r="AB3349" s="129"/>
      <c r="AC3349" s="129"/>
      <c r="AD3349" s="129"/>
      <c r="AE3349" s="129"/>
      <c r="AF3349" s="129"/>
      <c r="AG3349" s="129"/>
    </row>
    <row r="3350" spans="1:33" x14ac:dyDescent="0.25">
      <c r="A3350" s="129"/>
      <c r="B3350" s="205"/>
      <c r="C3350" s="207"/>
      <c r="D3350" s="207"/>
      <c r="E3350" s="202"/>
      <c r="F3350" s="129"/>
      <c r="G3350" s="129"/>
      <c r="H3350" s="129"/>
      <c r="I3350" s="129"/>
      <c r="J3350" s="129"/>
      <c r="K3350" s="129"/>
      <c r="L3350" s="129"/>
      <c r="M3350" s="129"/>
      <c r="N3350" s="129"/>
      <c r="O3350" s="129"/>
      <c r="P3350" s="129"/>
      <c r="Q3350" s="129"/>
      <c r="R3350" s="129"/>
      <c r="S3350" s="129"/>
      <c r="T3350" s="129"/>
      <c r="U3350" s="129"/>
      <c r="V3350" s="129"/>
      <c r="W3350" s="129"/>
      <c r="X3350" s="129"/>
      <c r="Y3350" s="129"/>
      <c r="Z3350" s="129"/>
      <c r="AA3350" s="129"/>
      <c r="AB3350" s="129"/>
      <c r="AC3350" s="129"/>
      <c r="AD3350" s="129"/>
      <c r="AE3350" s="129"/>
      <c r="AF3350" s="129"/>
      <c r="AG3350" s="129"/>
    </row>
    <row r="3351" spans="1:33" x14ac:dyDescent="0.25">
      <c r="A3351" s="129"/>
      <c r="B3351" s="205"/>
      <c r="C3351" s="207"/>
      <c r="D3351" s="207"/>
      <c r="E3351" s="202"/>
      <c r="F3351" s="129"/>
      <c r="G3351" s="129"/>
      <c r="H3351" s="129"/>
      <c r="I3351" s="129"/>
      <c r="J3351" s="129"/>
      <c r="K3351" s="129"/>
      <c r="L3351" s="129"/>
      <c r="M3351" s="129"/>
      <c r="N3351" s="129"/>
      <c r="O3351" s="129"/>
      <c r="P3351" s="129"/>
      <c r="Q3351" s="129"/>
      <c r="R3351" s="129"/>
      <c r="S3351" s="129"/>
      <c r="T3351" s="129"/>
      <c r="U3351" s="129"/>
      <c r="V3351" s="129"/>
      <c r="W3351" s="129"/>
      <c r="X3351" s="129"/>
      <c r="Y3351" s="129"/>
      <c r="Z3351" s="129"/>
      <c r="AA3351" s="129"/>
      <c r="AB3351" s="129"/>
      <c r="AC3351" s="129"/>
      <c r="AD3351" s="129"/>
      <c r="AE3351" s="129"/>
      <c r="AF3351" s="129"/>
      <c r="AG3351" s="129"/>
    </row>
    <row r="3352" spans="1:33" x14ac:dyDescent="0.25">
      <c r="A3352" s="129"/>
      <c r="B3352" s="205"/>
      <c r="C3352" s="206"/>
      <c r="D3352" s="201"/>
      <c r="E3352" s="202"/>
      <c r="F3352" s="208"/>
      <c r="G3352" s="129"/>
      <c r="H3352" s="129"/>
      <c r="I3352" s="129"/>
      <c r="J3352" s="129"/>
      <c r="K3352" s="129"/>
      <c r="L3352" s="129"/>
      <c r="M3352" s="129"/>
      <c r="N3352" s="129"/>
      <c r="O3352" s="129"/>
      <c r="P3352" s="129"/>
      <c r="Q3352" s="129"/>
      <c r="R3352" s="129"/>
      <c r="S3352" s="129"/>
      <c r="T3352" s="129"/>
      <c r="U3352" s="129"/>
      <c r="V3352" s="129"/>
      <c r="W3352" s="129"/>
      <c r="X3352" s="129"/>
      <c r="Y3352" s="129"/>
      <c r="Z3352" s="129"/>
      <c r="AA3352" s="129"/>
      <c r="AB3352" s="129"/>
      <c r="AC3352" s="129"/>
      <c r="AD3352" s="129"/>
      <c r="AE3352" s="129"/>
      <c r="AF3352" s="129"/>
      <c r="AG3352" s="129"/>
    </row>
    <row r="3353" spans="1:33" x14ac:dyDescent="0.25">
      <c r="A3353" s="129"/>
      <c r="B3353" s="205"/>
      <c r="C3353" s="206"/>
      <c r="D3353" s="201"/>
      <c r="E3353" s="202"/>
      <c r="F3353" s="129"/>
      <c r="G3353" s="129"/>
      <c r="H3353" s="129"/>
      <c r="I3353" s="129"/>
      <c r="J3353" s="129"/>
      <c r="K3353" s="129"/>
      <c r="L3353" s="129"/>
      <c r="M3353" s="129"/>
      <c r="N3353" s="129"/>
      <c r="O3353" s="129"/>
      <c r="P3353" s="129"/>
      <c r="Q3353" s="129"/>
      <c r="R3353" s="129"/>
      <c r="S3353" s="129"/>
      <c r="T3353" s="129"/>
      <c r="U3353" s="129"/>
      <c r="V3353" s="129"/>
      <c r="W3353" s="129"/>
      <c r="X3353" s="129"/>
      <c r="Y3353" s="129"/>
      <c r="Z3353" s="129"/>
      <c r="AA3353" s="129"/>
      <c r="AB3353" s="129"/>
      <c r="AC3353" s="129"/>
      <c r="AD3353" s="129"/>
      <c r="AE3353" s="129"/>
      <c r="AF3353" s="129"/>
      <c r="AG3353" s="129"/>
    </row>
    <row r="3354" spans="1:33" x14ac:dyDescent="0.25">
      <c r="A3354" s="129"/>
      <c r="B3354" s="205"/>
      <c r="C3354" s="206"/>
      <c r="D3354" s="201"/>
      <c r="E3354" s="202"/>
      <c r="F3354" s="129"/>
      <c r="G3354" s="129"/>
      <c r="H3354" s="129"/>
      <c r="I3354" s="129"/>
      <c r="J3354" s="129"/>
      <c r="K3354" s="129"/>
      <c r="L3354" s="129"/>
      <c r="M3354" s="129"/>
      <c r="N3354" s="129"/>
      <c r="O3354" s="129"/>
      <c r="P3354" s="129"/>
      <c r="Q3354" s="129"/>
      <c r="R3354" s="129"/>
      <c r="S3354" s="129"/>
      <c r="T3354" s="129"/>
      <c r="U3354" s="129"/>
      <c r="V3354" s="129"/>
      <c r="W3354" s="129"/>
      <c r="X3354" s="129"/>
      <c r="Y3354" s="129"/>
      <c r="Z3354" s="129"/>
      <c r="AA3354" s="129"/>
      <c r="AB3354" s="129"/>
      <c r="AC3354" s="129"/>
      <c r="AD3354" s="129"/>
      <c r="AE3354" s="129"/>
      <c r="AF3354" s="129"/>
      <c r="AG3354" s="129"/>
    </row>
    <row r="3355" spans="1:33" x14ac:dyDescent="0.25">
      <c r="A3355" s="129"/>
      <c r="B3355" s="205"/>
      <c r="C3355" s="206"/>
      <c r="D3355" s="201"/>
      <c r="E3355" s="202"/>
      <c r="F3355" s="129"/>
      <c r="G3355" s="129"/>
      <c r="H3355" s="129"/>
      <c r="I3355" s="129"/>
      <c r="J3355" s="129"/>
      <c r="K3355" s="129"/>
      <c r="L3355" s="129"/>
      <c r="M3355" s="129"/>
      <c r="N3355" s="129"/>
      <c r="O3355" s="129"/>
      <c r="P3355" s="129"/>
      <c r="Q3355" s="129"/>
      <c r="R3355" s="129"/>
      <c r="S3355" s="129"/>
      <c r="T3355" s="129"/>
      <c r="U3355" s="129"/>
      <c r="V3355" s="129"/>
      <c r="W3355" s="129"/>
      <c r="X3355" s="129"/>
      <c r="Y3355" s="129"/>
      <c r="Z3355" s="129"/>
      <c r="AA3355" s="129"/>
      <c r="AB3355" s="129"/>
      <c r="AC3355" s="129"/>
      <c r="AD3355" s="129"/>
      <c r="AE3355" s="129"/>
      <c r="AF3355" s="129"/>
      <c r="AG3355" s="129"/>
    </row>
    <row r="3356" spans="1:33" x14ac:dyDescent="0.25">
      <c r="A3356" s="129"/>
      <c r="B3356" s="205"/>
      <c r="C3356" s="206"/>
      <c r="D3356" s="201"/>
      <c r="E3356" s="202"/>
      <c r="F3356" s="129"/>
      <c r="G3356" s="129"/>
      <c r="H3356" s="129"/>
      <c r="I3356" s="129"/>
      <c r="J3356" s="129"/>
      <c r="K3356" s="129"/>
      <c r="L3356" s="129"/>
      <c r="M3356" s="129"/>
      <c r="N3356" s="129"/>
      <c r="O3356" s="129"/>
      <c r="P3356" s="129"/>
      <c r="Q3356" s="129"/>
      <c r="R3356" s="129"/>
      <c r="S3356" s="129"/>
      <c r="T3356" s="129"/>
      <c r="U3356" s="129"/>
      <c r="V3356" s="129"/>
      <c r="W3356" s="129"/>
      <c r="X3356" s="129"/>
      <c r="Y3356" s="129"/>
      <c r="Z3356" s="129"/>
      <c r="AA3356" s="129"/>
      <c r="AB3356" s="129"/>
      <c r="AC3356" s="129"/>
      <c r="AD3356" s="129"/>
      <c r="AE3356" s="129"/>
      <c r="AF3356" s="129"/>
      <c r="AG3356" s="129"/>
    </row>
    <row r="3357" spans="1:33" x14ac:dyDescent="0.25">
      <c r="A3357" s="129"/>
      <c r="B3357" s="205"/>
      <c r="C3357" s="206"/>
      <c r="D3357" s="201"/>
      <c r="E3357" s="202"/>
      <c r="F3357" s="129"/>
      <c r="G3357" s="129"/>
      <c r="H3357" s="129"/>
      <c r="I3357" s="129"/>
      <c r="J3357" s="129"/>
      <c r="K3357" s="129"/>
      <c r="L3357" s="129"/>
      <c r="M3357" s="129"/>
      <c r="N3357" s="129"/>
      <c r="O3357" s="129"/>
      <c r="P3357" s="129"/>
      <c r="Q3357" s="129"/>
      <c r="R3357" s="129"/>
      <c r="S3357" s="129"/>
      <c r="T3357" s="129"/>
      <c r="U3357" s="129"/>
      <c r="V3357" s="129"/>
      <c r="W3357" s="129"/>
      <c r="X3357" s="129"/>
      <c r="Y3357" s="129"/>
      <c r="Z3357" s="129"/>
      <c r="AA3357" s="129"/>
      <c r="AB3357" s="129"/>
      <c r="AC3357" s="129"/>
      <c r="AD3357" s="129"/>
      <c r="AE3357" s="129"/>
      <c r="AF3357" s="129"/>
      <c r="AG3357" s="129"/>
    </row>
    <row r="3358" spans="1:33" x14ac:dyDescent="0.25">
      <c r="A3358" s="129"/>
      <c r="B3358" s="205"/>
      <c r="C3358" s="206"/>
      <c r="D3358" s="201"/>
      <c r="E3358" s="202"/>
      <c r="F3358" s="129"/>
      <c r="G3358" s="129"/>
      <c r="H3358" s="129"/>
      <c r="I3358" s="129"/>
      <c r="J3358" s="129"/>
      <c r="K3358" s="129"/>
      <c r="L3358" s="129"/>
      <c r="M3358" s="129"/>
      <c r="N3358" s="129"/>
      <c r="O3358" s="129"/>
      <c r="P3358" s="129"/>
      <c r="Q3358" s="129"/>
      <c r="R3358" s="129"/>
      <c r="S3358" s="129"/>
      <c r="T3358" s="129"/>
      <c r="U3358" s="129"/>
      <c r="V3358" s="129"/>
      <c r="W3358" s="129"/>
      <c r="X3358" s="129"/>
      <c r="Y3358" s="129"/>
      <c r="Z3358" s="129"/>
      <c r="AA3358" s="129"/>
      <c r="AB3358" s="129"/>
      <c r="AC3358" s="129"/>
      <c r="AD3358" s="129"/>
      <c r="AE3358" s="129"/>
      <c r="AF3358" s="129"/>
      <c r="AG3358" s="129"/>
    </row>
    <row r="3359" spans="1:33" x14ac:dyDescent="0.25">
      <c r="A3359" s="129"/>
      <c r="B3359" s="205"/>
      <c r="C3359" s="206"/>
      <c r="D3359" s="201"/>
      <c r="E3359" s="202"/>
      <c r="F3359" s="129"/>
      <c r="G3359" s="129"/>
      <c r="H3359" s="129"/>
      <c r="I3359" s="129"/>
      <c r="J3359" s="129"/>
      <c r="K3359" s="129"/>
      <c r="L3359" s="129"/>
      <c r="M3359" s="129"/>
      <c r="N3359" s="129"/>
      <c r="O3359" s="129"/>
      <c r="P3359" s="129"/>
      <c r="Q3359" s="129"/>
      <c r="R3359" s="129"/>
      <c r="S3359" s="129"/>
      <c r="T3359" s="129"/>
      <c r="U3359" s="129"/>
      <c r="V3359" s="129"/>
      <c r="W3359" s="129"/>
      <c r="X3359" s="129"/>
      <c r="Y3359" s="129"/>
      <c r="Z3359" s="129"/>
      <c r="AA3359" s="129"/>
      <c r="AB3359" s="129"/>
      <c r="AC3359" s="129"/>
      <c r="AD3359" s="129"/>
      <c r="AE3359" s="129"/>
      <c r="AF3359" s="129"/>
      <c r="AG3359" s="129"/>
    </row>
    <row r="3360" spans="1:33" x14ac:dyDescent="0.25">
      <c r="A3360" s="129"/>
      <c r="B3360" s="205"/>
      <c r="C3360" s="206"/>
      <c r="D3360" s="201"/>
      <c r="E3360" s="202"/>
      <c r="F3360" s="129"/>
      <c r="G3360" s="129"/>
      <c r="H3360" s="129"/>
      <c r="I3360" s="129"/>
      <c r="J3360" s="129"/>
      <c r="K3360" s="129"/>
      <c r="L3360" s="129"/>
      <c r="M3360" s="129"/>
      <c r="N3360" s="129"/>
      <c r="O3360" s="129"/>
      <c r="P3360" s="129"/>
      <c r="Q3360" s="129"/>
      <c r="R3360" s="129"/>
      <c r="S3360" s="129"/>
      <c r="T3360" s="129"/>
      <c r="U3360" s="129"/>
      <c r="V3360" s="129"/>
      <c r="W3360" s="129"/>
      <c r="X3360" s="129"/>
      <c r="Y3360" s="129"/>
      <c r="Z3360" s="129"/>
      <c r="AA3360" s="129"/>
      <c r="AB3360" s="129"/>
      <c r="AC3360" s="129"/>
      <c r="AD3360" s="129"/>
      <c r="AE3360" s="129"/>
      <c r="AF3360" s="129"/>
      <c r="AG3360" s="129"/>
    </row>
    <row r="3361" spans="1:33" x14ac:dyDescent="0.25">
      <c r="A3361" s="129"/>
      <c r="B3361" s="205"/>
      <c r="C3361" s="206"/>
      <c r="D3361" s="201"/>
      <c r="E3361" s="202"/>
      <c r="F3361" s="129"/>
      <c r="G3361" s="129"/>
      <c r="H3361" s="129"/>
      <c r="I3361" s="129"/>
      <c r="J3361" s="129"/>
      <c r="K3361" s="129"/>
      <c r="L3361" s="129"/>
      <c r="M3361" s="129"/>
      <c r="N3361" s="129"/>
      <c r="O3361" s="129"/>
      <c r="P3361" s="129"/>
      <c r="Q3361" s="129"/>
      <c r="R3361" s="129"/>
      <c r="S3361" s="129"/>
      <c r="T3361" s="129"/>
      <c r="U3361" s="129"/>
      <c r="V3361" s="129"/>
      <c r="W3361" s="129"/>
      <c r="X3361" s="129"/>
      <c r="Y3361" s="129"/>
      <c r="Z3361" s="129"/>
      <c r="AA3361" s="129"/>
      <c r="AB3361" s="129"/>
      <c r="AC3361" s="129"/>
      <c r="AD3361" s="129"/>
      <c r="AE3361" s="129"/>
      <c r="AF3361" s="129"/>
      <c r="AG3361" s="129"/>
    </row>
    <row r="3362" spans="1:33" x14ac:dyDescent="0.25">
      <c r="A3362" s="129"/>
      <c r="B3362" s="205"/>
      <c r="C3362" s="206"/>
      <c r="D3362" s="201"/>
      <c r="E3362" s="202"/>
      <c r="F3362" s="129"/>
      <c r="G3362" s="129"/>
      <c r="H3362" s="129"/>
      <c r="I3362" s="129"/>
      <c r="J3362" s="129"/>
      <c r="K3362" s="129"/>
      <c r="L3362" s="129"/>
      <c r="M3362" s="129"/>
      <c r="N3362" s="129"/>
      <c r="O3362" s="129"/>
      <c r="P3362" s="129"/>
      <c r="Q3362" s="129"/>
      <c r="R3362" s="129"/>
      <c r="S3362" s="129"/>
      <c r="T3362" s="129"/>
      <c r="U3362" s="129"/>
      <c r="V3362" s="129"/>
      <c r="W3362" s="129"/>
      <c r="X3362" s="129"/>
      <c r="Y3362" s="129"/>
      <c r="Z3362" s="129"/>
      <c r="AA3362" s="129"/>
      <c r="AB3362" s="129"/>
      <c r="AC3362" s="129"/>
      <c r="AD3362" s="129"/>
      <c r="AE3362" s="129"/>
      <c r="AF3362" s="129"/>
      <c r="AG3362" s="129"/>
    </row>
    <row r="3363" spans="1:33" x14ac:dyDescent="0.25">
      <c r="A3363" s="129"/>
      <c r="B3363" s="205"/>
      <c r="C3363" s="206"/>
      <c r="D3363" s="201"/>
      <c r="E3363" s="202"/>
      <c r="F3363" s="129"/>
      <c r="G3363" s="129"/>
      <c r="H3363" s="129"/>
      <c r="I3363" s="129"/>
      <c r="J3363" s="129"/>
      <c r="K3363" s="129"/>
      <c r="L3363" s="129"/>
      <c r="M3363" s="129"/>
      <c r="N3363" s="129"/>
      <c r="O3363" s="129"/>
      <c r="P3363" s="129"/>
      <c r="Q3363" s="129"/>
      <c r="R3363" s="129"/>
      <c r="S3363" s="129"/>
      <c r="T3363" s="129"/>
      <c r="U3363" s="129"/>
      <c r="V3363" s="129"/>
      <c r="W3363" s="129"/>
      <c r="X3363" s="129"/>
      <c r="Y3363" s="129"/>
      <c r="Z3363" s="129"/>
      <c r="AA3363" s="129"/>
      <c r="AB3363" s="129"/>
      <c r="AC3363" s="129"/>
      <c r="AD3363" s="129"/>
      <c r="AE3363" s="129"/>
      <c r="AF3363" s="129"/>
      <c r="AG3363" s="129"/>
    </row>
    <row r="3364" spans="1:33" x14ac:dyDescent="0.25">
      <c r="A3364" s="129"/>
      <c r="B3364" s="205"/>
      <c r="C3364" s="206"/>
      <c r="D3364" s="201"/>
      <c r="E3364" s="202"/>
      <c r="F3364" s="129"/>
      <c r="G3364" s="129"/>
      <c r="H3364" s="129"/>
      <c r="I3364" s="129"/>
      <c r="J3364" s="129"/>
      <c r="K3364" s="129"/>
      <c r="L3364" s="129"/>
      <c r="M3364" s="129"/>
      <c r="N3364" s="129"/>
      <c r="O3364" s="129"/>
      <c r="P3364" s="129"/>
      <c r="Q3364" s="129"/>
      <c r="R3364" s="129"/>
      <c r="S3364" s="129"/>
      <c r="T3364" s="129"/>
      <c r="U3364" s="129"/>
      <c r="V3364" s="129"/>
      <c r="W3364" s="129"/>
      <c r="X3364" s="129"/>
      <c r="Y3364" s="129"/>
      <c r="Z3364" s="129"/>
      <c r="AA3364" s="129"/>
      <c r="AB3364" s="129"/>
      <c r="AC3364" s="129"/>
      <c r="AD3364" s="129"/>
      <c r="AE3364" s="129"/>
      <c r="AF3364" s="129"/>
      <c r="AG3364" s="129"/>
    </row>
    <row r="3365" spans="1:33" x14ac:dyDescent="0.25">
      <c r="A3365" s="129"/>
      <c r="B3365" s="205"/>
      <c r="C3365" s="206"/>
      <c r="D3365" s="201"/>
      <c r="E3365" s="202"/>
      <c r="F3365" s="129"/>
      <c r="G3365" s="129"/>
      <c r="H3365" s="129"/>
      <c r="I3365" s="129"/>
      <c r="J3365" s="129"/>
      <c r="K3365" s="129"/>
      <c r="L3365" s="129"/>
      <c r="M3365" s="129"/>
      <c r="N3365" s="129"/>
      <c r="O3365" s="129"/>
      <c r="P3365" s="129"/>
      <c r="Q3365" s="129"/>
      <c r="R3365" s="129"/>
      <c r="S3365" s="129"/>
      <c r="T3365" s="129"/>
      <c r="U3365" s="129"/>
      <c r="V3365" s="129"/>
      <c r="W3365" s="129"/>
      <c r="X3365" s="129"/>
      <c r="Y3365" s="129"/>
      <c r="Z3365" s="129"/>
      <c r="AA3365" s="129"/>
      <c r="AB3365" s="129"/>
      <c r="AC3365" s="129"/>
      <c r="AD3365" s="129"/>
      <c r="AE3365" s="129"/>
      <c r="AF3365" s="129"/>
      <c r="AG3365" s="129"/>
    </row>
    <row r="3366" spans="1:33" x14ac:dyDescent="0.25">
      <c r="A3366" s="129"/>
      <c r="B3366" s="205"/>
      <c r="C3366" s="206"/>
      <c r="D3366" s="201"/>
      <c r="E3366" s="202"/>
      <c r="F3366" s="129"/>
      <c r="G3366" s="129"/>
      <c r="H3366" s="129"/>
      <c r="I3366" s="129"/>
      <c r="J3366" s="129"/>
      <c r="K3366" s="129"/>
      <c r="L3366" s="129"/>
      <c r="M3366" s="129"/>
      <c r="N3366" s="129"/>
      <c r="O3366" s="129"/>
      <c r="P3366" s="129"/>
      <c r="Q3366" s="129"/>
      <c r="R3366" s="129"/>
      <c r="S3366" s="129"/>
      <c r="T3366" s="129"/>
      <c r="U3366" s="129"/>
      <c r="V3366" s="129"/>
      <c r="W3366" s="129"/>
      <c r="X3366" s="129"/>
      <c r="Y3366" s="129"/>
      <c r="Z3366" s="129"/>
      <c r="AA3366" s="129"/>
      <c r="AB3366" s="129"/>
      <c r="AC3366" s="129"/>
      <c r="AD3366" s="129"/>
      <c r="AE3366" s="129"/>
      <c r="AF3366" s="129"/>
      <c r="AG3366" s="129"/>
    </row>
    <row r="3367" spans="1:33" x14ac:dyDescent="0.25">
      <c r="A3367" s="129"/>
      <c r="B3367" s="205"/>
      <c r="C3367" s="206"/>
      <c r="D3367" s="201"/>
      <c r="E3367" s="202"/>
      <c r="F3367" s="129"/>
      <c r="G3367" s="129"/>
      <c r="H3367" s="129"/>
      <c r="I3367" s="129"/>
      <c r="J3367" s="129"/>
      <c r="K3367" s="129"/>
      <c r="L3367" s="129"/>
      <c r="M3367" s="129"/>
      <c r="N3367" s="129"/>
      <c r="O3367" s="129"/>
      <c r="P3367" s="129"/>
      <c r="Q3367" s="129"/>
      <c r="R3367" s="129"/>
      <c r="S3367" s="129"/>
      <c r="T3367" s="129"/>
      <c r="U3367" s="129"/>
      <c r="V3367" s="129"/>
      <c r="W3367" s="129"/>
      <c r="X3367" s="129"/>
      <c r="Y3367" s="129"/>
      <c r="Z3367" s="129"/>
      <c r="AA3367" s="129"/>
      <c r="AB3367" s="129"/>
      <c r="AC3367" s="129"/>
      <c r="AD3367" s="129"/>
      <c r="AE3367" s="129"/>
      <c r="AF3367" s="129"/>
      <c r="AG3367" s="129"/>
    </row>
    <row r="3368" spans="1:33" x14ac:dyDescent="0.25">
      <c r="A3368" s="129"/>
      <c r="B3368" s="205"/>
      <c r="C3368" s="206"/>
      <c r="D3368" s="201"/>
      <c r="E3368" s="202"/>
      <c r="F3368" s="129"/>
      <c r="G3368" s="129"/>
      <c r="H3368" s="129"/>
      <c r="I3368" s="129"/>
      <c r="J3368" s="129"/>
      <c r="K3368" s="129"/>
      <c r="L3368" s="129"/>
      <c r="M3368" s="129"/>
      <c r="N3368" s="129"/>
      <c r="O3368" s="129"/>
      <c r="P3368" s="129"/>
      <c r="Q3368" s="129"/>
      <c r="R3368" s="129"/>
      <c r="S3368" s="129"/>
      <c r="T3368" s="129"/>
      <c r="U3368" s="129"/>
      <c r="V3368" s="129"/>
      <c r="W3368" s="129"/>
      <c r="X3368" s="129"/>
      <c r="Y3368" s="129"/>
      <c r="Z3368" s="129"/>
      <c r="AA3368" s="129"/>
      <c r="AB3368" s="129"/>
      <c r="AC3368" s="129"/>
      <c r="AD3368" s="129"/>
      <c r="AE3368" s="129"/>
      <c r="AF3368" s="129"/>
      <c r="AG3368" s="129"/>
    </row>
    <row r="3369" spans="1:33" x14ac:dyDescent="0.25">
      <c r="A3369" s="129"/>
      <c r="B3369" s="205"/>
      <c r="C3369" s="206"/>
      <c r="D3369" s="201"/>
      <c r="E3369" s="202"/>
      <c r="F3369" s="129"/>
      <c r="G3369" s="129"/>
      <c r="H3369" s="129"/>
      <c r="I3369" s="129"/>
      <c r="J3369" s="129"/>
      <c r="K3369" s="129"/>
      <c r="L3369" s="129"/>
      <c r="M3369" s="129"/>
      <c r="N3369" s="129"/>
      <c r="O3369" s="129"/>
      <c r="P3369" s="129"/>
      <c r="Q3369" s="129"/>
      <c r="R3369" s="129"/>
      <c r="S3369" s="129"/>
      <c r="T3369" s="129"/>
      <c r="U3369" s="129"/>
      <c r="V3369" s="129"/>
      <c r="W3369" s="129"/>
      <c r="X3369" s="129"/>
      <c r="Y3369" s="129"/>
      <c r="Z3369" s="129"/>
      <c r="AA3369" s="129"/>
      <c r="AB3369" s="129"/>
      <c r="AC3369" s="129"/>
      <c r="AD3369" s="129"/>
      <c r="AE3369" s="129"/>
      <c r="AF3369" s="129"/>
      <c r="AG3369" s="129"/>
    </row>
    <row r="3370" spans="1:33" x14ac:dyDescent="0.25">
      <c r="A3370" s="129"/>
      <c r="B3370" s="205"/>
      <c r="C3370" s="206"/>
      <c r="D3370" s="201"/>
      <c r="E3370" s="202"/>
      <c r="F3370" s="129"/>
      <c r="G3370" s="129"/>
      <c r="H3370" s="129"/>
      <c r="I3370" s="129"/>
      <c r="J3370" s="129"/>
      <c r="K3370" s="129"/>
      <c r="L3370" s="129"/>
      <c r="M3370" s="129"/>
      <c r="N3370" s="129"/>
      <c r="O3370" s="129"/>
      <c r="P3370" s="129"/>
      <c r="Q3370" s="129"/>
      <c r="R3370" s="129"/>
      <c r="S3370" s="129"/>
      <c r="T3370" s="129"/>
      <c r="U3370" s="129"/>
      <c r="V3370" s="129"/>
      <c r="W3370" s="129"/>
      <c r="X3370" s="129"/>
      <c r="Y3370" s="129"/>
      <c r="Z3370" s="129"/>
      <c r="AA3370" s="129"/>
      <c r="AB3370" s="129"/>
      <c r="AC3370" s="129"/>
      <c r="AD3370" s="129"/>
      <c r="AE3370" s="129"/>
      <c r="AF3370" s="129"/>
      <c r="AG3370" s="129"/>
    </row>
    <row r="3371" spans="1:33" x14ac:dyDescent="0.25">
      <c r="A3371" s="129"/>
      <c r="B3371" s="205"/>
      <c r="C3371" s="206"/>
      <c r="D3371" s="201"/>
      <c r="E3371" s="202"/>
      <c r="F3371" s="129"/>
      <c r="G3371" s="129"/>
      <c r="H3371" s="129"/>
      <c r="I3371" s="129"/>
      <c r="J3371" s="129"/>
      <c r="K3371" s="129"/>
      <c r="L3371" s="129"/>
      <c r="M3371" s="129"/>
      <c r="N3371" s="129"/>
      <c r="O3371" s="129"/>
      <c r="P3371" s="129"/>
      <c r="Q3371" s="129"/>
      <c r="R3371" s="129"/>
      <c r="S3371" s="129"/>
      <c r="T3371" s="129"/>
      <c r="U3371" s="129"/>
      <c r="V3371" s="129"/>
      <c r="W3371" s="129"/>
      <c r="X3371" s="129"/>
      <c r="Y3371" s="129"/>
      <c r="Z3371" s="129"/>
      <c r="AA3371" s="129"/>
      <c r="AB3371" s="129"/>
      <c r="AC3371" s="129"/>
      <c r="AD3371" s="129"/>
      <c r="AE3371" s="129"/>
      <c r="AF3371" s="129"/>
      <c r="AG3371" s="129"/>
    </row>
    <row r="3372" spans="1:33" x14ac:dyDescent="0.25">
      <c r="A3372" s="129"/>
      <c r="B3372" s="205"/>
      <c r="C3372" s="206"/>
      <c r="D3372" s="206"/>
      <c r="E3372" s="202"/>
      <c r="F3372" s="129"/>
      <c r="G3372" s="129"/>
      <c r="H3372" s="129"/>
      <c r="I3372" s="129"/>
      <c r="J3372" s="129"/>
      <c r="K3372" s="129"/>
      <c r="L3372" s="129"/>
      <c r="M3372" s="129"/>
      <c r="N3372" s="129"/>
      <c r="O3372" s="129"/>
      <c r="P3372" s="129"/>
      <c r="Q3372" s="129"/>
      <c r="R3372" s="129"/>
      <c r="S3372" s="129"/>
      <c r="T3372" s="129"/>
      <c r="U3372" s="129"/>
      <c r="V3372" s="129"/>
      <c r="W3372" s="129"/>
      <c r="X3372" s="129"/>
      <c r="Y3372" s="129"/>
      <c r="Z3372" s="129"/>
      <c r="AA3372" s="129"/>
      <c r="AB3372" s="129"/>
      <c r="AC3372" s="129"/>
      <c r="AD3372" s="129"/>
      <c r="AE3372" s="129"/>
      <c r="AF3372" s="129"/>
      <c r="AG3372" s="129"/>
    </row>
    <row r="3373" spans="1:33" x14ac:dyDescent="0.25">
      <c r="A3373" s="129"/>
      <c r="B3373" s="205"/>
      <c r="C3373" s="206"/>
      <c r="D3373" s="206"/>
      <c r="E3373" s="202"/>
      <c r="F3373" s="129"/>
      <c r="G3373" s="129"/>
      <c r="H3373" s="129"/>
      <c r="I3373" s="129"/>
      <c r="J3373" s="129"/>
      <c r="K3373" s="129"/>
      <c r="L3373" s="129"/>
      <c r="M3373" s="129"/>
      <c r="N3373" s="129"/>
      <c r="O3373" s="129"/>
      <c r="P3373" s="129"/>
      <c r="Q3373" s="129"/>
      <c r="R3373" s="129"/>
      <c r="S3373" s="129"/>
      <c r="T3373" s="129"/>
      <c r="U3373" s="129"/>
      <c r="V3373" s="129"/>
      <c r="W3373" s="129"/>
      <c r="X3373" s="129"/>
      <c r="Y3373" s="129"/>
      <c r="Z3373" s="129"/>
      <c r="AA3373" s="129"/>
      <c r="AB3373" s="129"/>
      <c r="AC3373" s="129"/>
      <c r="AD3373" s="129"/>
      <c r="AE3373" s="129"/>
      <c r="AF3373" s="129"/>
      <c r="AG3373" s="129"/>
    </row>
    <row r="3374" spans="1:33" x14ac:dyDescent="0.25">
      <c r="A3374" s="129"/>
      <c r="B3374" s="205"/>
      <c r="C3374" s="206"/>
      <c r="D3374" s="206"/>
      <c r="E3374" s="202"/>
      <c r="F3374" s="129"/>
      <c r="G3374" s="129"/>
      <c r="H3374" s="129"/>
      <c r="I3374" s="129"/>
      <c r="J3374" s="129"/>
      <c r="K3374" s="129"/>
      <c r="L3374" s="129"/>
      <c r="M3374" s="129"/>
      <c r="N3374" s="129"/>
      <c r="O3374" s="129"/>
      <c r="P3374" s="129"/>
      <c r="Q3374" s="129"/>
      <c r="R3374" s="129"/>
      <c r="S3374" s="129"/>
      <c r="T3374" s="129"/>
      <c r="U3374" s="129"/>
      <c r="V3374" s="129"/>
      <c r="W3374" s="129"/>
      <c r="X3374" s="129"/>
      <c r="Y3374" s="129"/>
      <c r="Z3374" s="129"/>
      <c r="AA3374" s="129"/>
      <c r="AB3374" s="129"/>
      <c r="AC3374" s="129"/>
      <c r="AD3374" s="129"/>
      <c r="AE3374" s="129"/>
      <c r="AF3374" s="129"/>
      <c r="AG3374" s="129"/>
    </row>
    <row r="3375" spans="1:33" x14ac:dyDescent="0.25">
      <c r="A3375" s="129"/>
      <c r="B3375" s="205"/>
      <c r="C3375" s="206"/>
      <c r="D3375" s="206"/>
      <c r="E3375" s="202"/>
      <c r="F3375" s="129"/>
      <c r="G3375" s="129"/>
      <c r="H3375" s="129"/>
      <c r="I3375" s="129"/>
      <c r="J3375" s="129"/>
      <c r="K3375" s="129"/>
      <c r="L3375" s="129"/>
      <c r="M3375" s="129"/>
      <c r="N3375" s="129"/>
      <c r="O3375" s="129"/>
      <c r="P3375" s="129"/>
      <c r="Q3375" s="129"/>
      <c r="R3375" s="129"/>
      <c r="S3375" s="129"/>
      <c r="T3375" s="129"/>
      <c r="U3375" s="129"/>
      <c r="V3375" s="129"/>
      <c r="W3375" s="129"/>
      <c r="X3375" s="129"/>
      <c r="Y3375" s="129"/>
      <c r="Z3375" s="129"/>
      <c r="AA3375" s="129"/>
      <c r="AB3375" s="129"/>
      <c r="AC3375" s="129"/>
      <c r="AD3375" s="129"/>
      <c r="AE3375" s="129"/>
      <c r="AF3375" s="129"/>
      <c r="AG3375" s="129"/>
    </row>
    <row r="3376" spans="1:33" x14ac:dyDescent="0.25">
      <c r="A3376" s="129"/>
      <c r="B3376" s="205"/>
      <c r="C3376" s="206"/>
      <c r="D3376" s="206"/>
      <c r="E3376" s="202"/>
      <c r="F3376" s="129"/>
      <c r="G3376" s="129"/>
      <c r="H3376" s="129"/>
      <c r="I3376" s="129"/>
      <c r="J3376" s="129"/>
      <c r="K3376" s="129"/>
      <c r="L3376" s="129"/>
      <c r="M3376" s="129"/>
      <c r="N3376" s="129"/>
      <c r="O3376" s="129"/>
      <c r="P3376" s="129"/>
      <c r="Q3376" s="129"/>
      <c r="R3376" s="129"/>
      <c r="S3376" s="129"/>
      <c r="T3376" s="129"/>
      <c r="U3376" s="129"/>
      <c r="V3376" s="129"/>
      <c r="W3376" s="129"/>
      <c r="X3376" s="129"/>
      <c r="Y3376" s="129"/>
      <c r="Z3376" s="129"/>
      <c r="AA3376" s="129"/>
      <c r="AB3376" s="129"/>
      <c r="AC3376" s="129"/>
      <c r="AD3376" s="129"/>
      <c r="AE3376" s="129"/>
      <c r="AF3376" s="129"/>
      <c r="AG3376" s="129"/>
    </row>
    <row r="3377" spans="1:33" x14ac:dyDescent="0.25">
      <c r="A3377" s="129"/>
      <c r="B3377" s="205"/>
      <c r="C3377" s="206"/>
      <c r="D3377" s="206"/>
      <c r="E3377" s="202"/>
      <c r="F3377" s="129"/>
      <c r="G3377" s="129"/>
      <c r="H3377" s="129"/>
      <c r="I3377" s="129"/>
      <c r="J3377" s="129"/>
      <c r="K3377" s="129"/>
      <c r="L3377" s="129"/>
      <c r="M3377" s="129"/>
      <c r="N3377" s="129"/>
      <c r="O3377" s="129"/>
      <c r="P3377" s="129"/>
      <c r="Q3377" s="129"/>
      <c r="R3377" s="129"/>
      <c r="S3377" s="129"/>
      <c r="T3377" s="129"/>
      <c r="U3377" s="129"/>
      <c r="V3377" s="129"/>
      <c r="W3377" s="129"/>
      <c r="X3377" s="129"/>
      <c r="Y3377" s="129"/>
      <c r="Z3377" s="129"/>
      <c r="AA3377" s="129"/>
      <c r="AB3377" s="129"/>
      <c r="AC3377" s="129"/>
      <c r="AD3377" s="129"/>
      <c r="AE3377" s="129"/>
      <c r="AF3377" s="129"/>
      <c r="AG3377" s="129"/>
    </row>
    <row r="3378" spans="1:33" x14ac:dyDescent="0.25">
      <c r="A3378" s="129"/>
      <c r="B3378" s="205"/>
      <c r="C3378" s="206"/>
      <c r="D3378" s="206"/>
      <c r="E3378" s="202"/>
      <c r="F3378" s="195"/>
      <c r="G3378" s="195"/>
      <c r="H3378" s="195"/>
      <c r="I3378" s="195"/>
      <c r="J3378" s="195"/>
      <c r="K3378" s="195"/>
      <c r="L3378" s="129"/>
      <c r="M3378" s="129"/>
      <c r="N3378" s="129"/>
      <c r="O3378" s="129"/>
      <c r="P3378" s="129"/>
      <c r="Q3378" s="129"/>
      <c r="R3378" s="129"/>
      <c r="S3378" s="129"/>
      <c r="T3378" s="129"/>
      <c r="U3378" s="129"/>
      <c r="V3378" s="129"/>
      <c r="W3378" s="129"/>
      <c r="X3378" s="129"/>
      <c r="Y3378" s="129"/>
      <c r="Z3378" s="129"/>
      <c r="AA3378" s="129"/>
      <c r="AB3378" s="129"/>
      <c r="AC3378" s="129"/>
      <c r="AD3378" s="129"/>
      <c r="AE3378" s="129"/>
      <c r="AF3378" s="129"/>
      <c r="AG3378" s="129"/>
    </row>
    <row r="3379" spans="1:33" x14ac:dyDescent="0.25">
      <c r="A3379" s="129"/>
      <c r="B3379" s="205"/>
      <c r="C3379" s="206"/>
      <c r="D3379" s="206"/>
      <c r="E3379" s="202"/>
      <c r="F3379" s="209"/>
      <c r="G3379" s="209"/>
      <c r="H3379" s="209"/>
      <c r="I3379" s="209"/>
      <c r="J3379" s="209"/>
      <c r="K3379" s="209"/>
      <c r="L3379" s="209"/>
      <c r="M3379" s="209"/>
      <c r="N3379" s="209"/>
      <c r="O3379" s="209"/>
      <c r="P3379" s="209"/>
      <c r="Q3379" s="209"/>
      <c r="R3379" s="209"/>
      <c r="S3379" s="209"/>
      <c r="T3379" s="209"/>
      <c r="U3379" s="209"/>
      <c r="V3379" s="210"/>
      <c r="W3379" s="129"/>
      <c r="X3379" s="129"/>
      <c r="Y3379" s="129"/>
      <c r="Z3379" s="129"/>
      <c r="AA3379" s="129"/>
      <c r="AB3379" s="129"/>
      <c r="AC3379" s="129"/>
      <c r="AD3379" s="129"/>
      <c r="AE3379" s="129"/>
      <c r="AF3379" s="129"/>
      <c r="AG3379" s="129"/>
    </row>
    <row r="3380" spans="1:33" x14ac:dyDescent="0.25">
      <c r="A3380" s="129"/>
      <c r="B3380" s="211"/>
      <c r="C3380" s="207"/>
      <c r="D3380" s="201"/>
      <c r="E3380" s="202"/>
      <c r="F3380" s="207"/>
      <c r="G3380" s="207"/>
      <c r="H3380" s="207"/>
      <c r="I3380" s="207"/>
      <c r="J3380" s="207"/>
      <c r="K3380" s="207"/>
      <c r="L3380" s="207"/>
      <c r="M3380" s="207"/>
      <c r="N3380" s="207"/>
      <c r="O3380" s="207"/>
      <c r="P3380" s="207"/>
      <c r="Q3380" s="207"/>
      <c r="R3380" s="207"/>
      <c r="S3380" s="207"/>
      <c r="T3380" s="207"/>
      <c r="U3380" s="207"/>
      <c r="V3380" s="208"/>
      <c r="W3380" s="129"/>
      <c r="X3380" s="129"/>
      <c r="Y3380" s="129"/>
      <c r="Z3380" s="129"/>
      <c r="AA3380" s="129"/>
      <c r="AB3380" s="129"/>
      <c r="AC3380" s="129"/>
      <c r="AD3380" s="129"/>
      <c r="AE3380" s="129"/>
      <c r="AF3380" s="129"/>
      <c r="AG3380" s="129"/>
    </row>
    <row r="3381" spans="1:33" x14ac:dyDescent="0.25">
      <c r="A3381" s="129"/>
      <c r="B3381" s="211"/>
      <c r="C3381" s="207"/>
      <c r="D3381" s="201"/>
      <c r="E3381" s="202"/>
      <c r="F3381" s="207"/>
      <c r="G3381" s="207"/>
      <c r="H3381" s="207"/>
      <c r="I3381" s="207"/>
      <c r="J3381" s="129"/>
      <c r="K3381" s="129"/>
      <c r="L3381" s="129"/>
      <c r="M3381" s="129"/>
      <c r="N3381" s="129"/>
      <c r="O3381" s="129"/>
      <c r="P3381" s="129"/>
      <c r="Q3381" s="129"/>
      <c r="R3381" s="129"/>
      <c r="S3381" s="129"/>
      <c r="T3381" s="129"/>
      <c r="U3381" s="129"/>
      <c r="V3381" s="129"/>
      <c r="W3381" s="129"/>
      <c r="X3381" s="129"/>
      <c r="Y3381" s="129"/>
      <c r="Z3381" s="129"/>
      <c r="AA3381" s="129"/>
      <c r="AB3381" s="129"/>
      <c r="AC3381" s="129"/>
      <c r="AD3381" s="129"/>
      <c r="AE3381" s="129"/>
      <c r="AF3381" s="129"/>
      <c r="AG3381" s="129"/>
    </row>
    <row r="3382" spans="1:33" x14ac:dyDescent="0.25">
      <c r="A3382" s="129"/>
      <c r="B3382" s="211"/>
      <c r="C3382" s="207"/>
      <c r="D3382" s="201"/>
      <c r="E3382" s="202"/>
      <c r="F3382" s="207"/>
      <c r="G3382" s="207"/>
      <c r="H3382" s="207"/>
      <c r="I3382" s="207"/>
      <c r="J3382" s="129"/>
      <c r="K3382" s="129"/>
      <c r="L3382" s="129"/>
      <c r="M3382" s="129"/>
      <c r="N3382" s="129"/>
      <c r="O3382" s="129"/>
      <c r="P3382" s="129"/>
      <c r="Q3382" s="129"/>
      <c r="R3382" s="129"/>
      <c r="S3382" s="129"/>
      <c r="T3382" s="129"/>
      <c r="U3382" s="129"/>
      <c r="V3382" s="207"/>
      <c r="W3382" s="129"/>
      <c r="X3382" s="129"/>
      <c r="Y3382" s="129"/>
      <c r="Z3382" s="129"/>
      <c r="AA3382" s="129"/>
      <c r="AB3382" s="129"/>
      <c r="AC3382" s="129"/>
      <c r="AD3382" s="129"/>
      <c r="AE3382" s="129"/>
      <c r="AF3382" s="129"/>
      <c r="AG3382" s="129"/>
    </row>
    <row r="3383" spans="1:33" x14ac:dyDescent="0.25">
      <c r="A3383" s="129"/>
      <c r="B3383" s="211"/>
      <c r="C3383" s="207"/>
      <c r="D3383" s="201"/>
      <c r="E3383" s="202"/>
      <c r="F3383" s="207"/>
      <c r="G3383" s="207"/>
      <c r="H3383" s="207"/>
      <c r="I3383" s="207"/>
      <c r="J3383" s="129"/>
      <c r="K3383" s="129"/>
      <c r="L3383" s="129"/>
      <c r="M3383" s="129"/>
      <c r="N3383" s="129"/>
      <c r="O3383" s="129"/>
      <c r="P3383" s="129"/>
      <c r="Q3383" s="129"/>
      <c r="R3383" s="129"/>
      <c r="S3383" s="129"/>
      <c r="T3383" s="129"/>
      <c r="U3383" s="129"/>
      <c r="V3383" s="207"/>
      <c r="W3383" s="129"/>
      <c r="X3383" s="129"/>
      <c r="Y3383" s="129"/>
      <c r="Z3383" s="129"/>
      <c r="AA3383" s="129"/>
      <c r="AB3383" s="129"/>
      <c r="AC3383" s="129"/>
      <c r="AD3383" s="129"/>
      <c r="AE3383" s="129"/>
      <c r="AF3383" s="129"/>
      <c r="AG3383" s="129"/>
    </row>
    <row r="3384" spans="1:33" x14ac:dyDescent="0.25">
      <c r="A3384" s="129"/>
      <c r="B3384" s="211"/>
      <c r="C3384" s="207"/>
      <c r="D3384" s="201"/>
      <c r="E3384" s="202"/>
      <c r="F3384" s="207"/>
      <c r="G3384" s="207"/>
      <c r="H3384" s="207"/>
      <c r="I3384" s="207"/>
      <c r="J3384" s="129"/>
      <c r="K3384" s="129"/>
      <c r="L3384" s="129"/>
      <c r="M3384" s="129"/>
      <c r="N3384" s="129"/>
      <c r="O3384" s="129"/>
      <c r="P3384" s="129"/>
      <c r="Q3384" s="129"/>
      <c r="R3384" s="129"/>
      <c r="S3384" s="129"/>
      <c r="T3384" s="129"/>
      <c r="U3384" s="129"/>
      <c r="V3384" s="207"/>
      <c r="W3384" s="129"/>
      <c r="X3384" s="129"/>
      <c r="Y3384" s="129"/>
      <c r="Z3384" s="129"/>
      <c r="AA3384" s="129"/>
      <c r="AB3384" s="129"/>
      <c r="AC3384" s="129"/>
      <c r="AD3384" s="129"/>
      <c r="AE3384" s="129"/>
      <c r="AF3384" s="129"/>
      <c r="AG3384" s="129"/>
    </row>
    <row r="3385" spans="1:33" x14ac:dyDescent="0.25">
      <c r="A3385" s="129"/>
      <c r="B3385" s="211"/>
      <c r="C3385" s="207"/>
      <c r="D3385" s="201"/>
      <c r="E3385" s="202"/>
      <c r="F3385" s="207"/>
      <c r="G3385" s="207"/>
      <c r="H3385" s="207"/>
      <c r="I3385" s="207"/>
      <c r="J3385" s="129"/>
      <c r="K3385" s="129"/>
      <c r="L3385" s="129"/>
      <c r="M3385" s="129"/>
      <c r="N3385" s="129"/>
      <c r="O3385" s="129"/>
      <c r="P3385" s="129"/>
      <c r="Q3385" s="129"/>
      <c r="R3385" s="129"/>
      <c r="S3385" s="129"/>
      <c r="T3385" s="129"/>
      <c r="U3385" s="129"/>
      <c r="V3385" s="207"/>
      <c r="W3385" s="129"/>
      <c r="X3385" s="129"/>
      <c r="Y3385" s="129"/>
      <c r="Z3385" s="129"/>
      <c r="AA3385" s="129"/>
      <c r="AB3385" s="129"/>
      <c r="AC3385" s="129"/>
      <c r="AD3385" s="129"/>
      <c r="AE3385" s="129"/>
      <c r="AF3385" s="129"/>
      <c r="AG3385" s="129"/>
    </row>
    <row r="3386" spans="1:33" x14ac:dyDescent="0.25">
      <c r="A3386" s="129"/>
      <c r="B3386" s="211"/>
      <c r="C3386" s="207"/>
      <c r="D3386" s="201"/>
      <c r="E3386" s="202"/>
      <c r="F3386" s="207"/>
      <c r="G3386" s="207"/>
      <c r="H3386" s="207"/>
      <c r="I3386" s="207"/>
      <c r="J3386" s="129"/>
      <c r="K3386" s="129"/>
      <c r="L3386" s="129"/>
      <c r="M3386" s="129"/>
      <c r="N3386" s="129"/>
      <c r="O3386" s="129"/>
      <c r="P3386" s="129"/>
      <c r="Q3386" s="129"/>
      <c r="R3386" s="129"/>
      <c r="S3386" s="129"/>
      <c r="T3386" s="129"/>
      <c r="U3386" s="129"/>
      <c r="V3386" s="207"/>
      <c r="W3386" s="129"/>
      <c r="X3386" s="129"/>
      <c r="Y3386" s="129"/>
      <c r="Z3386" s="129"/>
      <c r="AA3386" s="129"/>
      <c r="AB3386" s="129"/>
      <c r="AC3386" s="129"/>
      <c r="AD3386" s="129"/>
      <c r="AE3386" s="129"/>
      <c r="AF3386" s="129"/>
      <c r="AG3386" s="129"/>
    </row>
    <row r="3387" spans="1:33" x14ac:dyDescent="0.25">
      <c r="A3387" s="129"/>
      <c r="B3387" s="211"/>
      <c r="C3387" s="207"/>
      <c r="D3387" s="201"/>
      <c r="E3387" s="202"/>
      <c r="F3387" s="207"/>
      <c r="G3387" s="207"/>
      <c r="H3387" s="207"/>
      <c r="I3387" s="207"/>
      <c r="J3387" s="129"/>
      <c r="K3387" s="129"/>
      <c r="L3387" s="129"/>
      <c r="M3387" s="129"/>
      <c r="N3387" s="129"/>
      <c r="O3387" s="129"/>
      <c r="P3387" s="129"/>
      <c r="Q3387" s="129"/>
      <c r="R3387" s="129"/>
      <c r="S3387" s="129"/>
      <c r="T3387" s="129"/>
      <c r="U3387" s="129"/>
      <c r="V3387" s="129"/>
      <c r="W3387" s="129"/>
      <c r="X3387" s="129"/>
      <c r="Y3387" s="129"/>
      <c r="Z3387" s="129"/>
      <c r="AA3387" s="129"/>
      <c r="AB3387" s="129"/>
      <c r="AC3387" s="129"/>
      <c r="AD3387" s="129"/>
      <c r="AE3387" s="129"/>
      <c r="AF3387" s="129"/>
      <c r="AG3387" s="129"/>
    </row>
    <row r="3388" spans="1:33" x14ac:dyDescent="0.25">
      <c r="A3388" s="129"/>
      <c r="B3388" s="211"/>
      <c r="C3388" s="207"/>
      <c r="D3388" s="201"/>
      <c r="E3388" s="202"/>
      <c r="F3388" s="207"/>
      <c r="G3388" s="207"/>
      <c r="H3388" s="207"/>
      <c r="I3388" s="207"/>
      <c r="J3388" s="129"/>
      <c r="K3388" s="129"/>
      <c r="L3388" s="129"/>
      <c r="M3388" s="129"/>
      <c r="N3388" s="129"/>
      <c r="O3388" s="129"/>
      <c r="P3388" s="129"/>
      <c r="Q3388" s="129"/>
      <c r="R3388" s="129"/>
      <c r="S3388" s="129"/>
      <c r="T3388" s="129"/>
      <c r="U3388" s="129"/>
      <c r="V3388" s="129"/>
      <c r="W3388" s="129"/>
      <c r="X3388" s="129"/>
      <c r="Y3388" s="129"/>
      <c r="Z3388" s="129"/>
      <c r="AA3388" s="129"/>
      <c r="AB3388" s="129"/>
      <c r="AC3388" s="129"/>
      <c r="AD3388" s="129"/>
      <c r="AE3388" s="129"/>
      <c r="AF3388" s="129"/>
      <c r="AG3388" s="129"/>
    </row>
    <row r="3389" spans="1:33" x14ac:dyDescent="0.25">
      <c r="A3389" s="129"/>
      <c r="B3389" s="211"/>
      <c r="C3389" s="207"/>
      <c r="D3389" s="201"/>
      <c r="E3389" s="202"/>
      <c r="F3389" s="207"/>
      <c r="G3389" s="207"/>
      <c r="H3389" s="207"/>
      <c r="I3389" s="207"/>
      <c r="J3389" s="129"/>
      <c r="K3389" s="129"/>
      <c r="L3389" s="129"/>
      <c r="M3389" s="129"/>
      <c r="N3389" s="129"/>
      <c r="O3389" s="129"/>
      <c r="P3389" s="129"/>
      <c r="Q3389" s="129"/>
      <c r="R3389" s="129"/>
      <c r="S3389" s="129"/>
      <c r="T3389" s="129"/>
      <c r="U3389" s="129"/>
      <c r="V3389" s="129"/>
      <c r="W3389" s="129"/>
      <c r="X3389" s="129"/>
      <c r="Y3389" s="129"/>
      <c r="Z3389" s="129"/>
      <c r="AA3389" s="129"/>
      <c r="AB3389" s="129"/>
      <c r="AC3389" s="129"/>
      <c r="AD3389" s="129"/>
      <c r="AE3389" s="129"/>
      <c r="AF3389" s="129"/>
      <c r="AG3389" s="129"/>
    </row>
    <row r="3390" spans="1:33" x14ac:dyDescent="0.25">
      <c r="A3390" s="129"/>
      <c r="B3390" s="211"/>
      <c r="C3390" s="207"/>
      <c r="D3390" s="201"/>
      <c r="E3390" s="202"/>
      <c r="F3390" s="207"/>
      <c r="G3390" s="207"/>
      <c r="H3390" s="207"/>
      <c r="I3390" s="207"/>
      <c r="J3390" s="129"/>
      <c r="K3390" s="129"/>
      <c r="L3390" s="129"/>
      <c r="M3390" s="129"/>
      <c r="N3390" s="129"/>
      <c r="O3390" s="129"/>
      <c r="P3390" s="129"/>
      <c r="Q3390" s="129"/>
      <c r="R3390" s="129"/>
      <c r="S3390" s="129"/>
      <c r="T3390" s="129"/>
      <c r="U3390" s="129"/>
      <c r="V3390" s="129"/>
      <c r="W3390" s="129"/>
      <c r="X3390" s="129"/>
      <c r="Y3390" s="129"/>
      <c r="Z3390" s="129"/>
      <c r="AA3390" s="129"/>
      <c r="AB3390" s="129"/>
      <c r="AC3390" s="129"/>
      <c r="AD3390" s="129"/>
      <c r="AE3390" s="129"/>
      <c r="AF3390" s="129"/>
      <c r="AG3390" s="129"/>
    </row>
    <row r="3391" spans="1:33" x14ac:dyDescent="0.25">
      <c r="A3391" s="129"/>
      <c r="B3391" s="211"/>
      <c r="C3391" s="207"/>
      <c r="D3391" s="201"/>
      <c r="E3391" s="202"/>
      <c r="F3391" s="207"/>
      <c r="G3391" s="207"/>
      <c r="H3391" s="207"/>
      <c r="I3391" s="207"/>
      <c r="J3391" s="129"/>
      <c r="K3391" s="129"/>
      <c r="L3391" s="129"/>
      <c r="M3391" s="129"/>
      <c r="N3391" s="129"/>
      <c r="O3391" s="129"/>
      <c r="P3391" s="129"/>
      <c r="Q3391" s="129"/>
      <c r="R3391" s="129"/>
      <c r="S3391" s="129"/>
      <c r="T3391" s="129"/>
      <c r="U3391" s="129"/>
      <c r="V3391" s="129"/>
      <c r="W3391" s="129"/>
      <c r="X3391" s="129"/>
      <c r="Y3391" s="129"/>
      <c r="Z3391" s="129"/>
      <c r="AA3391" s="129"/>
      <c r="AB3391" s="129"/>
      <c r="AC3391" s="129"/>
      <c r="AD3391" s="129"/>
      <c r="AE3391" s="129"/>
      <c r="AF3391" s="129"/>
      <c r="AG3391" s="129"/>
    </row>
    <row r="3392" spans="1:33" x14ac:dyDescent="0.25">
      <c r="A3392" s="129"/>
      <c r="B3392" s="211"/>
      <c r="C3392" s="207"/>
      <c r="D3392" s="201"/>
      <c r="E3392" s="202"/>
      <c r="F3392" s="207"/>
      <c r="G3392" s="207"/>
      <c r="H3392" s="207"/>
      <c r="I3392" s="207"/>
      <c r="J3392" s="129"/>
      <c r="K3392" s="129"/>
      <c r="L3392" s="129"/>
      <c r="M3392" s="129"/>
      <c r="N3392" s="129"/>
      <c r="O3392" s="129"/>
      <c r="P3392" s="129"/>
      <c r="Q3392" s="129"/>
      <c r="R3392" s="129"/>
      <c r="S3392" s="129"/>
      <c r="T3392" s="129"/>
      <c r="U3392" s="129"/>
      <c r="V3392" s="129"/>
      <c r="W3392" s="129"/>
      <c r="X3392" s="129"/>
      <c r="Y3392" s="129"/>
      <c r="Z3392" s="129"/>
      <c r="AA3392" s="129"/>
      <c r="AB3392" s="129"/>
      <c r="AC3392" s="129"/>
      <c r="AD3392" s="129"/>
      <c r="AE3392" s="129"/>
      <c r="AF3392" s="129"/>
      <c r="AG3392" s="129"/>
    </row>
    <row r="3393" spans="1:33" x14ac:dyDescent="0.25">
      <c r="A3393" s="129"/>
      <c r="B3393" s="211"/>
      <c r="C3393" s="207"/>
      <c r="D3393" s="201"/>
      <c r="E3393" s="202"/>
      <c r="F3393" s="207"/>
      <c r="G3393" s="207"/>
      <c r="H3393" s="207"/>
      <c r="I3393" s="207"/>
      <c r="J3393" s="129"/>
      <c r="K3393" s="129"/>
      <c r="L3393" s="129"/>
      <c r="M3393" s="129"/>
      <c r="N3393" s="129"/>
      <c r="O3393" s="129"/>
      <c r="P3393" s="129"/>
      <c r="Q3393" s="129"/>
      <c r="R3393" s="129"/>
      <c r="S3393" s="129"/>
      <c r="T3393" s="129"/>
      <c r="U3393" s="129"/>
      <c r="V3393" s="129"/>
      <c r="W3393" s="129"/>
      <c r="X3393" s="129"/>
      <c r="Y3393" s="129"/>
      <c r="Z3393" s="129"/>
      <c r="AA3393" s="129"/>
      <c r="AB3393" s="129"/>
      <c r="AC3393" s="129"/>
      <c r="AD3393" s="129"/>
      <c r="AE3393" s="129"/>
      <c r="AF3393" s="129"/>
      <c r="AG3393" s="129"/>
    </row>
    <row r="3394" spans="1:33" x14ac:dyDescent="0.25">
      <c r="A3394" s="129"/>
      <c r="B3394" s="211"/>
      <c r="C3394" s="207"/>
      <c r="D3394" s="201"/>
      <c r="E3394" s="202"/>
      <c r="F3394" s="207"/>
      <c r="G3394" s="207"/>
      <c r="H3394" s="207"/>
      <c r="I3394" s="207"/>
      <c r="J3394" s="129"/>
      <c r="K3394" s="129"/>
      <c r="L3394" s="129"/>
      <c r="M3394" s="129"/>
      <c r="N3394" s="129"/>
      <c r="O3394" s="129"/>
      <c r="P3394" s="129"/>
      <c r="Q3394" s="129"/>
      <c r="R3394" s="129"/>
      <c r="S3394" s="129"/>
      <c r="T3394" s="129"/>
      <c r="U3394" s="129"/>
      <c r="V3394" s="129"/>
      <c r="W3394" s="129"/>
      <c r="X3394" s="129"/>
      <c r="Y3394" s="129"/>
      <c r="Z3394" s="129"/>
      <c r="AA3394" s="129"/>
      <c r="AB3394" s="129"/>
      <c r="AC3394" s="129"/>
      <c r="AD3394" s="129"/>
      <c r="AE3394" s="129"/>
      <c r="AF3394" s="129"/>
      <c r="AG3394" s="129"/>
    </row>
    <row r="3395" spans="1:33" x14ac:dyDescent="0.25">
      <c r="A3395" s="129"/>
      <c r="B3395" s="211"/>
      <c r="C3395" s="207"/>
      <c r="D3395" s="201"/>
      <c r="E3395" s="202"/>
      <c r="F3395" s="207"/>
      <c r="G3395" s="207"/>
      <c r="H3395" s="207"/>
      <c r="I3395" s="207"/>
      <c r="J3395" s="129"/>
      <c r="K3395" s="129"/>
      <c r="L3395" s="129"/>
      <c r="M3395" s="129"/>
      <c r="N3395" s="129"/>
      <c r="O3395" s="129"/>
      <c r="P3395" s="129"/>
      <c r="Q3395" s="129"/>
      <c r="R3395" s="129"/>
      <c r="S3395" s="129"/>
      <c r="T3395" s="129"/>
      <c r="U3395" s="129"/>
      <c r="V3395" s="129"/>
      <c r="W3395" s="129"/>
      <c r="X3395" s="129"/>
      <c r="Y3395" s="129"/>
      <c r="Z3395" s="129"/>
      <c r="AA3395" s="129"/>
      <c r="AB3395" s="129"/>
      <c r="AC3395" s="129"/>
      <c r="AD3395" s="129"/>
      <c r="AE3395" s="129"/>
      <c r="AF3395" s="129"/>
      <c r="AG3395" s="129"/>
    </row>
    <row r="3396" spans="1:33" x14ac:dyDescent="0.25">
      <c r="A3396" s="129"/>
      <c r="B3396" s="211"/>
      <c r="C3396" s="207"/>
      <c r="D3396" s="201"/>
      <c r="E3396" s="202"/>
      <c r="F3396" s="207"/>
      <c r="G3396" s="207"/>
      <c r="H3396" s="207"/>
      <c r="I3396" s="207"/>
      <c r="J3396" s="129"/>
      <c r="K3396" s="129"/>
      <c r="L3396" s="129"/>
      <c r="M3396" s="129"/>
      <c r="N3396" s="129"/>
      <c r="O3396" s="129"/>
      <c r="P3396" s="129"/>
      <c r="Q3396" s="129"/>
      <c r="R3396" s="129"/>
      <c r="S3396" s="129"/>
      <c r="T3396" s="129"/>
      <c r="U3396" s="129"/>
      <c r="V3396" s="129"/>
      <c r="W3396" s="129"/>
      <c r="X3396" s="129"/>
      <c r="Y3396" s="129"/>
      <c r="Z3396" s="129"/>
      <c r="AA3396" s="129"/>
      <c r="AB3396" s="129"/>
      <c r="AC3396" s="129"/>
      <c r="AD3396" s="129"/>
      <c r="AE3396" s="129"/>
      <c r="AF3396" s="129"/>
      <c r="AG3396" s="129"/>
    </row>
    <row r="3397" spans="1:33" x14ac:dyDescent="0.25">
      <c r="A3397" s="129"/>
      <c r="B3397" s="211"/>
      <c r="C3397" s="207"/>
      <c r="D3397" s="201"/>
      <c r="E3397" s="202"/>
      <c r="F3397" s="207"/>
      <c r="G3397" s="207"/>
      <c r="H3397" s="207"/>
      <c r="I3397" s="207"/>
      <c r="J3397" s="129"/>
      <c r="K3397" s="129"/>
      <c r="L3397" s="129"/>
      <c r="M3397" s="129"/>
      <c r="N3397" s="129"/>
      <c r="O3397" s="129"/>
      <c r="P3397" s="129"/>
      <c r="Q3397" s="129"/>
      <c r="R3397" s="129"/>
      <c r="S3397" s="129"/>
      <c r="T3397" s="129"/>
      <c r="U3397" s="129"/>
      <c r="V3397" s="129"/>
      <c r="W3397" s="129"/>
      <c r="X3397" s="129"/>
      <c r="Y3397" s="129"/>
      <c r="Z3397" s="129"/>
      <c r="AA3397" s="129"/>
      <c r="AB3397" s="129"/>
      <c r="AC3397" s="129"/>
      <c r="AD3397" s="129"/>
      <c r="AE3397" s="129"/>
      <c r="AF3397" s="129"/>
      <c r="AG3397" s="129"/>
    </row>
    <row r="3398" spans="1:33" x14ac:dyDescent="0.25">
      <c r="A3398" s="129"/>
      <c r="B3398" s="211"/>
      <c r="C3398" s="207"/>
      <c r="D3398" s="201"/>
      <c r="E3398" s="202"/>
      <c r="F3398" s="207"/>
      <c r="G3398" s="207"/>
      <c r="H3398" s="207"/>
      <c r="I3398" s="207"/>
      <c r="J3398" s="129"/>
      <c r="K3398" s="129"/>
      <c r="L3398" s="129"/>
      <c r="M3398" s="129"/>
      <c r="N3398" s="129"/>
      <c r="O3398" s="129"/>
      <c r="P3398" s="129"/>
      <c r="Q3398" s="129"/>
      <c r="R3398" s="129"/>
      <c r="S3398" s="129"/>
      <c r="T3398" s="129"/>
      <c r="U3398" s="129"/>
      <c r="V3398" s="129"/>
      <c r="W3398" s="129"/>
      <c r="X3398" s="129"/>
      <c r="Y3398" s="129"/>
      <c r="Z3398" s="129"/>
      <c r="AA3398" s="129"/>
      <c r="AB3398" s="129"/>
      <c r="AC3398" s="129"/>
      <c r="AD3398" s="129"/>
      <c r="AE3398" s="129"/>
      <c r="AF3398" s="129"/>
      <c r="AG3398" s="129"/>
    </row>
    <row r="3399" spans="1:33" x14ac:dyDescent="0.25">
      <c r="A3399" s="129"/>
      <c r="B3399" s="211"/>
      <c r="C3399" s="207"/>
      <c r="D3399" s="201"/>
      <c r="E3399" s="202"/>
      <c r="F3399" s="207"/>
      <c r="G3399" s="207"/>
      <c r="H3399" s="207"/>
      <c r="I3399" s="207"/>
      <c r="J3399" s="129"/>
      <c r="K3399" s="129"/>
      <c r="L3399" s="129"/>
      <c r="M3399" s="129"/>
      <c r="N3399" s="129"/>
      <c r="O3399" s="129"/>
      <c r="P3399" s="129"/>
      <c r="Q3399" s="129"/>
      <c r="R3399" s="129"/>
      <c r="S3399" s="129"/>
      <c r="T3399" s="129"/>
      <c r="U3399" s="129"/>
      <c r="V3399" s="129"/>
      <c r="W3399" s="129"/>
      <c r="X3399" s="129"/>
      <c r="Y3399" s="129"/>
      <c r="Z3399" s="129"/>
      <c r="AA3399" s="129"/>
      <c r="AB3399" s="129"/>
      <c r="AC3399" s="129"/>
      <c r="AD3399" s="129"/>
      <c r="AE3399" s="129"/>
      <c r="AF3399" s="129"/>
      <c r="AG3399" s="129"/>
    </row>
    <row r="3400" spans="1:33" x14ac:dyDescent="0.25">
      <c r="A3400" s="129"/>
      <c r="B3400" s="211"/>
      <c r="C3400" s="207"/>
      <c r="D3400" s="207"/>
      <c r="E3400" s="202"/>
      <c r="F3400" s="207"/>
      <c r="G3400" s="207"/>
      <c r="H3400" s="207"/>
      <c r="I3400" s="207"/>
      <c r="J3400" s="207"/>
      <c r="K3400" s="207"/>
      <c r="L3400" s="207"/>
      <c r="M3400" s="207"/>
      <c r="N3400" s="207"/>
      <c r="O3400" s="207"/>
      <c r="P3400" s="207"/>
      <c r="Q3400" s="207"/>
      <c r="R3400" s="207"/>
      <c r="S3400" s="207"/>
      <c r="T3400" s="207"/>
      <c r="U3400" s="207"/>
      <c r="V3400" s="129"/>
      <c r="W3400" s="129"/>
      <c r="X3400" s="129"/>
      <c r="Y3400" s="129"/>
      <c r="Z3400" s="129"/>
      <c r="AA3400" s="129"/>
      <c r="AB3400" s="129"/>
      <c r="AC3400" s="129"/>
      <c r="AD3400" s="129"/>
      <c r="AE3400" s="129"/>
      <c r="AF3400" s="129"/>
      <c r="AG3400" s="129"/>
    </row>
    <row r="3401" spans="1:33" x14ac:dyDescent="0.25">
      <c r="A3401" s="129"/>
      <c r="B3401" s="211"/>
      <c r="C3401" s="207"/>
      <c r="D3401" s="207"/>
      <c r="E3401" s="202"/>
      <c r="F3401" s="207"/>
      <c r="G3401" s="207"/>
      <c r="H3401" s="207"/>
      <c r="I3401" s="207"/>
      <c r="J3401" s="207"/>
      <c r="K3401" s="207"/>
      <c r="L3401" s="207"/>
      <c r="M3401" s="207"/>
      <c r="N3401" s="207"/>
      <c r="O3401" s="207"/>
      <c r="P3401" s="207"/>
      <c r="Q3401" s="207"/>
      <c r="R3401" s="207"/>
      <c r="S3401" s="207"/>
      <c r="T3401" s="207"/>
      <c r="U3401" s="207"/>
      <c r="V3401" s="129"/>
      <c r="W3401" s="129"/>
      <c r="X3401" s="129"/>
      <c r="Y3401" s="129"/>
      <c r="Z3401" s="129"/>
      <c r="AA3401" s="129"/>
      <c r="AB3401" s="129"/>
      <c r="AC3401" s="129"/>
      <c r="AD3401" s="129"/>
      <c r="AE3401" s="129"/>
      <c r="AF3401" s="129"/>
      <c r="AG3401" s="129"/>
    </row>
    <row r="3402" spans="1:33" x14ac:dyDescent="0.25">
      <c r="A3402" s="129"/>
      <c r="B3402" s="211"/>
      <c r="C3402" s="207"/>
      <c r="D3402" s="207"/>
      <c r="E3402" s="202"/>
      <c r="F3402" s="207"/>
      <c r="G3402" s="207"/>
      <c r="H3402" s="207"/>
      <c r="I3402" s="207"/>
      <c r="J3402" s="207"/>
      <c r="K3402" s="207"/>
      <c r="L3402" s="207"/>
      <c r="M3402" s="207"/>
      <c r="N3402" s="207"/>
      <c r="O3402" s="207"/>
      <c r="P3402" s="207"/>
      <c r="Q3402" s="207"/>
      <c r="R3402" s="207"/>
      <c r="S3402" s="207"/>
      <c r="T3402" s="207"/>
      <c r="U3402" s="207"/>
      <c r="V3402" s="129"/>
      <c r="W3402" s="129"/>
      <c r="X3402" s="129"/>
      <c r="Y3402" s="129"/>
      <c r="Z3402" s="129"/>
      <c r="AA3402" s="129"/>
      <c r="AB3402" s="129"/>
      <c r="AC3402" s="129"/>
      <c r="AD3402" s="129"/>
      <c r="AE3402" s="129"/>
      <c r="AF3402" s="129"/>
      <c r="AG3402" s="129"/>
    </row>
    <row r="3403" spans="1:33" x14ac:dyDescent="0.25">
      <c r="A3403" s="129"/>
      <c r="B3403" s="211"/>
      <c r="C3403" s="207"/>
      <c r="D3403" s="207"/>
      <c r="E3403" s="202"/>
      <c r="F3403" s="207"/>
      <c r="G3403" s="207"/>
      <c r="H3403" s="207"/>
      <c r="I3403" s="207"/>
      <c r="J3403" s="207"/>
      <c r="K3403" s="207"/>
      <c r="L3403" s="207"/>
      <c r="M3403" s="207"/>
      <c r="N3403" s="207"/>
      <c r="O3403" s="207"/>
      <c r="P3403" s="207"/>
      <c r="Q3403" s="207"/>
      <c r="R3403" s="207"/>
      <c r="S3403" s="207"/>
      <c r="T3403" s="207"/>
      <c r="U3403" s="207"/>
      <c r="V3403" s="129"/>
      <c r="W3403" s="129"/>
      <c r="X3403" s="129"/>
      <c r="Y3403" s="129"/>
      <c r="Z3403" s="129"/>
      <c r="AA3403" s="129"/>
      <c r="AB3403" s="129"/>
      <c r="AC3403" s="129"/>
      <c r="AD3403" s="129"/>
      <c r="AE3403" s="129"/>
      <c r="AF3403" s="129"/>
      <c r="AG3403" s="129"/>
    </row>
    <row r="3404" spans="1:33" x14ac:dyDescent="0.25">
      <c r="A3404" s="129"/>
      <c r="B3404" s="211"/>
      <c r="C3404" s="207"/>
      <c r="D3404" s="207"/>
      <c r="E3404" s="202"/>
      <c r="F3404" s="207"/>
      <c r="G3404" s="207"/>
      <c r="H3404" s="207"/>
      <c r="I3404" s="207"/>
      <c r="J3404" s="207"/>
      <c r="K3404" s="207"/>
      <c r="L3404" s="207"/>
      <c r="M3404" s="207"/>
      <c r="N3404" s="207"/>
      <c r="O3404" s="207"/>
      <c r="P3404" s="207"/>
      <c r="Q3404" s="207"/>
      <c r="R3404" s="207"/>
      <c r="S3404" s="207"/>
      <c r="T3404" s="207"/>
      <c r="U3404" s="207"/>
      <c r="V3404" s="129"/>
      <c r="W3404" s="129"/>
      <c r="X3404" s="129"/>
      <c r="Y3404" s="129"/>
      <c r="Z3404" s="129"/>
      <c r="AA3404" s="129"/>
      <c r="AB3404" s="129"/>
      <c r="AC3404" s="129"/>
      <c r="AD3404" s="129"/>
      <c r="AE3404" s="129"/>
      <c r="AF3404" s="129"/>
      <c r="AG3404" s="129"/>
    </row>
    <row r="3405" spans="1:33" x14ac:dyDescent="0.25">
      <c r="A3405" s="129"/>
      <c r="B3405" s="211"/>
      <c r="C3405" s="207"/>
      <c r="D3405" s="207"/>
      <c r="E3405" s="202"/>
      <c r="F3405" s="207"/>
      <c r="G3405" s="207"/>
      <c r="H3405" s="207"/>
      <c r="I3405" s="207"/>
      <c r="J3405" s="207"/>
      <c r="K3405" s="207"/>
      <c r="L3405" s="207"/>
      <c r="M3405" s="207"/>
      <c r="N3405" s="207"/>
      <c r="O3405" s="207"/>
      <c r="P3405" s="207"/>
      <c r="Q3405" s="207"/>
      <c r="R3405" s="207"/>
      <c r="S3405" s="207"/>
      <c r="T3405" s="207"/>
      <c r="U3405" s="207"/>
      <c r="V3405" s="129"/>
      <c r="W3405" s="129"/>
      <c r="X3405" s="129"/>
      <c r="AE3405" s="129"/>
      <c r="AF3405" s="129"/>
      <c r="AG3405" s="129"/>
    </row>
  </sheetData>
  <sheetProtection algorithmName="SHA-512" hashValue="sJJwNoNVFStriMr4kbsGOcf8ZFdfuxVXmR0axPbDlNHYXkilQq4T85DUYFOC/fEtD7W22wVmQj97fFxtkYmQnw==" saltValue="5mAbsQbBjsTkv+S6SS7h+g==" spinCount="100000" sheet="1" objects="1" scenarios="1"/>
  <mergeCells count="1">
    <mergeCell ref="K7:L7"/>
  </mergeCells>
  <hyperlinks>
    <hyperlink ref="A7" r:id="rId1" display="https://naei.beis.gov.uk/data/emission-factors"/>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
  <sheetViews>
    <sheetView topLeftCell="A7" workbookViewId="0">
      <selection activeCell="O42" sqref="O42"/>
    </sheetView>
  </sheetViews>
  <sheetFormatPr defaultRowHeight="15" x14ac:dyDescent="0.25"/>
  <cols>
    <col min="1" max="1" width="17.28515625" style="129" customWidth="1"/>
    <col min="2" max="2" width="9.140625" style="129"/>
    <col min="3" max="3" width="10.85546875" style="129" customWidth="1"/>
    <col min="4" max="4" width="9.140625" style="129"/>
    <col min="5" max="5" width="13.28515625" style="129" customWidth="1"/>
    <col min="6" max="6" width="13.5703125" style="129" customWidth="1"/>
    <col min="7" max="8" width="9.140625" style="129"/>
    <col min="9" max="10" width="13.7109375" style="129" customWidth="1"/>
    <col min="11" max="16384" width="9.140625" style="129"/>
  </cols>
  <sheetData>
    <row r="1" spans="1:18" x14ac:dyDescent="0.25">
      <c r="A1" s="129" t="s">
        <v>271</v>
      </c>
      <c r="C1" s="1" t="s">
        <v>272</v>
      </c>
    </row>
    <row r="2" spans="1:18" x14ac:dyDescent="0.25">
      <c r="C2" s="195" t="s">
        <v>273</v>
      </c>
    </row>
    <row r="3" spans="1:18" x14ac:dyDescent="0.25">
      <c r="E3" s="195" t="s">
        <v>274</v>
      </c>
      <c r="F3" s="195"/>
      <c r="G3" s="195"/>
      <c r="H3" s="195"/>
      <c r="I3" s="195"/>
      <c r="J3" s="195" t="s">
        <v>275</v>
      </c>
    </row>
    <row r="4" spans="1:18" ht="45" x14ac:dyDescent="0.25">
      <c r="A4" s="195" t="s">
        <v>276</v>
      </c>
      <c r="B4" s="195" t="s">
        <v>219</v>
      </c>
      <c r="C4" s="181" t="s">
        <v>223</v>
      </c>
      <c r="D4" s="181" t="s">
        <v>224</v>
      </c>
      <c r="E4" s="197" t="s">
        <v>277</v>
      </c>
      <c r="F4" s="197" t="s">
        <v>278</v>
      </c>
      <c r="G4" s="197" t="s">
        <v>279</v>
      </c>
      <c r="H4" s="197" t="s">
        <v>280</v>
      </c>
      <c r="I4" s="197" t="s">
        <v>281</v>
      </c>
      <c r="J4" s="197" t="s">
        <v>277</v>
      </c>
      <c r="K4" s="197" t="s">
        <v>278</v>
      </c>
      <c r="L4" s="197" t="s">
        <v>279</v>
      </c>
      <c r="M4" s="197" t="s">
        <v>280</v>
      </c>
      <c r="N4" s="197" t="s">
        <v>281</v>
      </c>
    </row>
    <row r="5" spans="1:18" x14ac:dyDescent="0.25">
      <c r="A5" s="129" t="s">
        <v>245</v>
      </c>
      <c r="B5" s="199">
        <v>1994</v>
      </c>
      <c r="C5" s="200">
        <v>286.79000000000002</v>
      </c>
      <c r="D5" s="212">
        <f>AVERAGE(D25:D30)/AVERAGE(C25:C30)*C5</f>
        <v>301.31568919333404</v>
      </c>
      <c r="E5" s="200">
        <v>136.94900000000001</v>
      </c>
      <c r="F5" s="200">
        <v>33.450000000000003</v>
      </c>
      <c r="G5" s="200">
        <v>71.144999999999996</v>
      </c>
      <c r="H5" s="200">
        <v>25.995999999999999</v>
      </c>
      <c r="I5" s="200">
        <v>19.193000000000001</v>
      </c>
      <c r="P5" s="198" t="s">
        <v>282</v>
      </c>
    </row>
    <row r="6" spans="1:18" x14ac:dyDescent="0.25">
      <c r="A6" s="129" t="s">
        <v>245</v>
      </c>
      <c r="B6" s="199">
        <v>1995</v>
      </c>
      <c r="C6" s="200">
        <v>297.25700000000001</v>
      </c>
      <c r="D6" s="212">
        <f>AVERAGE(D25:D30)/AVERAGE(C25:C30)*C6</f>
        <v>312.3128345567938</v>
      </c>
      <c r="E6" s="200">
        <v>142.71100000000001</v>
      </c>
      <c r="F6" s="200">
        <v>36.497</v>
      </c>
      <c r="G6" s="200">
        <v>72.028999999999996</v>
      </c>
      <c r="H6" s="200">
        <v>27.027999999999999</v>
      </c>
      <c r="I6" s="200">
        <v>18.922000000000001</v>
      </c>
      <c r="P6" s="129" t="s">
        <v>283</v>
      </c>
      <c r="R6" s="129" t="s">
        <v>284</v>
      </c>
    </row>
    <row r="7" spans="1:18" x14ac:dyDescent="0.25">
      <c r="A7" s="129" t="s">
        <v>245</v>
      </c>
      <c r="B7" s="199">
        <v>1996</v>
      </c>
      <c r="C7" s="200">
        <v>303.41199999999998</v>
      </c>
      <c r="D7" s="212">
        <f>AVERAGE(D25:D30)/AVERAGE(C25:C30)*C7</f>
        <v>318.77958049279215</v>
      </c>
      <c r="E7" s="200">
        <v>147.53800000000001</v>
      </c>
      <c r="F7" s="200">
        <v>36.704999999999998</v>
      </c>
      <c r="G7" s="200">
        <v>72.322999999999993</v>
      </c>
      <c r="H7" s="200">
        <v>28.353000000000002</v>
      </c>
      <c r="I7" s="200">
        <v>18.431999999999999</v>
      </c>
    </row>
    <row r="8" spans="1:18" x14ac:dyDescent="0.25">
      <c r="A8" s="129" t="s">
        <v>245</v>
      </c>
      <c r="B8" s="199">
        <v>1997</v>
      </c>
      <c r="C8" s="200">
        <v>302.08100000000002</v>
      </c>
      <c r="D8" s="212">
        <f>AVERAGE(D25:D30)/AVERAGE(C25:C30)*C8</f>
        <v>317.38116638380535</v>
      </c>
      <c r="E8" s="200">
        <v>147.899</v>
      </c>
      <c r="F8" s="200">
        <v>35.564</v>
      </c>
      <c r="G8" s="200">
        <v>70.454999999999998</v>
      </c>
      <c r="H8" s="200">
        <v>29.376999999999999</v>
      </c>
      <c r="I8" s="200">
        <v>18.731999999999999</v>
      </c>
    </row>
    <row r="9" spans="1:18" x14ac:dyDescent="0.25">
      <c r="A9" s="129" t="s">
        <v>245</v>
      </c>
      <c r="B9" s="199">
        <v>1998</v>
      </c>
      <c r="C9" s="200">
        <v>301.351</v>
      </c>
      <c r="D9" s="212">
        <f>AVERAGE(D25:D30)/AVERAGE(C25:C30)*C9</f>
        <v>316.61419245475923</v>
      </c>
      <c r="E9" s="200">
        <v>149.38200000000001</v>
      </c>
      <c r="F9" s="200">
        <v>34.106000000000002</v>
      </c>
      <c r="G9" s="200">
        <v>68.052000000000007</v>
      </c>
      <c r="H9" s="200">
        <v>30.876000000000001</v>
      </c>
      <c r="I9" s="200">
        <v>18.911000000000001</v>
      </c>
    </row>
    <row r="10" spans="1:18" x14ac:dyDescent="0.25">
      <c r="A10" s="129" t="s">
        <v>245</v>
      </c>
      <c r="B10" s="199">
        <v>1999</v>
      </c>
      <c r="C10" s="200">
        <v>302.93900000000002</v>
      </c>
      <c r="D10" s="212">
        <f>AVERAGE(D25:D30)/AVERAGE(C25:C30)*C10</f>
        <v>318.28262341273904</v>
      </c>
      <c r="E10" s="200">
        <v>150.69900000000001</v>
      </c>
      <c r="F10" s="200">
        <v>33.765000000000001</v>
      </c>
      <c r="G10" s="200">
        <v>66.593000000000004</v>
      </c>
      <c r="H10" s="200">
        <v>32.734000000000002</v>
      </c>
      <c r="I10" s="200">
        <v>19.114000000000001</v>
      </c>
    </row>
    <row r="11" spans="1:18" x14ac:dyDescent="0.25">
      <c r="A11" s="129" t="s">
        <v>245</v>
      </c>
      <c r="B11" s="199">
        <v>2000</v>
      </c>
      <c r="C11" s="200">
        <v>303.34199999999998</v>
      </c>
      <c r="D11" s="212">
        <f>AVERAGE(D25:D30)/AVERAGE(C25:C30)*C11</f>
        <v>318.70603504754115</v>
      </c>
      <c r="E11" s="200">
        <v>151.33500000000001</v>
      </c>
      <c r="F11" s="200">
        <v>32.930999999999997</v>
      </c>
      <c r="G11" s="200">
        <v>64.744</v>
      </c>
      <c r="H11" s="200">
        <v>34.654000000000003</v>
      </c>
      <c r="I11" s="200">
        <v>19.558</v>
      </c>
    </row>
    <row r="12" spans="1:18" x14ac:dyDescent="0.25">
      <c r="A12" s="129" t="s">
        <v>245</v>
      </c>
      <c r="B12" s="199">
        <v>2001</v>
      </c>
      <c r="C12" s="200">
        <v>306.84899999999999</v>
      </c>
      <c r="D12" s="212">
        <f>AVERAGE(D25:D30)/AVERAGE(C25:C30)*C12</f>
        <v>322.3906618546161</v>
      </c>
      <c r="E12" s="200">
        <v>151.642</v>
      </c>
      <c r="F12" s="200">
        <v>31.852</v>
      </c>
      <c r="G12" s="200">
        <v>64.831000000000003</v>
      </c>
      <c r="H12" s="200">
        <v>36.96</v>
      </c>
      <c r="I12" s="200">
        <v>21.478999999999999</v>
      </c>
    </row>
    <row r="13" spans="1:18" x14ac:dyDescent="0.25">
      <c r="A13" s="129" t="s">
        <v>245</v>
      </c>
      <c r="B13" s="199">
        <v>2002</v>
      </c>
      <c r="C13" s="200">
        <v>308.935</v>
      </c>
      <c r="D13" s="212">
        <f>AVERAGE(D25:D30)/AVERAGE(C25:C30)*C13</f>
        <v>324.58231612309584</v>
      </c>
      <c r="E13" s="200">
        <v>150.58699999999999</v>
      </c>
      <c r="F13" s="200">
        <v>31.007000000000001</v>
      </c>
      <c r="G13" s="200">
        <v>64.623000000000005</v>
      </c>
      <c r="H13" s="200">
        <v>38.926000000000002</v>
      </c>
      <c r="I13" s="200">
        <v>23.678000000000001</v>
      </c>
    </row>
    <row r="14" spans="1:18" x14ac:dyDescent="0.25">
      <c r="A14" s="129" t="s">
        <v>245</v>
      </c>
      <c r="B14" s="199">
        <v>2003</v>
      </c>
      <c r="C14" s="200">
        <v>309.56200000000001</v>
      </c>
      <c r="D14" s="212">
        <f>AVERAGE(D25:D30)/AVERAGE(C25:C30)*C14</f>
        <v>325.2410731827012</v>
      </c>
      <c r="E14" s="200">
        <v>150.13800000000001</v>
      </c>
      <c r="F14" s="200">
        <v>30.006</v>
      </c>
      <c r="G14" s="200">
        <v>63.750999999999998</v>
      </c>
      <c r="H14" s="200">
        <v>40.667999999999999</v>
      </c>
      <c r="I14" s="200">
        <v>24.957000000000001</v>
      </c>
    </row>
    <row r="15" spans="1:18" x14ac:dyDescent="0.25">
      <c r="A15" s="129" t="s">
        <v>245</v>
      </c>
      <c r="B15" s="199">
        <v>2004</v>
      </c>
      <c r="C15" s="200">
        <v>315.75099999999998</v>
      </c>
      <c r="D15" s="212">
        <f>AVERAGE(D25:D30)/AVERAGE(C25:C30)*C15</f>
        <v>331.74354119210716</v>
      </c>
      <c r="E15" s="200">
        <v>152.68700000000001</v>
      </c>
      <c r="F15" s="200">
        <v>29.420999999999999</v>
      </c>
      <c r="G15" s="200">
        <v>63.875</v>
      </c>
      <c r="H15" s="200">
        <v>42.796999999999997</v>
      </c>
      <c r="I15" s="200">
        <v>26.943000000000001</v>
      </c>
    </row>
    <row r="16" spans="1:18" x14ac:dyDescent="0.25">
      <c r="A16" s="129" t="s">
        <v>245</v>
      </c>
      <c r="B16" s="199">
        <v>2005</v>
      </c>
      <c r="C16" s="200">
        <v>316.303</v>
      </c>
      <c r="D16" s="212">
        <f>AVERAGE(D25:D30)/AVERAGE(C25:C30)*C16</f>
        <v>332.32349956037217</v>
      </c>
      <c r="E16" s="200">
        <v>151.92699999999999</v>
      </c>
      <c r="F16" s="200">
        <v>28.599</v>
      </c>
      <c r="G16" s="200">
        <v>63.201000000000001</v>
      </c>
      <c r="H16" s="200">
        <v>44.313000000000002</v>
      </c>
      <c r="I16" s="200">
        <v>28.242999999999999</v>
      </c>
    </row>
    <row r="17" spans="1:14" x14ac:dyDescent="0.25">
      <c r="A17" s="129" t="s">
        <v>245</v>
      </c>
      <c r="B17" s="199">
        <v>2006</v>
      </c>
      <c r="C17" s="200">
        <v>315.82100000000003</v>
      </c>
      <c r="D17" s="212">
        <f>AVERAGE(D25:D30)/AVERAGE(C25:C30)*C17</f>
        <v>331.81708663735816</v>
      </c>
      <c r="E17" s="200">
        <v>150.22</v>
      </c>
      <c r="F17" s="200">
        <v>28.143000000000001</v>
      </c>
      <c r="G17" s="200">
        <v>62.033000000000001</v>
      </c>
      <c r="H17" s="200">
        <v>45.81</v>
      </c>
      <c r="I17" s="200">
        <v>29.596</v>
      </c>
    </row>
    <row r="18" spans="1:14" x14ac:dyDescent="0.25">
      <c r="A18" s="129" t="s">
        <v>245</v>
      </c>
      <c r="B18" s="199">
        <v>2007</v>
      </c>
      <c r="C18" s="200">
        <v>315.89999999999998</v>
      </c>
      <c r="D18" s="212">
        <f>AVERAGE(D25:D30)/AVERAGE(C25:C30)*C18</f>
        <v>331.90008792556995</v>
      </c>
      <c r="E18" s="200">
        <v>148.28</v>
      </c>
      <c r="F18" s="200">
        <v>27.881</v>
      </c>
      <c r="G18" s="200">
        <v>61.692</v>
      </c>
      <c r="H18" s="200">
        <v>46.917999999999999</v>
      </c>
      <c r="I18" s="200">
        <v>31.048999999999999</v>
      </c>
    </row>
    <row r="19" spans="1:14" x14ac:dyDescent="0.25">
      <c r="A19" s="129" t="s">
        <v>245</v>
      </c>
      <c r="B19" s="199">
        <v>2008</v>
      </c>
      <c r="C19" s="200">
        <v>305.01</v>
      </c>
      <c r="D19" s="212">
        <f>AVERAGE(D25:D30)/AVERAGE(C25:C30)*C19</f>
        <v>320.45851794295061</v>
      </c>
      <c r="E19" s="200">
        <v>141.63999999999999</v>
      </c>
      <c r="F19" s="200">
        <v>27.236999999999998</v>
      </c>
      <c r="G19" s="200">
        <v>58.661000000000001</v>
      </c>
      <c r="H19" s="200">
        <v>47.103000000000002</v>
      </c>
      <c r="I19" s="200">
        <v>30.312999999999999</v>
      </c>
    </row>
    <row r="20" spans="1:14" x14ac:dyDescent="0.25">
      <c r="A20" s="129" t="s">
        <v>245</v>
      </c>
      <c r="B20" s="199">
        <v>2009</v>
      </c>
      <c r="C20" s="203">
        <v>291.52300000000002</v>
      </c>
      <c r="D20" s="212">
        <f>AVERAGE(D25:D30)/AVERAGE(C25:C30)*C20</f>
        <v>306.28841194151931</v>
      </c>
      <c r="E20" s="203">
        <v>133.94999999999999</v>
      </c>
      <c r="F20" s="203">
        <v>26.745000000000001</v>
      </c>
      <c r="G20" s="203">
        <v>55.741999999999997</v>
      </c>
      <c r="H20" s="203">
        <v>46.225000000000001</v>
      </c>
      <c r="I20" s="203">
        <v>28.809000000000001</v>
      </c>
    </row>
    <row r="21" spans="1:14" x14ac:dyDescent="0.25">
      <c r="A21" s="129" t="s">
        <v>245</v>
      </c>
      <c r="B21" s="199">
        <v>2010</v>
      </c>
      <c r="C21" s="204">
        <v>284.41399999999999</v>
      </c>
      <c r="D21" s="212">
        <f>AVERAGE(D25:D30)/AVERAGE(C25:C30)*C21</f>
        <v>298.81934665167159</v>
      </c>
      <c r="E21" s="203">
        <v>128.524</v>
      </c>
      <c r="F21" s="203">
        <v>26.617000000000001</v>
      </c>
      <c r="G21" s="203">
        <v>54.850999999999999</v>
      </c>
      <c r="H21" s="203">
        <v>45.886000000000003</v>
      </c>
      <c r="I21" s="203">
        <v>28.513999999999999</v>
      </c>
    </row>
    <row r="22" spans="1:14" x14ac:dyDescent="0.25">
      <c r="A22" s="129" t="s">
        <v>245</v>
      </c>
      <c r="B22" s="199">
        <v>2011</v>
      </c>
      <c r="C22" s="204">
        <v>277.99900000000002</v>
      </c>
      <c r="D22" s="212">
        <f>AVERAGE(D25:D30)/AVERAGE(C25:C30)*C22</f>
        <v>292.07943191902672</v>
      </c>
      <c r="E22" s="203">
        <v>123.598</v>
      </c>
      <c r="F22" s="203">
        <v>26.504000000000001</v>
      </c>
      <c r="G22" s="203">
        <v>53.841000000000001</v>
      </c>
      <c r="H22" s="203">
        <v>45.917000000000002</v>
      </c>
      <c r="I22" s="203">
        <v>28.117000000000001</v>
      </c>
    </row>
    <row r="23" spans="1:14" x14ac:dyDescent="0.25">
      <c r="A23" s="129" t="s">
        <v>245</v>
      </c>
      <c r="B23" s="199">
        <v>2012</v>
      </c>
      <c r="C23" s="204">
        <v>272.68900000000002</v>
      </c>
      <c r="D23" s="212">
        <f>AVERAGE(D25:D30)/AVERAGE(C25:C30)*C23</f>
        <v>286.50048457212966</v>
      </c>
      <c r="E23" s="203">
        <v>119.416</v>
      </c>
      <c r="F23" s="203">
        <v>26.52</v>
      </c>
      <c r="G23" s="203">
        <v>52.936999999999998</v>
      </c>
      <c r="H23" s="203">
        <v>45.848999999999997</v>
      </c>
      <c r="I23" s="203">
        <v>27.957000000000001</v>
      </c>
    </row>
    <row r="24" spans="1:14" x14ac:dyDescent="0.25">
      <c r="A24" s="129" t="s">
        <v>245</v>
      </c>
      <c r="B24" s="199">
        <v>2013</v>
      </c>
      <c r="C24" s="204">
        <v>274.77800000000002</v>
      </c>
      <c r="D24" s="212">
        <f>AVERAGE(D25:D30)/AVERAGE(C25:C30)*C24</f>
        <v>288.69529078826298</v>
      </c>
      <c r="E24" s="203">
        <v>117.47499999999999</v>
      </c>
      <c r="F24" s="203">
        <v>27.263000000000002</v>
      </c>
      <c r="G24" s="203">
        <v>53.94</v>
      </c>
      <c r="H24" s="203">
        <v>46.88</v>
      </c>
      <c r="I24" s="203">
        <v>29.21</v>
      </c>
    </row>
    <row r="25" spans="1:14" x14ac:dyDescent="0.25">
      <c r="A25" s="129" t="s">
        <v>245</v>
      </c>
      <c r="B25" s="199">
        <v>2014</v>
      </c>
      <c r="C25" s="204">
        <v>274.63499999999999</v>
      </c>
      <c r="D25" s="200">
        <v>288.80900000000003</v>
      </c>
      <c r="E25" s="203">
        <v>114.235</v>
      </c>
      <c r="F25" s="203">
        <v>27.358000000000001</v>
      </c>
      <c r="G25" s="203">
        <v>54.603000000000002</v>
      </c>
      <c r="H25" s="203">
        <v>47.28</v>
      </c>
      <c r="I25" s="203">
        <v>31.157</v>
      </c>
      <c r="J25" s="200">
        <v>120.749</v>
      </c>
      <c r="K25" s="200">
        <v>29.137</v>
      </c>
      <c r="L25" s="200">
        <v>56.692</v>
      </c>
      <c r="M25" s="200">
        <v>49.424999999999997</v>
      </c>
      <c r="N25" s="200">
        <v>32.802999999999997</v>
      </c>
    </row>
    <row r="26" spans="1:14" x14ac:dyDescent="0.25">
      <c r="A26" s="129" t="s">
        <v>245</v>
      </c>
      <c r="B26" s="199">
        <v>2015</v>
      </c>
      <c r="C26" s="204">
        <v>276.33800000000002</v>
      </c>
      <c r="D26" s="200">
        <v>290.154</v>
      </c>
      <c r="E26" s="203">
        <v>110.934</v>
      </c>
      <c r="F26" s="203">
        <v>27.635000000000002</v>
      </c>
      <c r="G26" s="203">
        <v>55.875999999999998</v>
      </c>
      <c r="H26" s="203">
        <v>48.600999999999999</v>
      </c>
      <c r="I26" s="203">
        <v>33.290999999999997</v>
      </c>
      <c r="J26" s="200">
        <v>117.029</v>
      </c>
      <c r="K26" s="200">
        <v>29.405000000000001</v>
      </c>
      <c r="L26" s="200">
        <v>57.982999999999997</v>
      </c>
      <c r="M26" s="200">
        <v>50.747999999999998</v>
      </c>
      <c r="N26" s="200">
        <v>34.988</v>
      </c>
    </row>
    <row r="27" spans="1:14" x14ac:dyDescent="0.25">
      <c r="A27" s="129" t="s">
        <v>245</v>
      </c>
      <c r="B27" s="199">
        <v>2016</v>
      </c>
      <c r="C27" s="204">
        <v>280.05700000000002</v>
      </c>
      <c r="D27" s="204">
        <v>294.036</v>
      </c>
      <c r="E27" s="203">
        <v>108.80800000000001</v>
      </c>
      <c r="F27" s="203">
        <v>28.443999999999999</v>
      </c>
      <c r="G27" s="203">
        <v>57.448999999999998</v>
      </c>
      <c r="H27" s="203">
        <v>49.863999999999997</v>
      </c>
      <c r="I27" s="203">
        <v>35.49</v>
      </c>
      <c r="J27" s="203">
        <v>114.765</v>
      </c>
      <c r="K27" s="203">
        <v>30.213999999999999</v>
      </c>
      <c r="L27" s="203">
        <v>59.62</v>
      </c>
      <c r="M27" s="203">
        <v>52.115000000000002</v>
      </c>
      <c r="N27" s="203">
        <v>37.32</v>
      </c>
    </row>
    <row r="28" spans="1:14" x14ac:dyDescent="0.25">
      <c r="A28" s="129" t="s">
        <v>245</v>
      </c>
      <c r="B28" s="199">
        <v>2017</v>
      </c>
      <c r="C28" s="204">
        <v>280.19</v>
      </c>
      <c r="D28" s="200">
        <v>294.33699999999999</v>
      </c>
      <c r="E28" s="203">
        <v>105.83799999999999</v>
      </c>
      <c r="F28" s="203">
        <v>29.015999999999998</v>
      </c>
      <c r="G28" s="203">
        <v>58.085999999999999</v>
      </c>
      <c r="H28" s="203">
        <v>50.664999999999999</v>
      </c>
      <c r="I28" s="203">
        <v>36.585000000000001</v>
      </c>
      <c r="J28" s="200">
        <v>111.655</v>
      </c>
      <c r="K28" s="200">
        <v>30.786000000000001</v>
      </c>
      <c r="L28" s="200">
        <v>60.348999999999997</v>
      </c>
      <c r="M28" s="200">
        <v>53.014000000000003</v>
      </c>
      <c r="N28" s="200">
        <v>38.533000000000001</v>
      </c>
    </row>
    <row r="29" spans="1:14" x14ac:dyDescent="0.25">
      <c r="A29" s="129" t="s">
        <v>245</v>
      </c>
      <c r="B29" s="199">
        <v>2018</v>
      </c>
      <c r="C29" s="204">
        <v>276.86599999999999</v>
      </c>
      <c r="D29" s="200">
        <v>290.995</v>
      </c>
      <c r="E29" s="203">
        <v>101.342</v>
      </c>
      <c r="F29" s="203">
        <v>28.94</v>
      </c>
      <c r="G29" s="203">
        <v>58.533999999999999</v>
      </c>
      <c r="H29" s="203">
        <v>50.53</v>
      </c>
      <c r="I29" s="203">
        <v>37.520000000000003</v>
      </c>
      <c r="J29" s="200">
        <v>106.943</v>
      </c>
      <c r="K29" s="200">
        <v>30.7</v>
      </c>
      <c r="L29" s="200">
        <v>60.814999999999998</v>
      </c>
      <c r="M29" s="200">
        <v>52.972000000000001</v>
      </c>
      <c r="N29" s="200">
        <v>39.564999999999998</v>
      </c>
    </row>
    <row r="30" spans="1:14" x14ac:dyDescent="0.25">
      <c r="A30" s="129" t="s">
        <v>245</v>
      </c>
      <c r="B30" s="199">
        <v>2019</v>
      </c>
      <c r="C30" s="204">
        <v>274.68400000000003</v>
      </c>
      <c r="D30" s="200">
        <v>288.65699999999998</v>
      </c>
      <c r="E30" s="203">
        <v>97.772000000000006</v>
      </c>
      <c r="F30" s="203">
        <v>29.329000000000001</v>
      </c>
      <c r="G30" s="203">
        <v>58.679000000000002</v>
      </c>
      <c r="H30" s="203">
        <v>50.338999999999999</v>
      </c>
      <c r="I30" s="203">
        <v>38.564</v>
      </c>
      <c r="J30" s="200">
        <v>103.187</v>
      </c>
      <c r="K30" s="200">
        <v>31.094999999999999</v>
      </c>
      <c r="L30" s="200">
        <v>61.046999999999997</v>
      </c>
      <c r="M30" s="200">
        <v>52.734999999999999</v>
      </c>
      <c r="N30" s="200">
        <v>40.591999999999999</v>
      </c>
    </row>
    <row r="31" spans="1:14" x14ac:dyDescent="0.25">
      <c r="A31" s="129" t="s">
        <v>247</v>
      </c>
      <c r="B31" s="199">
        <v>1994</v>
      </c>
      <c r="C31" s="200">
        <v>101.208</v>
      </c>
      <c r="D31" s="212">
        <f>AVERAGE(D51:D56)/AVERAGE(C51:C56)*C31</f>
        <v>106.51642430111006</v>
      </c>
      <c r="E31" s="200">
        <v>4.0229999999999997</v>
      </c>
      <c r="F31" s="200">
        <v>26.53</v>
      </c>
      <c r="G31" s="200">
        <v>70.451999999999998</v>
      </c>
      <c r="H31" s="200">
        <v>1E-3</v>
      </c>
      <c r="I31" s="200">
        <v>0.20100000000000001</v>
      </c>
    </row>
    <row r="32" spans="1:14" x14ac:dyDescent="0.25">
      <c r="A32" s="129" t="s">
        <v>247</v>
      </c>
      <c r="B32" s="199">
        <v>1995</v>
      </c>
      <c r="C32" s="200">
        <v>106.40300000000001</v>
      </c>
      <c r="D32" s="212">
        <f>AVERAGE(D51:D56)/AVERAGE(C51:C56)*C32</f>
        <v>111.9839053722138</v>
      </c>
      <c r="E32" s="200">
        <v>4.25</v>
      </c>
      <c r="F32" s="200">
        <v>25.611000000000001</v>
      </c>
      <c r="G32" s="200">
        <v>75.813000000000002</v>
      </c>
      <c r="H32" s="200">
        <v>1E-3</v>
      </c>
      <c r="I32" s="200">
        <v>0.71599999999999997</v>
      </c>
    </row>
    <row r="33" spans="1:9" x14ac:dyDescent="0.25">
      <c r="A33" s="129" t="s">
        <v>247</v>
      </c>
      <c r="B33" s="199">
        <v>1996</v>
      </c>
      <c r="C33" s="200">
        <v>109.411</v>
      </c>
      <c r="D33" s="212">
        <f>AVERAGE(D51:D56)/AVERAGE(C51:C56)*C33</f>
        <v>115.14967689519359</v>
      </c>
      <c r="E33" s="200">
        <v>4.375</v>
      </c>
      <c r="F33" s="200">
        <v>24.664000000000001</v>
      </c>
      <c r="G33" s="200">
        <v>79.159000000000006</v>
      </c>
      <c r="H33" s="200">
        <v>1E-3</v>
      </c>
      <c r="I33" s="200">
        <v>1.21</v>
      </c>
    </row>
    <row r="34" spans="1:9" x14ac:dyDescent="0.25">
      <c r="A34" s="129" t="s">
        <v>247</v>
      </c>
      <c r="B34" s="199">
        <v>1997</v>
      </c>
      <c r="C34" s="200">
        <v>111.944</v>
      </c>
      <c r="D34" s="212">
        <f>AVERAGE(D51:D56)/AVERAGE(C51:C56)*C34</f>
        <v>117.81553436451135</v>
      </c>
      <c r="E34" s="200">
        <v>4.4180000000000001</v>
      </c>
      <c r="F34" s="200">
        <v>23.501999999999999</v>
      </c>
      <c r="G34" s="200">
        <v>82.113</v>
      </c>
      <c r="H34" s="200">
        <v>3.0000000000000001E-3</v>
      </c>
      <c r="I34" s="200">
        <v>1.907</v>
      </c>
    </row>
    <row r="35" spans="1:9" x14ac:dyDescent="0.25">
      <c r="A35" s="129" t="s">
        <v>247</v>
      </c>
      <c r="B35" s="199">
        <v>1998</v>
      </c>
      <c r="C35" s="200">
        <v>111.081</v>
      </c>
      <c r="D35" s="212">
        <f>AVERAGE(D51:D56)/AVERAGE(C51:C56)*C35</f>
        <v>116.90726946280537</v>
      </c>
      <c r="E35" s="200">
        <v>4.3600000000000003</v>
      </c>
      <c r="F35" s="200">
        <v>22.265999999999998</v>
      </c>
      <c r="G35" s="200">
        <v>81.129000000000005</v>
      </c>
      <c r="H35" s="200">
        <v>0.36</v>
      </c>
      <c r="I35" s="200">
        <v>2.9649999999999999</v>
      </c>
    </row>
    <row r="36" spans="1:9" x14ac:dyDescent="0.25">
      <c r="A36" s="129" t="s">
        <v>247</v>
      </c>
      <c r="B36" s="199">
        <v>1999</v>
      </c>
      <c r="C36" s="200">
        <v>111.614</v>
      </c>
      <c r="D36" s="212">
        <f>AVERAGE(D51:D56)/AVERAGE(C51:C56)*C36</f>
        <v>117.46822565354616</v>
      </c>
      <c r="E36" s="200">
        <v>4.9420000000000002</v>
      </c>
      <c r="F36" s="200">
        <v>22.863</v>
      </c>
      <c r="G36" s="200">
        <v>58.673999999999999</v>
      </c>
      <c r="H36" s="200">
        <v>6.0730000000000004</v>
      </c>
      <c r="I36" s="200">
        <v>19.059999999999999</v>
      </c>
    </row>
    <row r="37" spans="1:9" x14ac:dyDescent="0.25">
      <c r="A37" s="129" t="s">
        <v>247</v>
      </c>
      <c r="B37" s="199">
        <v>2000</v>
      </c>
      <c r="C37" s="200">
        <v>114.178</v>
      </c>
      <c r="D37" s="212">
        <f>AVERAGE(D51:D56)/AVERAGE(C51:C56)*C37</f>
        <v>120.16670909268184</v>
      </c>
      <c r="E37" s="200">
        <v>4.641</v>
      </c>
      <c r="F37" s="200">
        <v>22.047000000000001</v>
      </c>
      <c r="G37" s="200">
        <v>48.222000000000001</v>
      </c>
      <c r="H37" s="200">
        <v>9.48</v>
      </c>
      <c r="I37" s="200">
        <v>29.786999999999999</v>
      </c>
    </row>
    <row r="38" spans="1:9" x14ac:dyDescent="0.25">
      <c r="A38" s="129" t="s">
        <v>247</v>
      </c>
      <c r="B38" s="199">
        <v>2001</v>
      </c>
      <c r="C38" s="200">
        <v>115.194</v>
      </c>
      <c r="D38" s="212">
        <f>AVERAGE(D51:D56)/AVERAGE(C51:C56)*C38</f>
        <v>121.23599894219896</v>
      </c>
      <c r="E38" s="200">
        <v>4.2309999999999999</v>
      </c>
      <c r="F38" s="200">
        <v>20.288</v>
      </c>
      <c r="G38" s="200">
        <v>37.896999999999998</v>
      </c>
      <c r="H38" s="200">
        <v>11.657</v>
      </c>
      <c r="I38" s="200">
        <v>41.121000000000002</v>
      </c>
    </row>
    <row r="39" spans="1:9" x14ac:dyDescent="0.25">
      <c r="A39" s="129" t="s">
        <v>247</v>
      </c>
      <c r="B39" s="199">
        <v>2002</v>
      </c>
      <c r="C39" s="200">
        <v>116.268</v>
      </c>
      <c r="D39" s="212">
        <f>AVERAGE(D51:D56)/AVERAGE(C51:C56)*C39</f>
        <v>122.36633092879481</v>
      </c>
      <c r="E39" s="200">
        <v>3.8740000000000001</v>
      </c>
      <c r="F39" s="200">
        <v>18.792999999999999</v>
      </c>
      <c r="G39" s="200">
        <v>31.244</v>
      </c>
      <c r="H39" s="200">
        <v>11.577</v>
      </c>
      <c r="I39" s="200">
        <v>50.78</v>
      </c>
    </row>
    <row r="40" spans="1:9" x14ac:dyDescent="0.25">
      <c r="A40" s="129" t="s">
        <v>247</v>
      </c>
      <c r="B40" s="199">
        <v>2003</v>
      </c>
      <c r="C40" s="200">
        <v>116.366</v>
      </c>
      <c r="D40" s="212">
        <f>AVERAGE(D51:D56)/AVERAGE(C51:C56)*C40</f>
        <v>122.46947109144507</v>
      </c>
      <c r="E40" s="200">
        <v>3.298</v>
      </c>
      <c r="F40" s="200">
        <v>17.452999999999999</v>
      </c>
      <c r="G40" s="200">
        <v>26.956</v>
      </c>
      <c r="H40" s="200">
        <v>10.379</v>
      </c>
      <c r="I40" s="200">
        <v>58.279000000000003</v>
      </c>
    </row>
    <row r="41" spans="1:9" x14ac:dyDescent="0.25">
      <c r="A41" s="129" t="s">
        <v>247</v>
      </c>
      <c r="B41" s="199">
        <v>2004</v>
      </c>
      <c r="C41" s="200">
        <v>118.35</v>
      </c>
      <c r="D41" s="212">
        <f>AVERAGE(D51:D56)/AVERAGE(C51:C56)*C41</f>
        <v>124.55753315979345</v>
      </c>
      <c r="E41" s="200">
        <v>3.157</v>
      </c>
      <c r="F41" s="200">
        <v>16.46</v>
      </c>
      <c r="G41" s="200">
        <v>23.413</v>
      </c>
      <c r="H41" s="200">
        <v>9.3559999999999999</v>
      </c>
      <c r="I41" s="200">
        <v>65.962000000000003</v>
      </c>
    </row>
    <row r="42" spans="1:9" x14ac:dyDescent="0.25">
      <c r="A42" s="129" t="s">
        <v>247</v>
      </c>
      <c r="B42" s="199">
        <v>2005</v>
      </c>
      <c r="C42" s="200">
        <v>116.626</v>
      </c>
      <c r="D42" s="212">
        <f>AVERAGE(D51:D56)/AVERAGE(C51:C56)*C42</f>
        <v>122.7431082576601</v>
      </c>
      <c r="E42" s="200">
        <v>2.8740000000000001</v>
      </c>
      <c r="F42" s="200">
        <v>14.78</v>
      </c>
      <c r="G42" s="200">
        <v>21.138000000000002</v>
      </c>
      <c r="H42" s="200">
        <v>8.0510000000000002</v>
      </c>
      <c r="I42" s="200">
        <v>69.781999999999996</v>
      </c>
    </row>
    <row r="43" spans="1:9" x14ac:dyDescent="0.25">
      <c r="A43" s="129" t="s">
        <v>247</v>
      </c>
      <c r="B43" s="199">
        <v>2006</v>
      </c>
      <c r="C43" s="200">
        <v>115.316</v>
      </c>
      <c r="D43" s="212">
        <f>AVERAGE(D51:D56)/AVERAGE(C51:C56)*C43</f>
        <v>121.36439792019216</v>
      </c>
      <c r="E43" s="200">
        <v>2.6880000000000002</v>
      </c>
      <c r="F43" s="200">
        <v>13.978</v>
      </c>
      <c r="G43" s="200">
        <v>18.712</v>
      </c>
      <c r="H43" s="200">
        <v>7</v>
      </c>
      <c r="I43" s="200">
        <v>72.936999999999998</v>
      </c>
    </row>
    <row r="44" spans="1:9" x14ac:dyDescent="0.25">
      <c r="A44" s="129" t="s">
        <v>247</v>
      </c>
      <c r="B44" s="199">
        <v>2007</v>
      </c>
      <c r="C44" s="200">
        <v>115.929</v>
      </c>
      <c r="D44" s="212">
        <f>AVERAGE(D51:D56)/AVERAGE(C51:C56)*C44</f>
        <v>122.00955016207601</v>
      </c>
      <c r="E44" s="200">
        <v>2.5219999999999998</v>
      </c>
      <c r="F44" s="200">
        <v>13.16</v>
      </c>
      <c r="G44" s="200">
        <v>17.378</v>
      </c>
      <c r="H44" s="200">
        <v>6.2469999999999999</v>
      </c>
      <c r="I44" s="200">
        <v>76.620999999999995</v>
      </c>
    </row>
    <row r="45" spans="1:9" x14ac:dyDescent="0.25">
      <c r="A45" s="129" t="s">
        <v>247</v>
      </c>
      <c r="B45" s="199">
        <v>2008</v>
      </c>
      <c r="C45" s="200">
        <v>111.318</v>
      </c>
      <c r="D45" s="212">
        <f>AVERAGE(D51:D56)/AVERAGE(C51:C56)*C45</f>
        <v>117.15670026431675</v>
      </c>
      <c r="E45" s="200">
        <v>2.2999999999999998</v>
      </c>
      <c r="F45" s="200">
        <v>12.087999999999999</v>
      </c>
      <c r="G45" s="200">
        <v>15.709</v>
      </c>
      <c r="H45" s="200">
        <v>5.2770000000000001</v>
      </c>
      <c r="I45" s="200">
        <v>75.941999999999993</v>
      </c>
    </row>
    <row r="46" spans="1:9" x14ac:dyDescent="0.25">
      <c r="A46" s="129" t="s">
        <v>247</v>
      </c>
      <c r="B46" s="199">
        <v>2009</v>
      </c>
      <c r="C46" s="203">
        <v>105.637</v>
      </c>
      <c r="D46" s="212">
        <f>AVERAGE(D51:D56)/AVERAGE(C51:C56)*C46</f>
        <v>111.17772818251881</v>
      </c>
      <c r="E46" s="203">
        <v>2.1269999999999998</v>
      </c>
      <c r="F46" s="203">
        <v>11.06</v>
      </c>
      <c r="G46" s="203">
        <v>13.853999999999999</v>
      </c>
      <c r="H46" s="203">
        <v>4.6749999999999998</v>
      </c>
      <c r="I46" s="203">
        <v>73.921000000000006</v>
      </c>
    </row>
    <row r="47" spans="1:9" x14ac:dyDescent="0.25">
      <c r="A47" s="129" t="s">
        <v>247</v>
      </c>
      <c r="B47" s="199">
        <v>2010</v>
      </c>
      <c r="C47" s="204">
        <v>105.34699999999999</v>
      </c>
      <c r="D47" s="212">
        <f>AVERAGE(D51:D56)/AVERAGE(C51:C56)*C47</f>
        <v>110.87251749712514</v>
      </c>
      <c r="E47" s="203">
        <v>1.98</v>
      </c>
      <c r="F47" s="203">
        <v>10.404999999999999</v>
      </c>
      <c r="G47" s="203">
        <v>12.801</v>
      </c>
      <c r="H47" s="203">
        <v>4.45</v>
      </c>
      <c r="I47" s="203">
        <v>75.710999999999999</v>
      </c>
    </row>
    <row r="48" spans="1:9" x14ac:dyDescent="0.25">
      <c r="A48" s="129" t="s">
        <v>247</v>
      </c>
      <c r="B48" s="199">
        <v>2011</v>
      </c>
      <c r="C48" s="204">
        <v>105.94199999999999</v>
      </c>
      <c r="D48" s="212">
        <f>AVERAGE(D51:D56)/AVERAGE(C51:C56)*C48</f>
        <v>111.4987256275018</v>
      </c>
      <c r="E48" s="203">
        <v>1.8779999999999999</v>
      </c>
      <c r="F48" s="203">
        <v>10.013999999999999</v>
      </c>
      <c r="G48" s="203">
        <v>11.933</v>
      </c>
      <c r="H48" s="203">
        <v>4.1120000000000001</v>
      </c>
      <c r="I48" s="203">
        <v>78.004999999999995</v>
      </c>
    </row>
    <row r="49" spans="1:14" x14ac:dyDescent="0.25">
      <c r="A49" s="129" t="s">
        <v>247</v>
      </c>
      <c r="B49" s="199">
        <v>2012</v>
      </c>
      <c r="C49" s="204">
        <v>106.086</v>
      </c>
      <c r="D49" s="212">
        <f>AVERAGE(D51:D56)/AVERAGE(C51:C56)*C49</f>
        <v>111.65027851955934</v>
      </c>
      <c r="E49" s="203">
        <v>1.6950000000000001</v>
      </c>
      <c r="F49" s="203">
        <v>9.6910000000000007</v>
      </c>
      <c r="G49" s="203">
        <v>11.11</v>
      </c>
      <c r="H49" s="203">
        <v>3.7010000000000001</v>
      </c>
      <c r="I49" s="203">
        <v>79.888999999999996</v>
      </c>
    </row>
    <row r="50" spans="1:14" x14ac:dyDescent="0.25">
      <c r="A50" s="129" t="s">
        <v>247</v>
      </c>
      <c r="B50" s="199">
        <v>2013</v>
      </c>
      <c r="C50" s="204">
        <v>111.017</v>
      </c>
      <c r="D50" s="212">
        <f>AVERAGE(D51:D56)/AVERAGE(C51:C56)*C50</f>
        <v>116.8399126218909</v>
      </c>
      <c r="E50" s="203">
        <v>1.5880000000000001</v>
      </c>
      <c r="F50" s="203">
        <v>8.9619999999999997</v>
      </c>
      <c r="G50" s="203">
        <v>11.34</v>
      </c>
      <c r="H50" s="203">
        <v>3.4249999999999998</v>
      </c>
      <c r="I50" s="203">
        <v>85.7</v>
      </c>
    </row>
    <row r="51" spans="1:14" x14ac:dyDescent="0.25">
      <c r="A51" s="129" t="s">
        <v>247</v>
      </c>
      <c r="B51" s="199">
        <v>2014</v>
      </c>
      <c r="C51" s="204">
        <v>115.152</v>
      </c>
      <c r="D51" s="200">
        <v>121.142</v>
      </c>
      <c r="E51" s="203">
        <v>1.617</v>
      </c>
      <c r="F51" s="203">
        <v>9.1319999999999997</v>
      </c>
      <c r="G51" s="203">
        <v>10.754</v>
      </c>
      <c r="H51" s="203">
        <v>3.2639999999999998</v>
      </c>
      <c r="I51" s="203">
        <v>90.385000000000005</v>
      </c>
      <c r="J51" s="200">
        <v>1.77</v>
      </c>
      <c r="K51" s="200">
        <v>10.061999999999999</v>
      </c>
      <c r="L51" s="200">
        <v>11.292</v>
      </c>
      <c r="M51" s="200">
        <v>3.778</v>
      </c>
      <c r="N51" s="200">
        <v>94.238</v>
      </c>
    </row>
    <row r="52" spans="1:14" x14ac:dyDescent="0.25">
      <c r="A52" s="129" t="s">
        <v>247</v>
      </c>
      <c r="B52" s="199">
        <v>2015</v>
      </c>
      <c r="C52" s="204">
        <v>120.532</v>
      </c>
      <c r="D52" s="200">
        <v>126.78100000000001</v>
      </c>
      <c r="E52" s="203">
        <v>1.6259999999999999</v>
      </c>
      <c r="F52" s="203">
        <v>8.8409999999999993</v>
      </c>
      <c r="G52" s="203">
        <v>10.576000000000001</v>
      </c>
      <c r="H52" s="203">
        <v>3.3029999999999999</v>
      </c>
      <c r="I52" s="203">
        <v>96.186000000000007</v>
      </c>
      <c r="J52" s="200">
        <v>1.772</v>
      </c>
      <c r="K52" s="200">
        <v>9.7050000000000001</v>
      </c>
      <c r="L52" s="200">
        <v>11.035</v>
      </c>
      <c r="M52" s="200">
        <v>3.7309999999999999</v>
      </c>
      <c r="N52" s="200">
        <v>100.538</v>
      </c>
    </row>
    <row r="53" spans="1:14" x14ac:dyDescent="0.25">
      <c r="A53" s="129" t="s">
        <v>247</v>
      </c>
      <c r="B53" s="199">
        <v>2016</v>
      </c>
      <c r="C53" s="204">
        <v>124.747</v>
      </c>
      <c r="D53" s="204">
        <v>131.26900000000001</v>
      </c>
      <c r="E53" s="203">
        <v>1.59</v>
      </c>
      <c r="F53" s="203">
        <v>8.9459999999999997</v>
      </c>
      <c r="G53" s="203">
        <v>10.224</v>
      </c>
      <c r="H53" s="203">
        <v>3.2559999999999998</v>
      </c>
      <c r="I53" s="203">
        <v>100.73099999999999</v>
      </c>
      <c r="J53" s="203">
        <v>1.734</v>
      </c>
      <c r="K53" s="203">
        <v>9.7590000000000003</v>
      </c>
      <c r="L53" s="203">
        <v>10.666</v>
      </c>
      <c r="M53" s="203">
        <v>3.6259999999999999</v>
      </c>
      <c r="N53" s="203">
        <v>105.48399999999999</v>
      </c>
    </row>
    <row r="54" spans="1:14" x14ac:dyDescent="0.25">
      <c r="A54" s="129" t="s">
        <v>247</v>
      </c>
      <c r="B54" s="199">
        <v>2017</v>
      </c>
      <c r="C54" s="204">
        <v>127.979</v>
      </c>
      <c r="D54" s="200">
        <v>134.71899999999999</v>
      </c>
      <c r="E54" s="203">
        <v>1.55</v>
      </c>
      <c r="F54" s="203">
        <v>8.7520000000000007</v>
      </c>
      <c r="G54" s="203">
        <v>10.147</v>
      </c>
      <c r="H54" s="203">
        <v>3.1680000000000001</v>
      </c>
      <c r="I54" s="203">
        <v>104.36199999999999</v>
      </c>
      <c r="J54" s="200">
        <v>1.6659999999999999</v>
      </c>
      <c r="K54" s="200">
        <v>9.5280000000000005</v>
      </c>
      <c r="L54" s="200">
        <v>10.569000000000001</v>
      </c>
      <c r="M54" s="200">
        <v>3.4969999999999999</v>
      </c>
      <c r="N54" s="200">
        <v>109.459</v>
      </c>
    </row>
    <row r="55" spans="1:14" x14ac:dyDescent="0.25">
      <c r="A55" s="129" t="s">
        <v>247</v>
      </c>
      <c r="B55" s="199">
        <v>2018</v>
      </c>
      <c r="C55" s="204">
        <v>129.61099999999999</v>
      </c>
      <c r="D55" s="200">
        <v>136.50700000000001</v>
      </c>
      <c r="E55" s="203">
        <v>1.3720000000000001</v>
      </c>
      <c r="F55" s="203">
        <v>8.3989999999999991</v>
      </c>
      <c r="G55" s="203">
        <v>9.9600000000000009</v>
      </c>
      <c r="H55" s="203">
        <v>3.1320000000000001</v>
      </c>
      <c r="I55" s="203">
        <v>106.748</v>
      </c>
      <c r="J55" s="200">
        <v>1.478</v>
      </c>
      <c r="K55" s="200">
        <v>9.1530000000000005</v>
      </c>
      <c r="L55" s="200">
        <v>10.351000000000001</v>
      </c>
      <c r="M55" s="200">
        <v>3.4239999999999999</v>
      </c>
      <c r="N55" s="200">
        <v>112.101</v>
      </c>
    </row>
    <row r="56" spans="1:14" x14ac:dyDescent="0.25">
      <c r="A56" s="129" t="s">
        <v>247</v>
      </c>
      <c r="B56" s="199">
        <v>2019</v>
      </c>
      <c r="C56" s="204">
        <v>130.702</v>
      </c>
      <c r="D56" s="200">
        <v>137.57599999999999</v>
      </c>
      <c r="E56" s="203">
        <v>1.4119999999999999</v>
      </c>
      <c r="F56" s="203">
        <v>8.2720000000000002</v>
      </c>
      <c r="G56" s="203">
        <v>9.27</v>
      </c>
      <c r="H56" s="203">
        <v>3.2930000000000001</v>
      </c>
      <c r="I56" s="203">
        <v>108.455</v>
      </c>
      <c r="J56" s="200">
        <v>1.516</v>
      </c>
      <c r="K56" s="200">
        <v>8.9870000000000001</v>
      </c>
      <c r="L56" s="200">
        <v>9.6630000000000003</v>
      </c>
      <c r="M56" s="200">
        <v>3.5630000000000002</v>
      </c>
      <c r="N56" s="200">
        <v>113.84699999999999</v>
      </c>
    </row>
    <row r="57" spans="1:14" x14ac:dyDescent="0.25">
      <c r="A57" s="129" t="s">
        <v>2</v>
      </c>
      <c r="B57" s="205">
        <v>1994</v>
      </c>
      <c r="C57" s="206">
        <v>21199.203000000001</v>
      </c>
      <c r="D57" s="212">
        <f>AVERAGE(D77:D82)/AVERAGE(C77:C82)*C57</f>
        <v>21850.707475926152</v>
      </c>
      <c r="E57" s="198" t="s">
        <v>285</v>
      </c>
    </row>
    <row r="58" spans="1:14" x14ac:dyDescent="0.25">
      <c r="A58" s="129" t="s">
        <v>2</v>
      </c>
      <c r="B58" s="205">
        <v>1995</v>
      </c>
      <c r="C58" s="206">
        <v>21394.102999999999</v>
      </c>
      <c r="D58" s="212">
        <f>AVERAGE(D77:D82)/AVERAGE(C77:C82)*C58</f>
        <v>22051.597239897845</v>
      </c>
      <c r="E58" s="129" t="s">
        <v>286</v>
      </c>
      <c r="G58" s="129" t="s">
        <v>284</v>
      </c>
    </row>
    <row r="59" spans="1:14" x14ac:dyDescent="0.25">
      <c r="A59" s="129" t="s">
        <v>2</v>
      </c>
      <c r="B59" s="205">
        <v>1996</v>
      </c>
      <c r="C59" s="206">
        <v>22237.538</v>
      </c>
      <c r="D59" s="212">
        <f>AVERAGE(D77:D82)/AVERAGE(C77:C82)*C59</f>
        <v>22920.953104830965</v>
      </c>
    </row>
    <row r="60" spans="1:14" x14ac:dyDescent="0.25">
      <c r="A60" s="129" t="s">
        <v>2</v>
      </c>
      <c r="B60" s="205">
        <v>1997</v>
      </c>
      <c r="C60" s="206">
        <v>22831.698</v>
      </c>
      <c r="D60" s="212">
        <f>AVERAGE(D77:D82)/AVERAGE(C77:C82)*C60</f>
        <v>23533.373126182534</v>
      </c>
    </row>
    <row r="61" spans="1:14" x14ac:dyDescent="0.25">
      <c r="A61" s="129" t="s">
        <v>2</v>
      </c>
      <c r="B61" s="205">
        <v>1998</v>
      </c>
      <c r="C61" s="206">
        <v>23293.331999999999</v>
      </c>
      <c r="D61" s="212">
        <f>AVERAGE(D77:D82)/AVERAGE(C77:C82)*C61</f>
        <v>24009.194292428343</v>
      </c>
    </row>
    <row r="62" spans="1:14" x14ac:dyDescent="0.25">
      <c r="A62" s="129" t="s">
        <v>2</v>
      </c>
      <c r="B62" s="205">
        <v>1999</v>
      </c>
      <c r="C62" s="206">
        <v>23974.937000000002</v>
      </c>
      <c r="D62" s="212">
        <f>AVERAGE(D77:D82)/AVERAGE(C77:C82)*C62</f>
        <v>24711.746717117552</v>
      </c>
    </row>
    <row r="63" spans="1:14" x14ac:dyDescent="0.25">
      <c r="A63" s="129" t="s">
        <v>2</v>
      </c>
      <c r="B63" s="205">
        <v>2000</v>
      </c>
      <c r="C63" s="206">
        <v>24405.548999999999</v>
      </c>
      <c r="D63" s="212">
        <f>AVERAGE(D77:D82)/AVERAGE(C77:C82)*C63</f>
        <v>25155.592499792656</v>
      </c>
    </row>
    <row r="64" spans="1:14" x14ac:dyDescent="0.25">
      <c r="A64" s="129" t="s">
        <v>2</v>
      </c>
      <c r="B64" s="205">
        <v>2001</v>
      </c>
      <c r="C64" s="206">
        <v>25125.866999999998</v>
      </c>
      <c r="D64" s="212">
        <f>AVERAGE(D77:D82)/AVERAGE(C77:C82)*C64</f>
        <v>25898.047671699078</v>
      </c>
    </row>
    <row r="65" spans="1:4" x14ac:dyDescent="0.25">
      <c r="A65" s="129" t="s">
        <v>2</v>
      </c>
      <c r="B65" s="205">
        <v>2002</v>
      </c>
      <c r="C65" s="206">
        <v>25781.931</v>
      </c>
      <c r="D65" s="212">
        <f>AVERAGE(D77:D82)/AVERAGE(C77:C82)*C65</f>
        <v>26574.274157642256</v>
      </c>
    </row>
    <row r="66" spans="1:4" x14ac:dyDescent="0.25">
      <c r="A66" s="129" t="s">
        <v>2</v>
      </c>
      <c r="B66" s="205">
        <v>2003</v>
      </c>
      <c r="C66" s="206">
        <v>26240.403999999999</v>
      </c>
      <c r="D66" s="212">
        <f>AVERAGE(D77:D82)/AVERAGE(C77:C82)*C66</f>
        <v>27046.837178460079</v>
      </c>
    </row>
    <row r="67" spans="1:4" x14ac:dyDescent="0.25">
      <c r="A67" s="129" t="s">
        <v>2</v>
      </c>
      <c r="B67" s="205">
        <v>2004</v>
      </c>
      <c r="C67" s="206">
        <v>27028.098999999998</v>
      </c>
      <c r="D67" s="212">
        <f>AVERAGE(D77:D82)/AVERAGE(C77:C82)*C67</f>
        <v>27858.740013922794</v>
      </c>
    </row>
    <row r="68" spans="1:4" x14ac:dyDescent="0.25">
      <c r="A68" s="129" t="s">
        <v>2</v>
      </c>
      <c r="B68" s="205">
        <v>2005</v>
      </c>
      <c r="C68" s="206">
        <v>27520.398000000001</v>
      </c>
      <c r="D68" s="212">
        <f>AVERAGE(D77:D82)/AVERAGE(C77:C82)*C68</f>
        <v>28366.168592237318</v>
      </c>
    </row>
    <row r="69" spans="1:4" x14ac:dyDescent="0.25">
      <c r="A69" s="129" t="s">
        <v>2</v>
      </c>
      <c r="B69" s="205">
        <v>2006</v>
      </c>
      <c r="C69" s="206">
        <v>27609.170999999998</v>
      </c>
      <c r="D69" s="212">
        <f>AVERAGE(D77:D82)/AVERAGE(C77:C82)*C69</f>
        <v>28457.669808333052</v>
      </c>
    </row>
    <row r="70" spans="1:4" x14ac:dyDescent="0.25">
      <c r="A70" s="129" t="s">
        <v>2</v>
      </c>
      <c r="B70" s="205">
        <v>2007</v>
      </c>
      <c r="C70" s="206">
        <v>28000.263999999999</v>
      </c>
      <c r="D70" s="212">
        <f>AVERAGE(D77:D82)/AVERAGE(C77:C82)*C70</f>
        <v>28860.782073397091</v>
      </c>
    </row>
    <row r="71" spans="1:4" x14ac:dyDescent="0.25">
      <c r="A71" s="129" t="s">
        <v>2</v>
      </c>
      <c r="B71" s="205">
        <v>2008</v>
      </c>
      <c r="C71" s="206">
        <v>28160.702000000001</v>
      </c>
      <c r="D71" s="212">
        <f>AVERAGE(D77:D82)/AVERAGE(C77:C82)*C71</f>
        <v>29026.150734002997</v>
      </c>
    </row>
    <row r="72" spans="1:4" x14ac:dyDescent="0.25">
      <c r="A72" s="129" t="s">
        <v>2</v>
      </c>
      <c r="B72" s="205">
        <v>2009</v>
      </c>
      <c r="C72" s="206">
        <v>28246.47</v>
      </c>
      <c r="D72" s="212">
        <f>AVERAGE(D77:D82)/AVERAGE(C77:C82)*C72</f>
        <v>29114.554598940525</v>
      </c>
    </row>
    <row r="73" spans="1:4" x14ac:dyDescent="0.25">
      <c r="A73" s="129" t="s">
        <v>2</v>
      </c>
      <c r="B73" s="205">
        <v>2010</v>
      </c>
      <c r="C73" s="206">
        <v>28420.877</v>
      </c>
      <c r="D73" s="212">
        <f>AVERAGE(D77:D82)/AVERAGE(C77:C82)*C73</f>
        <v>29294.321561818979</v>
      </c>
    </row>
    <row r="74" spans="1:4" x14ac:dyDescent="0.25">
      <c r="A74" s="129" t="s">
        <v>2</v>
      </c>
      <c r="B74" s="205">
        <v>2011</v>
      </c>
      <c r="C74" s="206">
        <v>28467.289000000001</v>
      </c>
      <c r="D74" s="212">
        <f>AVERAGE(D77:D82)/AVERAGE(C77:C82)*C74</f>
        <v>29342.159918542708</v>
      </c>
    </row>
    <row r="75" spans="1:4" x14ac:dyDescent="0.25">
      <c r="A75" s="129" t="s">
        <v>2</v>
      </c>
      <c r="B75" s="205">
        <v>2012</v>
      </c>
      <c r="C75" s="206">
        <v>28722.453000000001</v>
      </c>
      <c r="D75" s="212">
        <f>AVERAGE(D77:D82)/AVERAGE(C77:C82)*C75</f>
        <v>29605.165745808346</v>
      </c>
    </row>
    <row r="76" spans="1:4" x14ac:dyDescent="0.25">
      <c r="A76" s="129" t="s">
        <v>2</v>
      </c>
      <c r="B76" s="205">
        <v>2013</v>
      </c>
      <c r="C76" s="206">
        <v>29140.937000000002</v>
      </c>
      <c r="D76" s="212">
        <f>AVERAGE(D77:D82)/AVERAGE(C77:C82)*C76</f>
        <v>30036.510804740774</v>
      </c>
    </row>
    <row r="77" spans="1:4" x14ac:dyDescent="0.25">
      <c r="A77" s="129" t="s">
        <v>2</v>
      </c>
      <c r="B77" s="205">
        <v>2014</v>
      </c>
      <c r="C77" s="206">
        <v>29611.489000000001</v>
      </c>
      <c r="D77" s="206">
        <v>30513.268</v>
      </c>
    </row>
    <row r="78" spans="1:4" x14ac:dyDescent="0.25">
      <c r="A78" s="129" t="s">
        <v>2</v>
      </c>
      <c r="B78" s="205">
        <v>2015</v>
      </c>
      <c r="C78" s="206">
        <v>30250.294000000002</v>
      </c>
      <c r="D78" s="206">
        <v>31170.701000000001</v>
      </c>
    </row>
    <row r="79" spans="1:4" x14ac:dyDescent="0.25">
      <c r="A79" s="129" t="s">
        <v>2</v>
      </c>
      <c r="B79" s="205">
        <v>2016</v>
      </c>
      <c r="C79" s="206">
        <v>30850.44</v>
      </c>
      <c r="D79" s="206">
        <v>31792.258999999998</v>
      </c>
    </row>
    <row r="80" spans="1:4" x14ac:dyDescent="0.25">
      <c r="A80" s="129" t="s">
        <v>2</v>
      </c>
      <c r="B80" s="205">
        <v>2017</v>
      </c>
      <c r="C80" s="206">
        <v>31200.182000000001</v>
      </c>
      <c r="D80" s="206">
        <v>32159.942999999999</v>
      </c>
    </row>
    <row r="81" spans="1:7" x14ac:dyDescent="0.25">
      <c r="A81" s="129" t="s">
        <v>2</v>
      </c>
      <c r="B81" s="205">
        <v>2018</v>
      </c>
      <c r="C81" s="206">
        <v>31517.597000000002</v>
      </c>
      <c r="D81" s="206">
        <v>32493.258000000002</v>
      </c>
    </row>
    <row r="82" spans="1:7" x14ac:dyDescent="0.25">
      <c r="A82" s="129" t="s">
        <v>2</v>
      </c>
      <c r="B82" s="205">
        <v>2019</v>
      </c>
      <c r="C82" s="206">
        <v>31888.448</v>
      </c>
      <c r="D82" s="206">
        <v>32884.32</v>
      </c>
    </row>
    <row r="83" spans="1:7" x14ac:dyDescent="0.25">
      <c r="A83" s="129" t="s">
        <v>3</v>
      </c>
      <c r="B83" s="205">
        <v>1994</v>
      </c>
      <c r="C83" s="207">
        <v>720.92200000000003</v>
      </c>
      <c r="D83" s="212">
        <f>AVERAGE(D103:D108)/AVERAGE(C103:C108)*C83</f>
        <v>734.16979208516875</v>
      </c>
      <c r="E83" s="198" t="s">
        <v>287</v>
      </c>
    </row>
    <row r="84" spans="1:7" x14ac:dyDescent="0.25">
      <c r="A84" s="129" t="s">
        <v>3</v>
      </c>
      <c r="B84" s="205">
        <v>1995</v>
      </c>
      <c r="C84" s="207">
        <v>702.49300000000005</v>
      </c>
      <c r="D84" s="212">
        <f>AVERAGE(D103:D108)/AVERAGE(C103:C108)*C84</f>
        <v>715.40213747296718</v>
      </c>
      <c r="E84" s="129" t="s">
        <v>288</v>
      </c>
      <c r="G84" s="129" t="s">
        <v>284</v>
      </c>
    </row>
    <row r="85" spans="1:7" x14ac:dyDescent="0.25">
      <c r="A85" s="129" t="s">
        <v>3</v>
      </c>
      <c r="B85" s="205">
        <v>1996</v>
      </c>
      <c r="C85" s="207">
        <v>738.75599999999997</v>
      </c>
      <c r="D85" s="212">
        <f>AVERAGE(D103:D108)/AVERAGE(C103:C108)*C85</f>
        <v>752.33151287056137</v>
      </c>
    </row>
    <row r="86" spans="1:7" x14ac:dyDescent="0.25">
      <c r="A86" s="129" t="s">
        <v>3</v>
      </c>
      <c r="B86" s="205">
        <v>1997</v>
      </c>
      <c r="C86" s="207">
        <v>752.35699999999997</v>
      </c>
      <c r="D86" s="212">
        <f>AVERAGE(D103:D108)/AVERAGE(C103:C108)*C86</f>
        <v>766.18244728808565</v>
      </c>
    </row>
    <row r="87" spans="1:7" x14ac:dyDescent="0.25">
      <c r="A87" s="129" t="s">
        <v>3</v>
      </c>
      <c r="B87" s="205">
        <v>1998</v>
      </c>
      <c r="C87" s="207">
        <v>813.78399999999999</v>
      </c>
      <c r="D87" s="212">
        <f>AVERAGE(D103:D108)/AVERAGE(C103:C108)*C87</f>
        <v>828.73824086688569</v>
      </c>
    </row>
    <row r="88" spans="1:7" x14ac:dyDescent="0.25">
      <c r="A88" s="129" t="s">
        <v>3</v>
      </c>
      <c r="B88" s="205">
        <v>1999</v>
      </c>
      <c r="C88" s="207">
        <v>889.36400000000003</v>
      </c>
      <c r="D88" s="212">
        <f>AVERAGE(D103:D108)/AVERAGE(C103:C108)*C88</f>
        <v>905.70711251429975</v>
      </c>
    </row>
    <row r="89" spans="1:7" x14ac:dyDescent="0.25">
      <c r="A89" s="129" t="s">
        <v>3</v>
      </c>
      <c r="B89" s="205">
        <v>2000</v>
      </c>
      <c r="C89" s="207">
        <v>953.73699999999997</v>
      </c>
      <c r="D89" s="212">
        <f>AVERAGE(D103:D108)/AVERAGE(C103:C108)*C89</f>
        <v>971.26304231793802</v>
      </c>
    </row>
    <row r="90" spans="1:7" x14ac:dyDescent="0.25">
      <c r="A90" s="129" t="s">
        <v>3</v>
      </c>
      <c r="B90" s="205">
        <v>2001</v>
      </c>
      <c r="C90" s="207">
        <v>1009.954</v>
      </c>
      <c r="D90" s="212">
        <f>AVERAGE(D103:D108)/AVERAGE(C103:C108)*C90</f>
        <v>1028.5130960014876</v>
      </c>
    </row>
    <row r="91" spans="1:7" x14ac:dyDescent="0.25">
      <c r="A91" s="129" t="s">
        <v>3</v>
      </c>
      <c r="B91" s="205">
        <v>2002</v>
      </c>
      <c r="C91" s="207">
        <v>1070.0219999999999</v>
      </c>
      <c r="D91" s="212">
        <f>AVERAGE(D103:D108)/AVERAGE(C103:C108)*C91</f>
        <v>1089.6849163523327</v>
      </c>
    </row>
    <row r="92" spans="1:7" x14ac:dyDescent="0.25">
      <c r="A92" s="129" t="s">
        <v>3</v>
      </c>
      <c r="B92" s="205">
        <v>2003</v>
      </c>
      <c r="C92" s="207">
        <v>1134.682</v>
      </c>
      <c r="D92" s="212">
        <f>AVERAGE(D103:D108)/AVERAGE(C103:C108)*C92</f>
        <v>1155.5331201194906</v>
      </c>
    </row>
    <row r="93" spans="1:7" x14ac:dyDescent="0.25">
      <c r="A93" s="129" t="s">
        <v>3</v>
      </c>
      <c r="B93" s="205">
        <v>2004</v>
      </c>
      <c r="C93" s="207">
        <v>1191.1679999999999</v>
      </c>
      <c r="D93" s="212">
        <f>AVERAGE(D103:D108)/AVERAGE(C103:C108)*C93</f>
        <v>1213.0571169953284</v>
      </c>
    </row>
    <row r="94" spans="1:7" x14ac:dyDescent="0.25">
      <c r="A94" s="129" t="s">
        <v>3</v>
      </c>
      <c r="B94" s="205">
        <v>2005</v>
      </c>
      <c r="C94" s="207">
        <v>1206.3889999999999</v>
      </c>
      <c r="D94" s="212">
        <f>AVERAGE(D103:D108)/AVERAGE(C103:C108)*C94</f>
        <v>1228.5578208236598</v>
      </c>
    </row>
    <row r="95" spans="1:7" x14ac:dyDescent="0.25">
      <c r="A95" s="129" t="s">
        <v>3</v>
      </c>
      <c r="B95" s="205">
        <v>2006</v>
      </c>
      <c r="C95" s="207">
        <v>1209.557</v>
      </c>
      <c r="D95" s="212">
        <f>AVERAGE(D103:D108)/AVERAGE(C103:C108)*C95</f>
        <v>1231.7840365603497</v>
      </c>
    </row>
    <row r="96" spans="1:7" x14ac:dyDescent="0.25">
      <c r="A96" s="129" t="s">
        <v>3</v>
      </c>
      <c r="B96" s="205">
        <v>2007</v>
      </c>
      <c r="C96" s="207">
        <v>1248.3209999999999</v>
      </c>
      <c r="D96" s="212">
        <f>AVERAGE(D103:D108)/AVERAGE(C103:C108)*C96</f>
        <v>1271.2603707829001</v>
      </c>
    </row>
    <row r="97" spans="1:7" x14ac:dyDescent="0.25">
      <c r="A97" s="129" t="s">
        <v>3</v>
      </c>
      <c r="B97" s="205">
        <v>2008</v>
      </c>
      <c r="C97" s="207">
        <v>1274.568</v>
      </c>
      <c r="D97" s="212">
        <f>AVERAGE(D103:D108)/AVERAGE(C103:C108)*C97</f>
        <v>1297.9896903665158</v>
      </c>
    </row>
    <row r="98" spans="1:7" x14ac:dyDescent="0.25">
      <c r="A98" s="129" t="s">
        <v>3</v>
      </c>
      <c r="B98" s="205">
        <v>2009</v>
      </c>
      <c r="C98" s="207">
        <v>1275.6410000000001</v>
      </c>
      <c r="D98" s="212">
        <f>AVERAGE(D103:D108)/AVERAGE(C103:C108)*C98</f>
        <v>1299.0824080071309</v>
      </c>
    </row>
    <row r="99" spans="1:7" x14ac:dyDescent="0.25">
      <c r="A99" s="129" t="s">
        <v>3</v>
      </c>
      <c r="B99" s="205">
        <v>2010</v>
      </c>
      <c r="C99" s="207">
        <v>1234.3689999999999</v>
      </c>
      <c r="D99" s="212">
        <f>AVERAGE(D103:D108)/AVERAGE(C103:C108)*C99</f>
        <v>1257.0519863263676</v>
      </c>
    </row>
    <row r="100" spans="1:7" x14ac:dyDescent="0.25">
      <c r="A100" s="129" t="s">
        <v>3</v>
      </c>
      <c r="B100" s="205">
        <v>2011</v>
      </c>
      <c r="C100" s="207">
        <v>1238.3209999999999</v>
      </c>
      <c r="D100" s="212">
        <f>AVERAGE(D103:D108)/AVERAGE(C103:C108)*C100</f>
        <v>1261.0766089877936</v>
      </c>
    </row>
    <row r="101" spans="1:7" x14ac:dyDescent="0.25">
      <c r="A101" s="129" t="s">
        <v>3</v>
      </c>
      <c r="B101" s="205">
        <v>2012</v>
      </c>
      <c r="C101" s="207">
        <v>1224.8489999999999</v>
      </c>
      <c r="D101" s="212">
        <f>AVERAGE(D103:D108)/AVERAGE(C103:C108)*C101</f>
        <v>1247.3570450974262</v>
      </c>
    </row>
    <row r="102" spans="1:7" x14ac:dyDescent="0.25">
      <c r="A102" s="129" t="s">
        <v>3</v>
      </c>
      <c r="B102" s="205">
        <v>2013</v>
      </c>
      <c r="C102" s="207">
        <v>1219.3989999999999</v>
      </c>
      <c r="D102" s="212">
        <f>AVERAGE(D103:D108)/AVERAGE(C103:C108)*C102</f>
        <v>1241.8068949190933</v>
      </c>
    </row>
    <row r="103" spans="1:7" x14ac:dyDescent="0.25">
      <c r="A103" s="129" t="s">
        <v>3</v>
      </c>
      <c r="B103" s="205">
        <v>2014</v>
      </c>
      <c r="C103" s="207">
        <v>1216.1679999999999</v>
      </c>
      <c r="D103" s="207">
        <v>1240.212</v>
      </c>
    </row>
    <row r="104" spans="1:7" x14ac:dyDescent="0.25">
      <c r="A104" s="129" t="s">
        <v>3</v>
      </c>
      <c r="B104" s="205">
        <v>2015</v>
      </c>
      <c r="C104" s="207">
        <v>1230.779</v>
      </c>
      <c r="D104" s="207">
        <v>1253.08</v>
      </c>
    </row>
    <row r="105" spans="1:7" x14ac:dyDescent="0.25">
      <c r="A105" s="129" t="s">
        <v>3</v>
      </c>
      <c r="B105" s="205">
        <v>2016</v>
      </c>
      <c r="C105" s="207">
        <v>1248.0740000000001</v>
      </c>
      <c r="D105" s="207">
        <v>1270.2159999999999</v>
      </c>
    </row>
    <row r="106" spans="1:7" x14ac:dyDescent="0.25">
      <c r="A106" s="129" t="s">
        <v>3</v>
      </c>
      <c r="B106" s="205">
        <v>2017</v>
      </c>
      <c r="C106" s="207">
        <v>1233.5899999999999</v>
      </c>
      <c r="D106" s="207">
        <v>1255.8599999999999</v>
      </c>
    </row>
    <row r="107" spans="1:7" x14ac:dyDescent="0.25">
      <c r="A107" s="129" t="s">
        <v>3</v>
      </c>
      <c r="B107" s="205">
        <v>2018</v>
      </c>
      <c r="C107" s="207">
        <v>1242.69</v>
      </c>
      <c r="D107" s="207">
        <v>1265.1420000000001</v>
      </c>
    </row>
    <row r="108" spans="1:7" x14ac:dyDescent="0.25">
      <c r="A108" s="129" t="s">
        <v>3</v>
      </c>
      <c r="B108" s="205">
        <v>2019</v>
      </c>
      <c r="C108" s="207">
        <v>1250.2090000000001</v>
      </c>
      <c r="D108" s="207">
        <v>1273.3789999999999</v>
      </c>
    </row>
    <row r="109" spans="1:7" x14ac:dyDescent="0.25">
      <c r="A109" s="129" t="s">
        <v>188</v>
      </c>
      <c r="B109" s="205">
        <v>1994</v>
      </c>
      <c r="C109" s="206">
        <v>2137.6529999999998</v>
      </c>
      <c r="D109" s="212">
        <f>AVERAGE(D129:D134)/AVERAGE(C129:C134)*C109</f>
        <v>2198.9942011767243</v>
      </c>
      <c r="E109" s="1" t="s">
        <v>289</v>
      </c>
    </row>
    <row r="110" spans="1:7" x14ac:dyDescent="0.25">
      <c r="A110" s="129" t="s">
        <v>188</v>
      </c>
      <c r="B110" s="205">
        <v>1995</v>
      </c>
      <c r="C110" s="206">
        <v>2122.7739999999999</v>
      </c>
      <c r="D110" s="212">
        <f>AVERAGE(D129:D134)/AVERAGE(C129:C134)*C110</f>
        <v>2183.6882395827197</v>
      </c>
      <c r="E110" s="129" t="s">
        <v>290</v>
      </c>
      <c r="G110" s="129" t="s">
        <v>210</v>
      </c>
    </row>
    <row r="111" spans="1:7" x14ac:dyDescent="0.25">
      <c r="A111" s="129" t="s">
        <v>188</v>
      </c>
      <c r="B111" s="205">
        <v>1996</v>
      </c>
      <c r="C111" s="206">
        <v>2173.8780000000002</v>
      </c>
      <c r="D111" s="212">
        <f>AVERAGE(D129:D134)/AVERAGE(C129:C134)*C111</f>
        <v>2236.2586987063173</v>
      </c>
    </row>
    <row r="112" spans="1:7" x14ac:dyDescent="0.25">
      <c r="A112" s="129" t="s">
        <v>188</v>
      </c>
      <c r="B112" s="205">
        <v>1997</v>
      </c>
      <c r="C112" s="206">
        <v>2231.181</v>
      </c>
      <c r="D112" s="212">
        <f>AVERAGE(D129:D134)/AVERAGE(C129:C134)*C112</f>
        <v>2295.2060417549924</v>
      </c>
    </row>
    <row r="113" spans="1:4" x14ac:dyDescent="0.25">
      <c r="A113" s="129" t="s">
        <v>188</v>
      </c>
      <c r="B113" s="205">
        <v>1998</v>
      </c>
      <c r="C113" s="206">
        <v>2278.027</v>
      </c>
      <c r="D113" s="212">
        <f>AVERAGE(D129:D134)/AVERAGE(C129:C134)*C113</f>
        <v>2343.3963150820127</v>
      </c>
    </row>
    <row r="114" spans="1:4" x14ac:dyDescent="0.25">
      <c r="A114" s="129" t="s">
        <v>188</v>
      </c>
      <c r="B114" s="205">
        <v>1999</v>
      </c>
      <c r="C114" s="206">
        <v>2342.16</v>
      </c>
      <c r="D114" s="212">
        <f>AVERAGE(D129:D134)/AVERAGE(C129:C134)*C114</f>
        <v>2409.3696489692556</v>
      </c>
    </row>
    <row r="115" spans="1:4" x14ac:dyDescent="0.25">
      <c r="A115" s="129" t="s">
        <v>188</v>
      </c>
      <c r="B115" s="205">
        <v>2000</v>
      </c>
      <c r="C115" s="206">
        <v>2382.59</v>
      </c>
      <c r="D115" s="212">
        <f>AVERAGE(D129:D134)/AVERAGE(C129:C134)*C115</f>
        <v>2450.9598114294754</v>
      </c>
    </row>
    <row r="116" spans="1:4" x14ac:dyDescent="0.25">
      <c r="A116" s="129" t="s">
        <v>188</v>
      </c>
      <c r="B116" s="205">
        <v>2001</v>
      </c>
      <c r="C116" s="206">
        <v>2461.38</v>
      </c>
      <c r="D116" s="212">
        <f>AVERAGE(D129:D134)/AVERAGE(C129:C134)*C116</f>
        <v>2532.0107364910796</v>
      </c>
    </row>
    <row r="117" spans="1:4" x14ac:dyDescent="0.25">
      <c r="A117" s="129" t="s">
        <v>188</v>
      </c>
      <c r="B117" s="205">
        <v>2002</v>
      </c>
      <c r="C117" s="206">
        <v>2542.2600000000002</v>
      </c>
      <c r="D117" s="212">
        <f>AVERAGE(D129:D134)/AVERAGE(C129:C134)*C117</f>
        <v>2615.2116353231977</v>
      </c>
    </row>
    <row r="118" spans="1:4" x14ac:dyDescent="0.25">
      <c r="A118" s="129" t="s">
        <v>188</v>
      </c>
      <c r="B118" s="205">
        <v>2003</v>
      </c>
      <c r="C118" s="206">
        <v>2652.913</v>
      </c>
      <c r="D118" s="212">
        <f>AVERAGE(D129:D134)/AVERAGE(C129:C134)*C118</f>
        <v>2729.039887777084</v>
      </c>
    </row>
    <row r="119" spans="1:4" x14ac:dyDescent="0.25">
      <c r="A119" s="129" t="s">
        <v>188</v>
      </c>
      <c r="B119" s="205">
        <v>2004</v>
      </c>
      <c r="C119" s="206">
        <v>2822.44</v>
      </c>
      <c r="D119" s="212">
        <f>AVERAGE(D129:D134)/AVERAGE(C129:C134)*C119</f>
        <v>2903.431564042075</v>
      </c>
    </row>
    <row r="120" spans="1:4" x14ac:dyDescent="0.25">
      <c r="A120" s="129" t="s">
        <v>188</v>
      </c>
      <c r="B120" s="205">
        <v>2005</v>
      </c>
      <c r="C120" s="206">
        <v>2943.3760000000002</v>
      </c>
      <c r="D120" s="212">
        <f>AVERAGE(D129:D134)/AVERAGE(C129:C134)*C120</f>
        <v>3027.8378931860047</v>
      </c>
    </row>
    <row r="121" spans="1:4" x14ac:dyDescent="0.25">
      <c r="A121" s="129" t="s">
        <v>188</v>
      </c>
      <c r="B121" s="205">
        <v>2006</v>
      </c>
      <c r="C121" s="206">
        <v>3023.0749999999998</v>
      </c>
      <c r="D121" s="212">
        <f>AVERAGE(D129:D134)/AVERAGE(C129:C134)*C121</f>
        <v>3109.8239025334447</v>
      </c>
    </row>
    <row r="122" spans="1:4" x14ac:dyDescent="0.25">
      <c r="A122" s="129" t="s">
        <v>188</v>
      </c>
      <c r="B122" s="205">
        <v>2007</v>
      </c>
      <c r="C122" s="206">
        <v>3148.8850000000002</v>
      </c>
      <c r="D122" s="212">
        <f>AVERAGE(D129:D134)/AVERAGE(C129:C134)*C122</f>
        <v>3239.2440939536818</v>
      </c>
    </row>
    <row r="123" spans="1:4" x14ac:dyDescent="0.25">
      <c r="A123" s="129" t="s">
        <v>188</v>
      </c>
      <c r="B123" s="205">
        <v>2008</v>
      </c>
      <c r="C123" s="206">
        <v>3191.4029999999998</v>
      </c>
      <c r="D123" s="212">
        <f>AVERAGE(D129:D134)/AVERAGE(C129:C134)*C123</f>
        <v>3282.9821727932463</v>
      </c>
    </row>
    <row r="124" spans="1:4" x14ac:dyDescent="0.25">
      <c r="A124" s="129" t="s">
        <v>188</v>
      </c>
      <c r="B124" s="205">
        <v>2009</v>
      </c>
      <c r="C124" s="206">
        <v>3184.547</v>
      </c>
      <c r="D124" s="212">
        <f>AVERAGE(D129:D134)/AVERAGE(C129:C134)*C124</f>
        <v>3275.9294358694951</v>
      </c>
    </row>
    <row r="125" spans="1:4" x14ac:dyDescent="0.25">
      <c r="A125" s="129" t="s">
        <v>188</v>
      </c>
      <c r="B125" s="205">
        <v>2010</v>
      </c>
      <c r="C125" s="206">
        <v>3207.7910000000002</v>
      </c>
      <c r="D125" s="212">
        <f>AVERAGE(D129:D134)/AVERAGE(C129:C134)*C125</f>
        <v>3299.8404360234736</v>
      </c>
    </row>
    <row r="126" spans="1:4" x14ac:dyDescent="0.25">
      <c r="A126" s="129" t="s">
        <v>188</v>
      </c>
      <c r="B126" s="205">
        <v>2011</v>
      </c>
      <c r="C126" s="206">
        <v>3248.2930000000001</v>
      </c>
      <c r="D126" s="212">
        <f>AVERAGE(D129:D134)/AVERAGE(C129:C134)*C126</f>
        <v>3341.5046645657389</v>
      </c>
    </row>
    <row r="127" spans="1:4" x14ac:dyDescent="0.25">
      <c r="A127" s="129" t="s">
        <v>188</v>
      </c>
      <c r="B127" s="205">
        <v>2012</v>
      </c>
      <c r="C127" s="206">
        <v>3280.6149999999998</v>
      </c>
      <c r="D127" s="212">
        <f>AVERAGE(D129:D134)/AVERAGE(C129:C134)*C127</f>
        <v>3374.7541632310667</v>
      </c>
    </row>
    <row r="128" spans="1:4" x14ac:dyDescent="0.25">
      <c r="A128" s="129" t="s">
        <v>188</v>
      </c>
      <c r="B128" s="205">
        <v>2013</v>
      </c>
      <c r="C128" s="206">
        <v>3353.8939999999998</v>
      </c>
      <c r="D128" s="212">
        <f>AVERAGE(D129:D134)/AVERAGE(C129:C134)*C128</f>
        <v>3450.1359469293698</v>
      </c>
    </row>
    <row r="129" spans="1:15" x14ac:dyDescent="0.25">
      <c r="A129" s="129" t="s">
        <v>188</v>
      </c>
      <c r="B129" s="205">
        <v>2014</v>
      </c>
      <c r="C129" s="206">
        <v>3471.28</v>
      </c>
      <c r="D129" s="206">
        <v>3569.6129999999998</v>
      </c>
    </row>
    <row r="130" spans="1:15" x14ac:dyDescent="0.25">
      <c r="A130" s="129" t="s">
        <v>188</v>
      </c>
      <c r="B130" s="205">
        <v>2015</v>
      </c>
      <c r="C130" s="206">
        <v>3633.578</v>
      </c>
      <c r="D130" s="206">
        <v>3736.0360000000001</v>
      </c>
    </row>
    <row r="131" spans="1:15" x14ac:dyDescent="0.25">
      <c r="A131" s="129" t="s">
        <v>188</v>
      </c>
      <c r="B131" s="205">
        <v>2016</v>
      </c>
      <c r="C131" s="206">
        <v>3781.9839999999999</v>
      </c>
      <c r="D131" s="206">
        <v>3889.681</v>
      </c>
    </row>
    <row r="132" spans="1:15" x14ac:dyDescent="0.25">
      <c r="A132" s="129" t="s">
        <v>188</v>
      </c>
      <c r="B132" s="205">
        <v>2017</v>
      </c>
      <c r="C132" s="206">
        <v>3898.1489999999999</v>
      </c>
      <c r="D132" s="206">
        <v>4011.3220000000001</v>
      </c>
    </row>
    <row r="133" spans="1:15" x14ac:dyDescent="0.25">
      <c r="A133" s="129" t="s">
        <v>188</v>
      </c>
      <c r="B133" s="205">
        <v>2018</v>
      </c>
      <c r="C133" s="206">
        <v>4009.8870000000002</v>
      </c>
      <c r="D133" s="206">
        <v>4127.5559999999996</v>
      </c>
    </row>
    <row r="134" spans="1:15" x14ac:dyDescent="0.25">
      <c r="B134" s="205"/>
      <c r="C134" s="206"/>
      <c r="D134" s="206"/>
    </row>
    <row r="135" spans="1:15" x14ac:dyDescent="0.25">
      <c r="B135" s="205"/>
      <c r="C135" s="206"/>
      <c r="D135" s="206"/>
      <c r="E135" s="195" t="s">
        <v>291</v>
      </c>
      <c r="F135" s="195"/>
      <c r="G135" s="195"/>
      <c r="H135" s="195"/>
      <c r="I135" s="195" t="s">
        <v>292</v>
      </c>
    </row>
    <row r="136" spans="1:15" ht="45" x14ac:dyDescent="0.25">
      <c r="B136" s="205"/>
      <c r="C136" s="206"/>
      <c r="D136" s="206"/>
      <c r="E136" s="209" t="s">
        <v>293</v>
      </c>
      <c r="F136" s="209" t="s">
        <v>294</v>
      </c>
      <c r="G136" s="209" t="s">
        <v>295</v>
      </c>
      <c r="H136" s="209" t="s">
        <v>296</v>
      </c>
      <c r="I136" s="209" t="s">
        <v>293</v>
      </c>
      <c r="J136" s="209" t="s">
        <v>294</v>
      </c>
      <c r="K136" s="209" t="s">
        <v>295</v>
      </c>
      <c r="L136" s="209" t="s">
        <v>296</v>
      </c>
      <c r="M136" s="210"/>
    </row>
    <row r="137" spans="1:15" x14ac:dyDescent="0.25">
      <c r="A137" s="129" t="s">
        <v>297</v>
      </c>
      <c r="B137" s="211">
        <v>1994</v>
      </c>
      <c r="C137" s="207">
        <v>151.55199999999999</v>
      </c>
      <c r="D137" s="212">
        <f>AVERAGE(D157:D162)/AVERAGE(C157:C162)*C137</f>
        <v>156.84717176948763</v>
      </c>
      <c r="E137" s="207">
        <v>38.585999999999999</v>
      </c>
      <c r="F137" s="207">
        <v>20.994</v>
      </c>
      <c r="G137" s="207">
        <v>90.637</v>
      </c>
      <c r="H137" s="207">
        <v>1.335</v>
      </c>
      <c r="I137" s="207"/>
      <c r="J137" s="207"/>
      <c r="K137" s="207"/>
      <c r="L137" s="207"/>
      <c r="M137" s="1" t="s">
        <v>298</v>
      </c>
    </row>
    <row r="138" spans="1:15" x14ac:dyDescent="0.25">
      <c r="A138" s="129" t="s">
        <v>297</v>
      </c>
      <c r="B138" s="211">
        <v>1995</v>
      </c>
      <c r="C138" s="207">
        <v>153.465</v>
      </c>
      <c r="D138" s="212">
        <f>AVERAGE(D157:D162)/AVERAGE(C157:C162)*C138</f>
        <v>158.82701129384253</v>
      </c>
      <c r="E138" s="207">
        <v>40.161000000000001</v>
      </c>
      <c r="F138" s="207">
        <v>20.472000000000001</v>
      </c>
      <c r="G138" s="207">
        <v>91.52</v>
      </c>
      <c r="H138" s="207">
        <v>1.3120000000000001</v>
      </c>
      <c r="M138" s="129" t="s">
        <v>299</v>
      </c>
      <c r="O138" s="129" t="s">
        <v>284</v>
      </c>
    </row>
    <row r="139" spans="1:15" x14ac:dyDescent="0.25">
      <c r="A139" s="129" t="s">
        <v>297</v>
      </c>
      <c r="B139" s="211">
        <v>1996</v>
      </c>
      <c r="C139" s="207">
        <v>157.63800000000001</v>
      </c>
      <c r="D139" s="212">
        <f>AVERAGE(D157:D162)/AVERAGE(C157:C162)*C139</f>
        <v>163.14581439636888</v>
      </c>
      <c r="E139" s="207">
        <v>42.204000000000001</v>
      </c>
      <c r="F139" s="207">
        <v>20.228999999999999</v>
      </c>
      <c r="G139" s="207">
        <v>93.963999999999999</v>
      </c>
      <c r="H139" s="207">
        <v>1.2410000000000001</v>
      </c>
      <c r="M139" s="207"/>
    </row>
    <row r="140" spans="1:15" x14ac:dyDescent="0.25">
      <c r="A140" s="129" t="s">
        <v>297</v>
      </c>
      <c r="B140" s="211">
        <v>1997</v>
      </c>
      <c r="C140" s="207">
        <v>160.721</v>
      </c>
      <c r="D140" s="212">
        <f>AVERAGE(D157:D162)/AVERAGE(C157:C162)*C140</f>
        <v>166.33653329526385</v>
      </c>
      <c r="E140" s="207">
        <v>43.482999999999997</v>
      </c>
      <c r="F140" s="207">
        <v>19.596</v>
      </c>
      <c r="G140" s="207">
        <v>96.430999999999997</v>
      </c>
      <c r="H140" s="207">
        <v>1.2110000000000001</v>
      </c>
      <c r="M140" s="207"/>
    </row>
    <row r="141" spans="1:15" x14ac:dyDescent="0.25">
      <c r="A141" s="129" t="s">
        <v>297</v>
      </c>
      <c r="B141" s="211">
        <v>1998</v>
      </c>
      <c r="C141" s="207">
        <v>161.31200000000001</v>
      </c>
      <c r="D141" s="212">
        <f>AVERAGE(D157:D162)/AVERAGE(C157:C162)*C141</f>
        <v>166.94818262035204</v>
      </c>
      <c r="E141" s="207">
        <v>44.637999999999998</v>
      </c>
      <c r="F141" s="207">
        <v>18.902000000000001</v>
      </c>
      <c r="G141" s="207">
        <v>96.656000000000006</v>
      </c>
      <c r="H141" s="207">
        <v>1.1160000000000001</v>
      </c>
      <c r="M141" s="207"/>
    </row>
    <row r="142" spans="1:15" x14ac:dyDescent="0.25">
      <c r="A142" s="129" t="s">
        <v>297</v>
      </c>
      <c r="B142" s="211">
        <v>1999</v>
      </c>
      <c r="C142" s="207">
        <v>168.12099999999998</v>
      </c>
      <c r="D142" s="212">
        <f>AVERAGE(D157:D162)/AVERAGE(C157:C162)*C142</f>
        <v>173.99508660432082</v>
      </c>
      <c r="E142" s="207">
        <v>47.835999999999999</v>
      </c>
      <c r="F142" s="207">
        <v>18.919</v>
      </c>
      <c r="G142" s="207">
        <v>100.143</v>
      </c>
      <c r="H142" s="207">
        <v>1.2230000000000001</v>
      </c>
      <c r="M142" s="207"/>
    </row>
    <row r="143" spans="1:15" x14ac:dyDescent="0.25">
      <c r="A143" s="129" t="s">
        <v>297</v>
      </c>
      <c r="B143" s="211">
        <v>2000</v>
      </c>
      <c r="C143" s="207">
        <v>172.565</v>
      </c>
      <c r="D143" s="212">
        <f>AVERAGE(D157:D162)/AVERAGE(C157:C162)*C143</f>
        <v>178.59435834830049</v>
      </c>
      <c r="E143" s="207">
        <v>50.201999999999998</v>
      </c>
      <c r="F143" s="207">
        <v>19.138000000000002</v>
      </c>
      <c r="G143" s="207">
        <v>102.002</v>
      </c>
      <c r="H143" s="207">
        <v>1.2230000000000001</v>
      </c>
      <c r="M143" s="207"/>
    </row>
    <row r="144" spans="1:15" x14ac:dyDescent="0.25">
      <c r="A144" s="129" t="s">
        <v>297</v>
      </c>
      <c r="B144" s="211">
        <v>2001</v>
      </c>
      <c r="C144" s="207">
        <v>171.61799999999999</v>
      </c>
      <c r="D144" s="212">
        <f>AVERAGE(D157:D162)/AVERAGE(C157:C162)*C144</f>
        <v>177.61427051266847</v>
      </c>
      <c r="E144" s="207">
        <v>50.633000000000003</v>
      </c>
      <c r="F144" s="207">
        <v>19.103999999999999</v>
      </c>
      <c r="G144" s="207">
        <v>100.724</v>
      </c>
      <c r="H144" s="207">
        <v>1.157</v>
      </c>
    </row>
    <row r="145" spans="1:12" x14ac:dyDescent="0.25">
      <c r="A145" s="129" t="s">
        <v>297</v>
      </c>
      <c r="B145" s="211">
        <v>2002</v>
      </c>
      <c r="C145" s="207">
        <v>172.994</v>
      </c>
      <c r="D145" s="212">
        <f>AVERAGE(D157:D162)/AVERAGE(C157:C162)*C145</f>
        <v>179.03834745229852</v>
      </c>
      <c r="E145" s="207">
        <v>51.244</v>
      </c>
      <c r="F145" s="207">
        <v>19.504000000000001</v>
      </c>
      <c r="G145" s="207">
        <v>101.134</v>
      </c>
      <c r="H145" s="207">
        <v>1.1120000000000001</v>
      </c>
    </row>
    <row r="146" spans="1:12" x14ac:dyDescent="0.25">
      <c r="A146" s="129" t="s">
        <v>297</v>
      </c>
      <c r="B146" s="211">
        <v>2003</v>
      </c>
      <c r="C146" s="207">
        <v>174.691</v>
      </c>
      <c r="D146" s="212">
        <f>AVERAGE(D157:D162)/AVERAGE(C157:C162)*C146</f>
        <v>180.79464001519983</v>
      </c>
      <c r="E146" s="207">
        <v>51.814999999999998</v>
      </c>
      <c r="F146" s="207">
        <v>19.692</v>
      </c>
      <c r="G146" s="207">
        <v>102.09699999999999</v>
      </c>
      <c r="H146" s="207">
        <v>1.087</v>
      </c>
    </row>
    <row r="147" spans="1:12" x14ac:dyDescent="0.25">
      <c r="A147" s="129" t="s">
        <v>297</v>
      </c>
      <c r="B147" s="211">
        <v>2004</v>
      </c>
      <c r="C147" s="207">
        <v>177.65899999999999</v>
      </c>
      <c r="D147" s="212">
        <f>AVERAGE(D157:D162)/AVERAGE(C157:C162)*C147</f>
        <v>183.86634085591351</v>
      </c>
      <c r="E147" s="207">
        <v>52.53</v>
      </c>
      <c r="F147" s="207">
        <v>19.838999999999999</v>
      </c>
      <c r="G147" s="207">
        <v>104.19</v>
      </c>
      <c r="H147" s="207">
        <v>1.1000000000000001</v>
      </c>
    </row>
    <row r="148" spans="1:12" x14ac:dyDescent="0.25">
      <c r="A148" s="129" t="s">
        <v>297</v>
      </c>
      <c r="B148" s="211">
        <v>2005</v>
      </c>
      <c r="C148" s="207">
        <v>178.43700000000001</v>
      </c>
      <c r="D148" s="212">
        <f>AVERAGE(D157:D162)/AVERAGE(C157:C162)*C148</f>
        <v>184.67152389300088</v>
      </c>
      <c r="E148" s="207">
        <v>53.231000000000002</v>
      </c>
      <c r="F148" s="207">
        <v>20.007000000000001</v>
      </c>
      <c r="G148" s="207">
        <v>104.113</v>
      </c>
      <c r="H148" s="207">
        <v>1.0860000000000001</v>
      </c>
    </row>
    <row r="149" spans="1:12" x14ac:dyDescent="0.25">
      <c r="A149" s="129" t="s">
        <v>297</v>
      </c>
      <c r="B149" s="211">
        <v>2006</v>
      </c>
      <c r="C149" s="207">
        <v>177.024</v>
      </c>
      <c r="D149" s="212">
        <f>AVERAGE(D157:D162)/AVERAGE(C157:C162)*C149</f>
        <v>183.20915418682551</v>
      </c>
      <c r="E149" s="207">
        <v>53.499000000000002</v>
      </c>
      <c r="F149" s="207">
        <v>19.634</v>
      </c>
      <c r="G149" s="207">
        <v>102.824</v>
      </c>
      <c r="H149" s="207">
        <v>1.0669999999999999</v>
      </c>
    </row>
    <row r="150" spans="1:12" x14ac:dyDescent="0.25">
      <c r="A150" s="129" t="s">
        <v>297</v>
      </c>
      <c r="B150" s="211">
        <v>2007</v>
      </c>
      <c r="C150" s="207">
        <v>176.929</v>
      </c>
      <c r="D150" s="212">
        <f>AVERAGE(D157:D162)/AVERAGE(C157:C162)*C150</f>
        <v>183.11083492137141</v>
      </c>
      <c r="E150" s="207">
        <v>54.048000000000002</v>
      </c>
      <c r="F150" s="207">
        <v>19.541</v>
      </c>
      <c r="G150" s="207">
        <v>102.276</v>
      </c>
      <c r="H150" s="207">
        <v>1.0640000000000001</v>
      </c>
    </row>
    <row r="151" spans="1:12" x14ac:dyDescent="0.25">
      <c r="A151" s="129" t="s">
        <v>297</v>
      </c>
      <c r="B151" s="211">
        <v>2008</v>
      </c>
      <c r="C151" s="207">
        <v>175.45400000000001</v>
      </c>
      <c r="D151" s="212">
        <f>AVERAGE(D157:D162)/AVERAGE(C157:C162)*C151</f>
        <v>181.58429895774182</v>
      </c>
      <c r="E151" s="207">
        <v>54.042999999999999</v>
      </c>
      <c r="F151" s="207">
        <v>20.079999999999998</v>
      </c>
      <c r="G151" s="207">
        <v>100.369</v>
      </c>
      <c r="H151" s="207">
        <v>0.96199999999999997</v>
      </c>
    </row>
    <row r="152" spans="1:12" x14ac:dyDescent="0.25">
      <c r="A152" s="129" t="s">
        <v>297</v>
      </c>
      <c r="B152" s="211">
        <v>2009</v>
      </c>
      <c r="C152" s="207">
        <v>173.72799999999998</v>
      </c>
      <c r="D152" s="212">
        <f>AVERAGE(D157:D162)/AVERAGE(C157:C162)*C152</f>
        <v>179.79799314538604</v>
      </c>
      <c r="E152" s="207">
        <v>53.723999999999997</v>
      </c>
      <c r="F152" s="207">
        <v>20.5</v>
      </c>
      <c r="G152" s="207">
        <v>98.581999999999994</v>
      </c>
      <c r="H152" s="207">
        <v>0.92200000000000004</v>
      </c>
    </row>
    <row r="153" spans="1:12" x14ac:dyDescent="0.25">
      <c r="A153" s="129" t="s">
        <v>297</v>
      </c>
      <c r="B153" s="211">
        <v>2010</v>
      </c>
      <c r="C153" s="207">
        <v>171.20299999999997</v>
      </c>
      <c r="D153" s="212">
        <f>AVERAGE(D157:D162)/AVERAGE(C157:C162)*C153</f>
        <v>177.18477056357943</v>
      </c>
      <c r="E153" s="207">
        <v>52.844999999999999</v>
      </c>
      <c r="F153" s="207">
        <v>20.817</v>
      </c>
      <c r="G153" s="207">
        <v>96.626999999999995</v>
      </c>
      <c r="H153" s="207">
        <v>0.91400000000000003</v>
      </c>
    </row>
    <row r="154" spans="1:12" x14ac:dyDescent="0.25">
      <c r="A154" s="129" t="s">
        <v>297</v>
      </c>
      <c r="B154" s="211">
        <v>2011</v>
      </c>
      <c r="C154" s="207">
        <v>168.06200000000001</v>
      </c>
      <c r="D154" s="212">
        <f>AVERAGE(D157:D162)/AVERAGE(C157:C162)*C154</f>
        <v>173.93402516577567</v>
      </c>
      <c r="E154" s="207">
        <v>51.401000000000003</v>
      </c>
      <c r="F154" s="207">
        <v>21.317</v>
      </c>
      <c r="G154" s="207">
        <v>94.421999999999997</v>
      </c>
      <c r="H154" s="207">
        <v>0.92200000000000004</v>
      </c>
    </row>
    <row r="155" spans="1:12" x14ac:dyDescent="0.25">
      <c r="A155" s="129" t="s">
        <v>297</v>
      </c>
      <c r="B155" s="211">
        <v>2012</v>
      </c>
      <c r="C155" s="207">
        <v>166.297</v>
      </c>
      <c r="D155" s="212">
        <f>AVERAGE(D157:D162)/AVERAGE(C157:C162)*C155</f>
        <v>172.10735670760192</v>
      </c>
      <c r="E155" s="207">
        <v>50.396000000000001</v>
      </c>
      <c r="F155" s="207">
        <v>21.861999999999998</v>
      </c>
      <c r="G155" s="207">
        <v>93.055000000000007</v>
      </c>
      <c r="H155" s="207">
        <v>0.98399999999999999</v>
      </c>
    </row>
    <row r="156" spans="1:12" x14ac:dyDescent="0.25">
      <c r="A156" s="129" t="s">
        <v>297</v>
      </c>
      <c r="B156" s="211">
        <v>2013</v>
      </c>
      <c r="C156" s="207">
        <v>164.46100000000001</v>
      </c>
      <c r="D156" s="212">
        <f>AVERAGE(D157:D162)/AVERAGE(C157:C162)*C156</f>
        <v>170.20720753524671</v>
      </c>
      <c r="E156" s="207">
        <v>49.432000000000002</v>
      </c>
      <c r="F156" s="207">
        <v>22.108000000000001</v>
      </c>
      <c r="G156" s="207">
        <v>91.897000000000006</v>
      </c>
      <c r="H156" s="207">
        <v>1.024</v>
      </c>
    </row>
    <row r="157" spans="1:12" x14ac:dyDescent="0.25">
      <c r="A157" s="129" t="s">
        <v>297</v>
      </c>
      <c r="B157" s="211">
        <v>2014</v>
      </c>
      <c r="C157" s="207">
        <v>163.05099999999999</v>
      </c>
      <c r="D157" s="207">
        <v>168.64</v>
      </c>
      <c r="E157" s="207">
        <v>49.226999999999997</v>
      </c>
      <c r="F157" s="207">
        <v>22.779</v>
      </c>
      <c r="G157" s="207">
        <v>90</v>
      </c>
      <c r="H157" s="207">
        <v>1.0449999999999999</v>
      </c>
      <c r="I157" s="207">
        <v>51.198999999999998</v>
      </c>
      <c r="J157" s="207">
        <v>23.204000000000001</v>
      </c>
      <c r="K157" s="207">
        <v>93.156000000000006</v>
      </c>
      <c r="L157" s="207">
        <v>1.081</v>
      </c>
    </row>
    <row r="158" spans="1:12" x14ac:dyDescent="0.25">
      <c r="A158" s="129" t="s">
        <v>297</v>
      </c>
      <c r="B158" s="211">
        <v>2015</v>
      </c>
      <c r="C158" s="207">
        <v>162.696</v>
      </c>
      <c r="D158" s="207">
        <v>168.22</v>
      </c>
      <c r="E158" s="207">
        <v>48.67</v>
      </c>
      <c r="F158" s="207">
        <v>23.574999999999999</v>
      </c>
      <c r="G158" s="207">
        <v>89.382999999999996</v>
      </c>
      <c r="H158" s="207">
        <v>1.0680000000000001</v>
      </c>
      <c r="I158" s="207">
        <v>50.564</v>
      </c>
      <c r="J158" s="207">
        <v>24.010999999999999</v>
      </c>
      <c r="K158" s="207">
        <v>92.546000000000006</v>
      </c>
      <c r="L158" s="207">
        <v>1.099</v>
      </c>
    </row>
    <row r="159" spans="1:12" x14ac:dyDescent="0.25">
      <c r="A159" s="129" t="s">
        <v>297</v>
      </c>
      <c r="B159" s="211">
        <v>2016</v>
      </c>
      <c r="C159" s="207">
        <v>161.5</v>
      </c>
      <c r="D159" s="207">
        <v>167.05600000000001</v>
      </c>
      <c r="E159" s="207">
        <v>47.691000000000003</v>
      </c>
      <c r="F159" s="207">
        <v>24.071999999999999</v>
      </c>
      <c r="G159" s="207">
        <v>88.673000000000002</v>
      </c>
      <c r="H159" s="207">
        <v>1.0640000000000001</v>
      </c>
      <c r="I159" s="207">
        <v>49.615000000000002</v>
      </c>
      <c r="J159" s="207">
        <v>24.52</v>
      </c>
      <c r="K159" s="207">
        <v>91.823999999999998</v>
      </c>
      <c r="L159" s="207">
        <v>1.097</v>
      </c>
    </row>
    <row r="160" spans="1:12" x14ac:dyDescent="0.25">
      <c r="A160" s="129" t="s">
        <v>297</v>
      </c>
      <c r="B160" s="211">
        <v>2017</v>
      </c>
      <c r="C160" s="207">
        <v>158.43199999999999</v>
      </c>
      <c r="D160" s="207">
        <v>164.02600000000001</v>
      </c>
      <c r="E160" s="207">
        <v>46.731000000000002</v>
      </c>
      <c r="F160" s="207">
        <v>24.097999999999999</v>
      </c>
      <c r="G160" s="207">
        <v>86.522000000000006</v>
      </c>
      <c r="H160" s="207">
        <v>1.081</v>
      </c>
      <c r="I160" s="207">
        <v>48.695999999999998</v>
      </c>
      <c r="J160" s="207">
        <v>24.588999999999999</v>
      </c>
      <c r="K160" s="207">
        <v>89.623999999999995</v>
      </c>
      <c r="L160" s="207">
        <v>1.117</v>
      </c>
    </row>
    <row r="161" spans="1:12" x14ac:dyDescent="0.25">
      <c r="A161" s="129" t="s">
        <v>297</v>
      </c>
      <c r="B161" s="211">
        <v>2018</v>
      </c>
      <c r="C161" s="207">
        <v>154.99</v>
      </c>
      <c r="D161" s="207">
        <v>160.51900000000001</v>
      </c>
      <c r="E161" s="207">
        <v>45.304000000000002</v>
      </c>
      <c r="F161" s="207">
        <v>24.068000000000001</v>
      </c>
      <c r="G161" s="207">
        <v>84.525000000000006</v>
      </c>
      <c r="H161" s="207">
        <v>1.093</v>
      </c>
      <c r="I161" s="207">
        <v>47.32</v>
      </c>
      <c r="J161" s="207">
        <v>24.574999999999999</v>
      </c>
      <c r="K161" s="207">
        <v>87.498999999999995</v>
      </c>
      <c r="L161" s="207">
        <v>1.125</v>
      </c>
    </row>
    <row r="162" spans="1:12" x14ac:dyDescent="0.25">
      <c r="A162" s="129" t="s">
        <v>297</v>
      </c>
      <c r="B162" s="211">
        <v>2019</v>
      </c>
      <c r="C162" s="207">
        <v>151.97399999999999</v>
      </c>
      <c r="D162" s="207">
        <v>157.46700000000001</v>
      </c>
      <c r="E162" s="207">
        <v>44.302</v>
      </c>
      <c r="F162" s="207">
        <v>24.026</v>
      </c>
      <c r="G162" s="207">
        <v>82.582999999999998</v>
      </c>
      <c r="H162" s="207">
        <v>1.0629999999999999</v>
      </c>
      <c r="I162" s="207">
        <v>46.335000000000001</v>
      </c>
      <c r="J162" s="207">
        <v>24.573</v>
      </c>
      <c r="K162" s="207">
        <v>85.459000000000003</v>
      </c>
      <c r="L162" s="207">
        <v>1.1000000000000001</v>
      </c>
    </row>
  </sheetData>
  <sheetProtection algorithmName="SHA-512" hashValue="9lbs3Hdd5kR0JCeeIb2DADNf6TpYcbVRIoWYKUlUjQCjRmABq20DqEAzl11GcbXYH4dkgtt6Vjgf2Ep4DqbLSg==" saltValue="NuUmP2X/Bp018i7iVwnB+Q==" spinCount="100000" sheet="1" objects="1" scenarios="1"/>
  <hyperlinks>
    <hyperlink ref="P5" r:id="rId1" display="https://www.gov.uk/government/statistical-data-sets/veh05-licensed-heavy-goods-vehicles"/>
    <hyperlink ref="E57" r:id="rId2" display="https://www.gov.uk/government/statistical-data-sets/veh02-licensed-cars"/>
    <hyperlink ref="E83" r:id="rId3" display="https://www.gov.uk/government/statistical-data-sets/veh03"/>
    <hyperlink ref="M137" r:id="rId4" display="https://www.gov.uk/government/statistical-data-sets/veh06-licensed-buses-and-coaches"/>
    <hyperlink ref="E109" r:id="rId5" display="https://www.gov.uk/government/statistical-data-sets/veh04-licensed-light-goods-vehicles"/>
    <hyperlink ref="C1" r:id="rId6" display="https://www.gov.uk/government/collections/vehicles-statist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x14ac:dyDescent="0.25"/>
  <cols>
    <col min="3" max="4" width="12.140625" customWidth="1"/>
    <col min="5" max="5" width="12.85546875" customWidth="1"/>
    <col min="6" max="6" width="12.140625" customWidth="1"/>
    <col min="8" max="8" width="11.42578125" customWidth="1"/>
  </cols>
  <sheetData>
    <row r="1" spans="1:9" x14ac:dyDescent="0.25">
      <c r="A1" s="1" t="s">
        <v>300</v>
      </c>
      <c r="G1" t="s">
        <v>301</v>
      </c>
    </row>
    <row r="2" spans="1:9" x14ac:dyDescent="0.25">
      <c r="A2" t="s">
        <v>302</v>
      </c>
      <c r="G2" s="24" t="s">
        <v>303</v>
      </c>
    </row>
    <row r="3" spans="1:9" x14ac:dyDescent="0.25">
      <c r="A3" t="s">
        <v>210</v>
      </c>
      <c r="G3" s="213" t="s">
        <v>304</v>
      </c>
    </row>
    <row r="5" spans="1:9" ht="15.75" thickBot="1" x14ac:dyDescent="0.3"/>
    <row r="6" spans="1:9" x14ac:dyDescent="0.25">
      <c r="A6" s="214"/>
      <c r="B6" s="215"/>
      <c r="C6" s="215"/>
      <c r="D6" s="215"/>
      <c r="E6" s="215" t="s">
        <v>305</v>
      </c>
      <c r="F6" s="216"/>
      <c r="G6" s="216"/>
      <c r="H6" s="217" t="s">
        <v>306</v>
      </c>
      <c r="I6" s="196"/>
    </row>
    <row r="7" spans="1:9" ht="39.75" thickBot="1" x14ac:dyDescent="0.3">
      <c r="A7" s="218"/>
      <c r="B7" s="219" t="s">
        <v>2</v>
      </c>
      <c r="C7" s="219" t="s">
        <v>188</v>
      </c>
      <c r="D7" s="220" t="s">
        <v>245</v>
      </c>
      <c r="E7" s="221" t="s">
        <v>247</v>
      </c>
      <c r="F7" s="219" t="s">
        <v>3</v>
      </c>
      <c r="G7" s="219" t="s">
        <v>41</v>
      </c>
      <c r="H7" s="222" t="s">
        <v>307</v>
      </c>
      <c r="I7" s="196"/>
    </row>
    <row r="8" spans="1:9" x14ac:dyDescent="0.25">
      <c r="A8" s="223">
        <v>1994</v>
      </c>
      <c r="B8" s="224">
        <v>345</v>
      </c>
      <c r="C8" s="224">
        <v>43.3</v>
      </c>
      <c r="D8" s="224"/>
      <c r="E8" s="224"/>
      <c r="F8" s="224">
        <v>3.8</v>
      </c>
      <c r="G8" s="224">
        <v>4.5999999999999996</v>
      </c>
      <c r="H8" s="225">
        <v>421.5</v>
      </c>
      <c r="I8" s="129"/>
    </row>
    <row r="9" spans="1:9" x14ac:dyDescent="0.25">
      <c r="A9" s="223">
        <v>1995</v>
      </c>
      <c r="B9" s="224">
        <v>351.1</v>
      </c>
      <c r="C9" s="224">
        <v>44.5</v>
      </c>
      <c r="D9" s="224"/>
      <c r="E9" s="224"/>
      <c r="F9" s="224">
        <v>3.7</v>
      </c>
      <c r="G9" s="224">
        <v>4.9000000000000004</v>
      </c>
      <c r="H9" s="225">
        <v>429.7</v>
      </c>
      <c r="I9" s="129"/>
    </row>
    <row r="10" spans="1:9" x14ac:dyDescent="0.25">
      <c r="A10" s="223">
        <v>1996</v>
      </c>
      <c r="B10" s="224">
        <v>359.9</v>
      </c>
      <c r="C10" s="224">
        <v>46.2</v>
      </c>
      <c r="D10" s="224"/>
      <c r="E10" s="224"/>
      <c r="F10" s="224">
        <v>3.8</v>
      </c>
      <c r="G10" s="224">
        <v>5</v>
      </c>
      <c r="H10" s="225">
        <v>441.1</v>
      </c>
      <c r="I10" s="129"/>
    </row>
    <row r="11" spans="1:9" x14ac:dyDescent="0.25">
      <c r="A11" s="223">
        <v>1997</v>
      </c>
      <c r="B11" s="224">
        <v>365.8</v>
      </c>
      <c r="C11" s="224">
        <v>48.6</v>
      </c>
      <c r="D11" s="224"/>
      <c r="E11" s="224"/>
      <c r="F11" s="224">
        <v>4</v>
      </c>
      <c r="G11" s="224">
        <v>5.2</v>
      </c>
      <c r="H11" s="225">
        <v>450.3</v>
      </c>
      <c r="I11" s="129"/>
    </row>
    <row r="12" spans="1:9" x14ac:dyDescent="0.25">
      <c r="A12" s="223">
        <v>1998</v>
      </c>
      <c r="B12" s="224">
        <v>370.6</v>
      </c>
      <c r="C12" s="224">
        <v>50.8</v>
      </c>
      <c r="D12" s="224"/>
      <c r="E12" s="224"/>
      <c r="F12" s="224">
        <v>4.0999999999999996</v>
      </c>
      <c r="G12" s="224">
        <v>5.2</v>
      </c>
      <c r="H12" s="225">
        <v>458.5</v>
      </c>
      <c r="I12" s="129"/>
    </row>
    <row r="13" spans="1:9" x14ac:dyDescent="0.25">
      <c r="A13" s="223">
        <v>1999</v>
      </c>
      <c r="B13" s="224">
        <v>377.4</v>
      </c>
      <c r="C13" s="224">
        <v>51.6</v>
      </c>
      <c r="D13" s="224"/>
      <c r="E13" s="224"/>
      <c r="F13" s="224">
        <v>4.5</v>
      </c>
      <c r="G13" s="224">
        <v>5.3</v>
      </c>
      <c r="H13" s="225">
        <v>467</v>
      </c>
      <c r="I13" s="129"/>
    </row>
    <row r="14" spans="1:9" x14ac:dyDescent="0.25">
      <c r="A14" s="223">
        <v>2000</v>
      </c>
      <c r="B14" s="224">
        <v>376</v>
      </c>
      <c r="C14" s="224">
        <v>52.2</v>
      </c>
      <c r="D14" s="224"/>
      <c r="E14" s="224"/>
      <c r="F14" s="224">
        <v>4.5999999999999996</v>
      </c>
      <c r="G14" s="224">
        <v>5.0999999999999996</v>
      </c>
      <c r="H14" s="225">
        <v>466.2</v>
      </c>
      <c r="I14" s="129"/>
    </row>
    <row r="15" spans="1:9" x14ac:dyDescent="0.25">
      <c r="A15" s="223">
        <v>2001</v>
      </c>
      <c r="B15" s="224">
        <v>381.2</v>
      </c>
      <c r="C15" s="224">
        <v>53.4</v>
      </c>
      <c r="D15" s="224"/>
      <c r="E15" s="224"/>
      <c r="F15" s="224">
        <v>4.8</v>
      </c>
      <c r="G15" s="224">
        <v>5.0999999999999996</v>
      </c>
      <c r="H15" s="225">
        <v>472.6</v>
      </c>
      <c r="I15" s="129"/>
    </row>
    <row r="16" spans="1:9" x14ac:dyDescent="0.25">
      <c r="A16" s="223">
        <v>2002</v>
      </c>
      <c r="B16" s="224">
        <v>390.6</v>
      </c>
      <c r="C16" s="224">
        <v>54.7</v>
      </c>
      <c r="D16" s="224"/>
      <c r="E16" s="224"/>
      <c r="F16" s="224">
        <v>5</v>
      </c>
      <c r="G16" s="224">
        <v>5.2</v>
      </c>
      <c r="H16" s="225">
        <v>483.7</v>
      </c>
      <c r="I16" s="129"/>
    </row>
    <row r="17" spans="1:9" x14ac:dyDescent="0.25">
      <c r="A17" s="223">
        <v>2003</v>
      </c>
      <c r="B17" s="224">
        <v>390</v>
      </c>
      <c r="C17" s="224">
        <v>57.4</v>
      </c>
      <c r="D17" s="224"/>
      <c r="E17" s="224"/>
      <c r="F17" s="224">
        <v>5.6</v>
      </c>
      <c r="G17" s="224">
        <v>5.3</v>
      </c>
      <c r="H17" s="225">
        <v>486.7</v>
      </c>
      <c r="I17" s="129"/>
    </row>
    <row r="18" spans="1:9" x14ac:dyDescent="0.25">
      <c r="A18" s="223">
        <v>2004</v>
      </c>
      <c r="B18" s="224">
        <v>394.2</v>
      </c>
      <c r="C18" s="224">
        <v>60.2</v>
      </c>
      <c r="D18" s="224"/>
      <c r="E18" s="224"/>
      <c r="F18" s="224">
        <v>5.0999999999999996</v>
      </c>
      <c r="G18" s="224">
        <v>5.0999999999999996</v>
      </c>
      <c r="H18" s="225">
        <v>493.9</v>
      </c>
      <c r="I18" s="129"/>
    </row>
    <row r="19" spans="1:9" x14ac:dyDescent="0.25">
      <c r="A19" s="223">
        <v>2005</v>
      </c>
      <c r="B19" s="224">
        <v>392.7</v>
      </c>
      <c r="C19" s="224">
        <v>61.8</v>
      </c>
      <c r="D19" s="224"/>
      <c r="E19" s="224"/>
      <c r="F19" s="224">
        <v>5.3</v>
      </c>
      <c r="G19" s="224">
        <v>5.0999999999999996</v>
      </c>
      <c r="H19" s="225">
        <v>493.9</v>
      </c>
      <c r="I19" s="129"/>
    </row>
    <row r="20" spans="1:9" x14ac:dyDescent="0.25">
      <c r="A20" s="223">
        <v>2006</v>
      </c>
      <c r="B20" s="224">
        <v>397.4</v>
      </c>
      <c r="C20" s="224">
        <v>64.3</v>
      </c>
      <c r="D20" s="224"/>
      <c r="E20" s="224"/>
      <c r="F20" s="224">
        <v>5.0999999999999996</v>
      </c>
      <c r="G20" s="224">
        <v>5.3</v>
      </c>
      <c r="H20" s="225">
        <v>501.1</v>
      </c>
      <c r="I20" s="129"/>
    </row>
    <row r="21" spans="1:9" x14ac:dyDescent="0.25">
      <c r="A21" s="223">
        <v>2007</v>
      </c>
      <c r="B21" s="224">
        <v>397.9</v>
      </c>
      <c r="C21" s="224">
        <v>67.400000000000006</v>
      </c>
      <c r="D21" s="224"/>
      <c r="E21" s="224"/>
      <c r="F21" s="224">
        <v>5.5</v>
      </c>
      <c r="G21" s="224">
        <v>5.4</v>
      </c>
      <c r="H21" s="225">
        <v>505.4</v>
      </c>
      <c r="I21" s="129"/>
    </row>
    <row r="22" spans="1:9" x14ac:dyDescent="0.25">
      <c r="A22" s="223">
        <v>2008</v>
      </c>
      <c r="B22" s="224">
        <v>395</v>
      </c>
      <c r="C22" s="224">
        <v>66.900000000000006</v>
      </c>
      <c r="D22" s="224"/>
      <c r="E22" s="224"/>
      <c r="F22" s="224">
        <v>5</v>
      </c>
      <c r="G22" s="224">
        <v>5</v>
      </c>
      <c r="H22" s="225">
        <v>500.6</v>
      </c>
      <c r="I22" s="129"/>
    </row>
    <row r="23" spans="1:9" x14ac:dyDescent="0.25">
      <c r="A23" s="223">
        <v>2009</v>
      </c>
      <c r="B23" s="224">
        <v>394</v>
      </c>
      <c r="C23" s="224">
        <v>65.5</v>
      </c>
      <c r="D23" s="224"/>
      <c r="E23" s="224"/>
      <c r="F23" s="224">
        <v>5.0999999999999996</v>
      </c>
      <c r="G23" s="224">
        <v>5</v>
      </c>
      <c r="H23" s="225">
        <v>495.8</v>
      </c>
      <c r="I23" s="129"/>
    </row>
    <row r="24" spans="1:9" x14ac:dyDescent="0.25">
      <c r="A24" s="226">
        <v>2010</v>
      </c>
      <c r="B24" s="224">
        <v>389.2</v>
      </c>
      <c r="C24" s="224">
        <v>66.7</v>
      </c>
      <c r="D24" s="224">
        <f ca="1">VLOOKUP($G$3,
    OFFSET(INDIRECT(ADDRESS(MATCH($A24,'Extraction of HGV annual dist'!$A$11:$A$170,0),1,1,1,$G$2)),10,1,COUNTIF('Extraction of HGV annual dist'!$A$11:$A$170,'Annual distance covered (GB)'!$A24),12),
    MATCH(D$7,'Extraction of HGV annual dist'!$B$10:$M$10,0),0)</f>
        <v>12.4</v>
      </c>
      <c r="E24" s="224">
        <f ca="1">VLOOKUP($G$3,
    OFFSET(INDIRECT(ADDRESS(MATCH($A24,'Extraction of HGV annual dist'!$A$11:$A$170,0),1,1,1,$G$2)),10,1,COUNTIF('Extraction of HGV annual dist'!$A$11:$A$170,'Annual distance covered (GB)'!$A24),12),
    MATCH(E$7,'Extraction of HGV annual dist'!$B$10:$M$10,0),0)</f>
        <v>15.6</v>
      </c>
      <c r="F24" s="224">
        <v>4.7</v>
      </c>
      <c r="G24" s="224">
        <v>5.0999999999999996</v>
      </c>
      <c r="H24" s="225">
        <v>492.1</v>
      </c>
      <c r="I24" s="129"/>
    </row>
    <row r="25" spans="1:9" x14ac:dyDescent="0.25">
      <c r="A25" s="226">
        <v>2011</v>
      </c>
      <c r="B25" s="224">
        <v>393.2</v>
      </c>
      <c r="C25" s="224">
        <v>67.599999999999994</v>
      </c>
      <c r="D25" s="224">
        <f ca="1">VLOOKUP($G$3,
    OFFSET(INDIRECT(ADDRESS(MATCH($A25,'Extraction of HGV annual dist'!$A$11:$A$170,0),1,1,1,$G$2)),10,1,COUNTIF('Extraction of HGV annual dist'!$A$11:$A$170,'Annual distance covered (GB)'!$A25),12),
    MATCH(D$7,'Extraction of HGV annual dist'!$B$10:$M$10,0),0)</f>
        <v>12.4</v>
      </c>
      <c r="E25" s="224">
        <f ca="1">VLOOKUP($G$3,
    OFFSET(INDIRECT(ADDRESS(MATCH($A25,'Extraction of HGV annual dist'!$A$11:$A$170,0),1,1,1,$G$2)),10,1,COUNTIF('Extraction of HGV annual dist'!$A$11:$A$170,'Annual distance covered (GB)'!$A25),12),
    MATCH(E$7,'Extraction of HGV annual dist'!$B$10:$M$10,0),0)</f>
        <v>15.6</v>
      </c>
      <c r="F25" s="224">
        <v>4.7</v>
      </c>
      <c r="G25" s="224">
        <v>4.7</v>
      </c>
      <c r="H25" s="225">
        <v>496.1</v>
      </c>
      <c r="I25" s="129"/>
    </row>
    <row r="26" spans="1:9" x14ac:dyDescent="0.25">
      <c r="A26" s="227">
        <v>2012</v>
      </c>
      <c r="B26" s="224">
        <v>395.1</v>
      </c>
      <c r="C26" s="224">
        <v>67.900000000000006</v>
      </c>
      <c r="D26" s="224">
        <f ca="1">VLOOKUP($G$3,
    OFFSET(INDIRECT(ADDRESS(MATCH($A26,'Extraction of HGV annual dist'!$A$11:$A$170,0),1,1,1,$G$2)),10,1,COUNTIF('Extraction of HGV annual dist'!$A$11:$A$170,'Annual distance covered (GB)'!$A26),12),
    MATCH(D$7,'Extraction of HGV annual dist'!$B$10:$M$10,0),0)</f>
        <v>12.4</v>
      </c>
      <c r="E26" s="224">
        <f ca="1">VLOOKUP($G$3,
    OFFSET(INDIRECT(ADDRESS(MATCH($A26,'Extraction of HGV annual dist'!$A$11:$A$170,0),1,1,1,$G$2)),10,1,COUNTIF('Extraction of HGV annual dist'!$A$11:$A$170,'Annual distance covered (GB)'!$A26),12),
    MATCH(E$7,'Extraction of HGV annual dist'!$B$10:$M$10,0),0)</f>
        <v>15.6</v>
      </c>
      <c r="F26" s="224">
        <v>4.7</v>
      </c>
      <c r="G26" s="224">
        <v>4.5</v>
      </c>
      <c r="H26" s="225">
        <v>497.3</v>
      </c>
      <c r="I26" s="129"/>
    </row>
    <row r="27" spans="1:9" x14ac:dyDescent="0.25">
      <c r="A27" s="227">
        <v>2013</v>
      </c>
      <c r="B27" s="224">
        <v>396.9</v>
      </c>
      <c r="C27" s="224">
        <v>70.5</v>
      </c>
      <c r="D27" s="224">
        <f ca="1">VLOOKUP($G$3,
    OFFSET(INDIRECT(ADDRESS(MATCH($A27,'Extraction of HGV annual dist'!$A$11:$A$170,0),1,1,1,$G$2)),10,1,COUNTIF('Extraction of HGV annual dist'!$A$11:$A$170,'Annual distance covered (GB)'!$A27),12),
    MATCH(D$7,'Extraction of HGV annual dist'!$B$10:$M$10,0),0)</f>
        <v>12.4</v>
      </c>
      <c r="E27" s="224">
        <f ca="1">VLOOKUP($G$3,
    OFFSET(INDIRECT(ADDRESS(MATCH($A27,'Extraction of HGV annual dist'!$A$11:$A$170,0),1,1,1,$G$2)),10,1,COUNTIF('Extraction of HGV annual dist'!$A$11:$A$170,'Annual distance covered (GB)'!$A27),12),
    MATCH(E$7,'Extraction of HGV annual dist'!$B$10:$M$10,0),0)</f>
        <v>15.6</v>
      </c>
      <c r="F27" s="224">
        <v>4.5</v>
      </c>
      <c r="G27" s="224">
        <v>4.7</v>
      </c>
      <c r="H27" s="225">
        <v>502</v>
      </c>
      <c r="I27" s="129"/>
    </row>
    <row r="28" spans="1:9" x14ac:dyDescent="0.25">
      <c r="A28" s="227">
        <v>2014</v>
      </c>
      <c r="B28" s="224">
        <v>408</v>
      </c>
      <c r="C28" s="224">
        <v>75</v>
      </c>
      <c r="D28" s="224">
        <f ca="1">VLOOKUP($G$3,
    OFFSET(INDIRECT(ADDRESS(MATCH($A28,'Extraction of HGV annual dist'!$A$11:$A$170,0),1,1,1,$G$2)),10,1,COUNTIF('Extraction of HGV annual dist'!$A$11:$A$170,'Annual distance covered (GB)'!$A28),12),
    MATCH(D$7,'Extraction of HGV annual dist'!$B$10:$M$10,0),0)</f>
        <v>12.4</v>
      </c>
      <c r="E28" s="224">
        <f ca="1">VLOOKUP($G$3,
    OFFSET(INDIRECT(ADDRESS(MATCH($A28,'Extraction of HGV annual dist'!$A$11:$A$170,0),1,1,1,$G$2)),10,1,COUNTIF('Extraction of HGV annual dist'!$A$11:$A$170,'Annual distance covered (GB)'!$A28),12),
    MATCH(E$7,'Extraction of HGV annual dist'!$B$10:$M$10,0),0)</f>
        <v>13.7</v>
      </c>
      <c r="F28" s="224">
        <v>4.7</v>
      </c>
      <c r="G28" s="224">
        <v>4.7</v>
      </c>
      <c r="H28" s="225">
        <v>518.5</v>
      </c>
      <c r="I28" s="129"/>
    </row>
    <row r="29" spans="1:9" x14ac:dyDescent="0.25">
      <c r="A29" s="226">
        <v>2015</v>
      </c>
      <c r="B29" s="224">
        <v>415.4</v>
      </c>
      <c r="C29" s="224">
        <v>78.7</v>
      </c>
      <c r="D29" s="224">
        <f ca="1">VLOOKUP($G$3,
    OFFSET(INDIRECT(ADDRESS(MATCH($A29,'Extraction of HGV annual dist'!$A$11:$A$170,0),1,1,1,$G$2)),10,1,COUNTIF('Extraction of HGV annual dist'!$A$11:$A$170,'Annual distance covered (GB)'!$A29),12),
    MATCH(D$7,'Extraction of HGV annual dist'!$B$10:$M$10,0),0)</f>
        <v>12.8</v>
      </c>
      <c r="E29" s="224">
        <f ca="1">VLOOKUP($G$3,
    OFFSET(INDIRECT(ADDRESS(MATCH($A29,'Extraction of HGV annual dist'!$A$11:$A$170,0),1,1,1,$G$2)),10,1,COUNTIF('Extraction of HGV annual dist'!$A$11:$A$170,'Annual distance covered (GB)'!$A29),12),
    MATCH(E$7,'Extraction of HGV annual dist'!$B$10:$M$10,0),0)</f>
        <v>14.3</v>
      </c>
      <c r="F29" s="224">
        <v>4.7</v>
      </c>
      <c r="G29" s="224">
        <v>4.5</v>
      </c>
      <c r="H29" s="225">
        <v>530.4</v>
      </c>
      <c r="I29" s="129"/>
    </row>
    <row r="30" spans="1:9" x14ac:dyDescent="0.25">
      <c r="A30" s="226">
        <v>2016</v>
      </c>
      <c r="B30" s="224">
        <v>424.7</v>
      </c>
      <c r="C30" s="224">
        <v>83.1</v>
      </c>
      <c r="D30" s="224">
        <f ca="1">VLOOKUP($G$3,
    OFFSET(INDIRECT(ADDRESS(MATCH($A30,'Extraction of HGV annual dist'!$A$11:$A$170,0),1,1,1,$G$2)),10,1,COUNTIF('Extraction of HGV annual dist'!$A$11:$A$170,'Annual distance covered (GB)'!$A30),12),
    MATCH(D$7,'Extraction of HGV annual dist'!$B$10:$M$10,0),0)</f>
        <v>12.8</v>
      </c>
      <c r="E30" s="224">
        <f ca="1">VLOOKUP($G$3,
    OFFSET(INDIRECT(ADDRESS(MATCH($A30,'Extraction of HGV annual dist'!$A$11:$A$170,0),1,1,1,$G$2)),10,1,COUNTIF('Extraction of HGV annual dist'!$A$11:$A$170,'Annual distance covered (GB)'!$A30),12),
    MATCH(E$7,'Extraction of HGV annual dist'!$B$10:$M$10,0),0)</f>
        <v>14.5</v>
      </c>
      <c r="F30" s="224">
        <v>4.8</v>
      </c>
      <c r="G30" s="224">
        <v>4.2</v>
      </c>
      <c r="H30" s="225">
        <v>544.29999999999995</v>
      </c>
      <c r="I30" s="129"/>
    </row>
    <row r="31" spans="1:9" x14ac:dyDescent="0.25">
      <c r="A31" s="226">
        <v>2017</v>
      </c>
      <c r="B31" s="224">
        <v>432.9</v>
      </c>
      <c r="C31" s="224">
        <v>86</v>
      </c>
      <c r="D31" s="224">
        <f ca="1">VLOOKUP($G$3,
    OFFSET(INDIRECT(ADDRESS(MATCH($A31,'Extraction of HGV annual dist'!$A$11:$A$170,0),1,1,1,$G$2)),10,1,COUNTIF('Extraction of HGV annual dist'!$A$11:$A$170,'Annual distance covered (GB)'!$A31),12),
    MATCH(D$7,'Extraction of HGV annual dist'!$B$10:$M$10,0),0)</f>
        <v>12.7</v>
      </c>
      <c r="E31" s="224">
        <f ca="1">VLOOKUP($G$3,
    OFFSET(INDIRECT(ADDRESS(MATCH($A31,'Extraction of HGV annual dist'!$A$11:$A$170,0),1,1,1,$G$2)),10,1,COUNTIF('Extraction of HGV annual dist'!$A$11:$A$170,'Annual distance covered (GB)'!$A31),12),
    MATCH(E$7,'Extraction of HGV annual dist'!$B$10:$M$10,0),0)</f>
        <v>15.1</v>
      </c>
      <c r="F31" s="224">
        <v>4.8</v>
      </c>
      <c r="G31" s="224">
        <v>4.0999999999999996</v>
      </c>
      <c r="H31" s="225">
        <v>555.5</v>
      </c>
      <c r="I31" s="129"/>
    </row>
    <row r="32" spans="1:9" x14ac:dyDescent="0.25">
      <c r="A32" s="226">
        <v>2018</v>
      </c>
      <c r="B32" s="224">
        <v>438.3</v>
      </c>
      <c r="C32" s="224">
        <v>87.6</v>
      </c>
      <c r="D32" s="224">
        <f ca="1">VLOOKUP($G$3,
    OFFSET(INDIRECT(ADDRESS(MATCH($A32,'Extraction of HGV annual dist'!$A$11:$A$170,0),1,1,1,$G$2)),10,1,COUNTIF('Extraction of HGV annual dist'!$A$11:$A$170,'Annual distance covered (GB)'!$A32),12),
    MATCH(D$7,'Extraction of HGV annual dist'!$B$10:$M$10,0),0)</f>
        <v>12.5</v>
      </c>
      <c r="E32" s="224">
        <f ca="1">VLOOKUP($G$3,
    OFFSET(INDIRECT(ADDRESS(MATCH($A32,'Extraction of HGV annual dist'!$A$11:$A$170,0),1,1,1,$G$2)),10,1,COUNTIF('Extraction of HGV annual dist'!$A$11:$A$170,'Annual distance covered (GB)'!$A32),12),
    MATCH(E$7,'Extraction of HGV annual dist'!$B$10:$M$10,0),0)</f>
        <v>15.4</v>
      </c>
      <c r="F32" s="224">
        <v>4.8</v>
      </c>
      <c r="G32" s="224">
        <v>4</v>
      </c>
      <c r="H32" s="225">
        <v>562.5</v>
      </c>
      <c r="I32" s="129"/>
    </row>
    <row r="33" spans="1:9" x14ac:dyDescent="0.25">
      <c r="A33" s="226">
        <v>2019</v>
      </c>
      <c r="B33" s="224">
        <v>447.8</v>
      </c>
      <c r="C33" s="224">
        <v>89.4</v>
      </c>
      <c r="D33" s="224">
        <f ca="1">VLOOKUP($G$3,
    OFFSET(INDIRECT(ADDRESS(MATCH($A33,'Extraction of HGV annual dist'!$A$11:$A$170,0),1,1,1,$G$2)),10,1,COUNTIF('Extraction of HGV annual dist'!$A$11:$A$170,'Annual distance covered (GB)'!$A33),12),
    MATCH(D$7,'Extraction of HGV annual dist'!$B$10:$M$10,0),0)</f>
        <v>12.4</v>
      </c>
      <c r="E33" s="224">
        <f ca="1">VLOOKUP($G$3,
    OFFSET(INDIRECT(ADDRESS(MATCH($A33,'Extraction of HGV annual dist'!$A$11:$A$170,0),1,1,1,$G$2)),10,1,COUNTIF('Extraction of HGV annual dist'!$A$11:$A$170,'Annual distance covered (GB)'!$A33),12),
    MATCH(E$7,'Extraction of HGV annual dist'!$B$10:$M$10,0),0)</f>
        <v>15.6</v>
      </c>
      <c r="F33" s="224">
        <v>4.8</v>
      </c>
      <c r="G33" s="224">
        <v>3.9</v>
      </c>
      <c r="H33" s="225">
        <v>573.79999999999995</v>
      </c>
      <c r="I33" s="129"/>
    </row>
    <row r="34" spans="1:9" x14ac:dyDescent="0.25">
      <c r="A34" s="129"/>
      <c r="B34" s="129"/>
      <c r="C34" s="129"/>
      <c r="D34" s="129"/>
      <c r="E34" s="129"/>
      <c r="F34" s="129"/>
      <c r="G34" s="129"/>
      <c r="H34" s="129"/>
      <c r="I34" s="129"/>
    </row>
  </sheetData>
  <sheetProtection algorithmName="SHA-512" hashValue="viBWlpNfZhavohMWAPce2m+3DqrKrVg7Z1JLvfD7J6DuZ2u4BrVIyYCbBW9fnvgS692eoB1lgtcB50M/bi/7sw==" saltValue="86aoRuN0O71grzVN9T+YVw==" spinCount="100000" sheet="1" objects="1" scenarios="1"/>
  <hyperlinks>
    <hyperlink ref="A1" r:id="rId1" display="https://www.gov.uk/government/statistical-data-sets/road-traffic-statistics-tr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0"/>
  <sheetViews>
    <sheetView workbookViewId="0"/>
  </sheetViews>
  <sheetFormatPr defaultRowHeight="15" x14ac:dyDescent="0.25"/>
  <cols>
    <col min="2" max="2" width="34.28515625" customWidth="1"/>
    <col min="7" max="7" width="11.7109375" customWidth="1"/>
    <col min="12" max="12" width="13" customWidth="1"/>
  </cols>
  <sheetData>
    <row r="1" spans="1:13" x14ac:dyDescent="0.25">
      <c r="B1" s="1" t="s">
        <v>300</v>
      </c>
    </row>
    <row r="2" spans="1:13" x14ac:dyDescent="0.25">
      <c r="B2" t="s">
        <v>308</v>
      </c>
    </row>
    <row r="3" spans="1:13" x14ac:dyDescent="0.25">
      <c r="B3" t="s">
        <v>309</v>
      </c>
    </row>
    <row r="5" spans="1:13" x14ac:dyDescent="0.25">
      <c r="B5" t="s">
        <v>310</v>
      </c>
    </row>
    <row r="7" spans="1:13" ht="15.75" x14ac:dyDescent="0.25">
      <c r="B7" s="228" t="s">
        <v>311</v>
      </c>
      <c r="C7" s="229"/>
      <c r="D7" s="229"/>
      <c r="E7" s="229"/>
      <c r="F7" s="229"/>
      <c r="G7" s="230"/>
      <c r="H7" s="230"/>
      <c r="I7" s="230"/>
      <c r="J7" s="230"/>
      <c r="K7" s="230"/>
      <c r="L7" s="229"/>
      <c r="M7" s="229"/>
    </row>
    <row r="8" spans="1:13" ht="15.75" thickBot="1" x14ac:dyDescent="0.3">
      <c r="B8" s="231"/>
      <c r="C8" s="231"/>
      <c r="D8" s="232"/>
      <c r="E8" s="232"/>
      <c r="F8" s="232"/>
      <c r="G8" s="232"/>
      <c r="H8" s="232"/>
      <c r="I8" s="232"/>
      <c r="J8" s="232"/>
      <c r="K8" s="232"/>
      <c r="L8" s="232"/>
      <c r="M8" s="233" t="s">
        <v>312</v>
      </c>
    </row>
    <row r="9" spans="1:13" x14ac:dyDescent="0.25">
      <c r="B9" s="234"/>
      <c r="C9" s="234"/>
      <c r="D9" s="671" t="s">
        <v>313</v>
      </c>
      <c r="E9" s="671"/>
      <c r="F9" s="671"/>
      <c r="G9" s="671"/>
      <c r="H9" s="235"/>
      <c r="I9" s="671" t="s">
        <v>314</v>
      </c>
      <c r="J9" s="671"/>
      <c r="K9" s="671"/>
      <c r="L9" s="671"/>
      <c r="M9" s="236"/>
    </row>
    <row r="10" spans="1:13" ht="30.75" thickBot="1" x14ac:dyDescent="0.3">
      <c r="B10" s="237"/>
      <c r="C10" s="238"/>
      <c r="D10" s="239">
        <v>2</v>
      </c>
      <c r="E10" s="239">
        <v>3</v>
      </c>
      <c r="F10" s="239" t="s">
        <v>315</v>
      </c>
      <c r="G10" s="220" t="s">
        <v>245</v>
      </c>
      <c r="H10" s="239"/>
      <c r="I10" s="240" t="s">
        <v>316</v>
      </c>
      <c r="J10" s="240">
        <v>5</v>
      </c>
      <c r="K10" s="240" t="s">
        <v>317</v>
      </c>
      <c r="L10" s="221" t="s">
        <v>247</v>
      </c>
      <c r="M10" s="239" t="s">
        <v>185</v>
      </c>
    </row>
    <row r="11" spans="1:13" x14ac:dyDescent="0.25">
      <c r="A11">
        <v>2019</v>
      </c>
      <c r="B11" s="241" t="s">
        <v>318</v>
      </c>
      <c r="C11" s="242">
        <v>1</v>
      </c>
      <c r="D11" s="243">
        <v>34.4</v>
      </c>
      <c r="E11" s="243">
        <v>27.7</v>
      </c>
      <c r="F11" s="243">
        <v>28.8</v>
      </c>
      <c r="G11" s="243">
        <v>32.299999999999997</v>
      </c>
      <c r="H11" s="243"/>
      <c r="I11" s="243">
        <v>40.1</v>
      </c>
      <c r="J11" s="243">
        <v>54.1</v>
      </c>
      <c r="K11" s="243">
        <v>61.7</v>
      </c>
      <c r="L11" s="243">
        <v>57.4</v>
      </c>
      <c r="M11" s="244">
        <v>46.3</v>
      </c>
    </row>
    <row r="12" spans="1:13" x14ac:dyDescent="0.25">
      <c r="A12">
        <v>2019</v>
      </c>
      <c r="B12" s="245" t="s">
        <v>319</v>
      </c>
      <c r="C12" s="246"/>
      <c r="D12" s="247"/>
      <c r="E12" s="247"/>
      <c r="F12" s="247"/>
      <c r="G12" s="247"/>
      <c r="H12" s="247"/>
      <c r="I12" s="247"/>
      <c r="J12" s="247"/>
      <c r="K12" s="247"/>
      <c r="L12" s="247"/>
      <c r="M12" s="248"/>
    </row>
    <row r="13" spans="1:13" x14ac:dyDescent="0.25">
      <c r="A13">
        <v>2019</v>
      </c>
      <c r="B13" s="249" t="s">
        <v>320</v>
      </c>
      <c r="C13" s="246">
        <v>2</v>
      </c>
      <c r="D13" s="247">
        <v>16.8</v>
      </c>
      <c r="E13" s="247">
        <v>16</v>
      </c>
      <c r="F13" s="247">
        <v>18.3</v>
      </c>
      <c r="G13" s="247">
        <v>16.899999999999999</v>
      </c>
      <c r="H13" s="247"/>
      <c r="I13" s="247">
        <v>21.4</v>
      </c>
      <c r="J13" s="247">
        <v>24.4</v>
      </c>
      <c r="K13" s="247">
        <v>22.3</v>
      </c>
      <c r="L13" s="247">
        <v>22.9</v>
      </c>
      <c r="M13" s="250">
        <v>20.3</v>
      </c>
    </row>
    <row r="14" spans="1:13" x14ac:dyDescent="0.25">
      <c r="A14">
        <v>2019</v>
      </c>
      <c r="B14" s="249" t="s">
        <v>321</v>
      </c>
      <c r="C14" s="246">
        <v>3</v>
      </c>
      <c r="D14" s="247">
        <v>18.8</v>
      </c>
      <c r="E14" s="247">
        <v>20.2</v>
      </c>
      <c r="F14" s="247">
        <v>26.6</v>
      </c>
      <c r="G14" s="247">
        <v>20.399999999999999</v>
      </c>
      <c r="H14" s="247"/>
      <c r="I14" s="247">
        <v>22.9</v>
      </c>
      <c r="J14" s="247">
        <v>14</v>
      </c>
      <c r="K14" s="247">
        <v>9.6999999999999993</v>
      </c>
      <c r="L14" s="247">
        <v>12.2</v>
      </c>
      <c r="M14" s="250">
        <v>15.8</v>
      </c>
    </row>
    <row r="15" spans="1:13" x14ac:dyDescent="0.25">
      <c r="A15">
        <v>2019</v>
      </c>
      <c r="B15" s="249" t="s">
        <v>322</v>
      </c>
      <c r="C15" s="246"/>
      <c r="D15" s="251">
        <v>35.6</v>
      </c>
      <c r="E15" s="251">
        <v>36.200000000000003</v>
      </c>
      <c r="F15" s="251">
        <v>44.8</v>
      </c>
      <c r="G15" s="251">
        <v>37.299999999999997</v>
      </c>
      <c r="H15" s="251"/>
      <c r="I15" s="251">
        <v>44.3</v>
      </c>
      <c r="J15" s="251">
        <v>38.4</v>
      </c>
      <c r="K15" s="251">
        <v>32</v>
      </c>
      <c r="L15" s="251">
        <v>35.200000000000003</v>
      </c>
      <c r="M15" s="250">
        <v>36.1</v>
      </c>
    </row>
    <row r="16" spans="1:13" x14ac:dyDescent="0.25">
      <c r="A16">
        <v>2019</v>
      </c>
      <c r="B16" s="245" t="s">
        <v>323</v>
      </c>
      <c r="C16" s="246">
        <v>4</v>
      </c>
      <c r="D16" s="247"/>
      <c r="E16" s="247"/>
      <c r="F16" s="247"/>
      <c r="G16" s="247"/>
      <c r="H16" s="247"/>
      <c r="I16" s="247"/>
      <c r="J16" s="247"/>
      <c r="K16" s="247"/>
      <c r="L16" s="247"/>
      <c r="M16" s="250"/>
    </row>
    <row r="17" spans="1:13" x14ac:dyDescent="0.25">
      <c r="A17">
        <v>2019</v>
      </c>
      <c r="B17" s="249" t="s">
        <v>320</v>
      </c>
      <c r="C17" s="246">
        <v>2</v>
      </c>
      <c r="D17" s="247">
        <v>1.6</v>
      </c>
      <c r="E17" s="247">
        <v>1.5</v>
      </c>
      <c r="F17" s="247">
        <v>1.9</v>
      </c>
      <c r="G17" s="247">
        <v>1.7</v>
      </c>
      <c r="H17" s="247"/>
      <c r="I17" s="247">
        <v>1.7</v>
      </c>
      <c r="J17" s="247">
        <v>2</v>
      </c>
      <c r="K17" s="247">
        <v>1.7</v>
      </c>
      <c r="L17" s="247">
        <v>1.8</v>
      </c>
      <c r="M17" s="250">
        <v>1.7</v>
      </c>
    </row>
    <row r="18" spans="1:13" x14ac:dyDescent="0.25">
      <c r="A18">
        <v>2019</v>
      </c>
      <c r="B18" s="249" t="s">
        <v>321</v>
      </c>
      <c r="C18" s="246">
        <v>3</v>
      </c>
      <c r="D18" s="247">
        <v>11.3</v>
      </c>
      <c r="E18" s="247">
        <v>9.8000000000000007</v>
      </c>
      <c r="F18" s="247">
        <v>11.5</v>
      </c>
      <c r="G18" s="247">
        <v>11.1</v>
      </c>
      <c r="H18" s="247"/>
      <c r="I18" s="247">
        <v>7.1</v>
      </c>
      <c r="J18" s="247">
        <v>4.0999999999999996</v>
      </c>
      <c r="K18" s="247">
        <v>3</v>
      </c>
      <c r="L18" s="247">
        <v>3.7</v>
      </c>
      <c r="M18" s="250">
        <v>7</v>
      </c>
    </row>
    <row r="19" spans="1:13" x14ac:dyDescent="0.25">
      <c r="A19">
        <v>2019</v>
      </c>
      <c r="B19" s="249" t="s">
        <v>324</v>
      </c>
      <c r="C19" s="246"/>
      <c r="D19" s="247">
        <v>12.9</v>
      </c>
      <c r="E19" s="247">
        <v>11.3</v>
      </c>
      <c r="F19" s="247">
        <v>13.4</v>
      </c>
      <c r="G19" s="247">
        <v>12.7</v>
      </c>
      <c r="H19" s="247"/>
      <c r="I19" s="247">
        <v>8.8000000000000007</v>
      </c>
      <c r="J19" s="247">
        <v>6.1</v>
      </c>
      <c r="K19" s="247">
        <v>4.7</v>
      </c>
      <c r="L19" s="247">
        <v>5.5</v>
      </c>
      <c r="M19" s="250">
        <v>8.6999999999999993</v>
      </c>
    </row>
    <row r="20" spans="1:13" x14ac:dyDescent="0.25">
      <c r="A20">
        <v>2019</v>
      </c>
      <c r="B20" s="245" t="s">
        <v>325</v>
      </c>
      <c r="C20" s="246"/>
      <c r="D20" s="251">
        <v>82.9</v>
      </c>
      <c r="E20" s="251">
        <v>75.2</v>
      </c>
      <c r="F20" s="251">
        <v>87.1</v>
      </c>
      <c r="G20" s="251">
        <v>82.4</v>
      </c>
      <c r="H20" s="251"/>
      <c r="I20" s="251">
        <v>93.2</v>
      </c>
      <c r="J20" s="251">
        <v>98.6</v>
      </c>
      <c r="K20" s="251">
        <v>98.3</v>
      </c>
      <c r="L20" s="251">
        <v>98</v>
      </c>
      <c r="M20" s="250">
        <v>91.1</v>
      </c>
    </row>
    <row r="21" spans="1:13" x14ac:dyDescent="0.25">
      <c r="A21">
        <v>2019</v>
      </c>
      <c r="B21" s="245" t="s">
        <v>326</v>
      </c>
      <c r="C21" s="246"/>
      <c r="D21" s="247"/>
      <c r="E21" s="247"/>
      <c r="F21" s="247"/>
      <c r="G21" s="247"/>
      <c r="H21" s="247"/>
      <c r="I21" s="247"/>
      <c r="J21" s="247"/>
      <c r="K21" s="247"/>
      <c r="L21" s="247"/>
      <c r="M21" s="250"/>
    </row>
    <row r="22" spans="1:13" x14ac:dyDescent="0.25">
      <c r="A22">
        <v>2019</v>
      </c>
      <c r="B22" s="249" t="s">
        <v>327</v>
      </c>
      <c r="C22" s="246"/>
      <c r="D22" s="247">
        <v>8.6999999999999993</v>
      </c>
      <c r="E22" s="247">
        <v>12.5</v>
      </c>
      <c r="F22" s="247">
        <v>9.8000000000000007</v>
      </c>
      <c r="G22" s="247">
        <v>9.5</v>
      </c>
      <c r="H22" s="247"/>
      <c r="I22" s="247">
        <v>5.5</v>
      </c>
      <c r="J22" s="247">
        <v>0.8</v>
      </c>
      <c r="K22" s="247">
        <v>1</v>
      </c>
      <c r="L22" s="247">
        <v>1.3</v>
      </c>
      <c r="M22" s="250">
        <v>4.9000000000000004</v>
      </c>
    </row>
    <row r="23" spans="1:13" x14ac:dyDescent="0.25">
      <c r="A23">
        <v>2019</v>
      </c>
      <c r="B23" s="249" t="s">
        <v>328</v>
      </c>
      <c r="C23" s="246">
        <v>4</v>
      </c>
      <c r="D23" s="247">
        <v>8.4</v>
      </c>
      <c r="E23" s="247">
        <v>12.3</v>
      </c>
      <c r="F23" s="247">
        <v>3.1</v>
      </c>
      <c r="G23" s="247">
        <v>8.1</v>
      </c>
      <c r="H23" s="247"/>
      <c r="I23" s="247">
        <v>1.3</v>
      </c>
      <c r="J23" s="247">
        <v>0.5</v>
      </c>
      <c r="K23" s="247">
        <v>0.6</v>
      </c>
      <c r="L23" s="247">
        <v>0.6</v>
      </c>
      <c r="M23" s="250">
        <v>3.9</v>
      </c>
    </row>
    <row r="24" spans="1:13" x14ac:dyDescent="0.25">
      <c r="A24">
        <v>2019</v>
      </c>
      <c r="B24" s="245" t="s">
        <v>329</v>
      </c>
      <c r="C24" s="246"/>
      <c r="D24" s="251">
        <v>17.100000000000001</v>
      </c>
      <c r="E24" s="251">
        <v>24.8</v>
      </c>
      <c r="F24" s="251">
        <v>12.9</v>
      </c>
      <c r="G24" s="251">
        <v>17.600000000000001</v>
      </c>
      <c r="H24" s="251"/>
      <c r="I24" s="251">
        <v>6.8</v>
      </c>
      <c r="J24" s="251">
        <v>1.4</v>
      </c>
      <c r="K24" s="251">
        <v>1.7</v>
      </c>
      <c r="L24" s="251">
        <v>2</v>
      </c>
      <c r="M24" s="250">
        <v>8.9</v>
      </c>
    </row>
    <row r="25" spans="1:13" x14ac:dyDescent="0.25">
      <c r="A25">
        <v>2019</v>
      </c>
      <c r="B25" s="245" t="s">
        <v>330</v>
      </c>
      <c r="C25" s="246"/>
      <c r="D25" s="252">
        <v>5.0999999999999996</v>
      </c>
      <c r="E25" s="252">
        <v>1.2</v>
      </c>
      <c r="F25" s="252">
        <v>1.4</v>
      </c>
      <c r="G25" s="252">
        <v>7.7</v>
      </c>
      <c r="H25" s="252"/>
      <c r="I25" s="252">
        <v>0.8</v>
      </c>
      <c r="J25" s="252">
        <v>3.3</v>
      </c>
      <c r="K25" s="252">
        <v>5.6</v>
      </c>
      <c r="L25" s="252">
        <v>9.6999999999999993</v>
      </c>
      <c r="M25" s="253">
        <v>17.399999999999999</v>
      </c>
    </row>
    <row r="26" spans="1:13" ht="15.75" thickBot="1" x14ac:dyDescent="0.3">
      <c r="A26">
        <v>2019</v>
      </c>
      <c r="B26" s="254" t="s">
        <v>304</v>
      </c>
      <c r="C26" s="255"/>
      <c r="D26" s="256">
        <v>8.1999999999999993</v>
      </c>
      <c r="E26" s="256">
        <v>2</v>
      </c>
      <c r="F26" s="256">
        <v>2.2000000000000002</v>
      </c>
      <c r="G26" s="256">
        <v>12.4</v>
      </c>
      <c r="H26" s="256"/>
      <c r="I26" s="256">
        <v>1.2</v>
      </c>
      <c r="J26" s="256">
        <v>5.4</v>
      </c>
      <c r="K26" s="256">
        <v>9</v>
      </c>
      <c r="L26" s="256">
        <v>15.6</v>
      </c>
      <c r="M26" s="257">
        <v>28</v>
      </c>
    </row>
    <row r="27" spans="1:13" x14ac:dyDescent="0.25">
      <c r="A27">
        <v>2018</v>
      </c>
      <c r="B27" s="241" t="s">
        <v>318</v>
      </c>
      <c r="C27" s="242">
        <v>1</v>
      </c>
      <c r="D27" s="243">
        <v>34</v>
      </c>
      <c r="E27" s="243">
        <v>27.4</v>
      </c>
      <c r="F27" s="243">
        <v>28.3</v>
      </c>
      <c r="G27" s="243">
        <v>32</v>
      </c>
      <c r="H27" s="243"/>
      <c r="I27" s="243">
        <v>41.4</v>
      </c>
      <c r="J27" s="243">
        <v>57.7</v>
      </c>
      <c r="K27" s="243">
        <v>59.7</v>
      </c>
      <c r="L27" s="243">
        <v>57.4</v>
      </c>
      <c r="M27" s="244">
        <v>46</v>
      </c>
    </row>
    <row r="28" spans="1:13" x14ac:dyDescent="0.25">
      <c r="A28">
        <v>2018</v>
      </c>
      <c r="B28" s="245" t="s">
        <v>319</v>
      </c>
      <c r="C28" s="246"/>
      <c r="D28" s="247"/>
      <c r="E28" s="247"/>
      <c r="F28" s="247"/>
      <c r="G28" s="247"/>
      <c r="H28" s="247"/>
      <c r="I28" s="247"/>
      <c r="J28" s="247"/>
      <c r="K28" s="247"/>
      <c r="L28" s="247"/>
      <c r="M28" s="248"/>
    </row>
    <row r="29" spans="1:13" x14ac:dyDescent="0.25">
      <c r="A29">
        <v>2018</v>
      </c>
      <c r="B29" s="249" t="s">
        <v>320</v>
      </c>
      <c r="C29" s="246">
        <v>2</v>
      </c>
      <c r="D29" s="247">
        <v>17</v>
      </c>
      <c r="E29" s="247">
        <v>16.100000000000001</v>
      </c>
      <c r="F29" s="247">
        <v>18.3</v>
      </c>
      <c r="G29" s="247">
        <v>17.100000000000001</v>
      </c>
      <c r="H29" s="247"/>
      <c r="I29" s="247">
        <v>21.5</v>
      </c>
      <c r="J29" s="247">
        <v>23.3</v>
      </c>
      <c r="K29" s="247">
        <v>23</v>
      </c>
      <c r="L29" s="247">
        <v>23</v>
      </c>
      <c r="M29" s="250">
        <v>20.3</v>
      </c>
    </row>
    <row r="30" spans="1:13" x14ac:dyDescent="0.25">
      <c r="A30">
        <v>2018</v>
      </c>
      <c r="B30" s="249" t="s">
        <v>321</v>
      </c>
      <c r="C30" s="246">
        <v>3</v>
      </c>
      <c r="D30" s="247">
        <v>19</v>
      </c>
      <c r="E30" s="247">
        <v>20.399999999999999</v>
      </c>
      <c r="F30" s="247">
        <v>27</v>
      </c>
      <c r="G30" s="247">
        <v>20.6</v>
      </c>
      <c r="H30" s="247"/>
      <c r="I30" s="247">
        <v>21.7</v>
      </c>
      <c r="J30" s="247">
        <v>12.2</v>
      </c>
      <c r="K30" s="247">
        <v>10.6</v>
      </c>
      <c r="L30" s="247">
        <v>12.1</v>
      </c>
      <c r="M30" s="250">
        <v>15.9</v>
      </c>
    </row>
    <row r="31" spans="1:13" x14ac:dyDescent="0.25">
      <c r="A31">
        <v>2018</v>
      </c>
      <c r="B31" s="249" t="s">
        <v>322</v>
      </c>
      <c r="C31" s="246"/>
      <c r="D31" s="251">
        <v>36</v>
      </c>
      <c r="E31" s="251">
        <v>36.5</v>
      </c>
      <c r="F31" s="251">
        <v>45.4</v>
      </c>
      <c r="G31" s="251">
        <v>37.6</v>
      </c>
      <c r="H31" s="251"/>
      <c r="I31" s="251">
        <v>43.2</v>
      </c>
      <c r="J31" s="251">
        <v>35.5</v>
      </c>
      <c r="K31" s="251">
        <v>33.6</v>
      </c>
      <c r="L31" s="251">
        <v>35.200000000000003</v>
      </c>
      <c r="M31" s="250">
        <v>36.299999999999997</v>
      </c>
    </row>
    <row r="32" spans="1:13" x14ac:dyDescent="0.25">
      <c r="A32">
        <v>2018</v>
      </c>
      <c r="B32" s="245" t="s">
        <v>323</v>
      </c>
      <c r="C32" s="246">
        <v>4</v>
      </c>
      <c r="D32" s="247"/>
      <c r="E32" s="247"/>
      <c r="F32" s="247"/>
      <c r="G32" s="247"/>
      <c r="H32" s="247"/>
      <c r="I32" s="247"/>
      <c r="J32" s="247"/>
      <c r="K32" s="247"/>
      <c r="L32" s="247"/>
      <c r="M32" s="250"/>
    </row>
    <row r="33" spans="1:13" x14ac:dyDescent="0.25">
      <c r="A33">
        <v>2018</v>
      </c>
      <c r="B33" s="249" t="s">
        <v>320</v>
      </c>
      <c r="C33" s="246">
        <v>2</v>
      </c>
      <c r="D33" s="247">
        <v>1.7</v>
      </c>
      <c r="E33" s="247">
        <v>1.6</v>
      </c>
      <c r="F33" s="247">
        <v>2</v>
      </c>
      <c r="G33" s="247">
        <v>1.7</v>
      </c>
      <c r="H33" s="247"/>
      <c r="I33" s="247">
        <v>1.7</v>
      </c>
      <c r="J33" s="247">
        <v>1.8</v>
      </c>
      <c r="K33" s="247">
        <v>1.8</v>
      </c>
      <c r="L33" s="247">
        <v>1.8</v>
      </c>
      <c r="M33" s="250">
        <v>1.8</v>
      </c>
    </row>
    <row r="34" spans="1:13" x14ac:dyDescent="0.25">
      <c r="A34">
        <v>2018</v>
      </c>
      <c r="B34" s="249" t="s">
        <v>321</v>
      </c>
      <c r="C34" s="246">
        <v>3</v>
      </c>
      <c r="D34" s="247">
        <v>11.4</v>
      </c>
      <c r="E34" s="247">
        <v>10.199999999999999</v>
      </c>
      <c r="F34" s="247">
        <v>11.7</v>
      </c>
      <c r="G34" s="247">
        <v>11.2</v>
      </c>
      <c r="H34" s="247"/>
      <c r="I34" s="247">
        <v>7</v>
      </c>
      <c r="J34" s="247">
        <v>3.7</v>
      </c>
      <c r="K34" s="247">
        <v>3.2</v>
      </c>
      <c r="L34" s="247">
        <v>3.7</v>
      </c>
      <c r="M34" s="250">
        <v>7.1</v>
      </c>
    </row>
    <row r="35" spans="1:13" x14ac:dyDescent="0.25">
      <c r="A35">
        <v>2018</v>
      </c>
      <c r="B35" s="249" t="s">
        <v>324</v>
      </c>
      <c r="C35" s="246"/>
      <c r="D35" s="247">
        <v>13.1</v>
      </c>
      <c r="E35" s="247">
        <v>11.8</v>
      </c>
      <c r="F35" s="247">
        <v>13.6</v>
      </c>
      <c r="G35" s="247">
        <v>13</v>
      </c>
      <c r="H35" s="247"/>
      <c r="I35" s="247">
        <v>8.6999999999999993</v>
      </c>
      <c r="J35" s="247">
        <v>5.5</v>
      </c>
      <c r="K35" s="247">
        <v>5</v>
      </c>
      <c r="L35" s="247">
        <v>5.5</v>
      </c>
      <c r="M35" s="250">
        <v>8.8000000000000007</v>
      </c>
    </row>
    <row r="36" spans="1:13" x14ac:dyDescent="0.25">
      <c r="A36">
        <v>2018</v>
      </c>
      <c r="B36" s="245" t="s">
        <v>325</v>
      </c>
      <c r="C36" s="246"/>
      <c r="D36" s="251">
        <v>83.1</v>
      </c>
      <c r="E36" s="251">
        <v>75.599999999999994</v>
      </c>
      <c r="F36" s="251">
        <v>87.3</v>
      </c>
      <c r="G36" s="251">
        <v>82.7</v>
      </c>
      <c r="H36" s="251"/>
      <c r="I36" s="251">
        <v>93.2</v>
      </c>
      <c r="J36" s="251">
        <v>98.8</v>
      </c>
      <c r="K36" s="251">
        <v>98.3</v>
      </c>
      <c r="L36" s="251">
        <v>98.1</v>
      </c>
      <c r="M36" s="250">
        <v>91.1</v>
      </c>
    </row>
    <row r="37" spans="1:13" x14ac:dyDescent="0.25">
      <c r="A37">
        <v>2018</v>
      </c>
      <c r="B37" s="245" t="s">
        <v>326</v>
      </c>
      <c r="C37" s="246"/>
      <c r="D37" s="247"/>
      <c r="E37" s="247"/>
      <c r="F37" s="247"/>
      <c r="G37" s="247"/>
      <c r="H37" s="247"/>
      <c r="I37" s="247"/>
      <c r="J37" s="247"/>
      <c r="K37" s="247"/>
      <c r="L37" s="247"/>
      <c r="M37" s="250"/>
    </row>
    <row r="38" spans="1:13" x14ac:dyDescent="0.25">
      <c r="A38">
        <v>2018</v>
      </c>
      <c r="B38" s="249" t="s">
        <v>327</v>
      </c>
      <c r="C38" s="246"/>
      <c r="D38" s="247">
        <v>8.6999999999999993</v>
      </c>
      <c r="E38" s="247">
        <v>12.4</v>
      </c>
      <c r="F38" s="247">
        <v>9.6999999999999993</v>
      </c>
      <c r="G38" s="247">
        <v>9.4</v>
      </c>
      <c r="H38" s="247"/>
      <c r="I38" s="247">
        <v>5.5</v>
      </c>
      <c r="J38" s="247">
        <v>0.8</v>
      </c>
      <c r="K38" s="247">
        <v>1.1000000000000001</v>
      </c>
      <c r="L38" s="247">
        <v>1.3</v>
      </c>
      <c r="M38" s="250">
        <v>4.9000000000000004</v>
      </c>
    </row>
    <row r="39" spans="1:13" x14ac:dyDescent="0.25">
      <c r="A39">
        <v>2018</v>
      </c>
      <c r="B39" s="249" t="s">
        <v>328</v>
      </c>
      <c r="C39" s="246">
        <v>4</v>
      </c>
      <c r="D39" s="247">
        <v>8.3000000000000007</v>
      </c>
      <c r="E39" s="247">
        <v>12</v>
      </c>
      <c r="F39" s="247">
        <v>3</v>
      </c>
      <c r="G39" s="247">
        <v>7.9</v>
      </c>
      <c r="H39" s="247"/>
      <c r="I39" s="247">
        <v>1.2</v>
      </c>
      <c r="J39" s="247">
        <v>0.4</v>
      </c>
      <c r="K39" s="247">
        <v>0.7</v>
      </c>
      <c r="L39" s="247">
        <v>0.6</v>
      </c>
      <c r="M39" s="250">
        <v>3.9</v>
      </c>
    </row>
    <row r="40" spans="1:13" x14ac:dyDescent="0.25">
      <c r="A40">
        <v>2018</v>
      </c>
      <c r="B40" s="245" t="s">
        <v>329</v>
      </c>
      <c r="C40" s="246"/>
      <c r="D40" s="251">
        <v>16.899999999999999</v>
      </c>
      <c r="E40" s="251">
        <v>24.4</v>
      </c>
      <c r="F40" s="251">
        <v>12.7</v>
      </c>
      <c r="G40" s="251">
        <v>17.3</v>
      </c>
      <c r="H40" s="251"/>
      <c r="I40" s="251">
        <v>6.8</v>
      </c>
      <c r="J40" s="251">
        <v>1.2</v>
      </c>
      <c r="K40" s="251">
        <v>1.7</v>
      </c>
      <c r="L40" s="251">
        <v>1.9</v>
      </c>
      <c r="M40" s="250">
        <v>8.9</v>
      </c>
    </row>
    <row r="41" spans="1:13" x14ac:dyDescent="0.25">
      <c r="A41">
        <v>2018</v>
      </c>
      <c r="B41" s="245" t="s">
        <v>330</v>
      </c>
      <c r="C41" s="246"/>
      <c r="D41" s="252">
        <v>5.3</v>
      </c>
      <c r="E41" s="252">
        <v>1.2</v>
      </c>
      <c r="F41" s="252">
        <v>1.3</v>
      </c>
      <c r="G41" s="252">
        <v>7.8</v>
      </c>
      <c r="H41" s="252"/>
      <c r="I41" s="252">
        <v>0.8</v>
      </c>
      <c r="J41" s="252">
        <v>3.7</v>
      </c>
      <c r="K41" s="252">
        <v>5.0999999999999996</v>
      </c>
      <c r="L41" s="252">
        <v>9.5</v>
      </c>
      <c r="M41" s="253">
        <v>17.3</v>
      </c>
    </row>
    <row r="42" spans="1:13" ht="15.75" thickBot="1" x14ac:dyDescent="0.3">
      <c r="A42">
        <v>2018</v>
      </c>
      <c r="B42" s="254" t="s">
        <v>304</v>
      </c>
      <c r="C42" s="255"/>
      <c r="D42" s="256">
        <v>8.5</v>
      </c>
      <c r="E42" s="256">
        <v>1.9</v>
      </c>
      <c r="F42" s="256">
        <v>2.1</v>
      </c>
      <c r="G42" s="256">
        <v>12.5</v>
      </c>
      <c r="H42" s="256"/>
      <c r="I42" s="256">
        <v>1.3</v>
      </c>
      <c r="J42" s="256">
        <v>6</v>
      </c>
      <c r="K42" s="256">
        <v>8.1</v>
      </c>
      <c r="L42" s="256">
        <v>15.4</v>
      </c>
      <c r="M42" s="257">
        <v>27.9</v>
      </c>
    </row>
    <row r="43" spans="1:13" x14ac:dyDescent="0.25">
      <c r="A43" s="258">
        <v>2017</v>
      </c>
      <c r="B43" s="241" t="s">
        <v>318</v>
      </c>
      <c r="C43" s="242">
        <v>1</v>
      </c>
      <c r="D43" s="243">
        <v>33.1</v>
      </c>
      <c r="E43" s="243">
        <v>26.5</v>
      </c>
      <c r="F43" s="243">
        <v>27.7</v>
      </c>
      <c r="G43" s="243">
        <v>31.2</v>
      </c>
      <c r="H43" s="243"/>
      <c r="I43" s="243">
        <v>42.3</v>
      </c>
      <c r="J43" s="243">
        <v>58.4</v>
      </c>
      <c r="K43" s="243">
        <v>59.9</v>
      </c>
      <c r="L43" s="243">
        <v>57.9</v>
      </c>
      <c r="M43" s="244">
        <v>45.7</v>
      </c>
    </row>
    <row r="44" spans="1:13" x14ac:dyDescent="0.25">
      <c r="A44" s="258">
        <v>2017</v>
      </c>
      <c r="B44" s="245" t="s">
        <v>319</v>
      </c>
      <c r="C44" s="246"/>
      <c r="D44" s="247"/>
      <c r="E44" s="247"/>
      <c r="F44" s="247"/>
      <c r="G44" s="247"/>
      <c r="H44" s="247"/>
      <c r="I44" s="247"/>
      <c r="J44" s="247"/>
      <c r="K44" s="247"/>
      <c r="L44" s="247"/>
      <c r="M44" s="248"/>
    </row>
    <row r="45" spans="1:13" x14ac:dyDescent="0.25">
      <c r="A45" s="258">
        <v>2017</v>
      </c>
      <c r="B45" s="249" t="s">
        <v>320</v>
      </c>
      <c r="C45" s="246">
        <v>2</v>
      </c>
      <c r="D45" s="247">
        <v>16.8</v>
      </c>
      <c r="E45" s="247">
        <v>15.8</v>
      </c>
      <c r="F45" s="247">
        <v>18.2</v>
      </c>
      <c r="G45" s="247">
        <v>16.899999999999999</v>
      </c>
      <c r="H45" s="247"/>
      <c r="I45" s="247">
        <v>21.8</v>
      </c>
      <c r="J45" s="247">
        <v>23.6</v>
      </c>
      <c r="K45" s="247">
        <v>23</v>
      </c>
      <c r="L45" s="247">
        <v>23.1</v>
      </c>
      <c r="M45" s="250">
        <v>20.3</v>
      </c>
    </row>
    <row r="46" spans="1:13" x14ac:dyDescent="0.25">
      <c r="A46" s="258">
        <v>2017</v>
      </c>
      <c r="B46" s="249" t="s">
        <v>321</v>
      </c>
      <c r="C46" s="246">
        <v>3</v>
      </c>
      <c r="D46" s="247">
        <v>19.600000000000001</v>
      </c>
      <c r="E46" s="247">
        <v>20.9</v>
      </c>
      <c r="F46" s="247">
        <v>26.9</v>
      </c>
      <c r="G46" s="247">
        <v>21</v>
      </c>
      <c r="H46" s="247"/>
      <c r="I46" s="247">
        <v>20.6</v>
      </c>
      <c r="J46" s="247">
        <v>11.5</v>
      </c>
      <c r="K46" s="247">
        <v>10.4</v>
      </c>
      <c r="L46" s="247">
        <v>11.7</v>
      </c>
      <c r="M46" s="250">
        <v>15.9</v>
      </c>
    </row>
    <row r="47" spans="1:13" x14ac:dyDescent="0.25">
      <c r="A47" s="258">
        <v>2017</v>
      </c>
      <c r="B47" s="249" t="s">
        <v>322</v>
      </c>
      <c r="C47" s="246"/>
      <c r="D47" s="251">
        <v>36.4</v>
      </c>
      <c r="E47" s="251">
        <v>36.700000000000003</v>
      </c>
      <c r="F47" s="251">
        <v>45.1</v>
      </c>
      <c r="G47" s="251">
        <v>37.9</v>
      </c>
      <c r="H47" s="251"/>
      <c r="I47" s="251">
        <v>42.4</v>
      </c>
      <c r="J47" s="251">
        <v>35.200000000000003</v>
      </c>
      <c r="K47" s="251">
        <v>33.4</v>
      </c>
      <c r="L47" s="251">
        <v>34.799999999999997</v>
      </c>
      <c r="M47" s="250">
        <v>36.200000000000003</v>
      </c>
    </row>
    <row r="48" spans="1:13" x14ac:dyDescent="0.25">
      <c r="A48" s="258">
        <v>2017</v>
      </c>
      <c r="B48" s="245" t="s">
        <v>323</v>
      </c>
      <c r="C48" s="246">
        <v>4</v>
      </c>
      <c r="D48" s="247"/>
      <c r="E48" s="247"/>
      <c r="F48" s="247"/>
      <c r="G48" s="247"/>
      <c r="H48" s="247"/>
      <c r="I48" s="247"/>
      <c r="J48" s="247"/>
      <c r="K48" s="247"/>
      <c r="L48" s="247"/>
      <c r="M48" s="250"/>
    </row>
    <row r="49" spans="1:13" x14ac:dyDescent="0.25">
      <c r="A49" s="258">
        <v>2017</v>
      </c>
      <c r="B49" s="249" t="s">
        <v>320</v>
      </c>
      <c r="C49" s="246">
        <v>2</v>
      </c>
      <c r="D49" s="247">
        <v>1.7</v>
      </c>
      <c r="E49" s="247">
        <v>1.6</v>
      </c>
      <c r="F49" s="247">
        <v>2</v>
      </c>
      <c r="G49" s="247">
        <v>1.7</v>
      </c>
      <c r="H49" s="247"/>
      <c r="I49" s="247">
        <v>1.8</v>
      </c>
      <c r="J49" s="247">
        <v>1.8</v>
      </c>
      <c r="K49" s="247">
        <v>1.8</v>
      </c>
      <c r="L49" s="247">
        <v>1.8</v>
      </c>
      <c r="M49" s="250">
        <v>1.8</v>
      </c>
    </row>
    <row r="50" spans="1:13" x14ac:dyDescent="0.25">
      <c r="A50" s="258">
        <v>2017</v>
      </c>
      <c r="B50" s="249" t="s">
        <v>321</v>
      </c>
      <c r="C50" s="246">
        <v>3</v>
      </c>
      <c r="D50" s="247">
        <v>11.4</v>
      </c>
      <c r="E50" s="247">
        <v>10.4</v>
      </c>
      <c r="F50" s="247">
        <v>12.7</v>
      </c>
      <c r="G50" s="247">
        <v>11.4</v>
      </c>
      <c r="H50" s="247"/>
      <c r="I50" s="247">
        <v>6.7</v>
      </c>
      <c r="J50" s="247">
        <v>3.5</v>
      </c>
      <c r="K50" s="247">
        <v>3.1</v>
      </c>
      <c r="L50" s="247">
        <v>3.5</v>
      </c>
      <c r="M50" s="250">
        <v>7.1</v>
      </c>
    </row>
    <row r="51" spans="1:13" x14ac:dyDescent="0.25">
      <c r="A51" s="258">
        <v>2017</v>
      </c>
      <c r="B51" s="249" t="s">
        <v>324</v>
      </c>
      <c r="C51" s="246"/>
      <c r="D51" s="247">
        <v>13.1</v>
      </c>
      <c r="E51" s="247">
        <v>12</v>
      </c>
      <c r="F51" s="247">
        <v>14.6</v>
      </c>
      <c r="G51" s="247">
        <v>13.2</v>
      </c>
      <c r="H51" s="247"/>
      <c r="I51" s="247">
        <v>8.5</v>
      </c>
      <c r="J51" s="247">
        <v>5.2</v>
      </c>
      <c r="K51" s="247">
        <v>4.9000000000000004</v>
      </c>
      <c r="L51" s="247">
        <v>5.3</v>
      </c>
      <c r="M51" s="250">
        <v>8.9</v>
      </c>
    </row>
    <row r="52" spans="1:13" x14ac:dyDescent="0.25">
      <c r="A52" s="258">
        <v>2017</v>
      </c>
      <c r="B52" s="245" t="s">
        <v>325</v>
      </c>
      <c r="C52" s="246"/>
      <c r="D52" s="251">
        <v>82.6</v>
      </c>
      <c r="E52" s="251">
        <v>75.3</v>
      </c>
      <c r="F52" s="251">
        <v>87.3</v>
      </c>
      <c r="G52" s="251">
        <v>82.3</v>
      </c>
      <c r="H52" s="251"/>
      <c r="I52" s="251">
        <v>93.1</v>
      </c>
      <c r="J52" s="251">
        <v>98.8</v>
      </c>
      <c r="K52" s="251">
        <v>98.2</v>
      </c>
      <c r="L52" s="251">
        <v>98</v>
      </c>
      <c r="M52" s="250">
        <v>90.8</v>
      </c>
    </row>
    <row r="53" spans="1:13" x14ac:dyDescent="0.25">
      <c r="A53" s="258">
        <v>2017</v>
      </c>
      <c r="B53" s="245" t="s">
        <v>326</v>
      </c>
      <c r="C53" s="246"/>
      <c r="D53" s="247"/>
      <c r="E53" s="247"/>
      <c r="F53" s="247"/>
      <c r="G53" s="247"/>
      <c r="H53" s="247"/>
      <c r="I53" s="247"/>
      <c r="J53" s="247"/>
      <c r="K53" s="247"/>
      <c r="L53" s="247"/>
      <c r="M53" s="250"/>
    </row>
    <row r="54" spans="1:13" x14ac:dyDescent="0.25">
      <c r="A54" s="258">
        <v>2017</v>
      </c>
      <c r="B54" s="249" t="s">
        <v>327</v>
      </c>
      <c r="C54" s="246"/>
      <c r="D54" s="247">
        <v>9.1</v>
      </c>
      <c r="E54" s="247">
        <v>13.2</v>
      </c>
      <c r="F54" s="247">
        <v>9.6</v>
      </c>
      <c r="G54" s="247">
        <v>9.8000000000000007</v>
      </c>
      <c r="H54" s="247"/>
      <c r="I54" s="247">
        <v>5.7</v>
      </c>
      <c r="J54" s="247">
        <v>0.7</v>
      </c>
      <c r="K54" s="247">
        <v>1.1000000000000001</v>
      </c>
      <c r="L54" s="247">
        <v>1.3</v>
      </c>
      <c r="M54" s="250">
        <v>5.2</v>
      </c>
    </row>
    <row r="55" spans="1:13" x14ac:dyDescent="0.25">
      <c r="A55" s="258">
        <v>2017</v>
      </c>
      <c r="B55" s="249" t="s">
        <v>328</v>
      </c>
      <c r="C55" s="246">
        <v>4</v>
      </c>
      <c r="D55" s="247">
        <v>8.3000000000000007</v>
      </c>
      <c r="E55" s="247">
        <v>11.5</v>
      </c>
      <c r="F55" s="247">
        <v>3</v>
      </c>
      <c r="G55" s="247">
        <v>7.9</v>
      </c>
      <c r="H55" s="247"/>
      <c r="I55" s="247">
        <v>1.2</v>
      </c>
      <c r="J55" s="247">
        <v>0.4</v>
      </c>
      <c r="K55" s="247">
        <v>0.7</v>
      </c>
      <c r="L55" s="247">
        <v>0.6</v>
      </c>
      <c r="M55" s="250">
        <v>4</v>
      </c>
    </row>
    <row r="56" spans="1:13" x14ac:dyDescent="0.25">
      <c r="A56" s="258">
        <v>2017</v>
      </c>
      <c r="B56" s="245" t="s">
        <v>329</v>
      </c>
      <c r="C56" s="246"/>
      <c r="D56" s="251">
        <v>17.399999999999999</v>
      </c>
      <c r="E56" s="251">
        <v>24.7</v>
      </c>
      <c r="F56" s="251">
        <v>12.7</v>
      </c>
      <c r="G56" s="251">
        <v>17.7</v>
      </c>
      <c r="H56" s="251"/>
      <c r="I56" s="251">
        <v>6.9</v>
      </c>
      <c r="J56" s="251">
        <v>1.2</v>
      </c>
      <c r="K56" s="251">
        <v>1.8</v>
      </c>
      <c r="L56" s="251">
        <v>2</v>
      </c>
      <c r="M56" s="250">
        <v>9.1999999999999993</v>
      </c>
    </row>
    <row r="57" spans="1:13" x14ac:dyDescent="0.25">
      <c r="A57" s="258">
        <v>2017</v>
      </c>
      <c r="B57" s="245" t="s">
        <v>330</v>
      </c>
      <c r="C57" s="246"/>
      <c r="D57" s="252">
        <v>5.4</v>
      </c>
      <c r="E57" s="252">
        <v>1.2</v>
      </c>
      <c r="F57" s="252">
        <v>1.3</v>
      </c>
      <c r="G57" s="252">
        <v>7.9</v>
      </c>
      <c r="H57" s="252"/>
      <c r="I57" s="252">
        <v>0.8</v>
      </c>
      <c r="J57" s="252">
        <v>3.6</v>
      </c>
      <c r="K57" s="252">
        <v>5</v>
      </c>
      <c r="L57" s="252">
        <v>9.4</v>
      </c>
      <c r="M57" s="253">
        <v>17.2</v>
      </c>
    </row>
    <row r="58" spans="1:13" ht="15.75" thickBot="1" x14ac:dyDescent="0.3">
      <c r="A58" s="258">
        <v>2017</v>
      </c>
      <c r="B58" s="254" t="s">
        <v>304</v>
      </c>
      <c r="C58" s="255"/>
      <c r="D58" s="256">
        <v>8.6</v>
      </c>
      <c r="E58" s="256">
        <v>2</v>
      </c>
      <c r="F58" s="256">
        <v>2.1</v>
      </c>
      <c r="G58" s="256">
        <v>12.7</v>
      </c>
      <c r="H58" s="256"/>
      <c r="I58" s="256">
        <v>1.3</v>
      </c>
      <c r="J58" s="256">
        <v>5.8</v>
      </c>
      <c r="K58" s="256">
        <v>8</v>
      </c>
      <c r="L58" s="256">
        <v>15.1</v>
      </c>
      <c r="M58" s="257">
        <v>27.7</v>
      </c>
    </row>
    <row r="59" spans="1:13" x14ac:dyDescent="0.25">
      <c r="A59" s="258">
        <v>2016</v>
      </c>
      <c r="B59" s="241" t="s">
        <v>318</v>
      </c>
      <c r="C59" s="242">
        <v>1</v>
      </c>
      <c r="D59" s="243">
        <v>32.200000000000003</v>
      </c>
      <c r="E59" s="243">
        <v>26.5</v>
      </c>
      <c r="F59" s="243">
        <v>26.7</v>
      </c>
      <c r="G59" s="243">
        <v>30.5</v>
      </c>
      <c r="H59" s="243"/>
      <c r="I59" s="243">
        <v>43.7</v>
      </c>
      <c r="J59" s="243">
        <v>56.4</v>
      </c>
      <c r="K59" s="243">
        <v>61.8</v>
      </c>
      <c r="L59" s="243">
        <v>58.4</v>
      </c>
      <c r="M59" s="244">
        <v>45.3</v>
      </c>
    </row>
    <row r="60" spans="1:13" x14ac:dyDescent="0.25">
      <c r="A60" s="258">
        <v>2016</v>
      </c>
      <c r="B60" s="245" t="s">
        <v>319</v>
      </c>
      <c r="C60" s="246"/>
      <c r="D60" s="247"/>
      <c r="E60" s="247"/>
      <c r="F60" s="247"/>
      <c r="G60" s="247"/>
      <c r="H60" s="247"/>
      <c r="I60" s="247"/>
      <c r="J60" s="247"/>
      <c r="K60" s="247"/>
      <c r="L60" s="247"/>
      <c r="M60" s="248"/>
    </row>
    <row r="61" spans="1:13" x14ac:dyDescent="0.25">
      <c r="A61" s="258">
        <v>2016</v>
      </c>
      <c r="B61" s="249" t="s">
        <v>320</v>
      </c>
      <c r="C61" s="246">
        <v>2</v>
      </c>
      <c r="D61" s="247">
        <v>17.399999999999999</v>
      </c>
      <c r="E61" s="247">
        <v>16.600000000000001</v>
      </c>
      <c r="F61" s="247">
        <v>17.899999999999999</v>
      </c>
      <c r="G61" s="247">
        <v>17.399999999999999</v>
      </c>
      <c r="H61" s="247"/>
      <c r="I61" s="247">
        <v>22.7</v>
      </c>
      <c r="J61" s="247">
        <v>24.5</v>
      </c>
      <c r="K61" s="247">
        <v>22.3</v>
      </c>
      <c r="L61" s="247">
        <v>23.1</v>
      </c>
      <c r="M61" s="250">
        <v>20.399999999999999</v>
      </c>
    </row>
    <row r="62" spans="1:13" x14ac:dyDescent="0.25">
      <c r="A62" s="258">
        <v>2016</v>
      </c>
      <c r="B62" s="249" t="s">
        <v>321</v>
      </c>
      <c r="C62" s="246">
        <v>3</v>
      </c>
      <c r="D62" s="247">
        <v>18.8</v>
      </c>
      <c r="E62" s="247">
        <v>20.5</v>
      </c>
      <c r="F62" s="247">
        <v>26.3</v>
      </c>
      <c r="G62" s="247">
        <v>20.3</v>
      </c>
      <c r="H62" s="247"/>
      <c r="I62" s="247">
        <v>19.7</v>
      </c>
      <c r="J62" s="247">
        <v>12.2</v>
      </c>
      <c r="K62" s="247">
        <v>9.6999999999999993</v>
      </c>
      <c r="L62" s="247">
        <v>11.4</v>
      </c>
      <c r="M62" s="250">
        <v>15.6</v>
      </c>
    </row>
    <row r="63" spans="1:13" x14ac:dyDescent="0.25">
      <c r="A63" s="258">
        <v>2016</v>
      </c>
      <c r="B63" s="249" t="s">
        <v>322</v>
      </c>
      <c r="C63" s="246"/>
      <c r="D63" s="251">
        <v>36.200000000000003</v>
      </c>
      <c r="E63" s="251">
        <v>37.1</v>
      </c>
      <c r="F63" s="251">
        <v>44.2</v>
      </c>
      <c r="G63" s="251">
        <v>37.6</v>
      </c>
      <c r="H63" s="251"/>
      <c r="I63" s="251">
        <v>42.4</v>
      </c>
      <c r="J63" s="251">
        <v>36.700000000000003</v>
      </c>
      <c r="K63" s="251">
        <v>32</v>
      </c>
      <c r="L63" s="251">
        <v>34.5</v>
      </c>
      <c r="M63" s="250">
        <v>36</v>
      </c>
    </row>
    <row r="64" spans="1:13" x14ac:dyDescent="0.25">
      <c r="A64" s="258">
        <v>2016</v>
      </c>
      <c r="B64" s="245" t="s">
        <v>323</v>
      </c>
      <c r="C64" s="246">
        <v>4</v>
      </c>
      <c r="D64" s="247"/>
      <c r="E64" s="247"/>
      <c r="F64" s="247"/>
      <c r="G64" s="247"/>
      <c r="H64" s="247"/>
      <c r="I64" s="247"/>
      <c r="J64" s="247"/>
      <c r="K64" s="247"/>
      <c r="L64" s="247"/>
      <c r="M64" s="250"/>
    </row>
    <row r="65" spans="1:13" x14ac:dyDescent="0.25">
      <c r="A65" s="258">
        <v>2016</v>
      </c>
      <c r="B65" s="249" t="s">
        <v>320</v>
      </c>
      <c r="C65" s="246">
        <v>2</v>
      </c>
      <c r="D65" s="247">
        <v>1.4</v>
      </c>
      <c r="E65" s="247">
        <v>1.3</v>
      </c>
      <c r="F65" s="247">
        <v>1.5</v>
      </c>
      <c r="G65" s="247">
        <v>1.4</v>
      </c>
      <c r="H65" s="247"/>
      <c r="I65" s="247">
        <v>1.3</v>
      </c>
      <c r="J65" s="247">
        <v>1.4</v>
      </c>
      <c r="K65" s="247">
        <v>1.5</v>
      </c>
      <c r="L65" s="247">
        <v>1.4</v>
      </c>
      <c r="M65" s="250">
        <v>1.4</v>
      </c>
    </row>
    <row r="66" spans="1:13" x14ac:dyDescent="0.25">
      <c r="A66" s="258">
        <v>2016</v>
      </c>
      <c r="B66" s="249" t="s">
        <v>321</v>
      </c>
      <c r="C66" s="246">
        <v>3</v>
      </c>
      <c r="D66" s="247">
        <v>12.4</v>
      </c>
      <c r="E66" s="247">
        <v>11.4</v>
      </c>
      <c r="F66" s="247">
        <v>14.9</v>
      </c>
      <c r="G66" s="247">
        <v>12.6</v>
      </c>
      <c r="H66" s="247"/>
      <c r="I66" s="247">
        <v>6.7</v>
      </c>
      <c r="J66" s="247">
        <v>4.2</v>
      </c>
      <c r="K66" s="247">
        <v>3</v>
      </c>
      <c r="L66" s="247">
        <v>3.7</v>
      </c>
      <c r="M66" s="250">
        <v>7.9</v>
      </c>
    </row>
    <row r="67" spans="1:13" x14ac:dyDescent="0.25">
      <c r="A67" s="258">
        <v>2016</v>
      </c>
      <c r="B67" s="249" t="s">
        <v>324</v>
      </c>
      <c r="C67" s="246"/>
      <c r="D67" s="247">
        <v>13.8</v>
      </c>
      <c r="E67" s="247">
        <v>12.7</v>
      </c>
      <c r="F67" s="247">
        <v>16.399999999999999</v>
      </c>
      <c r="G67" s="247">
        <v>14</v>
      </c>
      <c r="H67" s="247"/>
      <c r="I67" s="247">
        <v>8</v>
      </c>
      <c r="J67" s="247">
        <v>5.5</v>
      </c>
      <c r="K67" s="247">
        <v>4.5</v>
      </c>
      <c r="L67" s="247">
        <v>5.2</v>
      </c>
      <c r="M67" s="250">
        <v>9.3000000000000007</v>
      </c>
    </row>
    <row r="68" spans="1:13" x14ac:dyDescent="0.25">
      <c r="A68" s="258">
        <v>2016</v>
      </c>
      <c r="B68" s="245" t="s">
        <v>325</v>
      </c>
      <c r="C68" s="246"/>
      <c r="D68" s="251">
        <v>82.2</v>
      </c>
      <c r="E68" s="251">
        <v>76.2</v>
      </c>
      <c r="F68" s="251">
        <v>87.3</v>
      </c>
      <c r="G68" s="251">
        <v>82.1</v>
      </c>
      <c r="H68" s="251"/>
      <c r="I68" s="251">
        <v>94.2</v>
      </c>
      <c r="J68" s="251">
        <v>98.6</v>
      </c>
      <c r="K68" s="251">
        <v>98.4</v>
      </c>
      <c r="L68" s="251">
        <v>98.1</v>
      </c>
      <c r="M68" s="250">
        <v>90.6</v>
      </c>
    </row>
    <row r="69" spans="1:13" x14ac:dyDescent="0.25">
      <c r="A69" s="258">
        <v>2016</v>
      </c>
      <c r="B69" s="245" t="s">
        <v>326</v>
      </c>
      <c r="C69" s="246"/>
      <c r="D69" s="247"/>
      <c r="E69" s="247"/>
      <c r="F69" s="247"/>
      <c r="G69" s="247"/>
      <c r="H69" s="247"/>
      <c r="I69" s="247"/>
      <c r="J69" s="247"/>
      <c r="K69" s="247"/>
      <c r="L69" s="247"/>
      <c r="M69" s="250"/>
    </row>
    <row r="70" spans="1:13" x14ac:dyDescent="0.25">
      <c r="A70" s="258">
        <v>2016</v>
      </c>
      <c r="B70" s="249" t="s">
        <v>327</v>
      </c>
      <c r="C70" s="246"/>
      <c r="D70" s="247">
        <v>9.3000000000000007</v>
      </c>
      <c r="E70" s="247">
        <v>12.9</v>
      </c>
      <c r="F70" s="247">
        <v>9.6999999999999993</v>
      </c>
      <c r="G70" s="247">
        <v>9.9</v>
      </c>
      <c r="H70" s="247"/>
      <c r="I70" s="247">
        <v>4.7</v>
      </c>
      <c r="J70" s="247">
        <v>0.9</v>
      </c>
      <c r="K70" s="247">
        <v>1</v>
      </c>
      <c r="L70" s="247">
        <v>1.3</v>
      </c>
      <c r="M70" s="250">
        <v>5.3</v>
      </c>
    </row>
    <row r="71" spans="1:13" x14ac:dyDescent="0.25">
      <c r="A71" s="258">
        <v>2016</v>
      </c>
      <c r="B71" s="249" t="s">
        <v>328</v>
      </c>
      <c r="C71" s="246">
        <v>4</v>
      </c>
      <c r="D71" s="247">
        <v>8.5</v>
      </c>
      <c r="E71" s="247">
        <v>10.9</v>
      </c>
      <c r="F71" s="247">
        <v>2.9</v>
      </c>
      <c r="G71" s="247">
        <v>8</v>
      </c>
      <c r="H71" s="247"/>
      <c r="I71" s="247">
        <v>1.1000000000000001</v>
      </c>
      <c r="J71" s="247">
        <v>0.5</v>
      </c>
      <c r="K71" s="247">
        <v>0.6</v>
      </c>
      <c r="L71" s="247">
        <v>0.6</v>
      </c>
      <c r="M71" s="250">
        <v>4.0999999999999996</v>
      </c>
    </row>
    <row r="72" spans="1:13" x14ac:dyDescent="0.25">
      <c r="A72" s="258">
        <v>2016</v>
      </c>
      <c r="B72" s="245" t="s">
        <v>329</v>
      </c>
      <c r="C72" s="246"/>
      <c r="D72" s="251">
        <v>17.8</v>
      </c>
      <c r="E72" s="251">
        <v>23.8</v>
      </c>
      <c r="F72" s="251">
        <v>12.7</v>
      </c>
      <c r="G72" s="251">
        <v>17.899999999999999</v>
      </c>
      <c r="H72" s="251"/>
      <c r="I72" s="251">
        <v>5.8</v>
      </c>
      <c r="J72" s="251">
        <v>1.4</v>
      </c>
      <c r="K72" s="251">
        <v>1.6</v>
      </c>
      <c r="L72" s="251">
        <v>1.9</v>
      </c>
      <c r="M72" s="250">
        <v>9.4</v>
      </c>
    </row>
    <row r="73" spans="1:13" x14ac:dyDescent="0.25">
      <c r="A73" s="258">
        <v>2016</v>
      </c>
      <c r="B73" s="245" t="s">
        <v>330</v>
      </c>
      <c r="C73" s="246"/>
      <c r="D73" s="252">
        <v>5.5</v>
      </c>
      <c r="E73" s="252">
        <v>1.2</v>
      </c>
      <c r="F73" s="252">
        <v>1.3</v>
      </c>
      <c r="G73" s="252">
        <v>8</v>
      </c>
      <c r="H73" s="252"/>
      <c r="I73" s="252">
        <v>0.8</v>
      </c>
      <c r="J73" s="252">
        <v>3</v>
      </c>
      <c r="K73" s="252">
        <v>5.2</v>
      </c>
      <c r="L73" s="252">
        <v>9</v>
      </c>
      <c r="M73" s="253">
        <v>17</v>
      </c>
    </row>
    <row r="74" spans="1:13" ht="15.75" thickBot="1" x14ac:dyDescent="0.3">
      <c r="A74" s="258">
        <v>2016</v>
      </c>
      <c r="B74" s="254" t="s">
        <v>304</v>
      </c>
      <c r="C74" s="255"/>
      <c r="D74" s="256">
        <v>8.8000000000000007</v>
      </c>
      <c r="E74" s="256">
        <v>2</v>
      </c>
      <c r="F74" s="256">
        <v>2</v>
      </c>
      <c r="G74" s="256">
        <v>12.8</v>
      </c>
      <c r="H74" s="256"/>
      <c r="I74" s="256">
        <v>1.3</v>
      </c>
      <c r="J74" s="256">
        <v>4.9000000000000004</v>
      </c>
      <c r="K74" s="256">
        <v>8.4</v>
      </c>
      <c r="L74" s="256">
        <v>14.5</v>
      </c>
      <c r="M74" s="257">
        <v>27.4</v>
      </c>
    </row>
    <row r="75" spans="1:13" x14ac:dyDescent="0.25">
      <c r="A75" s="258">
        <v>2015</v>
      </c>
      <c r="B75" s="241" t="s">
        <v>318</v>
      </c>
      <c r="C75" s="242">
        <v>1</v>
      </c>
      <c r="D75" s="243">
        <v>31.8</v>
      </c>
      <c r="E75" s="243">
        <v>26.2</v>
      </c>
      <c r="F75" s="243">
        <v>26.6</v>
      </c>
      <c r="G75" s="243">
        <v>30.2</v>
      </c>
      <c r="H75" s="243"/>
      <c r="I75" s="243">
        <v>45.4</v>
      </c>
      <c r="J75" s="243">
        <v>57.7</v>
      </c>
      <c r="K75" s="243">
        <v>61.3</v>
      </c>
      <c r="L75" s="243">
        <v>58.6</v>
      </c>
      <c r="M75" s="244">
        <v>45.2</v>
      </c>
    </row>
    <row r="76" spans="1:13" x14ac:dyDescent="0.25">
      <c r="A76" s="258">
        <v>2015</v>
      </c>
      <c r="B76" s="245" t="s">
        <v>319</v>
      </c>
      <c r="C76" s="246"/>
      <c r="D76" s="247"/>
      <c r="E76" s="247"/>
      <c r="F76" s="247"/>
      <c r="G76" s="247"/>
      <c r="H76" s="247"/>
      <c r="I76" s="247"/>
      <c r="J76" s="247"/>
      <c r="K76" s="247"/>
      <c r="L76" s="247"/>
      <c r="M76" s="248"/>
    </row>
    <row r="77" spans="1:13" x14ac:dyDescent="0.25">
      <c r="A77" s="258">
        <v>2015</v>
      </c>
      <c r="B77" s="249" t="s">
        <v>320</v>
      </c>
      <c r="C77" s="246">
        <v>2</v>
      </c>
      <c r="D77" s="247">
        <v>16.399999999999999</v>
      </c>
      <c r="E77" s="247">
        <v>16.5</v>
      </c>
      <c r="F77" s="247">
        <v>18</v>
      </c>
      <c r="G77" s="247">
        <v>16.600000000000001</v>
      </c>
      <c r="H77" s="247"/>
      <c r="I77" s="247">
        <v>22.1</v>
      </c>
      <c r="J77" s="247">
        <v>24</v>
      </c>
      <c r="K77" s="247">
        <v>22.2</v>
      </c>
      <c r="L77" s="247">
        <v>22.8</v>
      </c>
      <c r="M77" s="250">
        <v>19.899999999999999</v>
      </c>
    </row>
    <row r="78" spans="1:13" x14ac:dyDescent="0.25">
      <c r="A78" s="258">
        <v>2015</v>
      </c>
      <c r="B78" s="249" t="s">
        <v>321</v>
      </c>
      <c r="C78" s="246">
        <v>3</v>
      </c>
      <c r="D78" s="247">
        <v>18.5</v>
      </c>
      <c r="E78" s="247">
        <v>21.7</v>
      </c>
      <c r="F78" s="247">
        <v>26.8</v>
      </c>
      <c r="G78" s="247">
        <v>20.2</v>
      </c>
      <c r="H78" s="247"/>
      <c r="I78" s="247">
        <v>18.2</v>
      </c>
      <c r="J78" s="247">
        <v>11.7</v>
      </c>
      <c r="K78" s="247">
        <v>10</v>
      </c>
      <c r="L78" s="247">
        <v>11.3</v>
      </c>
      <c r="M78" s="250">
        <v>15.5</v>
      </c>
    </row>
    <row r="79" spans="1:13" x14ac:dyDescent="0.25">
      <c r="A79" s="258">
        <v>2015</v>
      </c>
      <c r="B79" s="249" t="s">
        <v>322</v>
      </c>
      <c r="C79" s="246"/>
      <c r="D79" s="251">
        <v>34.799999999999997</v>
      </c>
      <c r="E79" s="251">
        <v>38.200000000000003</v>
      </c>
      <c r="F79" s="251">
        <v>44.8</v>
      </c>
      <c r="G79" s="251">
        <v>36.799999999999997</v>
      </c>
      <c r="H79" s="251"/>
      <c r="I79" s="251">
        <v>40.200000000000003</v>
      </c>
      <c r="J79" s="251">
        <v>35.6</v>
      </c>
      <c r="K79" s="251">
        <v>32.200000000000003</v>
      </c>
      <c r="L79" s="251">
        <v>34.1</v>
      </c>
      <c r="M79" s="250">
        <v>35.4</v>
      </c>
    </row>
    <row r="80" spans="1:13" x14ac:dyDescent="0.25">
      <c r="A80" s="258">
        <v>2015</v>
      </c>
      <c r="B80" s="245" t="s">
        <v>323</v>
      </c>
      <c r="C80" s="246">
        <v>4</v>
      </c>
      <c r="D80" s="247"/>
      <c r="E80" s="247"/>
      <c r="F80" s="247"/>
      <c r="G80" s="247"/>
      <c r="H80" s="247"/>
      <c r="I80" s="247"/>
      <c r="J80" s="247"/>
      <c r="K80" s="247"/>
      <c r="L80" s="247"/>
      <c r="M80" s="250"/>
    </row>
    <row r="81" spans="1:13" x14ac:dyDescent="0.25">
      <c r="A81" s="258">
        <v>2015</v>
      </c>
      <c r="B81" s="249" t="s">
        <v>320</v>
      </c>
      <c r="C81" s="246">
        <v>2</v>
      </c>
      <c r="D81" s="247">
        <v>1.3</v>
      </c>
      <c r="E81" s="247">
        <v>1.3</v>
      </c>
      <c r="F81" s="247">
        <v>1.5</v>
      </c>
      <c r="G81" s="247">
        <v>1.3</v>
      </c>
      <c r="H81" s="247"/>
      <c r="I81" s="247">
        <v>1.2</v>
      </c>
      <c r="J81" s="247">
        <v>1.3</v>
      </c>
      <c r="K81" s="247">
        <v>1.4</v>
      </c>
      <c r="L81" s="247">
        <v>1.4</v>
      </c>
      <c r="M81" s="250">
        <v>1.3</v>
      </c>
    </row>
    <row r="82" spans="1:13" x14ac:dyDescent="0.25">
      <c r="A82" s="258">
        <v>2015</v>
      </c>
      <c r="B82" s="249" t="s">
        <v>321</v>
      </c>
      <c r="C82" s="246">
        <v>3</v>
      </c>
      <c r="D82" s="247">
        <v>13</v>
      </c>
      <c r="E82" s="247">
        <v>12</v>
      </c>
      <c r="F82" s="247">
        <v>14.8</v>
      </c>
      <c r="G82" s="247">
        <v>13.1</v>
      </c>
      <c r="H82" s="247"/>
      <c r="I82" s="247">
        <v>6.2</v>
      </c>
      <c r="J82" s="247">
        <v>4</v>
      </c>
      <c r="K82" s="247">
        <v>3.2</v>
      </c>
      <c r="L82" s="247">
        <v>3.7</v>
      </c>
      <c r="M82" s="250">
        <v>8.1999999999999993</v>
      </c>
    </row>
    <row r="83" spans="1:13" x14ac:dyDescent="0.25">
      <c r="A83" s="258">
        <v>2015</v>
      </c>
      <c r="B83" s="249" t="s">
        <v>324</v>
      </c>
      <c r="C83" s="246"/>
      <c r="D83" s="247">
        <v>14.3</v>
      </c>
      <c r="E83" s="247">
        <v>13.3</v>
      </c>
      <c r="F83" s="247">
        <v>16.399999999999999</v>
      </c>
      <c r="G83" s="247">
        <v>14.4</v>
      </c>
      <c r="H83" s="247"/>
      <c r="I83" s="247">
        <v>7.5</v>
      </c>
      <c r="J83" s="247">
        <v>5.2</v>
      </c>
      <c r="K83" s="247">
        <v>4.5999999999999996</v>
      </c>
      <c r="L83" s="247">
        <v>5.0999999999999996</v>
      </c>
      <c r="M83" s="250">
        <v>9.5</v>
      </c>
    </row>
    <row r="84" spans="1:13" x14ac:dyDescent="0.25">
      <c r="A84" s="258">
        <v>2015</v>
      </c>
      <c r="B84" s="245" t="s">
        <v>325</v>
      </c>
      <c r="C84" s="246"/>
      <c r="D84" s="251">
        <v>80.900000000000006</v>
      </c>
      <c r="E84" s="251">
        <v>77.8</v>
      </c>
      <c r="F84" s="251">
        <v>87.7</v>
      </c>
      <c r="G84" s="251">
        <v>81.400000000000006</v>
      </c>
      <c r="H84" s="251"/>
      <c r="I84" s="251">
        <v>93.1</v>
      </c>
      <c r="J84" s="251">
        <v>98.5</v>
      </c>
      <c r="K84" s="251">
        <v>98.1</v>
      </c>
      <c r="L84" s="251">
        <v>97.8</v>
      </c>
      <c r="M84" s="250">
        <v>90</v>
      </c>
    </row>
    <row r="85" spans="1:13" x14ac:dyDescent="0.25">
      <c r="A85" s="258">
        <v>2015</v>
      </c>
      <c r="B85" s="245" t="s">
        <v>326</v>
      </c>
      <c r="C85" s="246"/>
      <c r="D85" s="247"/>
      <c r="E85" s="247"/>
      <c r="F85" s="247"/>
      <c r="G85" s="247"/>
      <c r="H85" s="247"/>
      <c r="I85" s="247"/>
      <c r="J85" s="247"/>
      <c r="K85" s="247"/>
      <c r="L85" s="247"/>
      <c r="M85" s="250"/>
    </row>
    <row r="86" spans="1:13" x14ac:dyDescent="0.25">
      <c r="A86" s="258">
        <v>2015</v>
      </c>
      <c r="B86" s="249" t="s">
        <v>327</v>
      </c>
      <c r="C86" s="246"/>
      <c r="D86" s="247">
        <v>9.6</v>
      </c>
      <c r="E86" s="247">
        <v>11.9</v>
      </c>
      <c r="F86" s="247">
        <v>9.1999999999999993</v>
      </c>
      <c r="G86" s="247">
        <v>10</v>
      </c>
      <c r="H86" s="247"/>
      <c r="I86" s="247">
        <v>5.5</v>
      </c>
      <c r="J86" s="247">
        <v>0.9</v>
      </c>
      <c r="K86" s="247">
        <v>1.2</v>
      </c>
      <c r="L86" s="247">
        <v>1.5</v>
      </c>
      <c r="M86" s="250">
        <v>5.5</v>
      </c>
    </row>
    <row r="87" spans="1:13" x14ac:dyDescent="0.25">
      <c r="A87" s="258">
        <v>2015</v>
      </c>
      <c r="B87" s="249" t="s">
        <v>328</v>
      </c>
      <c r="C87" s="246">
        <v>4</v>
      </c>
      <c r="D87" s="247">
        <v>9.4</v>
      </c>
      <c r="E87" s="247">
        <v>10.3</v>
      </c>
      <c r="F87" s="247">
        <v>3</v>
      </c>
      <c r="G87" s="247">
        <v>8.6999999999999993</v>
      </c>
      <c r="H87" s="247"/>
      <c r="I87" s="247">
        <v>1.3</v>
      </c>
      <c r="J87" s="247">
        <v>0.5</v>
      </c>
      <c r="K87" s="247">
        <v>0.7</v>
      </c>
      <c r="L87" s="247">
        <v>0.7</v>
      </c>
      <c r="M87" s="250">
        <v>4.5</v>
      </c>
    </row>
    <row r="88" spans="1:13" x14ac:dyDescent="0.25">
      <c r="A88" s="258">
        <v>2015</v>
      </c>
      <c r="B88" s="245" t="s">
        <v>329</v>
      </c>
      <c r="C88" s="246"/>
      <c r="D88" s="251">
        <v>19.100000000000001</v>
      </c>
      <c r="E88" s="251">
        <v>22.2</v>
      </c>
      <c r="F88" s="251">
        <v>12.3</v>
      </c>
      <c r="G88" s="251">
        <v>18.600000000000001</v>
      </c>
      <c r="H88" s="251"/>
      <c r="I88" s="251">
        <v>6.9</v>
      </c>
      <c r="J88" s="251">
        <v>1.5</v>
      </c>
      <c r="K88" s="251">
        <v>1.9</v>
      </c>
      <c r="L88" s="251">
        <v>2.2000000000000002</v>
      </c>
      <c r="M88" s="250">
        <v>10</v>
      </c>
    </row>
    <row r="89" spans="1:13" x14ac:dyDescent="0.25">
      <c r="A89" s="258">
        <v>2015</v>
      </c>
      <c r="B89" s="245" t="s">
        <v>330</v>
      </c>
      <c r="C89" s="246"/>
      <c r="D89" s="252">
        <v>5.6</v>
      </c>
      <c r="E89" s="252">
        <v>1.3</v>
      </c>
      <c r="F89" s="252">
        <v>1.1000000000000001</v>
      </c>
      <c r="G89" s="252">
        <v>8</v>
      </c>
      <c r="H89" s="252"/>
      <c r="I89" s="252">
        <v>0.8</v>
      </c>
      <c r="J89" s="252">
        <v>3.1</v>
      </c>
      <c r="K89" s="252">
        <v>5</v>
      </c>
      <c r="L89" s="252">
        <v>8.9</v>
      </c>
      <c r="M89" s="253">
        <v>16.8</v>
      </c>
    </row>
    <row r="90" spans="1:13" ht="15.75" thickBot="1" x14ac:dyDescent="0.3">
      <c r="A90" s="258">
        <v>2015</v>
      </c>
      <c r="B90" s="254" t="s">
        <v>304</v>
      </c>
      <c r="C90" s="255"/>
      <c r="D90" s="256">
        <v>9</v>
      </c>
      <c r="E90" s="256">
        <v>2.1</v>
      </c>
      <c r="F90" s="256">
        <v>1.8</v>
      </c>
      <c r="G90" s="256">
        <v>12.8</v>
      </c>
      <c r="H90" s="256"/>
      <c r="I90" s="256">
        <v>1.2</v>
      </c>
      <c r="J90" s="256">
        <v>5</v>
      </c>
      <c r="K90" s="256">
        <v>8</v>
      </c>
      <c r="L90" s="256">
        <v>14.3</v>
      </c>
      <c r="M90" s="257">
        <v>27.1</v>
      </c>
    </row>
    <row r="91" spans="1:13" x14ac:dyDescent="0.25">
      <c r="A91" s="258">
        <v>2014</v>
      </c>
      <c r="B91" s="241" t="s">
        <v>318</v>
      </c>
      <c r="C91" s="242">
        <v>1</v>
      </c>
      <c r="D91" s="243">
        <v>30.1</v>
      </c>
      <c r="E91" s="243">
        <v>25.5</v>
      </c>
      <c r="F91" s="243">
        <v>26.4</v>
      </c>
      <c r="G91" s="243">
        <v>28.8</v>
      </c>
      <c r="H91" s="243"/>
      <c r="I91" s="243">
        <v>45.8</v>
      </c>
      <c r="J91" s="243">
        <v>57.6</v>
      </c>
      <c r="K91" s="243">
        <v>61.3</v>
      </c>
      <c r="L91" s="243">
        <v>58.8</v>
      </c>
      <c r="M91" s="244">
        <v>44.6</v>
      </c>
    </row>
    <row r="92" spans="1:13" x14ac:dyDescent="0.25">
      <c r="A92" s="258">
        <v>2014</v>
      </c>
      <c r="B92" s="245" t="s">
        <v>319</v>
      </c>
      <c r="C92" s="246"/>
      <c r="D92" s="247"/>
      <c r="E92" s="247"/>
      <c r="F92" s="247"/>
      <c r="G92" s="247"/>
      <c r="H92" s="247"/>
      <c r="I92" s="247"/>
      <c r="J92" s="247"/>
      <c r="K92" s="247"/>
      <c r="L92" s="247"/>
      <c r="M92" s="248"/>
    </row>
    <row r="93" spans="1:13" x14ac:dyDescent="0.25">
      <c r="A93" s="258">
        <v>2014</v>
      </c>
      <c r="B93" s="249" t="s">
        <v>320</v>
      </c>
      <c r="C93" s="246">
        <v>2</v>
      </c>
      <c r="D93" s="247">
        <v>16.2</v>
      </c>
      <c r="E93" s="247">
        <v>16.100000000000001</v>
      </c>
      <c r="F93" s="247">
        <v>17.7</v>
      </c>
      <c r="G93" s="247">
        <v>16.399999999999999</v>
      </c>
      <c r="H93" s="247"/>
      <c r="I93" s="247">
        <v>22.5</v>
      </c>
      <c r="J93" s="247">
        <v>24.6</v>
      </c>
      <c r="K93" s="247">
        <v>22</v>
      </c>
      <c r="L93" s="247">
        <v>22.9</v>
      </c>
      <c r="M93" s="250">
        <v>19.8</v>
      </c>
    </row>
    <row r="94" spans="1:13" x14ac:dyDescent="0.25">
      <c r="A94" s="258">
        <v>2014</v>
      </c>
      <c r="B94" s="249" t="s">
        <v>321</v>
      </c>
      <c r="C94" s="246">
        <v>3</v>
      </c>
      <c r="D94" s="247">
        <v>18.7</v>
      </c>
      <c r="E94" s="247">
        <v>21.1</v>
      </c>
      <c r="F94" s="247">
        <v>26.8</v>
      </c>
      <c r="G94" s="247">
        <v>20.2</v>
      </c>
      <c r="H94" s="247"/>
      <c r="I94" s="247">
        <v>17.3</v>
      </c>
      <c r="J94" s="247">
        <v>11.3</v>
      </c>
      <c r="K94" s="247">
        <v>10.199999999999999</v>
      </c>
      <c r="L94" s="247">
        <v>11.1</v>
      </c>
      <c r="M94" s="250">
        <v>15.4</v>
      </c>
    </row>
    <row r="95" spans="1:13" x14ac:dyDescent="0.25">
      <c r="A95" s="258">
        <v>2014</v>
      </c>
      <c r="B95" s="249" t="s">
        <v>322</v>
      </c>
      <c r="C95" s="246"/>
      <c r="D95" s="251">
        <v>34.799999999999997</v>
      </c>
      <c r="E95" s="251">
        <v>37.200000000000003</v>
      </c>
      <c r="F95" s="251">
        <v>44.5</v>
      </c>
      <c r="G95" s="251">
        <v>36.6</v>
      </c>
      <c r="H95" s="251"/>
      <c r="I95" s="251">
        <v>39.799999999999997</v>
      </c>
      <c r="J95" s="251">
        <v>35.9</v>
      </c>
      <c r="K95" s="251">
        <v>32.1</v>
      </c>
      <c r="L95" s="251">
        <v>34</v>
      </c>
      <c r="M95" s="250">
        <v>35.200000000000003</v>
      </c>
    </row>
    <row r="96" spans="1:13" x14ac:dyDescent="0.25">
      <c r="A96" s="258">
        <v>2014</v>
      </c>
      <c r="B96" s="245" t="s">
        <v>323</v>
      </c>
      <c r="C96" s="246">
        <v>4</v>
      </c>
      <c r="D96" s="247"/>
      <c r="E96" s="247"/>
      <c r="F96" s="247"/>
      <c r="G96" s="247"/>
      <c r="H96" s="247"/>
      <c r="I96" s="247"/>
      <c r="J96" s="247"/>
      <c r="K96" s="247"/>
      <c r="L96" s="247"/>
      <c r="M96" s="250"/>
    </row>
    <row r="97" spans="1:13" x14ac:dyDescent="0.25">
      <c r="A97" s="258">
        <v>2014</v>
      </c>
      <c r="B97" s="249" t="s">
        <v>320</v>
      </c>
      <c r="C97" s="246">
        <v>2</v>
      </c>
      <c r="D97" s="247">
        <v>1.3</v>
      </c>
      <c r="E97" s="247">
        <v>1.3</v>
      </c>
      <c r="F97" s="247">
        <v>1.5</v>
      </c>
      <c r="G97" s="247">
        <v>1.3</v>
      </c>
      <c r="H97" s="247"/>
      <c r="I97" s="247">
        <v>1.2</v>
      </c>
      <c r="J97" s="247">
        <v>1.2</v>
      </c>
      <c r="K97" s="247">
        <v>1.3</v>
      </c>
      <c r="L97" s="247">
        <v>1.3</v>
      </c>
      <c r="M97" s="250">
        <v>1.3</v>
      </c>
    </row>
    <row r="98" spans="1:13" x14ac:dyDescent="0.25">
      <c r="A98" s="258">
        <v>2014</v>
      </c>
      <c r="B98" s="249" t="s">
        <v>321</v>
      </c>
      <c r="C98" s="246">
        <v>3</v>
      </c>
      <c r="D98" s="247">
        <v>13.9</v>
      </c>
      <c r="E98" s="247">
        <v>12.6</v>
      </c>
      <c r="F98" s="247">
        <v>15.9</v>
      </c>
      <c r="G98" s="247">
        <v>14</v>
      </c>
      <c r="H98" s="247"/>
      <c r="I98" s="247">
        <v>6.1</v>
      </c>
      <c r="J98" s="247">
        <v>3.9</v>
      </c>
      <c r="K98" s="247">
        <v>3.3</v>
      </c>
      <c r="L98" s="247">
        <v>3.7</v>
      </c>
      <c r="M98" s="250">
        <v>8.6</v>
      </c>
    </row>
    <row r="99" spans="1:13" x14ac:dyDescent="0.25">
      <c r="A99" s="258">
        <v>2014</v>
      </c>
      <c r="B99" s="249" t="s">
        <v>324</v>
      </c>
      <c r="C99" s="246"/>
      <c r="D99" s="247">
        <v>15.2</v>
      </c>
      <c r="E99" s="247">
        <v>13.9</v>
      </c>
      <c r="F99" s="247">
        <v>17.399999999999999</v>
      </c>
      <c r="G99" s="247">
        <v>15.3</v>
      </c>
      <c r="H99" s="247"/>
      <c r="I99" s="247">
        <v>7.3</v>
      </c>
      <c r="J99" s="247">
        <v>5.0999999999999996</v>
      </c>
      <c r="K99" s="247">
        <v>4.5999999999999996</v>
      </c>
      <c r="L99" s="247">
        <v>5</v>
      </c>
      <c r="M99" s="250">
        <v>9.9</v>
      </c>
    </row>
    <row r="100" spans="1:13" x14ac:dyDescent="0.25">
      <c r="A100" s="258">
        <v>2014</v>
      </c>
      <c r="B100" s="245" t="s">
        <v>325</v>
      </c>
      <c r="C100" s="246"/>
      <c r="D100" s="251">
        <v>80.099999999999994</v>
      </c>
      <c r="E100" s="251">
        <v>76.5</v>
      </c>
      <c r="F100" s="251">
        <v>88.3</v>
      </c>
      <c r="G100" s="251">
        <v>80.7</v>
      </c>
      <c r="H100" s="251"/>
      <c r="I100" s="251">
        <v>92.9</v>
      </c>
      <c r="J100" s="251">
        <v>98.6</v>
      </c>
      <c r="K100" s="251">
        <v>98</v>
      </c>
      <c r="L100" s="251">
        <v>97.8</v>
      </c>
      <c r="M100" s="250">
        <v>89.7</v>
      </c>
    </row>
    <row r="101" spans="1:13" x14ac:dyDescent="0.25">
      <c r="A101" s="258">
        <v>2014</v>
      </c>
      <c r="B101" s="245" t="s">
        <v>326</v>
      </c>
      <c r="C101" s="246"/>
      <c r="D101" s="247"/>
      <c r="E101" s="247"/>
      <c r="F101" s="247"/>
      <c r="G101" s="247"/>
      <c r="H101" s="247"/>
      <c r="I101" s="247"/>
      <c r="J101" s="247"/>
      <c r="K101" s="247"/>
      <c r="L101" s="247"/>
      <c r="M101" s="250"/>
    </row>
    <row r="102" spans="1:13" x14ac:dyDescent="0.25">
      <c r="A102" s="258">
        <v>2014</v>
      </c>
      <c r="B102" s="249" t="s">
        <v>327</v>
      </c>
      <c r="C102" s="246"/>
      <c r="D102" s="247">
        <v>10</v>
      </c>
      <c r="E102" s="247">
        <v>12.3</v>
      </c>
      <c r="F102" s="247">
        <v>8.6</v>
      </c>
      <c r="G102" s="247">
        <v>10.199999999999999</v>
      </c>
      <c r="H102" s="247"/>
      <c r="I102" s="247">
        <v>4.5</v>
      </c>
      <c r="J102" s="247">
        <v>0.9</v>
      </c>
      <c r="K102" s="247">
        <v>1.2</v>
      </c>
      <c r="L102" s="247">
        <v>1.4</v>
      </c>
      <c r="M102" s="250">
        <v>5.6</v>
      </c>
    </row>
    <row r="103" spans="1:13" x14ac:dyDescent="0.25">
      <c r="A103" s="258">
        <v>2014</v>
      </c>
      <c r="B103" s="249" t="s">
        <v>328</v>
      </c>
      <c r="C103" s="246">
        <v>4</v>
      </c>
      <c r="D103" s="247">
        <v>9.9</v>
      </c>
      <c r="E103" s="247">
        <v>11.2</v>
      </c>
      <c r="F103" s="247">
        <v>3.1</v>
      </c>
      <c r="G103" s="247">
        <v>9.1</v>
      </c>
      <c r="H103" s="247"/>
      <c r="I103" s="247">
        <v>2.6</v>
      </c>
      <c r="J103" s="247">
        <v>0.5</v>
      </c>
      <c r="K103" s="247">
        <v>0.7</v>
      </c>
      <c r="L103" s="247">
        <v>0.8</v>
      </c>
      <c r="M103" s="250">
        <v>4.8</v>
      </c>
    </row>
    <row r="104" spans="1:13" x14ac:dyDescent="0.25">
      <c r="A104" s="258">
        <v>2014</v>
      </c>
      <c r="B104" s="245" t="s">
        <v>329</v>
      </c>
      <c r="C104" s="246"/>
      <c r="D104" s="251">
        <v>19.899999999999999</v>
      </c>
      <c r="E104" s="251">
        <v>23.5</v>
      </c>
      <c r="F104" s="251">
        <v>11.7</v>
      </c>
      <c r="G104" s="251">
        <v>19.3</v>
      </c>
      <c r="H104" s="251"/>
      <c r="I104" s="251">
        <v>7.1</v>
      </c>
      <c r="J104" s="251">
        <v>1.4</v>
      </c>
      <c r="K104" s="251">
        <v>2</v>
      </c>
      <c r="L104" s="251">
        <v>2.2000000000000002</v>
      </c>
      <c r="M104" s="250">
        <v>10.3</v>
      </c>
    </row>
    <row r="105" spans="1:13" x14ac:dyDescent="0.25">
      <c r="A105" s="258">
        <v>2014</v>
      </c>
      <c r="B105" s="245" t="s">
        <v>330</v>
      </c>
      <c r="C105" s="246"/>
      <c r="D105" s="252">
        <v>5.4</v>
      </c>
      <c r="E105" s="252">
        <v>1.2</v>
      </c>
      <c r="F105" s="252">
        <v>1.1000000000000001</v>
      </c>
      <c r="G105" s="252">
        <v>7.7</v>
      </c>
      <c r="H105" s="252"/>
      <c r="I105" s="252">
        <v>0.6</v>
      </c>
      <c r="J105" s="252">
        <v>3</v>
      </c>
      <c r="K105" s="252">
        <v>4.9000000000000004</v>
      </c>
      <c r="L105" s="252">
        <v>8.5</v>
      </c>
      <c r="M105" s="253">
        <v>16.2</v>
      </c>
    </row>
    <row r="106" spans="1:13" ht="15.75" thickBot="1" x14ac:dyDescent="0.3">
      <c r="A106" s="258">
        <v>2014</v>
      </c>
      <c r="B106" s="254" t="s">
        <v>304</v>
      </c>
      <c r="C106" s="255"/>
      <c r="D106" s="256">
        <v>8.6</v>
      </c>
      <c r="E106" s="256">
        <v>2</v>
      </c>
      <c r="F106" s="256">
        <v>1.8</v>
      </c>
      <c r="G106" s="256">
        <v>12.4</v>
      </c>
      <c r="H106" s="256"/>
      <c r="I106" s="256">
        <v>1</v>
      </c>
      <c r="J106" s="256">
        <v>4.9000000000000004</v>
      </c>
      <c r="K106" s="256">
        <v>7.8</v>
      </c>
      <c r="L106" s="256">
        <v>13.7</v>
      </c>
      <c r="M106" s="257">
        <v>26.1</v>
      </c>
    </row>
    <row r="107" spans="1:13" x14ac:dyDescent="0.25">
      <c r="A107" s="258">
        <v>2013</v>
      </c>
      <c r="B107" s="241" t="s">
        <v>318</v>
      </c>
      <c r="C107" s="242">
        <v>1</v>
      </c>
      <c r="D107" s="243">
        <v>34.4</v>
      </c>
      <c r="E107" s="243">
        <v>27.7</v>
      </c>
      <c r="F107" s="243">
        <v>28.8</v>
      </c>
      <c r="G107" s="243">
        <v>32.299999999999997</v>
      </c>
      <c r="H107" s="243"/>
      <c r="I107" s="243">
        <v>40.1</v>
      </c>
      <c r="J107" s="243">
        <v>54.1</v>
      </c>
      <c r="K107" s="243">
        <v>61.7</v>
      </c>
      <c r="L107" s="243">
        <v>57.4</v>
      </c>
      <c r="M107" s="244">
        <v>46.3</v>
      </c>
    </row>
    <row r="108" spans="1:13" x14ac:dyDescent="0.25">
      <c r="A108" s="258">
        <v>2013</v>
      </c>
      <c r="B108" s="245" t="s">
        <v>319</v>
      </c>
      <c r="C108" s="246"/>
      <c r="D108" s="247"/>
      <c r="E108" s="247"/>
      <c r="F108" s="247"/>
      <c r="G108" s="247"/>
      <c r="H108" s="247"/>
      <c r="I108" s="247"/>
      <c r="J108" s="247"/>
      <c r="K108" s="247"/>
      <c r="L108" s="247"/>
      <c r="M108" s="248"/>
    </row>
    <row r="109" spans="1:13" x14ac:dyDescent="0.25">
      <c r="A109" s="258">
        <v>2013</v>
      </c>
      <c r="B109" s="249" t="s">
        <v>320</v>
      </c>
      <c r="C109" s="246">
        <v>2</v>
      </c>
      <c r="D109" s="247">
        <v>16.8</v>
      </c>
      <c r="E109" s="247">
        <v>16</v>
      </c>
      <c r="F109" s="247">
        <v>18.3</v>
      </c>
      <c r="G109" s="247">
        <v>16.899999999999999</v>
      </c>
      <c r="H109" s="247"/>
      <c r="I109" s="247">
        <v>21.4</v>
      </c>
      <c r="J109" s="247">
        <v>24.4</v>
      </c>
      <c r="K109" s="247">
        <v>22.3</v>
      </c>
      <c r="L109" s="247">
        <v>22.9</v>
      </c>
      <c r="M109" s="250">
        <v>20.3</v>
      </c>
    </row>
    <row r="110" spans="1:13" x14ac:dyDescent="0.25">
      <c r="A110" s="258">
        <v>2013</v>
      </c>
      <c r="B110" s="249" t="s">
        <v>321</v>
      </c>
      <c r="C110" s="246">
        <v>3</v>
      </c>
      <c r="D110" s="247">
        <v>18.8</v>
      </c>
      <c r="E110" s="247">
        <v>20.2</v>
      </c>
      <c r="F110" s="247">
        <v>26.6</v>
      </c>
      <c r="G110" s="247">
        <v>20.399999999999999</v>
      </c>
      <c r="H110" s="247"/>
      <c r="I110" s="247">
        <v>22.9</v>
      </c>
      <c r="J110" s="247">
        <v>14</v>
      </c>
      <c r="K110" s="247">
        <v>9.6999999999999993</v>
      </c>
      <c r="L110" s="247">
        <v>12.2</v>
      </c>
      <c r="M110" s="250">
        <v>15.8</v>
      </c>
    </row>
    <row r="111" spans="1:13" x14ac:dyDescent="0.25">
      <c r="A111" s="258">
        <v>2013</v>
      </c>
      <c r="B111" s="249" t="s">
        <v>322</v>
      </c>
      <c r="C111" s="246"/>
      <c r="D111" s="251">
        <v>35.6</v>
      </c>
      <c r="E111" s="251">
        <v>36.200000000000003</v>
      </c>
      <c r="F111" s="251">
        <v>44.8</v>
      </c>
      <c r="G111" s="251">
        <v>37.299999999999997</v>
      </c>
      <c r="H111" s="251"/>
      <c r="I111" s="251">
        <v>44.3</v>
      </c>
      <c r="J111" s="251">
        <v>38.4</v>
      </c>
      <c r="K111" s="251">
        <v>32</v>
      </c>
      <c r="L111" s="251">
        <v>35.200000000000003</v>
      </c>
      <c r="M111" s="250">
        <v>36.1</v>
      </c>
    </row>
    <row r="112" spans="1:13" x14ac:dyDescent="0.25">
      <c r="A112" s="258">
        <v>2013</v>
      </c>
      <c r="B112" s="245" t="s">
        <v>323</v>
      </c>
      <c r="C112" s="246">
        <v>4</v>
      </c>
      <c r="D112" s="247"/>
      <c r="E112" s="247"/>
      <c r="F112" s="247"/>
      <c r="G112" s="247"/>
      <c r="H112" s="247"/>
      <c r="I112" s="247"/>
      <c r="J112" s="247"/>
      <c r="K112" s="247"/>
      <c r="L112" s="247"/>
      <c r="M112" s="250"/>
    </row>
    <row r="113" spans="1:13" x14ac:dyDescent="0.25">
      <c r="A113" s="258">
        <v>2013</v>
      </c>
      <c r="B113" s="249" t="s">
        <v>320</v>
      </c>
      <c r="C113" s="246">
        <v>2</v>
      </c>
      <c r="D113" s="247">
        <v>1.6</v>
      </c>
      <c r="E113" s="247">
        <v>1.5</v>
      </c>
      <c r="F113" s="247">
        <v>1.9</v>
      </c>
      <c r="G113" s="247">
        <v>1.7</v>
      </c>
      <c r="H113" s="247"/>
      <c r="I113" s="247">
        <v>1.7</v>
      </c>
      <c r="J113" s="247">
        <v>2</v>
      </c>
      <c r="K113" s="247">
        <v>1.7</v>
      </c>
      <c r="L113" s="247">
        <v>1.8</v>
      </c>
      <c r="M113" s="250">
        <v>1.7</v>
      </c>
    </row>
    <row r="114" spans="1:13" x14ac:dyDescent="0.25">
      <c r="A114" s="258">
        <v>2013</v>
      </c>
      <c r="B114" s="249" t="s">
        <v>321</v>
      </c>
      <c r="C114" s="246">
        <v>3</v>
      </c>
      <c r="D114" s="247">
        <v>11.3</v>
      </c>
      <c r="E114" s="247">
        <v>9.8000000000000007</v>
      </c>
      <c r="F114" s="247">
        <v>11.5</v>
      </c>
      <c r="G114" s="247">
        <v>11.1</v>
      </c>
      <c r="H114" s="247"/>
      <c r="I114" s="247">
        <v>7.1</v>
      </c>
      <c r="J114" s="247">
        <v>4.0999999999999996</v>
      </c>
      <c r="K114" s="247">
        <v>3</v>
      </c>
      <c r="L114" s="247">
        <v>3.7</v>
      </c>
      <c r="M114" s="250">
        <v>7</v>
      </c>
    </row>
    <row r="115" spans="1:13" x14ac:dyDescent="0.25">
      <c r="A115" s="258">
        <v>2013</v>
      </c>
      <c r="B115" s="249" t="s">
        <v>324</v>
      </c>
      <c r="C115" s="246"/>
      <c r="D115" s="247">
        <v>12.9</v>
      </c>
      <c r="E115" s="247">
        <v>11.3</v>
      </c>
      <c r="F115" s="247">
        <v>13.4</v>
      </c>
      <c r="G115" s="247">
        <v>12.7</v>
      </c>
      <c r="H115" s="247"/>
      <c r="I115" s="247">
        <v>8.8000000000000007</v>
      </c>
      <c r="J115" s="247">
        <v>6.1</v>
      </c>
      <c r="K115" s="247">
        <v>4.7</v>
      </c>
      <c r="L115" s="247">
        <v>5.5</v>
      </c>
      <c r="M115" s="250">
        <v>8.6999999999999993</v>
      </c>
    </row>
    <row r="116" spans="1:13" x14ac:dyDescent="0.25">
      <c r="A116" s="258">
        <v>2013</v>
      </c>
      <c r="B116" s="245" t="s">
        <v>325</v>
      </c>
      <c r="C116" s="246"/>
      <c r="D116" s="251">
        <v>82.9</v>
      </c>
      <c r="E116" s="251">
        <v>75.2</v>
      </c>
      <c r="F116" s="251">
        <v>87.1</v>
      </c>
      <c r="G116" s="251">
        <v>82.4</v>
      </c>
      <c r="H116" s="251"/>
      <c r="I116" s="251">
        <v>93.2</v>
      </c>
      <c r="J116" s="251">
        <v>98.6</v>
      </c>
      <c r="K116" s="251">
        <v>98.3</v>
      </c>
      <c r="L116" s="251">
        <v>98</v>
      </c>
      <c r="M116" s="250">
        <v>91.1</v>
      </c>
    </row>
    <row r="117" spans="1:13" x14ac:dyDescent="0.25">
      <c r="A117" s="258">
        <v>2013</v>
      </c>
      <c r="B117" s="245" t="s">
        <v>326</v>
      </c>
      <c r="C117" s="246"/>
      <c r="D117" s="247"/>
      <c r="E117" s="247"/>
      <c r="F117" s="247"/>
      <c r="G117" s="247"/>
      <c r="H117" s="247"/>
      <c r="I117" s="247"/>
      <c r="J117" s="247"/>
      <c r="K117" s="247"/>
      <c r="L117" s="247"/>
      <c r="M117" s="250"/>
    </row>
    <row r="118" spans="1:13" x14ac:dyDescent="0.25">
      <c r="A118" s="258">
        <v>2013</v>
      </c>
      <c r="B118" s="249" t="s">
        <v>327</v>
      </c>
      <c r="C118" s="246"/>
      <c r="D118" s="247">
        <v>8.6999999999999993</v>
      </c>
      <c r="E118" s="247">
        <v>12.5</v>
      </c>
      <c r="F118" s="247">
        <v>9.8000000000000007</v>
      </c>
      <c r="G118" s="247">
        <v>9.5</v>
      </c>
      <c r="H118" s="247"/>
      <c r="I118" s="247">
        <v>5.5</v>
      </c>
      <c r="J118" s="247">
        <v>0.8</v>
      </c>
      <c r="K118" s="247">
        <v>1</v>
      </c>
      <c r="L118" s="247">
        <v>1.3</v>
      </c>
      <c r="M118" s="250">
        <v>4.9000000000000004</v>
      </c>
    </row>
    <row r="119" spans="1:13" x14ac:dyDescent="0.25">
      <c r="A119" s="258">
        <v>2013</v>
      </c>
      <c r="B119" s="249" t="s">
        <v>328</v>
      </c>
      <c r="C119" s="246">
        <v>4</v>
      </c>
      <c r="D119" s="247">
        <v>8.4</v>
      </c>
      <c r="E119" s="247">
        <v>12.3</v>
      </c>
      <c r="F119" s="247">
        <v>3.1</v>
      </c>
      <c r="G119" s="247">
        <v>8.1</v>
      </c>
      <c r="H119" s="247"/>
      <c r="I119" s="247">
        <v>1.3</v>
      </c>
      <c r="J119" s="247">
        <v>0.5</v>
      </c>
      <c r="K119" s="247">
        <v>0.6</v>
      </c>
      <c r="L119" s="247">
        <v>0.6</v>
      </c>
      <c r="M119" s="250">
        <v>3.9</v>
      </c>
    </row>
    <row r="120" spans="1:13" x14ac:dyDescent="0.25">
      <c r="A120" s="258">
        <v>2013</v>
      </c>
      <c r="B120" s="245" t="s">
        <v>329</v>
      </c>
      <c r="C120" s="246"/>
      <c r="D120" s="251">
        <v>17.100000000000001</v>
      </c>
      <c r="E120" s="251">
        <v>24.8</v>
      </c>
      <c r="F120" s="251">
        <v>12.9</v>
      </c>
      <c r="G120" s="251">
        <v>17.600000000000001</v>
      </c>
      <c r="H120" s="251"/>
      <c r="I120" s="251">
        <v>6.8</v>
      </c>
      <c r="J120" s="251">
        <v>1.4</v>
      </c>
      <c r="K120" s="251">
        <v>1.7</v>
      </c>
      <c r="L120" s="251">
        <v>2</v>
      </c>
      <c r="M120" s="250">
        <v>8.9</v>
      </c>
    </row>
    <row r="121" spans="1:13" x14ac:dyDescent="0.25">
      <c r="A121" s="258">
        <v>2013</v>
      </c>
      <c r="B121" s="245" t="s">
        <v>330</v>
      </c>
      <c r="C121" s="246"/>
      <c r="D121" s="252">
        <v>5.0999999999999996</v>
      </c>
      <c r="E121" s="252">
        <v>1.2</v>
      </c>
      <c r="F121" s="252">
        <v>1.4</v>
      </c>
      <c r="G121" s="252">
        <v>7.7</v>
      </c>
      <c r="H121" s="252"/>
      <c r="I121" s="252">
        <v>0.8</v>
      </c>
      <c r="J121" s="252">
        <v>3.3</v>
      </c>
      <c r="K121" s="252">
        <v>5.6</v>
      </c>
      <c r="L121" s="252">
        <v>9.6999999999999993</v>
      </c>
      <c r="M121" s="253">
        <v>17.399999999999999</v>
      </c>
    </row>
    <row r="122" spans="1:13" ht="15.75" thickBot="1" x14ac:dyDescent="0.3">
      <c r="A122" s="258">
        <v>2013</v>
      </c>
      <c r="B122" s="254" t="s">
        <v>304</v>
      </c>
      <c r="C122" s="255"/>
      <c r="D122" s="256">
        <v>8.1999999999999993</v>
      </c>
      <c r="E122" s="256">
        <v>2</v>
      </c>
      <c r="F122" s="256">
        <v>2.2000000000000002</v>
      </c>
      <c r="G122" s="256">
        <v>12.4</v>
      </c>
      <c r="H122" s="256"/>
      <c r="I122" s="256">
        <v>1.2</v>
      </c>
      <c r="J122" s="256">
        <v>5.4</v>
      </c>
      <c r="K122" s="256">
        <v>9</v>
      </c>
      <c r="L122" s="256">
        <v>15.6</v>
      </c>
      <c r="M122" s="257">
        <v>28</v>
      </c>
    </row>
    <row r="123" spans="1:13" x14ac:dyDescent="0.25">
      <c r="A123" s="258">
        <v>2012</v>
      </c>
      <c r="B123" s="241" t="s">
        <v>318</v>
      </c>
      <c r="C123" s="242">
        <v>1</v>
      </c>
      <c r="D123" s="243">
        <v>34.4</v>
      </c>
      <c r="E123" s="243">
        <v>27.7</v>
      </c>
      <c r="F123" s="243">
        <v>28.8</v>
      </c>
      <c r="G123" s="243">
        <v>32.299999999999997</v>
      </c>
      <c r="H123" s="243"/>
      <c r="I123" s="243">
        <v>40.1</v>
      </c>
      <c r="J123" s="243">
        <v>54.1</v>
      </c>
      <c r="K123" s="243">
        <v>61.7</v>
      </c>
      <c r="L123" s="243">
        <v>57.4</v>
      </c>
      <c r="M123" s="244">
        <v>46.3</v>
      </c>
    </row>
    <row r="124" spans="1:13" x14ac:dyDescent="0.25">
      <c r="A124" s="258">
        <v>2012</v>
      </c>
      <c r="B124" s="245" t="s">
        <v>319</v>
      </c>
      <c r="C124" s="246"/>
      <c r="D124" s="247"/>
      <c r="E124" s="247"/>
      <c r="F124" s="247"/>
      <c r="G124" s="247"/>
      <c r="H124" s="247"/>
      <c r="I124" s="247"/>
      <c r="J124" s="247"/>
      <c r="K124" s="247"/>
      <c r="L124" s="247"/>
      <c r="M124" s="248"/>
    </row>
    <row r="125" spans="1:13" x14ac:dyDescent="0.25">
      <c r="A125" s="258">
        <v>2012</v>
      </c>
      <c r="B125" s="249" t="s">
        <v>320</v>
      </c>
      <c r="C125" s="246">
        <v>2</v>
      </c>
      <c r="D125" s="247">
        <v>16.8</v>
      </c>
      <c r="E125" s="247">
        <v>16</v>
      </c>
      <c r="F125" s="247">
        <v>18.3</v>
      </c>
      <c r="G125" s="247">
        <v>16.899999999999999</v>
      </c>
      <c r="H125" s="247"/>
      <c r="I125" s="247">
        <v>21.4</v>
      </c>
      <c r="J125" s="247">
        <v>24.4</v>
      </c>
      <c r="K125" s="247">
        <v>22.3</v>
      </c>
      <c r="L125" s="247">
        <v>22.9</v>
      </c>
      <c r="M125" s="250">
        <v>20.3</v>
      </c>
    </row>
    <row r="126" spans="1:13" x14ac:dyDescent="0.25">
      <c r="A126" s="258">
        <v>2012</v>
      </c>
      <c r="B126" s="249" t="s">
        <v>321</v>
      </c>
      <c r="C126" s="246">
        <v>3</v>
      </c>
      <c r="D126" s="247">
        <v>18.8</v>
      </c>
      <c r="E126" s="247">
        <v>20.2</v>
      </c>
      <c r="F126" s="247">
        <v>26.6</v>
      </c>
      <c r="G126" s="247">
        <v>20.399999999999999</v>
      </c>
      <c r="H126" s="247"/>
      <c r="I126" s="247">
        <v>22.9</v>
      </c>
      <c r="J126" s="247">
        <v>14</v>
      </c>
      <c r="K126" s="247">
        <v>9.6999999999999993</v>
      </c>
      <c r="L126" s="247">
        <v>12.2</v>
      </c>
      <c r="M126" s="250">
        <v>15.8</v>
      </c>
    </row>
    <row r="127" spans="1:13" x14ac:dyDescent="0.25">
      <c r="A127" s="258">
        <v>2012</v>
      </c>
      <c r="B127" s="249" t="s">
        <v>322</v>
      </c>
      <c r="C127" s="246"/>
      <c r="D127" s="251">
        <v>35.6</v>
      </c>
      <c r="E127" s="251">
        <v>36.200000000000003</v>
      </c>
      <c r="F127" s="251">
        <v>44.8</v>
      </c>
      <c r="G127" s="251">
        <v>37.299999999999997</v>
      </c>
      <c r="H127" s="251"/>
      <c r="I127" s="251">
        <v>44.3</v>
      </c>
      <c r="J127" s="251">
        <v>38.4</v>
      </c>
      <c r="K127" s="251">
        <v>32</v>
      </c>
      <c r="L127" s="251">
        <v>35.200000000000003</v>
      </c>
      <c r="M127" s="250">
        <v>36.1</v>
      </c>
    </row>
    <row r="128" spans="1:13" x14ac:dyDescent="0.25">
      <c r="A128" s="258">
        <v>2012</v>
      </c>
      <c r="B128" s="245" t="s">
        <v>323</v>
      </c>
      <c r="C128" s="246">
        <v>4</v>
      </c>
      <c r="D128" s="247"/>
      <c r="E128" s="247"/>
      <c r="F128" s="247"/>
      <c r="G128" s="247"/>
      <c r="H128" s="247"/>
      <c r="I128" s="247"/>
      <c r="J128" s="247"/>
      <c r="K128" s="247"/>
      <c r="L128" s="247"/>
      <c r="M128" s="250"/>
    </row>
    <row r="129" spans="1:13" x14ac:dyDescent="0.25">
      <c r="A129" s="258">
        <v>2012</v>
      </c>
      <c r="B129" s="249" t="s">
        <v>320</v>
      </c>
      <c r="C129" s="246">
        <v>2</v>
      </c>
      <c r="D129" s="247">
        <v>1.6</v>
      </c>
      <c r="E129" s="247">
        <v>1.5</v>
      </c>
      <c r="F129" s="247">
        <v>1.9</v>
      </c>
      <c r="G129" s="247">
        <v>1.7</v>
      </c>
      <c r="H129" s="247"/>
      <c r="I129" s="247">
        <v>1.7</v>
      </c>
      <c r="J129" s="247">
        <v>2</v>
      </c>
      <c r="K129" s="247">
        <v>1.7</v>
      </c>
      <c r="L129" s="247">
        <v>1.8</v>
      </c>
      <c r="M129" s="250">
        <v>1.7</v>
      </c>
    </row>
    <row r="130" spans="1:13" x14ac:dyDescent="0.25">
      <c r="A130" s="258">
        <v>2012</v>
      </c>
      <c r="B130" s="249" t="s">
        <v>321</v>
      </c>
      <c r="C130" s="246">
        <v>3</v>
      </c>
      <c r="D130" s="247">
        <v>11.3</v>
      </c>
      <c r="E130" s="247">
        <v>9.8000000000000007</v>
      </c>
      <c r="F130" s="247">
        <v>11.5</v>
      </c>
      <c r="G130" s="247">
        <v>11.1</v>
      </c>
      <c r="H130" s="247"/>
      <c r="I130" s="247">
        <v>7.1</v>
      </c>
      <c r="J130" s="247">
        <v>4.0999999999999996</v>
      </c>
      <c r="K130" s="247">
        <v>3</v>
      </c>
      <c r="L130" s="247">
        <v>3.7</v>
      </c>
      <c r="M130" s="250">
        <v>7</v>
      </c>
    </row>
    <row r="131" spans="1:13" x14ac:dyDescent="0.25">
      <c r="A131" s="258">
        <v>2012</v>
      </c>
      <c r="B131" s="249" t="s">
        <v>324</v>
      </c>
      <c r="C131" s="246"/>
      <c r="D131" s="247">
        <v>12.9</v>
      </c>
      <c r="E131" s="247">
        <v>11.3</v>
      </c>
      <c r="F131" s="247">
        <v>13.4</v>
      </c>
      <c r="G131" s="247">
        <v>12.7</v>
      </c>
      <c r="H131" s="247"/>
      <c r="I131" s="247">
        <v>8.8000000000000007</v>
      </c>
      <c r="J131" s="247">
        <v>6.1</v>
      </c>
      <c r="K131" s="247">
        <v>4.7</v>
      </c>
      <c r="L131" s="247">
        <v>5.5</v>
      </c>
      <c r="M131" s="250">
        <v>8.6999999999999993</v>
      </c>
    </row>
    <row r="132" spans="1:13" x14ac:dyDescent="0.25">
      <c r="A132" s="258">
        <v>2012</v>
      </c>
      <c r="B132" s="245" t="s">
        <v>325</v>
      </c>
      <c r="C132" s="246"/>
      <c r="D132" s="251">
        <v>82.9</v>
      </c>
      <c r="E132" s="251">
        <v>75.2</v>
      </c>
      <c r="F132" s="251">
        <v>87.1</v>
      </c>
      <c r="G132" s="251">
        <v>82.4</v>
      </c>
      <c r="H132" s="251"/>
      <c r="I132" s="251">
        <v>93.2</v>
      </c>
      <c r="J132" s="251">
        <v>98.6</v>
      </c>
      <c r="K132" s="251">
        <v>98.3</v>
      </c>
      <c r="L132" s="251">
        <v>98</v>
      </c>
      <c r="M132" s="250">
        <v>91.1</v>
      </c>
    </row>
    <row r="133" spans="1:13" x14ac:dyDescent="0.25">
      <c r="A133" s="258">
        <v>2012</v>
      </c>
      <c r="B133" s="245" t="s">
        <v>326</v>
      </c>
      <c r="C133" s="246"/>
      <c r="D133" s="247"/>
      <c r="E133" s="247"/>
      <c r="F133" s="247"/>
      <c r="G133" s="247"/>
      <c r="H133" s="247"/>
      <c r="I133" s="247"/>
      <c r="J133" s="247"/>
      <c r="K133" s="247"/>
      <c r="L133" s="247"/>
      <c r="M133" s="250"/>
    </row>
    <row r="134" spans="1:13" x14ac:dyDescent="0.25">
      <c r="A134" s="258">
        <v>2012</v>
      </c>
      <c r="B134" s="249" t="s">
        <v>327</v>
      </c>
      <c r="C134" s="246"/>
      <c r="D134" s="247">
        <v>8.6999999999999993</v>
      </c>
      <c r="E134" s="247">
        <v>12.5</v>
      </c>
      <c r="F134" s="247">
        <v>9.8000000000000007</v>
      </c>
      <c r="G134" s="247">
        <v>9.5</v>
      </c>
      <c r="H134" s="247"/>
      <c r="I134" s="247">
        <v>5.5</v>
      </c>
      <c r="J134" s="247">
        <v>0.8</v>
      </c>
      <c r="K134" s="247">
        <v>1</v>
      </c>
      <c r="L134" s="247">
        <v>1.3</v>
      </c>
      <c r="M134" s="250">
        <v>4.9000000000000004</v>
      </c>
    </row>
    <row r="135" spans="1:13" x14ac:dyDescent="0.25">
      <c r="A135" s="258">
        <v>2012</v>
      </c>
      <c r="B135" s="249" t="s">
        <v>328</v>
      </c>
      <c r="C135" s="246">
        <v>4</v>
      </c>
      <c r="D135" s="247">
        <v>8.4</v>
      </c>
      <c r="E135" s="247">
        <v>12.3</v>
      </c>
      <c r="F135" s="247">
        <v>3.1</v>
      </c>
      <c r="G135" s="247">
        <v>8.1</v>
      </c>
      <c r="H135" s="247"/>
      <c r="I135" s="247">
        <v>1.3</v>
      </c>
      <c r="J135" s="247">
        <v>0.5</v>
      </c>
      <c r="K135" s="247">
        <v>0.6</v>
      </c>
      <c r="L135" s="247">
        <v>0.6</v>
      </c>
      <c r="M135" s="250">
        <v>3.9</v>
      </c>
    </row>
    <row r="136" spans="1:13" x14ac:dyDescent="0.25">
      <c r="A136" s="258">
        <v>2012</v>
      </c>
      <c r="B136" s="245" t="s">
        <v>329</v>
      </c>
      <c r="C136" s="246"/>
      <c r="D136" s="251">
        <v>17.100000000000001</v>
      </c>
      <c r="E136" s="251">
        <v>24.8</v>
      </c>
      <c r="F136" s="251">
        <v>12.9</v>
      </c>
      <c r="G136" s="251">
        <v>17.600000000000001</v>
      </c>
      <c r="H136" s="251"/>
      <c r="I136" s="251">
        <v>6.8</v>
      </c>
      <c r="J136" s="251">
        <v>1.4</v>
      </c>
      <c r="K136" s="251">
        <v>1.7</v>
      </c>
      <c r="L136" s="251">
        <v>2</v>
      </c>
      <c r="M136" s="250">
        <v>8.9</v>
      </c>
    </row>
    <row r="137" spans="1:13" x14ac:dyDescent="0.25">
      <c r="A137" s="258">
        <v>2012</v>
      </c>
      <c r="B137" s="245" t="s">
        <v>330</v>
      </c>
      <c r="C137" s="246"/>
      <c r="D137" s="252">
        <v>5.0999999999999996</v>
      </c>
      <c r="E137" s="252">
        <v>1.2</v>
      </c>
      <c r="F137" s="252">
        <v>1.4</v>
      </c>
      <c r="G137" s="252">
        <v>7.7</v>
      </c>
      <c r="H137" s="252"/>
      <c r="I137" s="252">
        <v>0.8</v>
      </c>
      <c r="J137" s="252">
        <v>3.3</v>
      </c>
      <c r="K137" s="252">
        <v>5.6</v>
      </c>
      <c r="L137" s="252">
        <v>9.6999999999999993</v>
      </c>
      <c r="M137" s="253">
        <v>17.399999999999999</v>
      </c>
    </row>
    <row r="138" spans="1:13" ht="15.75" thickBot="1" x14ac:dyDescent="0.3">
      <c r="A138" s="258">
        <v>2012</v>
      </c>
      <c r="B138" s="254" t="s">
        <v>304</v>
      </c>
      <c r="C138" s="255"/>
      <c r="D138" s="256">
        <v>8.1999999999999993</v>
      </c>
      <c r="E138" s="256">
        <v>2</v>
      </c>
      <c r="F138" s="256">
        <v>2.2000000000000002</v>
      </c>
      <c r="G138" s="256">
        <v>12.4</v>
      </c>
      <c r="H138" s="256"/>
      <c r="I138" s="256">
        <v>1.2</v>
      </c>
      <c r="J138" s="256">
        <v>5.4</v>
      </c>
      <c r="K138" s="256">
        <v>9</v>
      </c>
      <c r="L138" s="256">
        <v>15.6</v>
      </c>
      <c r="M138" s="257">
        <v>28</v>
      </c>
    </row>
    <row r="139" spans="1:13" x14ac:dyDescent="0.25">
      <c r="A139" s="258">
        <v>2011</v>
      </c>
      <c r="B139" s="241" t="s">
        <v>318</v>
      </c>
      <c r="C139" s="242">
        <v>1</v>
      </c>
      <c r="D139" s="243">
        <v>34.4</v>
      </c>
      <c r="E139" s="243">
        <v>27.7</v>
      </c>
      <c r="F139" s="243">
        <v>28.8</v>
      </c>
      <c r="G139" s="243">
        <v>32.299999999999997</v>
      </c>
      <c r="H139" s="243"/>
      <c r="I139" s="243">
        <v>40.1</v>
      </c>
      <c r="J139" s="243">
        <v>54.1</v>
      </c>
      <c r="K139" s="243">
        <v>61.7</v>
      </c>
      <c r="L139" s="243">
        <v>57.4</v>
      </c>
      <c r="M139" s="244">
        <v>46.3</v>
      </c>
    </row>
    <row r="140" spans="1:13" x14ac:dyDescent="0.25">
      <c r="A140" s="258">
        <v>2011</v>
      </c>
      <c r="B140" s="245" t="s">
        <v>319</v>
      </c>
      <c r="C140" s="246"/>
      <c r="D140" s="247"/>
      <c r="E140" s="247"/>
      <c r="F140" s="247"/>
      <c r="G140" s="247"/>
      <c r="H140" s="247"/>
      <c r="I140" s="247"/>
      <c r="J140" s="247"/>
      <c r="K140" s="247"/>
      <c r="L140" s="247"/>
      <c r="M140" s="248"/>
    </row>
    <row r="141" spans="1:13" x14ac:dyDescent="0.25">
      <c r="A141" s="258">
        <v>2011</v>
      </c>
      <c r="B141" s="249" t="s">
        <v>320</v>
      </c>
      <c r="C141" s="246">
        <v>2</v>
      </c>
      <c r="D141" s="247">
        <v>16.8</v>
      </c>
      <c r="E141" s="247">
        <v>16</v>
      </c>
      <c r="F141" s="247">
        <v>18.3</v>
      </c>
      <c r="G141" s="247">
        <v>16.899999999999999</v>
      </c>
      <c r="H141" s="247"/>
      <c r="I141" s="247">
        <v>21.4</v>
      </c>
      <c r="J141" s="247">
        <v>24.4</v>
      </c>
      <c r="K141" s="247">
        <v>22.3</v>
      </c>
      <c r="L141" s="247">
        <v>22.9</v>
      </c>
      <c r="M141" s="250">
        <v>20.3</v>
      </c>
    </row>
    <row r="142" spans="1:13" x14ac:dyDescent="0.25">
      <c r="A142" s="258">
        <v>2011</v>
      </c>
      <c r="B142" s="249" t="s">
        <v>321</v>
      </c>
      <c r="C142" s="246">
        <v>3</v>
      </c>
      <c r="D142" s="247">
        <v>18.8</v>
      </c>
      <c r="E142" s="247">
        <v>20.2</v>
      </c>
      <c r="F142" s="247">
        <v>26.6</v>
      </c>
      <c r="G142" s="247">
        <v>20.399999999999999</v>
      </c>
      <c r="H142" s="247"/>
      <c r="I142" s="247">
        <v>22.9</v>
      </c>
      <c r="J142" s="247">
        <v>14</v>
      </c>
      <c r="K142" s="247">
        <v>9.6999999999999993</v>
      </c>
      <c r="L142" s="247">
        <v>12.2</v>
      </c>
      <c r="M142" s="250">
        <v>15.8</v>
      </c>
    </row>
    <row r="143" spans="1:13" x14ac:dyDescent="0.25">
      <c r="A143" s="258">
        <v>2011</v>
      </c>
      <c r="B143" s="249" t="s">
        <v>322</v>
      </c>
      <c r="C143" s="246"/>
      <c r="D143" s="251">
        <v>35.6</v>
      </c>
      <c r="E143" s="251">
        <v>36.200000000000003</v>
      </c>
      <c r="F143" s="251">
        <v>44.8</v>
      </c>
      <c r="G143" s="251">
        <v>37.299999999999997</v>
      </c>
      <c r="H143" s="251"/>
      <c r="I143" s="251">
        <v>44.3</v>
      </c>
      <c r="J143" s="251">
        <v>38.4</v>
      </c>
      <c r="K143" s="251">
        <v>32</v>
      </c>
      <c r="L143" s="251">
        <v>35.200000000000003</v>
      </c>
      <c r="M143" s="250">
        <v>36.1</v>
      </c>
    </row>
    <row r="144" spans="1:13" x14ac:dyDescent="0.25">
      <c r="A144" s="258">
        <v>2011</v>
      </c>
      <c r="B144" s="245" t="s">
        <v>323</v>
      </c>
      <c r="C144" s="246">
        <v>4</v>
      </c>
      <c r="D144" s="247"/>
      <c r="E144" s="247"/>
      <c r="F144" s="247"/>
      <c r="G144" s="247"/>
      <c r="H144" s="247"/>
      <c r="I144" s="247"/>
      <c r="J144" s="247"/>
      <c r="K144" s="247"/>
      <c r="L144" s="247"/>
      <c r="M144" s="250"/>
    </row>
    <row r="145" spans="1:13" x14ac:dyDescent="0.25">
      <c r="A145" s="258">
        <v>2011</v>
      </c>
      <c r="B145" s="249" t="s">
        <v>320</v>
      </c>
      <c r="C145" s="246">
        <v>2</v>
      </c>
      <c r="D145" s="247">
        <v>1.6</v>
      </c>
      <c r="E145" s="247">
        <v>1.5</v>
      </c>
      <c r="F145" s="247">
        <v>1.9</v>
      </c>
      <c r="G145" s="247">
        <v>1.7</v>
      </c>
      <c r="H145" s="247"/>
      <c r="I145" s="247">
        <v>1.7</v>
      </c>
      <c r="J145" s="247">
        <v>2</v>
      </c>
      <c r="K145" s="247">
        <v>1.7</v>
      </c>
      <c r="L145" s="247">
        <v>1.8</v>
      </c>
      <c r="M145" s="250">
        <v>1.7</v>
      </c>
    </row>
    <row r="146" spans="1:13" x14ac:dyDescent="0.25">
      <c r="A146" s="258">
        <v>2011</v>
      </c>
      <c r="B146" s="249" t="s">
        <v>321</v>
      </c>
      <c r="C146" s="246">
        <v>3</v>
      </c>
      <c r="D146" s="247">
        <v>11.3</v>
      </c>
      <c r="E146" s="247">
        <v>9.8000000000000007</v>
      </c>
      <c r="F146" s="247">
        <v>11.5</v>
      </c>
      <c r="G146" s="247">
        <v>11.1</v>
      </c>
      <c r="H146" s="247"/>
      <c r="I146" s="247">
        <v>7.1</v>
      </c>
      <c r="J146" s="247">
        <v>4.0999999999999996</v>
      </c>
      <c r="K146" s="247">
        <v>3</v>
      </c>
      <c r="L146" s="247">
        <v>3.7</v>
      </c>
      <c r="M146" s="250">
        <v>7</v>
      </c>
    </row>
    <row r="147" spans="1:13" x14ac:dyDescent="0.25">
      <c r="A147" s="258">
        <v>2011</v>
      </c>
      <c r="B147" s="249" t="s">
        <v>324</v>
      </c>
      <c r="C147" s="246"/>
      <c r="D147" s="247">
        <v>12.9</v>
      </c>
      <c r="E147" s="247">
        <v>11.3</v>
      </c>
      <c r="F147" s="247">
        <v>13.4</v>
      </c>
      <c r="G147" s="247">
        <v>12.7</v>
      </c>
      <c r="H147" s="247"/>
      <c r="I147" s="247">
        <v>8.8000000000000007</v>
      </c>
      <c r="J147" s="247">
        <v>6.1</v>
      </c>
      <c r="K147" s="247">
        <v>4.7</v>
      </c>
      <c r="L147" s="247">
        <v>5.5</v>
      </c>
      <c r="M147" s="250">
        <v>8.6999999999999993</v>
      </c>
    </row>
    <row r="148" spans="1:13" x14ac:dyDescent="0.25">
      <c r="A148" s="258">
        <v>2011</v>
      </c>
      <c r="B148" s="245" t="s">
        <v>325</v>
      </c>
      <c r="C148" s="246"/>
      <c r="D148" s="251">
        <v>82.9</v>
      </c>
      <c r="E148" s="251">
        <v>75.2</v>
      </c>
      <c r="F148" s="251">
        <v>87.1</v>
      </c>
      <c r="G148" s="251">
        <v>82.4</v>
      </c>
      <c r="H148" s="251"/>
      <c r="I148" s="251">
        <v>93.2</v>
      </c>
      <c r="J148" s="251">
        <v>98.6</v>
      </c>
      <c r="K148" s="251">
        <v>98.3</v>
      </c>
      <c r="L148" s="251">
        <v>98</v>
      </c>
      <c r="M148" s="250">
        <v>91.1</v>
      </c>
    </row>
    <row r="149" spans="1:13" x14ac:dyDescent="0.25">
      <c r="A149" s="258">
        <v>2011</v>
      </c>
      <c r="B149" s="245" t="s">
        <v>326</v>
      </c>
      <c r="C149" s="246"/>
      <c r="D149" s="247"/>
      <c r="E149" s="247"/>
      <c r="F149" s="247"/>
      <c r="G149" s="247"/>
      <c r="H149" s="247"/>
      <c r="I149" s="247"/>
      <c r="J149" s="247"/>
      <c r="K149" s="247"/>
      <c r="L149" s="247"/>
      <c r="M149" s="250"/>
    </row>
    <row r="150" spans="1:13" x14ac:dyDescent="0.25">
      <c r="A150" s="258">
        <v>2011</v>
      </c>
      <c r="B150" s="249" t="s">
        <v>327</v>
      </c>
      <c r="C150" s="246"/>
      <c r="D150" s="247">
        <v>8.6999999999999993</v>
      </c>
      <c r="E150" s="247">
        <v>12.5</v>
      </c>
      <c r="F150" s="247">
        <v>9.8000000000000007</v>
      </c>
      <c r="G150" s="247">
        <v>9.5</v>
      </c>
      <c r="H150" s="247"/>
      <c r="I150" s="247">
        <v>5.5</v>
      </c>
      <c r="J150" s="247">
        <v>0.8</v>
      </c>
      <c r="K150" s="247">
        <v>1</v>
      </c>
      <c r="L150" s="247">
        <v>1.3</v>
      </c>
      <c r="M150" s="250">
        <v>4.9000000000000004</v>
      </c>
    </row>
    <row r="151" spans="1:13" x14ac:dyDescent="0.25">
      <c r="A151" s="258">
        <v>2011</v>
      </c>
      <c r="B151" s="249" t="s">
        <v>328</v>
      </c>
      <c r="C151" s="246">
        <v>4</v>
      </c>
      <c r="D151" s="247">
        <v>8.4</v>
      </c>
      <c r="E151" s="247">
        <v>12.3</v>
      </c>
      <c r="F151" s="247">
        <v>3.1</v>
      </c>
      <c r="G151" s="247">
        <v>8.1</v>
      </c>
      <c r="H151" s="247"/>
      <c r="I151" s="247">
        <v>1.3</v>
      </c>
      <c r="J151" s="247">
        <v>0.5</v>
      </c>
      <c r="K151" s="247">
        <v>0.6</v>
      </c>
      <c r="L151" s="247">
        <v>0.6</v>
      </c>
      <c r="M151" s="250">
        <v>3.9</v>
      </c>
    </row>
    <row r="152" spans="1:13" x14ac:dyDescent="0.25">
      <c r="A152" s="258">
        <v>2011</v>
      </c>
      <c r="B152" s="245" t="s">
        <v>329</v>
      </c>
      <c r="C152" s="246"/>
      <c r="D152" s="251">
        <v>17.100000000000001</v>
      </c>
      <c r="E152" s="251">
        <v>24.8</v>
      </c>
      <c r="F152" s="251">
        <v>12.9</v>
      </c>
      <c r="G152" s="251">
        <v>17.600000000000001</v>
      </c>
      <c r="H152" s="251"/>
      <c r="I152" s="251">
        <v>6.8</v>
      </c>
      <c r="J152" s="251">
        <v>1.4</v>
      </c>
      <c r="K152" s="251">
        <v>1.7</v>
      </c>
      <c r="L152" s="251">
        <v>2</v>
      </c>
      <c r="M152" s="250">
        <v>8.9</v>
      </c>
    </row>
    <row r="153" spans="1:13" x14ac:dyDescent="0.25">
      <c r="A153" s="258">
        <v>2011</v>
      </c>
      <c r="B153" s="245" t="s">
        <v>330</v>
      </c>
      <c r="C153" s="246"/>
      <c r="D153" s="252">
        <v>5.0999999999999996</v>
      </c>
      <c r="E153" s="252">
        <v>1.2</v>
      </c>
      <c r="F153" s="252">
        <v>1.4</v>
      </c>
      <c r="G153" s="252">
        <v>7.7</v>
      </c>
      <c r="H153" s="252"/>
      <c r="I153" s="252">
        <v>0.8</v>
      </c>
      <c r="J153" s="252">
        <v>3.3</v>
      </c>
      <c r="K153" s="252">
        <v>5.6</v>
      </c>
      <c r="L153" s="252">
        <v>9.6999999999999993</v>
      </c>
      <c r="M153" s="253">
        <v>17.399999999999999</v>
      </c>
    </row>
    <row r="154" spans="1:13" ht="15.75" thickBot="1" x14ac:dyDescent="0.3">
      <c r="A154" s="258">
        <v>2011</v>
      </c>
      <c r="B154" s="254" t="s">
        <v>304</v>
      </c>
      <c r="C154" s="255"/>
      <c r="D154" s="256">
        <v>8.1999999999999993</v>
      </c>
      <c r="E154" s="256">
        <v>2</v>
      </c>
      <c r="F154" s="256">
        <v>2.2000000000000002</v>
      </c>
      <c r="G154" s="256">
        <v>12.4</v>
      </c>
      <c r="H154" s="256"/>
      <c r="I154" s="256">
        <v>1.2</v>
      </c>
      <c r="J154" s="256">
        <v>5.4</v>
      </c>
      <c r="K154" s="256">
        <v>9</v>
      </c>
      <c r="L154" s="256">
        <v>15.6</v>
      </c>
      <c r="M154" s="257">
        <v>28</v>
      </c>
    </row>
    <row r="155" spans="1:13" x14ac:dyDescent="0.25">
      <c r="A155" s="258">
        <v>2010</v>
      </c>
      <c r="B155" s="241" t="s">
        <v>318</v>
      </c>
      <c r="C155" s="242">
        <v>1</v>
      </c>
      <c r="D155" s="243">
        <v>34.4</v>
      </c>
      <c r="E155" s="243">
        <v>27.7</v>
      </c>
      <c r="F155" s="243">
        <v>28.8</v>
      </c>
      <c r="G155" s="243">
        <v>32.299999999999997</v>
      </c>
      <c r="H155" s="243"/>
      <c r="I155" s="243">
        <v>40.1</v>
      </c>
      <c r="J155" s="243">
        <v>54.1</v>
      </c>
      <c r="K155" s="243">
        <v>61.7</v>
      </c>
      <c r="L155" s="243">
        <v>57.4</v>
      </c>
      <c r="M155" s="244">
        <v>46.3</v>
      </c>
    </row>
    <row r="156" spans="1:13" x14ac:dyDescent="0.25">
      <c r="A156" s="258">
        <v>2010</v>
      </c>
      <c r="B156" s="245" t="s">
        <v>319</v>
      </c>
      <c r="C156" s="246"/>
      <c r="D156" s="247"/>
      <c r="E156" s="247"/>
      <c r="F156" s="247"/>
      <c r="G156" s="247"/>
      <c r="H156" s="247"/>
      <c r="I156" s="247"/>
      <c r="J156" s="247"/>
      <c r="K156" s="247"/>
      <c r="L156" s="247"/>
      <c r="M156" s="248"/>
    </row>
    <row r="157" spans="1:13" x14ac:dyDescent="0.25">
      <c r="A157" s="258">
        <v>2010</v>
      </c>
      <c r="B157" s="249" t="s">
        <v>320</v>
      </c>
      <c r="C157" s="246">
        <v>2</v>
      </c>
      <c r="D157" s="247">
        <v>16.8</v>
      </c>
      <c r="E157" s="247">
        <v>16</v>
      </c>
      <c r="F157" s="247">
        <v>18.3</v>
      </c>
      <c r="G157" s="247">
        <v>16.899999999999999</v>
      </c>
      <c r="H157" s="247"/>
      <c r="I157" s="247">
        <v>21.4</v>
      </c>
      <c r="J157" s="247">
        <v>24.4</v>
      </c>
      <c r="K157" s="247">
        <v>22.3</v>
      </c>
      <c r="L157" s="247">
        <v>22.9</v>
      </c>
      <c r="M157" s="250">
        <v>20.3</v>
      </c>
    </row>
    <row r="158" spans="1:13" x14ac:dyDescent="0.25">
      <c r="A158" s="258">
        <v>2010</v>
      </c>
      <c r="B158" s="249" t="s">
        <v>321</v>
      </c>
      <c r="C158" s="246">
        <v>3</v>
      </c>
      <c r="D158" s="247">
        <v>18.8</v>
      </c>
      <c r="E158" s="247">
        <v>20.2</v>
      </c>
      <c r="F158" s="247">
        <v>26.6</v>
      </c>
      <c r="G158" s="247">
        <v>20.399999999999999</v>
      </c>
      <c r="H158" s="247"/>
      <c r="I158" s="247">
        <v>22.9</v>
      </c>
      <c r="J158" s="247">
        <v>14</v>
      </c>
      <c r="K158" s="247">
        <v>9.6999999999999993</v>
      </c>
      <c r="L158" s="247">
        <v>12.2</v>
      </c>
      <c r="M158" s="250">
        <v>15.8</v>
      </c>
    </row>
    <row r="159" spans="1:13" x14ac:dyDescent="0.25">
      <c r="A159" s="258">
        <v>2010</v>
      </c>
      <c r="B159" s="249" t="s">
        <v>322</v>
      </c>
      <c r="C159" s="246"/>
      <c r="D159" s="251">
        <v>35.6</v>
      </c>
      <c r="E159" s="251">
        <v>36.200000000000003</v>
      </c>
      <c r="F159" s="251">
        <v>44.8</v>
      </c>
      <c r="G159" s="251">
        <v>37.299999999999997</v>
      </c>
      <c r="H159" s="251"/>
      <c r="I159" s="251">
        <v>44.3</v>
      </c>
      <c r="J159" s="251">
        <v>38.4</v>
      </c>
      <c r="K159" s="251">
        <v>32</v>
      </c>
      <c r="L159" s="251">
        <v>35.200000000000003</v>
      </c>
      <c r="M159" s="250">
        <v>36.1</v>
      </c>
    </row>
    <row r="160" spans="1:13" x14ac:dyDescent="0.25">
      <c r="A160" s="258">
        <v>2010</v>
      </c>
      <c r="B160" s="245" t="s">
        <v>323</v>
      </c>
      <c r="C160" s="246">
        <v>4</v>
      </c>
      <c r="D160" s="247"/>
      <c r="E160" s="247"/>
      <c r="F160" s="247"/>
      <c r="G160" s="247"/>
      <c r="H160" s="247"/>
      <c r="I160" s="247"/>
      <c r="J160" s="247"/>
      <c r="K160" s="247"/>
      <c r="L160" s="247"/>
      <c r="M160" s="250"/>
    </row>
    <row r="161" spans="1:13" x14ac:dyDescent="0.25">
      <c r="A161" s="258">
        <v>2010</v>
      </c>
      <c r="B161" s="249" t="s">
        <v>320</v>
      </c>
      <c r="C161" s="246">
        <v>2</v>
      </c>
      <c r="D161" s="247">
        <v>1.6</v>
      </c>
      <c r="E161" s="247">
        <v>1.5</v>
      </c>
      <c r="F161" s="247">
        <v>1.9</v>
      </c>
      <c r="G161" s="247">
        <v>1.7</v>
      </c>
      <c r="H161" s="247"/>
      <c r="I161" s="247">
        <v>1.7</v>
      </c>
      <c r="J161" s="247">
        <v>2</v>
      </c>
      <c r="K161" s="247">
        <v>1.7</v>
      </c>
      <c r="L161" s="247">
        <v>1.8</v>
      </c>
      <c r="M161" s="250">
        <v>1.7</v>
      </c>
    </row>
    <row r="162" spans="1:13" x14ac:dyDescent="0.25">
      <c r="A162" s="258">
        <v>2010</v>
      </c>
      <c r="B162" s="249" t="s">
        <v>321</v>
      </c>
      <c r="C162" s="246">
        <v>3</v>
      </c>
      <c r="D162" s="247">
        <v>11.3</v>
      </c>
      <c r="E162" s="247">
        <v>9.8000000000000007</v>
      </c>
      <c r="F162" s="247">
        <v>11.5</v>
      </c>
      <c r="G162" s="247">
        <v>11.1</v>
      </c>
      <c r="H162" s="247"/>
      <c r="I162" s="247">
        <v>7.1</v>
      </c>
      <c r="J162" s="247">
        <v>4.0999999999999996</v>
      </c>
      <c r="K162" s="247">
        <v>3</v>
      </c>
      <c r="L162" s="247">
        <v>3.7</v>
      </c>
      <c r="M162" s="250">
        <v>7</v>
      </c>
    </row>
    <row r="163" spans="1:13" x14ac:dyDescent="0.25">
      <c r="A163" s="258">
        <v>2010</v>
      </c>
      <c r="B163" s="249" t="s">
        <v>324</v>
      </c>
      <c r="C163" s="246"/>
      <c r="D163" s="247">
        <v>12.9</v>
      </c>
      <c r="E163" s="247">
        <v>11.3</v>
      </c>
      <c r="F163" s="247">
        <v>13.4</v>
      </c>
      <c r="G163" s="247">
        <v>12.7</v>
      </c>
      <c r="H163" s="247"/>
      <c r="I163" s="247">
        <v>8.8000000000000007</v>
      </c>
      <c r="J163" s="247">
        <v>6.1</v>
      </c>
      <c r="K163" s="247">
        <v>4.7</v>
      </c>
      <c r="L163" s="247">
        <v>5.5</v>
      </c>
      <c r="M163" s="250">
        <v>8.6999999999999993</v>
      </c>
    </row>
    <row r="164" spans="1:13" x14ac:dyDescent="0.25">
      <c r="A164" s="258">
        <v>2010</v>
      </c>
      <c r="B164" s="245" t="s">
        <v>325</v>
      </c>
      <c r="C164" s="246"/>
      <c r="D164" s="251">
        <v>82.9</v>
      </c>
      <c r="E164" s="251">
        <v>75.2</v>
      </c>
      <c r="F164" s="251">
        <v>87.1</v>
      </c>
      <c r="G164" s="251">
        <v>82.4</v>
      </c>
      <c r="H164" s="251"/>
      <c r="I164" s="251">
        <v>93.2</v>
      </c>
      <c r="J164" s="251">
        <v>98.6</v>
      </c>
      <c r="K164" s="251">
        <v>98.3</v>
      </c>
      <c r="L164" s="251">
        <v>98</v>
      </c>
      <c r="M164" s="250">
        <v>91.1</v>
      </c>
    </row>
    <row r="165" spans="1:13" x14ac:dyDescent="0.25">
      <c r="A165" s="258">
        <v>2010</v>
      </c>
      <c r="B165" s="245" t="s">
        <v>326</v>
      </c>
      <c r="C165" s="246"/>
      <c r="D165" s="247"/>
      <c r="E165" s="247"/>
      <c r="F165" s="247"/>
      <c r="G165" s="247"/>
      <c r="H165" s="247"/>
      <c r="I165" s="247"/>
      <c r="J165" s="247"/>
      <c r="K165" s="247"/>
      <c r="L165" s="247"/>
      <c r="M165" s="250"/>
    </row>
    <row r="166" spans="1:13" x14ac:dyDescent="0.25">
      <c r="A166" s="258">
        <v>2010</v>
      </c>
      <c r="B166" s="249" t="s">
        <v>327</v>
      </c>
      <c r="C166" s="246"/>
      <c r="D166" s="247">
        <v>8.6999999999999993</v>
      </c>
      <c r="E166" s="247">
        <v>12.5</v>
      </c>
      <c r="F166" s="247">
        <v>9.8000000000000007</v>
      </c>
      <c r="G166" s="247">
        <v>9.5</v>
      </c>
      <c r="H166" s="247"/>
      <c r="I166" s="247">
        <v>5.5</v>
      </c>
      <c r="J166" s="247">
        <v>0.8</v>
      </c>
      <c r="K166" s="247">
        <v>1</v>
      </c>
      <c r="L166" s="247">
        <v>1.3</v>
      </c>
      <c r="M166" s="250">
        <v>4.9000000000000004</v>
      </c>
    </row>
    <row r="167" spans="1:13" x14ac:dyDescent="0.25">
      <c r="A167" s="258">
        <v>2010</v>
      </c>
      <c r="B167" s="249" t="s">
        <v>328</v>
      </c>
      <c r="C167" s="246">
        <v>4</v>
      </c>
      <c r="D167" s="247">
        <v>8.4</v>
      </c>
      <c r="E167" s="247">
        <v>12.3</v>
      </c>
      <c r="F167" s="247">
        <v>3.1</v>
      </c>
      <c r="G167" s="247">
        <v>8.1</v>
      </c>
      <c r="H167" s="247"/>
      <c r="I167" s="247">
        <v>1.3</v>
      </c>
      <c r="J167" s="247">
        <v>0.5</v>
      </c>
      <c r="K167" s="247">
        <v>0.6</v>
      </c>
      <c r="L167" s="247">
        <v>0.6</v>
      </c>
      <c r="M167" s="250">
        <v>3.9</v>
      </c>
    </row>
    <row r="168" spans="1:13" x14ac:dyDescent="0.25">
      <c r="A168" s="258">
        <v>2010</v>
      </c>
      <c r="B168" s="245" t="s">
        <v>329</v>
      </c>
      <c r="C168" s="246"/>
      <c r="D168" s="251">
        <v>17.100000000000001</v>
      </c>
      <c r="E168" s="251">
        <v>24.8</v>
      </c>
      <c r="F168" s="251">
        <v>12.9</v>
      </c>
      <c r="G168" s="251">
        <v>17.600000000000001</v>
      </c>
      <c r="H168" s="251"/>
      <c r="I168" s="251">
        <v>6.8</v>
      </c>
      <c r="J168" s="251">
        <v>1.4</v>
      </c>
      <c r="K168" s="251">
        <v>1.7</v>
      </c>
      <c r="L168" s="251">
        <v>2</v>
      </c>
      <c r="M168" s="250">
        <v>8.9</v>
      </c>
    </row>
    <row r="169" spans="1:13" x14ac:dyDescent="0.25">
      <c r="A169" s="258">
        <v>2010</v>
      </c>
      <c r="B169" s="245" t="s">
        <v>330</v>
      </c>
      <c r="C169" s="246"/>
      <c r="D169" s="252">
        <v>5.0999999999999996</v>
      </c>
      <c r="E169" s="252">
        <v>1.2</v>
      </c>
      <c r="F169" s="252">
        <v>1.4</v>
      </c>
      <c r="G169" s="252">
        <v>7.7</v>
      </c>
      <c r="H169" s="252"/>
      <c r="I169" s="252">
        <v>0.8</v>
      </c>
      <c r="J169" s="252">
        <v>3.3</v>
      </c>
      <c r="K169" s="252">
        <v>5.6</v>
      </c>
      <c r="L169" s="252">
        <v>9.6999999999999993</v>
      </c>
      <c r="M169" s="253">
        <v>17.399999999999999</v>
      </c>
    </row>
    <row r="170" spans="1:13" ht="15.75" thickBot="1" x14ac:dyDescent="0.3">
      <c r="A170" s="258">
        <v>2010</v>
      </c>
      <c r="B170" s="254" t="s">
        <v>304</v>
      </c>
      <c r="C170" s="255"/>
      <c r="D170" s="256">
        <v>8.1999999999999993</v>
      </c>
      <c r="E170" s="256">
        <v>2</v>
      </c>
      <c r="F170" s="256">
        <v>2.2000000000000002</v>
      </c>
      <c r="G170" s="256">
        <v>12.4</v>
      </c>
      <c r="H170" s="256"/>
      <c r="I170" s="256">
        <v>1.2</v>
      </c>
      <c r="J170" s="256">
        <v>5.4</v>
      </c>
      <c r="K170" s="256">
        <v>9</v>
      </c>
      <c r="L170" s="256">
        <v>15.6</v>
      </c>
      <c r="M170" s="257">
        <v>28</v>
      </c>
    </row>
  </sheetData>
  <sheetProtection algorithmName="SHA-512" hashValue="rOYOMaFv3P+lyVjdGbKoKJ+PzYt1d3kHp3olV/wLcwGugTMy1IqpC53c+1rpIhUG5WVSJzFrqHwVfmX7j48Qnw==" saltValue="CtbcUCpFvCWrJ+8k984FPQ==" spinCount="100000" sheet="1" objects="1" scenarios="1"/>
  <mergeCells count="2">
    <mergeCell ref="D9:G9"/>
    <mergeCell ref="I9:L9"/>
  </mergeCells>
  <hyperlinks>
    <hyperlink ref="B1" r:id="rId1" location="heavy-goods-vehicle-traffic-tra31" display="https://www.gov.uk/government/statistical-data-sets/road-traffic-statistics-tra - heavy-goods-vehicle-traffic-tra3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2"/>
  <sheetViews>
    <sheetView workbookViewId="0"/>
  </sheetViews>
  <sheetFormatPr defaultRowHeight="15" x14ac:dyDescent="0.25"/>
  <cols>
    <col min="1" max="1" width="13.7109375" customWidth="1"/>
    <col min="2" max="2" width="11.42578125" customWidth="1"/>
    <col min="8" max="8" width="14.5703125" customWidth="1"/>
    <col min="9" max="9" width="12.85546875" customWidth="1"/>
  </cols>
  <sheetData>
    <row r="3" spans="1:9" x14ac:dyDescent="0.25">
      <c r="B3" s="24" t="s">
        <v>331</v>
      </c>
      <c r="C3" s="24" t="s">
        <v>332</v>
      </c>
    </row>
    <row r="4" spans="1:9" x14ac:dyDescent="0.25">
      <c r="A4" s="186" t="s">
        <v>2</v>
      </c>
      <c r="B4">
        <v>1000</v>
      </c>
      <c r="C4">
        <v>2000</v>
      </c>
    </row>
    <row r="5" spans="1:9" x14ac:dyDescent="0.25">
      <c r="A5" s="186" t="s">
        <v>188</v>
      </c>
      <c r="B5">
        <v>1500</v>
      </c>
      <c r="C5">
        <v>3500</v>
      </c>
    </row>
    <row r="6" spans="1:9" x14ac:dyDescent="0.25">
      <c r="A6" s="187" t="s">
        <v>245</v>
      </c>
      <c r="B6">
        <v>3500</v>
      </c>
      <c r="C6">
        <v>30000</v>
      </c>
    </row>
    <row r="7" spans="1:9" ht="30" x14ac:dyDescent="0.25">
      <c r="A7" s="188" t="s">
        <v>247</v>
      </c>
      <c r="B7">
        <v>30000</v>
      </c>
      <c r="C7">
        <v>44000</v>
      </c>
      <c r="H7" s="180"/>
      <c r="I7" s="328"/>
    </row>
    <row r="8" spans="1:9" x14ac:dyDescent="0.25">
      <c r="A8" s="186" t="s">
        <v>3</v>
      </c>
      <c r="B8">
        <v>100</v>
      </c>
      <c r="C8">
        <v>200</v>
      </c>
      <c r="H8" s="180"/>
    </row>
    <row r="9" spans="1:9" ht="26.25" x14ac:dyDescent="0.25">
      <c r="A9" s="186" t="s">
        <v>41</v>
      </c>
      <c r="B9">
        <v>3500</v>
      </c>
      <c r="C9">
        <v>24000</v>
      </c>
    </row>
    <row r="10" spans="1:9" x14ac:dyDescent="0.25">
      <c r="A10" s="186"/>
    </row>
    <row r="12" spans="1:9" x14ac:dyDescent="0.25">
      <c r="A12" s="186"/>
      <c r="H12" s="328"/>
    </row>
  </sheetData>
  <sheetProtection algorithmName="SHA-512" hashValue="0F+aeb6ZxsNSAOT1R2PT1h/cLemB4AHCCTEpomoFjmFrgnZgpQgFrDzQ/w5ztt5HGD7IWKHnYNwNcQddMJ1CQA==" saltValue="L7oIb0j41X1SPb8UPuqeog=="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
  <sheetViews>
    <sheetView zoomScale="85" zoomScaleNormal="85" workbookViewId="0">
      <selection activeCell="F17" sqref="F17"/>
    </sheetView>
  </sheetViews>
  <sheetFormatPr defaultColWidth="12.7109375" defaultRowHeight="15" x14ac:dyDescent="0.25"/>
  <sheetData>
    <row r="1" spans="1:38" ht="15.75" thickBot="1" x14ac:dyDescent="0.3">
      <c r="A1" s="543" t="str">
        <f>IF('Main table (road wear)'!A1="","",'Main table (road wear)'!A1)</f>
        <v>Impact of additional vehicle weight on road maintenance expenditure</v>
      </c>
      <c r="B1" s="536" t="str">
        <f>IF('Main table (road wear)'!B1="","",'Main table (road wear)'!B1)</f>
        <v/>
      </c>
      <c r="C1" s="536" t="str">
        <f>IF('Main table (road wear)'!C1="","",'Main table (road wear)'!C1)</f>
        <v/>
      </c>
      <c r="D1" s="536" t="str">
        <f>IF('Main table (road wear)'!D1="","",'Main table (road wear)'!D1)</f>
        <v/>
      </c>
      <c r="E1" s="536" t="str">
        <f>IF('Main table (road wear)'!E1="","",'Main table (road wear)'!E1)</f>
        <v/>
      </c>
      <c r="F1" s="544" t="str">
        <f>IF('Main table (road wear)'!F1="","",'Main table (road wear)'!F1)</f>
        <v/>
      </c>
      <c r="G1" s="544" t="str">
        <f>IF('Main table (road wear)'!G1="","",'Main table (road wear)'!G1)</f>
        <v/>
      </c>
      <c r="H1" s="544" t="str">
        <f>IF('Main table (road wear)'!H1="","",'Main table (road wear)'!H1)</f>
        <v/>
      </c>
      <c r="I1" s="536" t="str">
        <f>IF('Main table (road wear)'!I1="","",'Main table (road wear)'!I1)</f>
        <v/>
      </c>
      <c r="J1" s="536" t="str">
        <f>IF('Main table (road wear)'!J1="","",'Main table (road wear)'!J1)</f>
        <v/>
      </c>
      <c r="K1" s="536" t="str">
        <f>IF('Main table (road wear)'!K1="","",'Main table (road wear)'!K1)</f>
        <v/>
      </c>
      <c r="L1" s="536" t="str">
        <f>IF('Main table (road wear)'!L1="","",'Main table (road wear)'!L1)</f>
        <v/>
      </c>
      <c r="M1" s="536" t="str">
        <f>IF('Main table (road wear)'!M1="","",'Main table (road wear)'!M1)</f>
        <v/>
      </c>
      <c r="N1" s="536"/>
      <c r="O1" s="536" t="str">
        <f>IF('Main table (road wear)'!N1="","",'Main table (road wear)'!N1)</f>
        <v/>
      </c>
      <c r="P1" s="536" t="str">
        <f>IF('Main table (road wear)'!P1="","",'Main table (road wear)'!P1)</f>
        <v/>
      </c>
      <c r="Q1" s="536" t="str">
        <f>IF('Main table (road wear)'!Q1="","",'Main table (road wear)'!Q1)</f>
        <v/>
      </c>
      <c r="R1" s="536" t="str">
        <f>IF('Main table (road wear)'!R1="","",'Main table (road wear)'!R1)</f>
        <v/>
      </c>
      <c r="S1" s="536" t="str">
        <f>IF('Main table (road wear)'!S1="","",'Main table (road wear)'!S1)</f>
        <v/>
      </c>
      <c r="T1" s="536" t="str">
        <f>IF('Main table (road wear)'!T1="","",'Main table (road wear)'!T1)</f>
        <v/>
      </c>
      <c r="U1" s="536"/>
      <c r="V1" s="536" t="str">
        <f>IF('Main table (road wear)'!U1="","",'Main table (road wear)'!U1)</f>
        <v/>
      </c>
      <c r="W1" s="536" t="str">
        <f>IF('Main table (road wear)'!W1="","",'Main table (road wear)'!W1)</f>
        <v/>
      </c>
      <c r="X1" s="536" t="str">
        <f>IF('Main table (road wear)'!X1="","",'Main table (road wear)'!X1)</f>
        <v/>
      </c>
      <c r="Y1" s="536" t="str">
        <f>IF('Main table (road wear)'!Y1="","",'Main table (road wear)'!Y1)</f>
        <v/>
      </c>
      <c r="Z1" s="536" t="str">
        <f>IF('Main table (road wear)'!Z1="","",'Main table (road wear)'!Z1)</f>
        <v/>
      </c>
      <c r="AA1" s="536" t="str">
        <f>IF('Main table (road wear)'!AA1="","",'Main table (road wear)'!AA1)</f>
        <v/>
      </c>
      <c r="AB1" s="536"/>
      <c r="AC1" s="536" t="str">
        <f>IF('Main table (road wear)'!AB1="","",'Main table (road wear)'!AB1)</f>
        <v/>
      </c>
      <c r="AD1" s="536" t="str">
        <f>IF('Main table (road wear)'!AD1="","",'Main table (road wear)'!AD1)</f>
        <v/>
      </c>
      <c r="AE1" s="536" t="str">
        <f>IF('Main table (road wear)'!AE1="","",'Main table (road wear)'!AE1)</f>
        <v/>
      </c>
      <c r="AF1" s="536" t="str">
        <f>IF('Main table (road wear)'!AF1="","",'Main table (road wear)'!AF1)</f>
        <v/>
      </c>
      <c r="AG1" s="536" t="str">
        <f>IF('Main table (road wear)'!AG1="","",'Main table (road wear)'!AG1)</f>
        <v/>
      </c>
      <c r="AH1" s="536" t="str">
        <f>IF('Main table (road wear)'!AH1="","",'Main table (road wear)'!AH1)</f>
        <v/>
      </c>
      <c r="AI1" s="536" t="str">
        <f>IF('Main table (road wear)'!AI1="","",'Main table (road wear)'!AI1)</f>
        <v/>
      </c>
      <c r="AJ1" s="536"/>
      <c r="AK1" s="536" t="str">
        <f>IF('Main table (road wear)'!AJ1="","",'Main table (road wear)'!AJ1)</f>
        <v/>
      </c>
      <c r="AL1" s="536" t="str">
        <f>IF('Main table (road wear)'!AK1="","",'Main table (road wear)'!AK1)</f>
        <v/>
      </c>
    </row>
    <row r="2" spans="1:38" x14ac:dyDescent="0.25">
      <c r="A2" s="536" t="str">
        <f>IF('Main table (road wear)'!A2="","",'Main table (road wear)'!A2)</f>
        <v/>
      </c>
      <c r="B2" s="536" t="str">
        <f>IF('Main table (road wear)'!B2="","",'Main table (road wear)'!B2)</f>
        <v/>
      </c>
      <c r="C2" s="536" t="str">
        <f>IF('Main table (road wear)'!C2="","",'Main table (road wear)'!C2)</f>
        <v/>
      </c>
      <c r="D2" s="536" t="str">
        <f>IF('Main table (road wear)'!D2="","",'Main table (road wear)'!D2)</f>
        <v/>
      </c>
      <c r="E2" s="536" t="str">
        <f>IF('Main table (road wear)'!E2="","",'Main table (road wear)'!E2)</f>
        <v/>
      </c>
      <c r="F2" s="544" t="str">
        <f>IF('Main table (road wear)'!F2="","",'Main table (road wear)'!F2)</f>
        <v/>
      </c>
      <c r="G2" s="544" t="str">
        <f>IF('Main table (road wear)'!G2="","",'Main table (road wear)'!G2)</f>
        <v/>
      </c>
      <c r="H2" s="544" t="str">
        <f>IF('Main table (road wear)'!H2="","",'Main table (road wear)'!H2)</f>
        <v/>
      </c>
      <c r="I2" s="536" t="str">
        <f>IF('Main table (road wear)'!I2="","",'Main table (road wear)'!I2)</f>
        <v/>
      </c>
      <c r="J2" s="536" t="str">
        <f>IF('Main table (road wear)'!J2="","",'Main table (road wear)'!J2)</f>
        <v/>
      </c>
      <c r="K2" s="545" t="str">
        <f>IF('Main table (road wear)'!K2="","",'Main table (road wear)'!K2)</f>
        <v xml:space="preserve">g = </v>
      </c>
      <c r="L2" s="536" t="str">
        <f>IF('Main table (road wear)'!L2="","",'Main table (road wear)'!L2)</f>
        <v/>
      </c>
      <c r="M2" s="546" t="str">
        <f>IF('Main table (road wear)'!M2="","",'Main table (road wear)'!M2)</f>
        <v>Standard axle</v>
      </c>
      <c r="N2" s="547"/>
      <c r="O2" s="536" t="str">
        <f>IF('Main table (road wear)'!N2="","",'Main table (road wear)'!N2)</f>
        <v/>
      </c>
      <c r="P2" s="536">
        <f>IF('Main table (road wear)'!P2="","",'Main table (road wear)'!P2)</f>
        <v>1.0744</v>
      </c>
      <c r="Q2" s="536" t="str">
        <f>IF('Main table (road wear)'!Q2="","",'Main table (road wear)'!Q2)</f>
        <v/>
      </c>
      <c r="R2" s="536" t="str">
        <f>IF('Main table (road wear)'!R2="","",'Main table (road wear)'!R2)</f>
        <v/>
      </c>
      <c r="S2" s="536" t="str">
        <f>IF('Main table (road wear)'!S2="","",'Main table (road wear)'!S2)</f>
        <v/>
      </c>
      <c r="T2" s="536" t="str">
        <f>IF('Main table (road wear)'!T2="","",'Main table (road wear)'!T2)</f>
        <v/>
      </c>
      <c r="U2" s="536"/>
      <c r="V2" s="536" t="str">
        <f>IF('Main table (road wear)'!U2="","",'Main table (road wear)'!U2)</f>
        <v/>
      </c>
      <c r="W2" s="536" t="str">
        <f>IF('Main table (road wear)'!W2="","",'Main table (road wear)'!W2)</f>
        <v/>
      </c>
      <c r="X2" s="536" t="str">
        <f>IF('Main table (road wear)'!X2="","",'Main table (road wear)'!X2)</f>
        <v/>
      </c>
      <c r="Y2" s="536" t="str">
        <f>IF('Main table (road wear)'!Y2="","",'Main table (road wear)'!Y2)</f>
        <v/>
      </c>
      <c r="Z2" s="536" t="str">
        <f>IF('Main table (road wear)'!Z2="","",'Main table (road wear)'!Z2)</f>
        <v/>
      </c>
      <c r="AA2" s="536" t="str">
        <f>IF('Main table (road wear)'!AA2="","",'Main table (road wear)'!AA2)</f>
        <v/>
      </c>
      <c r="AB2" s="536"/>
      <c r="AC2" s="536" t="str">
        <f>IF('Main table (road wear)'!AB2="","",'Main table (road wear)'!AB2)</f>
        <v/>
      </c>
      <c r="AD2" s="536" t="str">
        <f>IF('Main table (road wear)'!AD2="","",'Main table (road wear)'!AD2)</f>
        <v/>
      </c>
      <c r="AE2" s="536" t="str">
        <f>IF('Main table (road wear)'!AE2="","",'Main table (road wear)'!AE2)</f>
        <v/>
      </c>
      <c r="AF2" s="536" t="str">
        <f>IF('Main table (road wear)'!AF2="","",'Main table (road wear)'!AF2)</f>
        <v/>
      </c>
      <c r="AG2" s="536" t="str">
        <f>IF('Main table (road wear)'!AG2="","",'Main table (road wear)'!AG2)</f>
        <v/>
      </c>
      <c r="AH2" s="536" t="str">
        <f>IF('Main table (road wear)'!AH2="","",'Main table (road wear)'!AH2)</f>
        <v/>
      </c>
      <c r="AI2" s="536" t="str">
        <f>IF('Main table (road wear)'!AI2="","",'Main table (road wear)'!AI2)</f>
        <v/>
      </c>
      <c r="AJ2" s="536"/>
      <c r="AK2" s="536" t="str">
        <f>IF('Main table (road wear)'!AJ2="","",'Main table (road wear)'!AJ2)</f>
        <v/>
      </c>
      <c r="AL2" s="536" t="str">
        <f>IF('Main table (road wear)'!AK2="","",'Main table (road wear)'!AK2)</f>
        <v/>
      </c>
    </row>
    <row r="3" spans="1:38" x14ac:dyDescent="0.25">
      <c r="A3" s="536" t="str">
        <f>IF('Main table (road wear)'!A3="","",'Main table (road wear)'!A3)</f>
        <v/>
      </c>
      <c r="B3" s="536" t="str">
        <f>IF('Main table (road wear)'!B3="","",'Main table (road wear)'!B3)</f>
        <v/>
      </c>
      <c r="C3" s="536" t="str">
        <f>IF('Main table (road wear)'!C3="","",'Main table (road wear)'!C3)</f>
        <v/>
      </c>
      <c r="D3" s="536" t="str">
        <f>IF('Main table (road wear)'!D3="","",'Main table (road wear)'!D3)</f>
        <v/>
      </c>
      <c r="E3" s="536" t="str">
        <f>IF('Main table (road wear)'!E3="","",'Main table (road wear)'!E3)</f>
        <v/>
      </c>
      <c r="F3" s="544" t="str">
        <f>IF('Main table (road wear)'!F3="","",'Main table (road wear)'!F3)</f>
        <v/>
      </c>
      <c r="G3" s="544" t="str">
        <f>IF('Main table (road wear)'!G3="","",'Main table (road wear)'!G3)</f>
        <v/>
      </c>
      <c r="H3" s="544" t="str">
        <f>IF('Main table (road wear)'!H3="","",'Main table (road wear)'!H3)</f>
        <v/>
      </c>
      <c r="I3" s="536" t="str">
        <f>IF('Main table (road wear)'!I3="","",'Main table (road wear)'!I3)</f>
        <v/>
      </c>
      <c r="J3" s="536" t="str">
        <f>IF('Main table (road wear)'!J3="","",'Main table (road wear)'!J3)</f>
        <v/>
      </c>
      <c r="K3" s="548">
        <f>IF('Main table (road wear)'!K3="","",'Main table (road wear)'!K3)</f>
        <v>9.81</v>
      </c>
      <c r="L3" s="544" t="str">
        <f>IF('Main table (road wear)'!L3="","",'Main table (road wear)'!L3)</f>
        <v/>
      </c>
      <c r="M3" s="549">
        <f>IF('Main table (road wear)'!M3="","",'Main table (road wear)'!M3)</f>
        <v>80</v>
      </c>
      <c r="N3" s="547"/>
      <c r="O3" s="536" t="str">
        <f>IF('Main table (road wear)'!N3="","",'Main table (road wear)'!N3)</f>
        <v/>
      </c>
      <c r="P3" s="536">
        <f>IF('Main table (road wear)'!P3="","",'Main table (road wear)'!P3)</f>
        <v>430.17</v>
      </c>
      <c r="Q3" s="536" t="str">
        <f>IF('Main table (road wear)'!Q3="","",'Main table (road wear)'!Q3)</f>
        <v/>
      </c>
      <c r="R3" s="536" t="str">
        <f>IF('Main table (road wear)'!R3="","",'Main table (road wear)'!R3)</f>
        <v/>
      </c>
      <c r="S3" s="536"/>
      <c r="T3" s="536" t="str">
        <f>IF('Main table (road wear)'!T3="","",'Main table (road wear)'!T3)</f>
        <v/>
      </c>
      <c r="U3" s="536"/>
      <c r="V3" s="536" t="str">
        <f>IF('Main table (road wear)'!U3="","",'Main table (road wear)'!U3)</f>
        <v/>
      </c>
      <c r="W3" s="536" t="str">
        <f>IF('Main table (road wear)'!W3="","",'Main table (road wear)'!W3)</f>
        <v/>
      </c>
      <c r="X3" s="536" t="str">
        <f>IF('Main table (road wear)'!X3="","",'Main table (road wear)'!X3)</f>
        <v/>
      </c>
      <c r="Y3" s="536" t="str">
        <f>IF('Main table (road wear)'!Y3="","",'Main table (road wear)'!Y3)</f>
        <v/>
      </c>
      <c r="Z3" s="536" t="str">
        <f>IF('Main table (road wear)'!Z3="","",'Main table (road wear)'!Z3)</f>
        <v/>
      </c>
      <c r="AA3" s="536" t="str">
        <f>IF('Main table (road wear)'!AA3="","",'Main table (road wear)'!AA3)</f>
        <v/>
      </c>
      <c r="AB3" s="536"/>
      <c r="AC3" s="536" t="str">
        <f>IF('Main table (road wear)'!AB3="","",'Main table (road wear)'!AB3)</f>
        <v/>
      </c>
      <c r="AD3" s="536" t="str">
        <f>IF('Main table (road wear)'!AD3="","",'Main table (road wear)'!AD3)</f>
        <v/>
      </c>
      <c r="AE3" s="536" t="str">
        <f>IF('Main table (road wear)'!AE3="","",'Main table (road wear)'!AE3)</f>
        <v/>
      </c>
      <c r="AF3" s="536" t="str">
        <f>IF('Main table (road wear)'!AF3="","",'Main table (road wear)'!AF3)</f>
        <v/>
      </c>
      <c r="AG3" s="536" t="str">
        <f>IF('Main table (road wear)'!AG3="","",'Main table (road wear)'!AG3)</f>
        <v/>
      </c>
      <c r="AH3" s="536" t="str">
        <f>IF('Main table (road wear)'!AH3="","",'Main table (road wear)'!AH3)</f>
        <v/>
      </c>
      <c r="AI3" s="536" t="str">
        <f>IF('Main table (road wear)'!AI3="","",'Main table (road wear)'!AI3)</f>
        <v/>
      </c>
      <c r="AJ3" s="536"/>
      <c r="AK3" s="536" t="str">
        <f>IF('Main table (road wear)'!AJ3="","",'Main table (road wear)'!AJ3)</f>
        <v/>
      </c>
      <c r="AL3" s="536" t="str">
        <f>IF('Main table (road wear)'!AK3="","",'Main table (road wear)'!AK3)</f>
        <v/>
      </c>
    </row>
    <row r="4" spans="1:38" ht="15.75" thickBot="1" x14ac:dyDescent="0.3">
      <c r="A4" s="536" t="str">
        <f>IF('Main table (road wear)'!A4="","",'Main table (road wear)'!A4)</f>
        <v/>
      </c>
      <c r="B4" s="536" t="str">
        <f>IF('Main table (road wear)'!B4="","",'Main table (road wear)'!B4)</f>
        <v/>
      </c>
      <c r="C4" s="536" t="str">
        <f>IF('Main table (road wear)'!C4="","",'Main table (road wear)'!C4)</f>
        <v/>
      </c>
      <c r="D4" s="536" t="str">
        <f>IF('Main table (road wear)'!D4="","",'Main table (road wear)'!D4)</f>
        <v/>
      </c>
      <c r="E4" s="536" t="str">
        <f>IF('Main table (road wear)'!E4="","",'Main table (road wear)'!E4)</f>
        <v/>
      </c>
      <c r="F4" s="544" t="str">
        <f>IF('Main table (road wear)'!F4="","",'Main table (road wear)'!F4)</f>
        <v/>
      </c>
      <c r="G4" s="544" t="str">
        <f>IF('Main table (road wear)'!G4="","",'Main table (road wear)'!G4)</f>
        <v/>
      </c>
      <c r="H4" s="544" t="str">
        <f>IF('Main table (road wear)'!H4="","",'Main table (road wear)'!H4)</f>
        <v/>
      </c>
      <c r="I4" s="536" t="str">
        <f>IF('Main table (road wear)'!I4="","",'Main table (road wear)'!I4)</f>
        <v/>
      </c>
      <c r="J4" s="536" t="str">
        <f>IF('Main table (road wear)'!J4="","",'Main table (road wear)'!J4)</f>
        <v/>
      </c>
      <c r="K4" s="550" t="str">
        <f>IF('Main table (road wear)'!K4="","",'Main table (road wear)'!K4)</f>
        <v>N/kg</v>
      </c>
      <c r="L4" s="536" t="str">
        <f>IF('Main table (road wear)'!L4="","",'Main table (road wear)'!L4)</f>
        <v/>
      </c>
      <c r="M4" s="550" t="str">
        <f>IF('Main table (road wear)'!M4="","",'Main table (road wear)'!M4)</f>
        <v>kN</v>
      </c>
      <c r="N4" s="551"/>
      <c r="O4" s="536" t="str">
        <f>IF('Main table (road wear)'!N4="","",'Main table (road wear)'!N4)</f>
        <v/>
      </c>
      <c r="P4" s="536">
        <f>IF('Main table (road wear)'!P4="","",'Main table (road wear)'!P4)</f>
        <v>1.014</v>
      </c>
      <c r="Q4" s="536" t="str">
        <f>IF('Main table (road wear)'!Q4="","",'Main table (road wear)'!Q4)</f>
        <v/>
      </c>
      <c r="R4" s="536" t="str">
        <f>IF('Main table (road wear)'!R4="","",'Main table (road wear)'!R4)</f>
        <v/>
      </c>
      <c r="S4" s="536" t="str">
        <f>IF('Main table (road wear)'!S4="","",'Main table (road wear)'!S4)</f>
        <v/>
      </c>
      <c r="T4" s="536" t="str">
        <f>IF('Main table (road wear)'!T4="","",'Main table (road wear)'!T4)</f>
        <v/>
      </c>
      <c r="U4" s="536"/>
      <c r="V4" s="536" t="str">
        <f>IF('Main table (road wear)'!U4="","",'Main table (road wear)'!U4)</f>
        <v/>
      </c>
      <c r="W4" s="536" t="str">
        <f>IF('Main table (road wear)'!W4="","",'Main table (road wear)'!W4)</f>
        <v/>
      </c>
      <c r="X4" s="536" t="str">
        <f>IF('Main table (road wear)'!X4="","",'Main table (road wear)'!X4)</f>
        <v/>
      </c>
      <c r="Y4" s="536" t="str">
        <f>IF('Main table (road wear)'!Y4="","",'Main table (road wear)'!Y4)</f>
        <v/>
      </c>
      <c r="Z4" s="536" t="str">
        <f>IF('Main table (road wear)'!Z4="","",'Main table (road wear)'!Z4)</f>
        <v/>
      </c>
      <c r="AA4" s="536" t="str">
        <f>IF('Main table (road wear)'!AA4="","",'Main table (road wear)'!AA4)</f>
        <v/>
      </c>
      <c r="AB4" s="536"/>
      <c r="AC4" s="536" t="str">
        <f>IF('Main table (road wear)'!AB4="","",'Main table (road wear)'!AB4)</f>
        <v/>
      </c>
      <c r="AD4" s="536" t="str">
        <f>IF('Main table (road wear)'!AD4="","",'Main table (road wear)'!AD4)</f>
        <v/>
      </c>
      <c r="AE4" s="536" t="str">
        <f>IF('Main table (road wear)'!AE4="","",'Main table (road wear)'!AE4)</f>
        <v/>
      </c>
      <c r="AF4" s="536" t="str">
        <f>IF('Main table (road wear)'!AF4="","",'Main table (road wear)'!AF4)</f>
        <v/>
      </c>
      <c r="AG4" s="536" t="str">
        <f>IF('Main table (road wear)'!AG4="","",'Main table (road wear)'!AG4)</f>
        <v/>
      </c>
      <c r="AH4" s="536" t="str">
        <f>IF('Main table (road wear)'!AH4="","",'Main table (road wear)'!AH4)</f>
        <v/>
      </c>
      <c r="AI4" s="536" t="str">
        <f>IF('Main table (road wear)'!AI4="","",'Main table (road wear)'!AI4)</f>
        <v/>
      </c>
      <c r="AJ4" s="536"/>
      <c r="AK4" s="536" t="str">
        <f>IF('Main table (road wear)'!AJ4="","",'Main table (road wear)'!AJ4)</f>
        <v/>
      </c>
      <c r="AL4" s="536" t="str">
        <f>IF('Main table (road wear)'!AK4="","",'Main table (road wear)'!AK4)</f>
        <v/>
      </c>
    </row>
    <row r="5" spans="1:38" ht="15.75" thickBot="1" x14ac:dyDescent="0.3">
      <c r="A5" s="536" t="str">
        <f>IF('Main table (road wear)'!A5="","",'Main table (road wear)'!A5)</f>
        <v/>
      </c>
      <c r="B5" s="536" t="str">
        <f>IF('Main table (road wear)'!B5="","",'Main table (road wear)'!B5)</f>
        <v/>
      </c>
      <c r="C5" s="536" t="str">
        <f>IF('Main table (road wear)'!C5="","",'Main table (road wear)'!C5)</f>
        <v/>
      </c>
      <c r="D5" s="536" t="str">
        <f>IF('Main table (road wear)'!D5="","",'Main table (road wear)'!D5)</f>
        <v/>
      </c>
      <c r="E5" s="536" t="str">
        <f>IF('Main table (road wear)'!E5="","",'Main table (road wear)'!E5)</f>
        <v/>
      </c>
      <c r="F5" s="544" t="str">
        <f>IF('Main table (road wear)'!F5="","",'Main table (road wear)'!F5)</f>
        <v/>
      </c>
      <c r="G5" s="544" t="str">
        <f>IF('Main table (road wear)'!G5="","",'Main table (road wear)'!G5)</f>
        <v/>
      </c>
      <c r="H5" s="544" t="str">
        <f>IF('Main table (road wear)'!H5="","",'Main table (road wear)'!H5)</f>
        <v/>
      </c>
      <c r="I5" s="536" t="str">
        <f>IF('Main table (road wear)'!I5="","",'Main table (road wear)'!I5)</f>
        <v/>
      </c>
      <c r="J5" s="536" t="str">
        <f>IF('Main table (road wear)'!J5="","",'Main table (road wear)'!J5)</f>
        <v/>
      </c>
      <c r="K5" s="536" t="str">
        <f>IF('Main table (road wear)'!K5="","",'Main table (road wear)'!K5)</f>
        <v/>
      </c>
      <c r="L5" s="536" t="str">
        <f>IF('Main table (road wear)'!L5="","",'Main table (road wear)'!L5)</f>
        <v/>
      </c>
      <c r="M5" s="536" t="str">
        <f>IF('Main table (road wear)'!M5="","",'Main table (road wear)'!M5)</f>
        <v/>
      </c>
      <c r="N5" s="536"/>
      <c r="O5" s="552" t="str">
        <f>IF('Main table (road wear)'!N5="","",'Main table (road wear)'!N5)</f>
        <v/>
      </c>
      <c r="P5" s="672" t="str">
        <f>IF('Main table (road wear)'!P5="","",'Main table (road wear)'!P5)</f>
        <v>Battery drivetrain weight formula</v>
      </c>
      <c r="Q5" s="673" t="str">
        <f>IF('Main table (road wear)'!Q5="","",'Main table (road wear)'!Q5)</f>
        <v/>
      </c>
      <c r="R5" s="673" t="str">
        <f>IF('Main table (road wear)'!R5="","",'Main table (road wear)'!R5)</f>
        <v/>
      </c>
      <c r="S5" s="674" t="str">
        <f>IF('Main table (road wear)'!S5="","",'Main table (road wear)'!S5)</f>
        <v/>
      </c>
      <c r="T5" s="536" t="str">
        <f>IF('Main table (road wear)'!T5="","",'Main table (road wear)'!T5)</f>
        <v/>
      </c>
      <c r="U5" s="536"/>
      <c r="V5" s="536" t="str">
        <f>IF('Main table (road wear)'!U5="","",'Main table (road wear)'!U5)</f>
        <v/>
      </c>
      <c r="W5" s="672" t="str">
        <f>IF('Main table (road wear)'!W5="","",'Main table (road wear)'!W5)</f>
        <v>Fuel cell drive train weight formula</v>
      </c>
      <c r="X5" s="673" t="str">
        <f>IF('Main table (road wear)'!X5="","",'Main table (road wear)'!X5)</f>
        <v/>
      </c>
      <c r="Y5" s="674" t="str">
        <f>IF('Main table (road wear)'!Y5="","",'Main table (road wear)'!Y5)</f>
        <v/>
      </c>
      <c r="Z5" s="536" t="str">
        <f>IF('Main table (road wear)'!Z5="","",'Main table (road wear)'!Z5)</f>
        <v/>
      </c>
      <c r="AA5" s="536" t="str">
        <f>IF('Main table (road wear)'!AA5="","",'Main table (road wear)'!AA5)</f>
        <v/>
      </c>
      <c r="AB5" s="536"/>
      <c r="AC5" s="536" t="str">
        <f>IF('Main table (road wear)'!AB5="","",'Main table (road wear)'!AB5)</f>
        <v/>
      </c>
      <c r="AD5" s="536" t="str">
        <f>IF('Main table (road wear)'!AD5="","",'Main table (road wear)'!AD5)</f>
        <v/>
      </c>
      <c r="AE5" s="536" t="str">
        <f>IF('Main table (road wear)'!AE5="","",'Main table (road wear)'!AE5)</f>
        <v/>
      </c>
      <c r="AF5" s="536" t="str">
        <f>IF('Main table (road wear)'!AF5="","",'Main table (road wear)'!AF5)</f>
        <v/>
      </c>
      <c r="AG5" s="536" t="str">
        <f>IF('Main table (road wear)'!AG5="","",'Main table (road wear)'!AG5)</f>
        <v/>
      </c>
      <c r="AH5" s="536" t="str">
        <f>IF('Main table (road wear)'!AH5="","",'Main table (road wear)'!AH5)</f>
        <v/>
      </c>
      <c r="AI5" s="536" t="str">
        <f>IF('Main table (road wear)'!AI5="","",'Main table (road wear)'!AI5)</f>
        <v/>
      </c>
      <c r="AJ5" s="536"/>
      <c r="AK5" s="536" t="str">
        <f>IF('Main table (road wear)'!AJ5="","",'Main table (road wear)'!AJ5)</f>
        <v/>
      </c>
      <c r="AL5" s="536" t="str">
        <f>IF('Main table (road wear)'!AK5="","",'Main table (road wear)'!AK5)</f>
        <v/>
      </c>
    </row>
    <row r="6" spans="1:38" ht="15.75" thickBot="1" x14ac:dyDescent="0.3">
      <c r="A6" s="536" t="str">
        <f>IF('Main table (road wear)'!A6="","",'Main table (road wear)'!A6)</f>
        <v/>
      </c>
      <c r="B6" s="536" t="str">
        <f>IF('Main table (road wear)'!B6="","",'Main table (road wear)'!B6)</f>
        <v/>
      </c>
      <c r="C6" s="536" t="str">
        <f>IF('Main table (road wear)'!C6="","",'Main table (road wear)'!C6)</f>
        <v/>
      </c>
      <c r="D6" s="536" t="str">
        <f>IF('Main table (road wear)'!D6="","",'Main table (road wear)'!D6)</f>
        <v/>
      </c>
      <c r="E6" s="536" t="str">
        <f>IF('Main table (road wear)'!E6="","",'Main table (road wear)'!E6)</f>
        <v/>
      </c>
      <c r="F6" s="544" t="str">
        <f>IF('Main table (road wear)'!F6="","",'Main table (road wear)'!F6)</f>
        <v/>
      </c>
      <c r="G6" s="536" t="str">
        <f>IF('Main table (road wear)'!G6="","",'Main table (road wear)'!G6)</f>
        <v/>
      </c>
      <c r="H6" s="544" t="str">
        <f>IF('Main table (road wear)'!H6="","",'Main table (road wear)'!H6)</f>
        <v/>
      </c>
      <c r="I6" s="537" t="str">
        <f>IF('Main table (road wear)'!I6="","",'Main table (road wear)'!I6)</f>
        <v>Internal combustion engine vehicles</v>
      </c>
      <c r="J6" s="538" t="str">
        <f>IF('Main table (road wear)'!J6="","",'Main table (road wear)'!J6)</f>
        <v/>
      </c>
      <c r="K6" s="539" t="str">
        <f>IF('Main table (road wear)'!K6="","",'Main table (road wear)'!K6)</f>
        <v/>
      </c>
      <c r="L6" s="536" t="str">
        <f>IF('Main table (road wear)'!L6="","",'Main table (road wear)'!L6)</f>
        <v/>
      </c>
      <c r="M6" s="536" t="str">
        <f>IF('Main table (road wear)'!M6="","",'Main table (road wear)'!M6)</f>
        <v/>
      </c>
      <c r="N6" s="536" t="str">
        <f>IF('Main table (road wear)'!O6="","",'Main table (road wear)'!O6)</f>
        <v>ICE</v>
      </c>
      <c r="O6" s="536" t="str">
        <f>IF('Main table (road wear)'!N6="","",'Main table (road wear)'!N6)</f>
        <v>ICE</v>
      </c>
      <c r="P6" s="675" t="str">
        <f>IF('Main table (road wear)'!P6="","",'Main table (road wear)'!P6)</f>
        <v>BEV weight = 1.0744 x ICE weight + 430.17</v>
      </c>
      <c r="Q6" s="676" t="str">
        <f>IF('Main table (road wear)'!Q6="","",'Main table (road wear)'!Q6)</f>
        <v/>
      </c>
      <c r="R6" s="676" t="str">
        <f>IF('Main table (road wear)'!R6="","",'Main table (road wear)'!R6)</f>
        <v/>
      </c>
      <c r="S6" s="677" t="str">
        <f>IF('Main table (road wear)'!S6="","",'Main table (road wear)'!S6)</f>
        <v/>
      </c>
      <c r="T6" s="536" t="str">
        <f>IF('Main table (road wear)'!T6="","",'Main table (road wear)'!T6)</f>
        <v/>
      </c>
      <c r="U6" s="536" t="str">
        <f>IF('Main table (road wear)'!V6="","",'Main table (road wear)'!V6)</f>
        <v>BEV</v>
      </c>
      <c r="V6" s="536" t="str">
        <f>IF('Main table (road wear)'!U6="","",'Main table (road wear)'!U6)</f>
        <v>BEV</v>
      </c>
      <c r="W6" s="675" t="str">
        <f>IF('Main table (road wear)'!W6="","",'Main table (road wear)'!W6)</f>
        <v>FCEV weight = 1.014 x ICE weight</v>
      </c>
      <c r="X6" s="676" t="str">
        <f>IF('Main table (road wear)'!X6="","",'Main table (road wear)'!X6)</f>
        <v/>
      </c>
      <c r="Y6" s="677" t="str">
        <f>IF('Main table (road wear)'!Y6="","",'Main table (road wear)'!Y6)</f>
        <v/>
      </c>
      <c r="Z6" s="536" t="str">
        <f>IF('Main table (road wear)'!Z6="","",'Main table (road wear)'!Z6)</f>
        <v/>
      </c>
      <c r="AA6" s="536" t="str">
        <f>IF('Main table (road wear)'!AA6="","",'Main table (road wear)'!AA6)</f>
        <v/>
      </c>
      <c r="AB6" s="536" t="str">
        <f>IF('Main table (road wear)'!AC6="","",'Main table (road wear)'!AC6)</f>
        <v>FCEV</v>
      </c>
      <c r="AC6" s="536" t="str">
        <f>IF('Main table (road wear)'!AB6="","",'Main table (road wear)'!AB6)</f>
        <v>FCEV</v>
      </c>
      <c r="AD6" s="537" t="str">
        <f>IF('Main table (road wear)'!AD6="","",'Main table (road wear)'!AD6)</f>
        <v>Petrol -&gt; battery, Diesel -&gt; Hydrogen = "like for like"</v>
      </c>
      <c r="AE6" s="538"/>
      <c r="AF6" s="538"/>
      <c r="AG6" s="539"/>
      <c r="AH6" s="536" t="str">
        <f>IF('Main table (road wear)'!AH6="","",'Main table (road wear)'!AH6)</f>
        <v/>
      </c>
      <c r="AI6" s="536" t="str">
        <f>IF('Main table (road wear)'!AI6="","",'Main table (road wear)'!AI6)</f>
        <v/>
      </c>
      <c r="AJ6" s="536" t="str">
        <f>IF('Main table (road wear)'!AK6="","",'Main table (road wear)'!AK6)</f>
        <v>L4L</v>
      </c>
      <c r="AK6" s="536" t="str">
        <f>IF('Main table (road wear)'!AJ6="","",'Main table (road wear)'!AJ6)</f>
        <v>L4L</v>
      </c>
      <c r="AL6" s="536"/>
    </row>
    <row r="7" spans="1:38" ht="33.75" x14ac:dyDescent="0.25">
      <c r="A7" s="536" t="str">
        <f>IF('Main table (road wear)'!A7="","",'Main table (road wear)'!A7)</f>
        <v/>
      </c>
      <c r="B7" s="537" t="str">
        <f>IF('Main table (road wear)'!B7="","",'Main table (road wear)'!B7)</f>
        <v>Vehicle class</v>
      </c>
      <c r="C7" s="538" t="str">
        <f>IF('Main table (road wear)'!C7="","",'Main table (road wear)'!C7)</f>
        <v/>
      </c>
      <c r="D7" s="538" t="str">
        <f>IF('Main table (road wear)'!D7="","",'Main table (road wear)'!D7)</f>
        <v>Subcategory</v>
      </c>
      <c r="E7" s="553" t="str">
        <f>IF('Main table (road wear)'!E7="","",'Main table (road wear)'!E7)</f>
        <v>Number registered in Scotland</v>
      </c>
      <c r="F7" s="553" t="str">
        <f>IF('Main table (road wear)'!F7="","",'Main table (road wear)'!F7)</f>
        <v>Chassis type</v>
      </c>
      <c r="G7" s="673" t="str">
        <f>IF('Main table (road wear)'!G7="","",'Main table (road wear)'!G7)</f>
        <v>weight range</v>
      </c>
      <c r="H7" s="673" t="str">
        <f>IF('Main table (road wear)'!H7="","",'Main table (road wear)'!H7)</f>
        <v/>
      </c>
      <c r="I7" s="554" t="str">
        <f>IF('Main table (road wear)'!I7="","",'Main table (road wear)'!I7)</f>
        <v>Reference weight (ICE)</v>
      </c>
      <c r="J7" s="553" t="str">
        <f>IF('Main table (road wear)'!J7="","",'Main table (road wear)'!J7)</f>
        <v>Number of axles</v>
      </c>
      <c r="K7" s="553" t="str">
        <f>IF('Main table (road wear)'!K7="","",'Main table (road wear)'!K7)</f>
        <v>Reference weight / axle</v>
      </c>
      <c r="L7" s="553" t="str">
        <f>IF('Main table (road wear)'!L7="","",'Main table (road wear)'!L7)</f>
        <v>Average annual distance driven, per vehicle</v>
      </c>
      <c r="M7" s="553" t="str">
        <f>IF('Main table (road wear)'!M7="","",'Main table (road wear)'!M7)</f>
        <v>Standard axles per axle (ICE)</v>
      </c>
      <c r="N7" s="553" t="str">
        <f>IF('Main table (road wear)'!O7="","",'Main table (road wear)'!O7)</f>
        <v>Road Wear Potential (ICE)</v>
      </c>
      <c r="O7" s="555" t="str">
        <f>IF('Main table (road wear)'!N7="","",'Main table (road wear)'!N7)</f>
        <v>standard axle -km per year (ICE)</v>
      </c>
      <c r="P7" s="554" t="str">
        <f>IF('Main table (road wear)'!P7="","",'Main table (road wear)'!P7)</f>
        <v>Reference weight (BEV)</v>
      </c>
      <c r="Q7" s="553" t="str">
        <f>IF('Main table (road wear)'!Q7="","",'Main table (road wear)'!Q7)</f>
        <v>Number of axles</v>
      </c>
      <c r="R7" s="553" t="str">
        <f>IF('Main table (road wear)'!R7="","",'Main table (road wear)'!R7)</f>
        <v>Reference weight / axle</v>
      </c>
      <c r="S7" s="553" t="str">
        <f>IF('Main table (road wear)'!S7="","",'Main table (road wear)'!S7)</f>
        <v>Average annual distance driven, per vehicle</v>
      </c>
      <c r="T7" s="553" t="str">
        <f>IF('Main table (road wear)'!T7="","",'Main table (road wear)'!T7)</f>
        <v>Standard axles per axle (BEV)</v>
      </c>
      <c r="U7" s="553" t="str">
        <f>IF('Main table (road wear)'!V7="","",'Main table (road wear)'!V7)</f>
        <v>Road Wear Potential (BEV)</v>
      </c>
      <c r="V7" s="555" t="str">
        <f>IF('Main table (road wear)'!U7="","",'Main table (road wear)'!U7)</f>
        <v>standard axle -km per year (BEV)</v>
      </c>
      <c r="W7" s="554" t="str">
        <f>IF('Main table (road wear)'!W7="","",'Main table (road wear)'!W7)</f>
        <v>Reference weight (FCEV)</v>
      </c>
      <c r="X7" s="553" t="str">
        <f>IF('Main table (road wear)'!X7="","",'Main table (road wear)'!X7)</f>
        <v>Number of axles</v>
      </c>
      <c r="Y7" s="553" t="str">
        <f>IF('Main table (road wear)'!Y7="","",'Main table (road wear)'!Y7)</f>
        <v>Reference weight / axle</v>
      </c>
      <c r="Z7" s="553" t="str">
        <f>IF('Main table (road wear)'!Z7="","",'Main table (road wear)'!Z7)</f>
        <v>Average annual distance driven, per vehicle</v>
      </c>
      <c r="AA7" s="553" t="str">
        <f>IF('Main table (road wear)'!AA7="","",'Main table (road wear)'!AA7)</f>
        <v>Standard axles per axle (FCEV)</v>
      </c>
      <c r="AB7" s="553" t="str">
        <f>IF('Main table (road wear)'!AC7="","",'Main table (road wear)'!AC7)</f>
        <v>Road Wear Potential (FCEV)</v>
      </c>
      <c r="AC7" s="555" t="str">
        <f>IF('Main table (road wear)'!AB7="","",'Main table (road wear)'!AB7)</f>
        <v>standard axle -km per year (FCEV)</v>
      </c>
      <c r="AD7" s="554" t="str">
        <f>IF('Main table (road wear)'!AD7="","",'Main table (road wear)'!AD7)</f>
        <v>Fuel type</v>
      </c>
      <c r="AE7" s="553" t="str">
        <f>IF('Main table (road wear)'!AE7="","",'Main table (road wear)'!AE7)</f>
        <v>Reference weight (Like for Like)</v>
      </c>
      <c r="AF7" s="553" t="str">
        <f>IF('Main table (road wear)'!AF7="","",'Main table (road wear)'!AF7)</f>
        <v>Number of axles</v>
      </c>
      <c r="AG7" s="553" t="str">
        <f>IF('Main table (road wear)'!AG7="","",'Main table (road wear)'!AG7)</f>
        <v>Reference weight / axle</v>
      </c>
      <c r="AH7" s="553" t="str">
        <f>IF('Main table (road wear)'!AH7="","",'Main table (road wear)'!AH7)</f>
        <v>Average annual distance driven, per vehicle</v>
      </c>
      <c r="AI7" s="553" t="str">
        <f>IF('Main table (road wear)'!AI7="","",'Main table (road wear)'!AI7)</f>
        <v>Standard axles per axle (Like for Like)</v>
      </c>
      <c r="AJ7" s="553" t="str">
        <f>IF('Main table (road wear)'!AK7="","",'Main table (road wear)'!AK7)</f>
        <v>Road Wear Potential (Like for Like)</v>
      </c>
      <c r="AK7" s="555" t="str">
        <f>IF('Main table (road wear)'!AJ7="","",'Main table (road wear)'!AJ7)</f>
        <v>standard axle -km per year (Like for like)</v>
      </c>
      <c r="AL7" s="536"/>
    </row>
    <row r="8" spans="1:38" x14ac:dyDescent="0.25">
      <c r="A8" s="536" t="str">
        <f>IF('Main table (road wear)'!A8="","",'Main table (road wear)'!A8)</f>
        <v/>
      </c>
      <c r="B8" s="556" t="str">
        <f>IF('Main table (road wear)'!B8="","",'Main table (road wear)'!B8)</f>
        <v/>
      </c>
      <c r="C8" s="551" t="str">
        <f>IF('Main table (road wear)'!C8="","",'Main table (road wear)'!C8)</f>
        <v/>
      </c>
      <c r="D8" s="551" t="str">
        <f>IF('Main table (road wear)'!D8="","",'Main table (road wear)'!D8)</f>
        <v/>
      </c>
      <c r="E8" s="547" t="str">
        <f>IF('Main table (road wear)'!E8="","",'Main table (road wear)'!E8)</f>
        <v>nr</v>
      </c>
      <c r="F8" s="551" t="str">
        <f>IF('Main table (road wear)'!F8="","",'Main table (road wear)'!F8)</f>
        <v/>
      </c>
      <c r="G8" s="547" t="str">
        <f>IF('Main table (road wear)'!G8="","",'Main table (road wear)'!G8)</f>
        <v>from kg</v>
      </c>
      <c r="H8" s="547" t="str">
        <f>IF('Main table (road wear)'!H8="","",'Main table (road wear)'!H8)</f>
        <v>to kg</v>
      </c>
      <c r="I8" s="556" t="str">
        <f>IF('Main table (road wear)'!I8="","",'Main table (road wear)'!I8)</f>
        <v>kg</v>
      </c>
      <c r="J8" s="547" t="str">
        <f>IF('Main table (road wear)'!J8="","",'Main table (road wear)'!J8)</f>
        <v>nr.</v>
      </c>
      <c r="K8" s="547" t="str">
        <f>IF('Main table (road wear)'!K8="","",'Main table (road wear)'!K8)</f>
        <v>kN</v>
      </c>
      <c r="L8" s="547" t="str">
        <f>IF('Main table (road wear)'!L8="","",'Main table (road wear)'!L8)</f>
        <v>km</v>
      </c>
      <c r="M8" s="547" t="str">
        <f>IF('Main table (road wear)'!M8="","",'Main table (road wear)'!M8)</f>
        <v/>
      </c>
      <c r="N8" s="547" t="str">
        <f>IF('Main table (road wear)'!O8="","",'Main table (road wear)'!O8)</f>
        <v/>
      </c>
      <c r="O8" s="557" t="str">
        <f>IF('Main table (road wear)'!N8="","",'Main table (road wear)'!N8)</f>
        <v/>
      </c>
      <c r="P8" s="556" t="str">
        <f>IF('Main table (road wear)'!P8="","",'Main table (road wear)'!P8)</f>
        <v>kg</v>
      </c>
      <c r="Q8" s="547" t="str">
        <f>IF('Main table (road wear)'!Q8="","",'Main table (road wear)'!Q8)</f>
        <v>nr.</v>
      </c>
      <c r="R8" s="547" t="str">
        <f>IF('Main table (road wear)'!R8="","",'Main table (road wear)'!R8)</f>
        <v>kN</v>
      </c>
      <c r="S8" s="547" t="str">
        <f>IF('Main table (road wear)'!S8="","",'Main table (road wear)'!S8)</f>
        <v>km</v>
      </c>
      <c r="T8" s="547" t="str">
        <f>IF('Main table (road wear)'!T8="","",'Main table (road wear)'!T8)</f>
        <v>nr.</v>
      </c>
      <c r="U8" s="547" t="str">
        <f>IF('Main table (road wear)'!V8="","",'Main table (road wear)'!V8)</f>
        <v/>
      </c>
      <c r="V8" s="557" t="str">
        <f>IF('Main table (road wear)'!U8="","",'Main table (road wear)'!U8)</f>
        <v>nr.</v>
      </c>
      <c r="W8" s="556" t="str">
        <f>IF('Main table (road wear)'!W8="","",'Main table (road wear)'!W8)</f>
        <v>kg</v>
      </c>
      <c r="X8" s="547" t="str">
        <f>IF('Main table (road wear)'!X8="","",'Main table (road wear)'!X8)</f>
        <v>nr.</v>
      </c>
      <c r="Y8" s="547" t="str">
        <f>IF('Main table (road wear)'!Y8="","",'Main table (road wear)'!Y8)</f>
        <v>kN</v>
      </c>
      <c r="Z8" s="547" t="str">
        <f>IF('Main table (road wear)'!Z8="","",'Main table (road wear)'!Z8)</f>
        <v>km</v>
      </c>
      <c r="AA8" s="547" t="str">
        <f>IF('Main table (road wear)'!AA8="","",'Main table (road wear)'!AA8)</f>
        <v>nr.</v>
      </c>
      <c r="AB8" s="547" t="str">
        <f>IF('Main table (road wear)'!AC8="","",'Main table (road wear)'!AC8)</f>
        <v/>
      </c>
      <c r="AC8" s="557" t="str">
        <f>IF('Main table (road wear)'!AB8="","",'Main table (road wear)'!AB8)</f>
        <v>nr.</v>
      </c>
      <c r="AD8" s="558" t="str">
        <f>IF('Main table (road wear)'!AD8="","",'Main table (road wear)'!AD8)</f>
        <v/>
      </c>
      <c r="AE8" s="551" t="str">
        <f>IF('Main table (road wear)'!AE8="","",'Main table (road wear)'!AE8)</f>
        <v>kg</v>
      </c>
      <c r="AF8" s="547" t="str">
        <f>IF('Main table (road wear)'!AF8="","",'Main table (road wear)'!AF8)</f>
        <v>nr.</v>
      </c>
      <c r="AG8" s="547" t="str">
        <f>IF('Main table (road wear)'!AG8="","",'Main table (road wear)'!AG8)</f>
        <v>kN</v>
      </c>
      <c r="AH8" s="547" t="str">
        <f>IF('Main table (road wear)'!AH8="","",'Main table (road wear)'!AH8)</f>
        <v>km</v>
      </c>
      <c r="AI8" s="547" t="str">
        <f>IF('Main table (road wear)'!AI8="","",'Main table (road wear)'!AI8)</f>
        <v>nr.</v>
      </c>
      <c r="AJ8" s="547" t="str">
        <f>IF('Main table (road wear)'!AK8="","",'Main table (road wear)'!AK8)</f>
        <v/>
      </c>
      <c r="AK8" s="557" t="str">
        <f>IF('Main table (road wear)'!AJ8="","",'Main table (road wear)'!AJ8)</f>
        <v>nr.</v>
      </c>
      <c r="AL8" s="536"/>
    </row>
    <row r="9" spans="1:38" x14ac:dyDescent="0.25">
      <c r="A9" s="536" t="str">
        <f>IF('Main table (road wear)'!A9="","",'Main table (road wear)'!A9)</f>
        <v/>
      </c>
      <c r="B9" s="556" t="str">
        <f>IF('Main table (road wear)'!B9="","",'Main table (road wear)'!B9)</f>
        <v/>
      </c>
      <c r="C9" s="551" t="str">
        <f>IF('Main table (road wear)'!C9="","",'Main table (road wear)'!C9)</f>
        <v/>
      </c>
      <c r="D9" s="551" t="str">
        <f>IF('Main table (road wear)'!D9="","",'Main table (road wear)'!D9)</f>
        <v/>
      </c>
      <c r="E9" s="547" t="str">
        <f>IF('Main table (road wear)'!E9="","",'Main table (road wear)'!E9)</f>
        <v/>
      </c>
      <c r="F9" s="551" t="str">
        <f>IF('Main table (road wear)'!F9="","",'Main table (road wear)'!F9)</f>
        <v/>
      </c>
      <c r="G9" s="547" t="str">
        <f>IF('Main table (road wear)'!G9="","",'Main table (road wear)'!G9)</f>
        <v/>
      </c>
      <c r="H9" s="547" t="str">
        <f>IF('Main table (road wear)'!H9="","",'Main table (road wear)'!H9)</f>
        <v/>
      </c>
      <c r="I9" s="556" t="str">
        <f>IF('Main table (road wear)'!I9="","",'Main table (road wear)'!I9)</f>
        <v/>
      </c>
      <c r="J9" s="547" t="str">
        <f>IF('Main table (road wear)'!J9="","",'Main table (road wear)'!J9)</f>
        <v/>
      </c>
      <c r="K9" s="547" t="str">
        <f>IF('Main table (road wear)'!K9="","",'Main table (road wear)'!K9)</f>
        <v/>
      </c>
      <c r="L9" s="551" t="str">
        <f>IF('Main table (road wear)'!L9="","",'Main table (road wear)'!L9)</f>
        <v/>
      </c>
      <c r="M9" s="551" t="str">
        <f>IF('Main table (road wear)'!M9="","",'Main table (road wear)'!M9)</f>
        <v/>
      </c>
      <c r="N9" s="551" t="str">
        <f>IF('Main table (road wear)'!O9="","",'Main table (road wear)'!O9)</f>
        <v/>
      </c>
      <c r="O9" s="559" t="str">
        <f>IF('Main table (road wear)'!N9="","",'Main table (road wear)'!N9)</f>
        <v/>
      </c>
      <c r="P9" s="556" t="str">
        <f>IF('Main table (road wear)'!P9="","",'Main table (road wear)'!P9)</f>
        <v/>
      </c>
      <c r="Q9" s="547" t="str">
        <f>IF('Main table (road wear)'!Q9="","",'Main table (road wear)'!Q9)</f>
        <v/>
      </c>
      <c r="R9" s="547" t="str">
        <f>IF('Main table (road wear)'!R9="","",'Main table (road wear)'!R9)</f>
        <v/>
      </c>
      <c r="S9" s="551" t="str">
        <f>IF('Main table (road wear)'!S9="","",'Main table (road wear)'!S9)</f>
        <v/>
      </c>
      <c r="T9" s="551" t="str">
        <f>IF('Main table (road wear)'!T9="","",'Main table (road wear)'!T9)</f>
        <v/>
      </c>
      <c r="U9" s="551" t="str">
        <f>IF('Main table (road wear)'!V9="","",'Main table (road wear)'!V9)</f>
        <v/>
      </c>
      <c r="V9" s="559" t="str">
        <f>IF('Main table (road wear)'!U9="","",'Main table (road wear)'!U9)</f>
        <v/>
      </c>
      <c r="W9" s="556" t="str">
        <f>IF('Main table (road wear)'!W9="","",'Main table (road wear)'!W9)</f>
        <v/>
      </c>
      <c r="X9" s="547" t="str">
        <f>IF('Main table (road wear)'!X9="","",'Main table (road wear)'!X9)</f>
        <v/>
      </c>
      <c r="Y9" s="547" t="str">
        <f>IF('Main table (road wear)'!Y9="","",'Main table (road wear)'!Y9)</f>
        <v/>
      </c>
      <c r="Z9" s="551" t="str">
        <f>IF('Main table (road wear)'!Z9="","",'Main table (road wear)'!Z9)</f>
        <v/>
      </c>
      <c r="AA9" s="551" t="str">
        <f>IF('Main table (road wear)'!AA9="","",'Main table (road wear)'!AA9)</f>
        <v/>
      </c>
      <c r="AB9" s="551" t="str">
        <f>IF('Main table (road wear)'!AC9="","",'Main table (road wear)'!AC9)</f>
        <v/>
      </c>
      <c r="AC9" s="559" t="str">
        <f>IF('Main table (road wear)'!AB9="","",'Main table (road wear)'!AB9)</f>
        <v/>
      </c>
      <c r="AD9" s="556" t="str">
        <f>IF('Main table (road wear)'!AD9="","",'Main table (road wear)'!AD9)</f>
        <v/>
      </c>
      <c r="AE9" s="551" t="str">
        <f>IF('Main table (road wear)'!AE9="","",'Main table (road wear)'!AE9)</f>
        <v/>
      </c>
      <c r="AF9" s="547" t="str">
        <f>IF('Main table (road wear)'!AF9="","",'Main table (road wear)'!AF9)</f>
        <v/>
      </c>
      <c r="AG9" s="547" t="str">
        <f>IF('Main table (road wear)'!AG9="","",'Main table (road wear)'!AG9)</f>
        <v/>
      </c>
      <c r="AH9" s="551" t="str">
        <f>IF('Main table (road wear)'!AH9="","",'Main table (road wear)'!AH9)</f>
        <v/>
      </c>
      <c r="AI9" s="551" t="str">
        <f>IF('Main table (road wear)'!AI9="","",'Main table (road wear)'!AI9)</f>
        <v/>
      </c>
      <c r="AJ9" s="551" t="str">
        <f>IF('Main table (road wear)'!AK9="","",'Main table (road wear)'!AK9)</f>
        <v/>
      </c>
      <c r="AK9" s="559" t="str">
        <f>IF('Main table (road wear)'!AJ9="","",'Main table (road wear)'!AJ9)</f>
        <v/>
      </c>
      <c r="AL9" s="536"/>
    </row>
    <row r="10" spans="1:38" ht="22.5" x14ac:dyDescent="0.25">
      <c r="A10" s="540" t="str">
        <f>IF('Main table (road wear)'!A10="","",'Main table (road wear)'!A10)</f>
        <v>Buses and Coaches</v>
      </c>
      <c r="B10" s="540" t="str">
        <f>IF('Main table (road wear)'!B10="","",'Main table (road wear)'!B10)</f>
        <v>Buses and Coaches</v>
      </c>
      <c r="C10" s="541" t="str">
        <f>IF('Main table (road wear)'!C10="","",'Main table (road wear)'!C10)</f>
        <v>Buses &amp;
 Coaches</v>
      </c>
      <c r="D10" s="551" t="str">
        <f>IF('Main table (road wear)'!D10="","",'Main table (road wear)'!D10)</f>
        <v/>
      </c>
      <c r="E10" s="560">
        <f>IF('Main table (road wear)'!E10="","",'Main table (road wear)'!E10)</f>
        <v>14154</v>
      </c>
      <c r="F10" s="551" t="str">
        <f>IF('Main table (road wear)'!F10="","",'Main table (road wear)'!F10)</f>
        <v/>
      </c>
      <c r="G10" s="560">
        <f>IF('Main table (road wear)'!G10="","",'Main table (road wear)'!G10)</f>
        <v>14000</v>
      </c>
      <c r="H10" s="560">
        <f>IF('Main table (road wear)'!H10="","",'Main table (road wear)'!H10)</f>
        <v>24800</v>
      </c>
      <c r="I10" s="556">
        <f>IF('Main table (road wear)'!I10="","",'Main table (road wear)'!I10)</f>
        <v>17000</v>
      </c>
      <c r="J10" s="561">
        <f>IF('Main table (road wear)'!J10="","",'Main table (road wear)'!J10)</f>
        <v>2</v>
      </c>
      <c r="K10" s="562">
        <f>IF('Main table (road wear)'!K10="","",'Main table (road wear)'!K10)</f>
        <v>83.385000000000005</v>
      </c>
      <c r="L10" s="560">
        <f>IF('Main table (road wear)'!L10="","",'Main table (road wear)'!L10)</f>
        <v>45471.244877773075</v>
      </c>
      <c r="M10" s="563">
        <f>IF('Main table (road wear)'!M10="","",'Main table (road wear)'!M10)</f>
        <v>1.1802983076230504</v>
      </c>
      <c r="N10" s="563">
        <f>IF('Main table (road wear)'!O10="","",'Main table (road wear)'!O10)</f>
        <v>2.3605966152461009</v>
      </c>
      <c r="O10" s="564">
        <f>IF('Main table (road wear)'!N10="","",'Main table (road wear)'!N10)</f>
        <v>1519279981.5723908</v>
      </c>
      <c r="P10" s="565">
        <f>IF('Main table (road wear)'!P10="","",'Main table (road wear)'!P10)</f>
        <v>18694.969999999998</v>
      </c>
      <c r="Q10" s="561">
        <f>IF('Main table (road wear)'!Q10="","",'Main table (road wear)'!Q10)</f>
        <v>2</v>
      </c>
      <c r="R10" s="562">
        <f>IF('Main table (road wear)'!R10="","",'Main table (road wear)'!R10)</f>
        <v>91.698827849999986</v>
      </c>
      <c r="S10" s="566">
        <f>IF('Main table (road wear)'!S10="","",'Main table (road wear)'!S10)</f>
        <v>45471.244877773075</v>
      </c>
      <c r="T10" s="563">
        <f>IF('Main table (road wear)'!T10="","",'Main table (road wear)'!T10)</f>
        <v>1.726216204697347</v>
      </c>
      <c r="U10" s="567">
        <f>IF('Main table (road wear)'!V10="","",'Main table (road wear)'!V10)</f>
        <v>3.4524324093946941</v>
      </c>
      <c r="V10" s="564">
        <f>IF('Main table (road wear)'!U10="","",'Main table (road wear)'!U10)</f>
        <v>2221985498.6864257</v>
      </c>
      <c r="W10" s="565">
        <f>IF('Main table (road wear)'!W10="","",'Main table (road wear)'!W10)</f>
        <v>17238</v>
      </c>
      <c r="X10" s="561">
        <f>IF('Main table (road wear)'!X10="","",'Main table (road wear)'!X10)</f>
        <v>2</v>
      </c>
      <c r="Y10" s="562">
        <f>IF('Main table (road wear)'!Y10="","",'Main table (road wear)'!Y10)</f>
        <v>84.552390000000003</v>
      </c>
      <c r="Z10" s="566">
        <f>IF('Main table (road wear)'!Z10="","",'Main table (road wear)'!Z10)</f>
        <v>45471.244877773075</v>
      </c>
      <c r="AA10" s="563">
        <f>IF('Main table (road wear)'!AA10="","",'Main table (road wear)'!AA10)</f>
        <v>1.2477960439562705</v>
      </c>
      <c r="AB10" s="568">
        <f>IF('Main table (road wear)'!AC10="","",'Main table (road wear)'!AC10)</f>
        <v>2.4955920879125411</v>
      </c>
      <c r="AC10" s="564">
        <f>IF('Main table (road wear)'!AB10="","",'Main table (road wear)'!AB10)</f>
        <v>1606163067.7805119</v>
      </c>
      <c r="AD10" s="569" t="str">
        <f>IF('Main table (road wear)'!AD10="","",'Main table (road wear)'!AD10)</f>
        <v>FCEV</v>
      </c>
      <c r="AE10" s="561">
        <f>IF('Main table (road wear)'!AE10="","",'Main table (road wear)'!AE10)</f>
        <v>17238</v>
      </c>
      <c r="AF10" s="561">
        <f>IF('Main table (road wear)'!AF10="","",'Main table (road wear)'!AF10)</f>
        <v>2</v>
      </c>
      <c r="AG10" s="562">
        <f>IF('Main table (road wear)'!AG10="","",'Main table (road wear)'!AG10)</f>
        <v>84.552390000000003</v>
      </c>
      <c r="AH10" s="560">
        <f>IF('Main table (road wear)'!AH10="","",'Main table (road wear)'!AH10)</f>
        <v>45471.244877773075</v>
      </c>
      <c r="AI10" s="563">
        <f>IF('Main table (road wear)'!AI10="","",'Main table (road wear)'!AI10)</f>
        <v>1.2477960439562705</v>
      </c>
      <c r="AJ10" s="568">
        <f>IF('Main table (road wear)'!AK10="","",'Main table (road wear)'!AK10)</f>
        <v>2.4955920879125411</v>
      </c>
      <c r="AK10" s="564">
        <f>IF('Main table (road wear)'!AJ10="","",'Main table (road wear)'!AJ10)</f>
        <v>1606163067.7805119</v>
      </c>
      <c r="AL10" s="536"/>
    </row>
    <row r="11" spans="1:38" x14ac:dyDescent="0.25">
      <c r="A11" s="536" t="str">
        <f>IF('Main table (road wear)'!A11="","",'Main table (road wear)'!A11)</f>
        <v/>
      </c>
      <c r="B11" s="540" t="str">
        <f>IF('Main table (road wear)'!B11="","",'Main table (road wear)'!B11)</f>
        <v>Cars</v>
      </c>
      <c r="C11" s="541" t="str">
        <f>IF('Main table (road wear)'!C11="","",'Main table (road wear)'!C11)</f>
        <v>Cars</v>
      </c>
      <c r="D11" s="570" t="str">
        <f>IF('Main table (road wear)'!D11="","",'Main table (road wear)'!D11)</f>
        <v>Petrol</v>
      </c>
      <c r="E11" s="560">
        <f>IF('Main table (road wear)'!E11="","",'Main table (road wear)'!E11)</f>
        <v>1544505.3520000002</v>
      </c>
      <c r="F11" s="571" t="str">
        <f>IF('Main table (road wear)'!F11="","",'Main table (road wear)'!F11)</f>
        <v/>
      </c>
      <c r="G11" s="560">
        <f>IF('Main table (road wear)'!G11="","",'Main table (road wear)'!G11)</f>
        <v>1000</v>
      </c>
      <c r="H11" s="560">
        <f>IF('Main table (road wear)'!H11="","",'Main table (road wear)'!H11)</f>
        <v>2600</v>
      </c>
      <c r="I11" s="572">
        <f>IF('Main table (road wear)'!I11="","",'Main table (road wear)'!I11)</f>
        <v>1800</v>
      </c>
      <c r="J11" s="561">
        <f>IF('Main table (road wear)'!J11="","",'Main table (road wear)'!J11)</f>
        <v>2</v>
      </c>
      <c r="K11" s="562">
        <f>IF('Main table (road wear)'!K11="","",'Main table (road wear)'!K11)</f>
        <v>8.8290000000000006</v>
      </c>
      <c r="L11" s="560">
        <f>IF('Main table (road wear)'!L11="","",'Main table (road wear)'!L11)</f>
        <v>14570.798265265224</v>
      </c>
      <c r="M11" s="573">
        <f>IF('Main table (road wear)'!M11="","",'Main table (road wear)'!M11)</f>
        <v>1.483495110703145E-4</v>
      </c>
      <c r="N11" s="573">
        <f>IF('Main table (road wear)'!O11="","",'Main table (road wear)'!O11)</f>
        <v>2.96699022140629E-4</v>
      </c>
      <c r="O11" s="564">
        <f>IF('Main table (road wear)'!N11="","",'Main table (road wear)'!N11)</f>
        <v>6677115.3341941852</v>
      </c>
      <c r="P11" s="565">
        <f>IF('Main table (road wear)'!P11="","",'Main table (road wear)'!P11)</f>
        <v>2364.09</v>
      </c>
      <c r="Q11" s="561">
        <f>IF('Main table (road wear)'!Q11="","",'Main table (road wear)'!Q11)</f>
        <v>2</v>
      </c>
      <c r="R11" s="562">
        <f>IF('Main table (road wear)'!R11="","",'Main table (road wear)'!R11)</f>
        <v>11.595861450000003</v>
      </c>
      <c r="S11" s="566">
        <f>IF('Main table (road wear)'!S11="","",'Main table (road wear)'!S11)</f>
        <v>14570.798265265224</v>
      </c>
      <c r="T11" s="573">
        <f>IF('Main table (road wear)'!T11="","",'Main table (road wear)'!T11)</f>
        <v>4.4142011817099869E-4</v>
      </c>
      <c r="U11" s="574">
        <f>IF('Main table (road wear)'!V11="","",'Main table (road wear)'!V11)</f>
        <v>8.8284023634199738E-4</v>
      </c>
      <c r="V11" s="564">
        <f>IF('Main table (road wear)'!U11="","",'Main table (road wear)'!U11)</f>
        <v>19868033.393547043</v>
      </c>
      <c r="W11" s="565">
        <f>IF('Main table (road wear)'!W11="","",'Main table (road wear)'!W11)</f>
        <v>1825.2</v>
      </c>
      <c r="X11" s="561">
        <f>IF('Main table (road wear)'!X11="","",'Main table (road wear)'!X11)</f>
        <v>2</v>
      </c>
      <c r="Y11" s="562">
        <f>IF('Main table (road wear)'!Y11="","",'Main table (road wear)'!Y11)</f>
        <v>8.9526059999999994</v>
      </c>
      <c r="Z11" s="566">
        <f>IF('Main table (road wear)'!Z11="","",'Main table (road wear)'!Z11)</f>
        <v>14570.798265265224</v>
      </c>
      <c r="AA11" s="573">
        <f>IF('Main table (road wear)'!AA11="","",'Main table (road wear)'!AA11)</f>
        <v>1.5683317669849909E-4</v>
      </c>
      <c r="AB11" s="573">
        <f>IF('Main table (road wear)'!AC11="","",'Main table (road wear)'!AC11)</f>
        <v>3.1366635339699818E-4</v>
      </c>
      <c r="AC11" s="564">
        <f>IF('Main table (road wear)'!AB11="","",'Main table (road wear)'!AB11)</f>
        <v>7058959.6250680415</v>
      </c>
      <c r="AD11" s="569" t="str">
        <f>IF('Main table (road wear)'!AD11="","",'Main table (road wear)'!AD11)</f>
        <v>BEV</v>
      </c>
      <c r="AE11" s="561">
        <f>IF('Main table (road wear)'!AE11="","",'Main table (road wear)'!AE11)</f>
        <v>2364.09</v>
      </c>
      <c r="AF11" s="561">
        <f>IF('Main table (road wear)'!AF11="","",'Main table (road wear)'!AF11)</f>
        <v>2</v>
      </c>
      <c r="AG11" s="562">
        <f>IF('Main table (road wear)'!AG11="","",'Main table (road wear)'!AG11)</f>
        <v>11.595861450000003</v>
      </c>
      <c r="AH11" s="560">
        <f>IF('Main table (road wear)'!AH11="","",'Main table (road wear)'!AH11)</f>
        <v>14570.798265265224</v>
      </c>
      <c r="AI11" s="563">
        <f>IF('Main table (road wear)'!AI11="","",'Main table (road wear)'!AI11)</f>
        <v>4.4142011817099869E-4</v>
      </c>
      <c r="AJ11" s="573">
        <f>IF('Main table (road wear)'!AK11="","",'Main table (road wear)'!AK11)</f>
        <v>8.8284023634199738E-4</v>
      </c>
      <c r="AK11" s="564">
        <f>IF('Main table (road wear)'!AJ11="","",'Main table (road wear)'!AJ11)</f>
        <v>19868033.393547043</v>
      </c>
      <c r="AL11" s="536"/>
    </row>
    <row r="12" spans="1:38" x14ac:dyDescent="0.25">
      <c r="A12" s="536" t="str">
        <f>IF('Main table (road wear)'!A12="","",'Main table (road wear)'!A12)</f>
        <v/>
      </c>
      <c r="B12" s="540" t="str">
        <f>IF('Main table (road wear)'!B12="","",'Main table (road wear)'!B12)</f>
        <v>Cars</v>
      </c>
      <c r="C12" s="543" t="str">
        <f>IF('Main table (road wear)'!C12="","",'Main table (road wear)'!C12)</f>
        <v>Cars</v>
      </c>
      <c r="D12" s="551" t="str">
        <f>IF('Main table (road wear)'!D12="","",'Main table (road wear)'!D12)</f>
        <v>Diesel</v>
      </c>
      <c r="E12" s="560">
        <f>IF('Main table (road wear)'!E12="","",'Main table (road wear)'!E12)</f>
        <v>973215.32</v>
      </c>
      <c r="F12" s="571" t="str">
        <f>IF('Main table (road wear)'!F12="","",'Main table (road wear)'!F12)</f>
        <v/>
      </c>
      <c r="G12" s="560">
        <f>IF('Main table (road wear)'!G12="","",'Main table (road wear)'!G12)</f>
        <v>1000</v>
      </c>
      <c r="H12" s="560">
        <f>IF('Main table (road wear)'!H12="","",'Main table (road wear)'!H12)</f>
        <v>2600</v>
      </c>
      <c r="I12" s="572">
        <f>IF('Main table (road wear)'!I12="","",'Main table (road wear)'!I12)</f>
        <v>1800</v>
      </c>
      <c r="J12" s="561">
        <f>IF('Main table (road wear)'!J12="","",'Main table (road wear)'!J12)</f>
        <v>2</v>
      </c>
      <c r="K12" s="562">
        <f>IF('Main table (road wear)'!K12="","",'Main table (road wear)'!K12)</f>
        <v>8.8290000000000006</v>
      </c>
      <c r="L12" s="560">
        <f>IF('Main table (road wear)'!L12="","",'Main table (road wear)'!L12)</f>
        <v>14570.798265265224</v>
      </c>
      <c r="M12" s="573">
        <f>IF('Main table (road wear)'!M12="","",'Main table (road wear)'!M12)</f>
        <v>1.483495110703145E-4</v>
      </c>
      <c r="N12" s="573">
        <f>IF('Main table (road wear)'!O12="","",'Main table (road wear)'!O12)</f>
        <v>2.96699022140629E-4</v>
      </c>
      <c r="O12" s="564">
        <f>IF('Main table (road wear)'!N12="","",'Main table (road wear)'!N12)</f>
        <v>4207347.6328392159</v>
      </c>
      <c r="P12" s="565">
        <f>IF('Main table (road wear)'!P12="","",'Main table (road wear)'!P12)</f>
        <v>2364.09</v>
      </c>
      <c r="Q12" s="561">
        <f>IF('Main table (road wear)'!Q12="","",'Main table (road wear)'!Q12)</f>
        <v>2</v>
      </c>
      <c r="R12" s="562">
        <f>IF('Main table (road wear)'!R12="","",'Main table (road wear)'!R12)</f>
        <v>11.595861450000003</v>
      </c>
      <c r="S12" s="566">
        <f>IF('Main table (road wear)'!S12="","",'Main table (road wear)'!S12)</f>
        <v>14570.798265265224</v>
      </c>
      <c r="T12" s="573">
        <f>IF('Main table (road wear)'!T12="","",'Main table (road wear)'!T12)</f>
        <v>4.4142011817099869E-4</v>
      </c>
      <c r="U12" s="574">
        <f>IF('Main table (road wear)'!V12="","",'Main table (road wear)'!V12)</f>
        <v>8.8284023634199738E-4</v>
      </c>
      <c r="V12" s="564">
        <f>IF('Main table (road wear)'!U12="","",'Main table (road wear)'!U12)</f>
        <v>12519137.2447064</v>
      </c>
      <c r="W12" s="565">
        <f>IF('Main table (road wear)'!W12="","",'Main table (road wear)'!W12)</f>
        <v>1825.2</v>
      </c>
      <c r="X12" s="561">
        <f>IF('Main table (road wear)'!X12="","",'Main table (road wear)'!X12)</f>
        <v>2</v>
      </c>
      <c r="Y12" s="562">
        <f>IF('Main table (road wear)'!Y12="","",'Main table (road wear)'!Y12)</f>
        <v>8.9526059999999994</v>
      </c>
      <c r="Z12" s="566">
        <f>IF('Main table (road wear)'!Z12="","",'Main table (road wear)'!Z12)</f>
        <v>14570.798265265224</v>
      </c>
      <c r="AA12" s="573">
        <f>IF('Main table (road wear)'!AA12="","",'Main table (road wear)'!AA12)</f>
        <v>1.5683317669849909E-4</v>
      </c>
      <c r="AB12" s="573">
        <f>IF('Main table (road wear)'!AC12="","",'Main table (road wear)'!AC12)</f>
        <v>3.1366635339699818E-4</v>
      </c>
      <c r="AC12" s="564">
        <f>IF('Main table (road wear)'!AB12="","",'Main table (road wear)'!AB12)</f>
        <v>4447953.2825715151</v>
      </c>
      <c r="AD12" s="569" t="str">
        <f>IF('Main table (road wear)'!AD12="","",'Main table (road wear)'!AD12)</f>
        <v>FCEV</v>
      </c>
      <c r="AE12" s="561">
        <f>IF('Main table (road wear)'!AE12="","",'Main table (road wear)'!AE12)</f>
        <v>1825.2</v>
      </c>
      <c r="AF12" s="561">
        <f>IF('Main table (road wear)'!AF12="","",'Main table (road wear)'!AF12)</f>
        <v>2</v>
      </c>
      <c r="AG12" s="562">
        <f>IF('Main table (road wear)'!AG12="","",'Main table (road wear)'!AG12)</f>
        <v>8.9526059999999994</v>
      </c>
      <c r="AH12" s="560">
        <f>IF('Main table (road wear)'!AH12="","",'Main table (road wear)'!AH12)</f>
        <v>14570.798265265224</v>
      </c>
      <c r="AI12" s="563">
        <f>IF('Main table (road wear)'!AI12="","",'Main table (road wear)'!AI12)</f>
        <v>1.5683317669849909E-4</v>
      </c>
      <c r="AJ12" s="573">
        <f>IF('Main table (road wear)'!AK12="","",'Main table (road wear)'!AK12)</f>
        <v>3.1366635339699818E-4</v>
      </c>
      <c r="AK12" s="564">
        <f>IF('Main table (road wear)'!AJ12="","",'Main table (road wear)'!AJ12)</f>
        <v>4447953.2825715151</v>
      </c>
      <c r="AL12" s="536"/>
    </row>
    <row r="13" spans="1:38" ht="22.5" x14ac:dyDescent="0.25">
      <c r="A13" s="540" t="str">
        <f>IF('Main table (road wear)'!A13="","",'Main table (road wear)'!A13)</f>
        <v>Motorcycles</v>
      </c>
      <c r="B13" s="540" t="str">
        <f>IF('Main table (road wear)'!B13="","",'Main table (road wear)'!B13)</f>
        <v>Motorcycles</v>
      </c>
      <c r="C13" s="575" t="str">
        <f>IF('Main table (road wear)'!C13="","",'Main table (road wear)'!C13)</f>
        <v>Motor-
cycles</v>
      </c>
      <c r="D13" s="551" t="str">
        <f>IF('Main table (road wear)'!D13="","",'Main table (road wear)'!D13)</f>
        <v/>
      </c>
      <c r="E13" s="560">
        <f>IF('Main table (road wear)'!E13="","",'Main table (road wear)'!E13)</f>
        <v>71666</v>
      </c>
      <c r="F13" s="576" t="str">
        <f>IF('Main table (road wear)'!F13="","",'Main table (road wear)'!F13)</f>
        <v/>
      </c>
      <c r="G13" s="560" t="str">
        <f>IF('Main table (road wear)'!G13="","",'Main table (road wear)'!G13)</f>
        <v/>
      </c>
      <c r="H13" s="560" t="str">
        <f>IF('Main table (road wear)'!H13="","",'Main table (road wear)'!H13)</f>
        <v/>
      </c>
      <c r="I13" s="556">
        <f>IF('Main table (road wear)'!I13="","",'Main table (road wear)'!I13)</f>
        <v>200</v>
      </c>
      <c r="J13" s="561">
        <f>IF('Main table (road wear)'!J13="","",'Main table (road wear)'!J13)</f>
        <v>2</v>
      </c>
      <c r="K13" s="562">
        <f>IF('Main table (road wear)'!K13="","",'Main table (road wear)'!K13)</f>
        <v>0.98099999999999998</v>
      </c>
      <c r="L13" s="560">
        <f>IF('Main table (road wear)'!L13="","",'Main table (road wear)'!L13)</f>
        <v>4490.274328133286</v>
      </c>
      <c r="M13" s="577" t="s">
        <v>491</v>
      </c>
      <c r="N13" s="577" t="s">
        <v>491</v>
      </c>
      <c r="O13" s="564" t="s">
        <v>490</v>
      </c>
      <c r="P13" s="565">
        <f>IF('Main table (road wear)'!P13="","",'Main table (road wear)'!P13)</f>
        <v>645.04999999999995</v>
      </c>
      <c r="Q13" s="561">
        <f>IF('Main table (road wear)'!Q13="","",'Main table (road wear)'!Q13)</f>
        <v>2</v>
      </c>
      <c r="R13" s="562">
        <f>IF('Main table (road wear)'!R13="","",'Main table (road wear)'!R13)</f>
        <v>3.1639702499999998</v>
      </c>
      <c r="S13" s="566">
        <f>IF('Main table (road wear)'!S13="","",'Main table (road wear)'!S13)</f>
        <v>4490.274328133286</v>
      </c>
      <c r="T13" s="578" t="s">
        <v>491</v>
      </c>
      <c r="U13" s="578" t="s">
        <v>491</v>
      </c>
      <c r="V13" s="564" t="s">
        <v>490</v>
      </c>
      <c r="W13" s="565">
        <f>IF('Main table (road wear)'!W13="","",'Main table (road wear)'!W13)</f>
        <v>202.8</v>
      </c>
      <c r="X13" s="561">
        <f>IF('Main table (road wear)'!X13="","",'Main table (road wear)'!X13)</f>
        <v>2</v>
      </c>
      <c r="Y13" s="562">
        <f>IF('Main table (road wear)'!Y13="","",'Main table (road wear)'!Y13)</f>
        <v>0.99473400000000012</v>
      </c>
      <c r="Z13" s="566">
        <f>IF('Main table (road wear)'!Z13="","",'Main table (road wear)'!Z13)</f>
        <v>4490.274328133286</v>
      </c>
      <c r="AA13" s="577" t="s">
        <v>491</v>
      </c>
      <c r="AB13" s="577" t="s">
        <v>491</v>
      </c>
      <c r="AC13" s="564" t="s">
        <v>490</v>
      </c>
      <c r="AD13" s="569" t="str">
        <f>IF('Main table (road wear)'!AD13="","",'Main table (road wear)'!AD13)</f>
        <v>BEV</v>
      </c>
      <c r="AE13" s="561">
        <f>IF('Main table (road wear)'!AE13="","",'Main table (road wear)'!AE13)</f>
        <v>645.04999999999995</v>
      </c>
      <c r="AF13" s="561">
        <f>IF('Main table (road wear)'!AF13="","",'Main table (road wear)'!AF13)</f>
        <v>2</v>
      </c>
      <c r="AG13" s="562">
        <f>IF('Main table (road wear)'!AG13="","",'Main table (road wear)'!AG13)</f>
        <v>3.1639702499999998</v>
      </c>
      <c r="AH13" s="560">
        <f>IF('Main table (road wear)'!AH13="","",'Main table (road wear)'!AH13)</f>
        <v>4490.274328133286</v>
      </c>
      <c r="AI13" s="578" t="s">
        <v>491</v>
      </c>
      <c r="AJ13" s="578" t="s">
        <v>491</v>
      </c>
      <c r="AK13" s="564" t="s">
        <v>490</v>
      </c>
      <c r="AL13" s="536"/>
    </row>
    <row r="14" spans="1:38" ht="22.5" x14ac:dyDescent="0.25">
      <c r="A14" s="536" t="str">
        <f>IF('Main table (road wear)'!A14="","",'Main table (road wear)'!A14)</f>
        <v/>
      </c>
      <c r="B14" s="540" t="str">
        <f>IF('Main table (road wear)'!B14="","",'Main table (road wear)'!B14)</f>
        <v>Goods</v>
      </c>
      <c r="C14" s="575" t="str">
        <f>IF('Main table (road wear)'!C14="","",'Main table (road wear)'!C14)</f>
        <v>Heavy
Goods</v>
      </c>
      <c r="D14" s="579" t="str">
        <f>IF('Main table (road wear)'!D14="","",'Main table (road wear)'!D14)</f>
        <v>3.5t - 7.5t</v>
      </c>
      <c r="E14" s="566">
        <f>IF('Main table (road wear)'!E14="","",'Main table (road wear)'!E14)</f>
        <v>7986.2615999999998</v>
      </c>
      <c r="F14" s="542" t="str">
        <f>IF('Main table (road wear)'!F14="","",'Main table (road wear)'!F14)</f>
        <v>Two axle rigid</v>
      </c>
      <c r="G14" s="566">
        <f>IF('Main table (road wear)'!G14="","",'Main table (road wear)'!G14)</f>
        <v>3500</v>
      </c>
      <c r="H14" s="566">
        <f>IF('Main table (road wear)'!H14="","",'Main table (road wear)'!H14)</f>
        <v>7500</v>
      </c>
      <c r="I14" s="580">
        <f>IF('Main table (road wear)'!I14="","",'Main table (road wear)'!I14)</f>
        <v>5500</v>
      </c>
      <c r="J14" s="581">
        <f>IF('Main table (road wear)'!J14="","",'Main table (road wear)'!J14)</f>
        <v>2</v>
      </c>
      <c r="K14" s="582">
        <f>IF('Main table (road wear)'!K14="","",'Main table (road wear)'!K14)</f>
        <v>26.977499999999999</v>
      </c>
      <c r="L14" s="566">
        <f>IF('Main table (road wear)'!L14="","",'Main table (road wear)'!L14)</f>
        <v>49966.531173195472</v>
      </c>
      <c r="M14" s="563">
        <f>IF('Main table (road wear)'!M14="","",'Main table (road wear)'!M14)</f>
        <v>1.2931439040712131E-2</v>
      </c>
      <c r="N14" s="563">
        <f>IF('Main table (road wear)'!O14="","",'Main table (road wear)'!O14)</f>
        <v>2.5862878081424262E-2</v>
      </c>
      <c r="O14" s="564">
        <f>IF('Main table (road wear)'!N14="","",'Main table (road wear)'!N14)</f>
        <v>10320472.594822234</v>
      </c>
      <c r="P14" s="583">
        <f>IF('Main table (road wear)'!P14="","",'Main table (road wear)'!P14)</f>
        <v>6339.37</v>
      </c>
      <c r="Q14" s="581">
        <f>IF('Main table (road wear)'!Q14="","",'Main table (road wear)'!Q14)</f>
        <v>2</v>
      </c>
      <c r="R14" s="582">
        <f>IF('Main table (road wear)'!R14="","",'Main table (road wear)'!R14)</f>
        <v>31.094609850000001</v>
      </c>
      <c r="S14" s="566">
        <f>IF('Main table (road wear)'!S14="","",'Main table (road wear)'!S14)</f>
        <v>49966.531173195472</v>
      </c>
      <c r="T14" s="563">
        <f>IF('Main table (road wear)'!T14="","",'Main table (road wear)'!T14)</f>
        <v>2.2823408321735711E-2</v>
      </c>
      <c r="U14" s="568">
        <f>IF('Main table (road wear)'!V14="","",'Main table (road wear)'!V14)</f>
        <v>4.5646816643471422E-2</v>
      </c>
      <c r="V14" s="564">
        <f>IF('Main table (road wear)'!U14="","",'Main table (road wear)'!U14)</f>
        <v>18215169.971673895</v>
      </c>
      <c r="W14" s="583">
        <f>IF('Main table (road wear)'!W14="","",'Main table (road wear)'!W14)</f>
        <v>5577</v>
      </c>
      <c r="X14" s="581">
        <f>IF('Main table (road wear)'!X14="","",'Main table (road wear)'!X14)</f>
        <v>2</v>
      </c>
      <c r="Y14" s="582">
        <f>IF('Main table (road wear)'!Y14="","",'Main table (road wear)'!Y14)</f>
        <v>27.355185000000002</v>
      </c>
      <c r="Z14" s="566">
        <f>IF('Main table (road wear)'!Z14="","",'Main table (road wear)'!Z14)</f>
        <v>49966.531173195472</v>
      </c>
      <c r="AA14" s="563">
        <f>IF('Main table (road wear)'!AA14="","",'Main table (road wear)'!AA14)</f>
        <v>1.3670949431552965E-2</v>
      </c>
      <c r="AB14" s="568">
        <f>IF('Main table (road wear)'!AC14="","",'Main table (road wear)'!AC14)</f>
        <v>2.734189886310593E-2</v>
      </c>
      <c r="AC14" s="564">
        <f>IF('Main table (road wear)'!AB14="","",'Main table (road wear)'!AB14)</f>
        <v>10910669.609882269</v>
      </c>
      <c r="AD14" s="569" t="str">
        <f>IF('Main table (road wear)'!AD14="","",'Main table (road wear)'!AD14)</f>
        <v>FCEV</v>
      </c>
      <c r="AE14" s="581">
        <f>IF('Main table (road wear)'!AE14="","",'Main table (road wear)'!AE14)</f>
        <v>5577</v>
      </c>
      <c r="AF14" s="581">
        <f>IF('Main table (road wear)'!AF14="","",'Main table (road wear)'!AF14)</f>
        <v>2</v>
      </c>
      <c r="AG14" s="582">
        <f>IF('Main table (road wear)'!AG14="","",'Main table (road wear)'!AG14)</f>
        <v>27.355185000000002</v>
      </c>
      <c r="AH14" s="566">
        <f>IF('Main table (road wear)'!AH14="","",'Main table (road wear)'!AH14)</f>
        <v>49966.531173195472</v>
      </c>
      <c r="AI14" s="563">
        <f>IF('Main table (road wear)'!AI14="","",'Main table (road wear)'!AI14)</f>
        <v>1.3670949431552965E-2</v>
      </c>
      <c r="AJ14" s="568">
        <f>IF('Main table (road wear)'!AK14="","",'Main table (road wear)'!AK14)</f>
        <v>2.734189886310593E-2</v>
      </c>
      <c r="AK14" s="564">
        <f>IF('Main table (road wear)'!AJ14="","",'Main table (road wear)'!AJ14)</f>
        <v>10910669.609882269</v>
      </c>
      <c r="AL14" s="536"/>
    </row>
    <row r="15" spans="1:38" ht="22.5" x14ac:dyDescent="0.25">
      <c r="A15" s="536" t="str">
        <f>IF('Main table (road wear)'!A15="","",'Main table (road wear)'!A15)</f>
        <v/>
      </c>
      <c r="B15" s="540" t="str">
        <f>IF('Main table (road wear)'!B15="","",'Main table (road wear)'!B15)</f>
        <v>Goods</v>
      </c>
      <c r="C15" s="575" t="str">
        <f>IF('Main table (road wear)'!C15="","",'Main table (road wear)'!C15)</f>
        <v>Heavy
Goods</v>
      </c>
      <c r="D15" s="570" t="str">
        <f>IF('Main table (road wear)'!D15="","",'Main table (road wear)'!D15)</f>
        <v>7.5t - 12t</v>
      </c>
      <c r="E15" s="566">
        <f>IF('Main table (road wear)'!E15="","",'Main table (road wear)'!E15)</f>
        <v>1274.5602000000003</v>
      </c>
      <c r="F15" s="542" t="str">
        <f>IF('Main table (road wear)'!F15="","",'Main table (road wear)'!F15)</f>
        <v>Two axle rigid</v>
      </c>
      <c r="G15" s="566">
        <f>IF('Main table (road wear)'!G15="","",'Main table (road wear)'!G15)</f>
        <v>7500</v>
      </c>
      <c r="H15" s="566">
        <f>IF('Main table (road wear)'!H15="","",'Main table (road wear)'!H15)</f>
        <v>12000</v>
      </c>
      <c r="I15" s="580">
        <f>IF('Main table (road wear)'!I15="","",'Main table (road wear)'!I15)</f>
        <v>9750</v>
      </c>
      <c r="J15" s="581">
        <f>IF('Main table (road wear)'!J15="","",'Main table (road wear)'!J15)</f>
        <v>2</v>
      </c>
      <c r="K15" s="582">
        <f>IF('Main table (road wear)'!K15="","",'Main table (road wear)'!K15)</f>
        <v>47.823749999999997</v>
      </c>
      <c r="L15" s="566">
        <f>IF('Main table (road wear)'!L15="","",'Main table (road wear)'!L15)</f>
        <v>49966.531173195472</v>
      </c>
      <c r="M15" s="563">
        <f>IF('Main table (road wear)'!M15="","",'Main table (road wear)'!M15)</f>
        <v>0.12770695848039798</v>
      </c>
      <c r="N15" s="563">
        <f>IF('Main table (road wear)'!O15="","",'Main table (road wear)'!O15)</f>
        <v>0.25541391696079596</v>
      </c>
      <c r="O15" s="564">
        <f>IF('Main table (road wear)'!N15="","",'Main table (road wear)'!N15)</f>
        <v>16266125.198513385</v>
      </c>
      <c r="P15" s="583">
        <f>IF('Main table (road wear)'!P15="","",'Main table (road wear)'!P15)</f>
        <v>10905.57</v>
      </c>
      <c r="Q15" s="581">
        <f>IF('Main table (road wear)'!Q15="","",'Main table (road wear)'!Q15)</f>
        <v>2</v>
      </c>
      <c r="R15" s="582">
        <f>IF('Main table (road wear)'!R15="","",'Main table (road wear)'!R15)</f>
        <v>53.491820850000003</v>
      </c>
      <c r="S15" s="566">
        <f>IF('Main table (road wear)'!S15="","",'Main table (road wear)'!S15)</f>
        <v>49966.531173195472</v>
      </c>
      <c r="T15" s="563">
        <f>IF('Main table (road wear)'!T15="","",'Main table (road wear)'!T15)</f>
        <v>0.19988931411224337</v>
      </c>
      <c r="U15" s="568">
        <f>IF('Main table (road wear)'!V15="","",'Main table (road wear)'!V15)</f>
        <v>0.39977862822448673</v>
      </c>
      <c r="V15" s="564">
        <f>IF('Main table (road wear)'!U15="","",'Main table (road wear)'!U15)</f>
        <v>25460042.64672694</v>
      </c>
      <c r="W15" s="583">
        <f>IF('Main table (road wear)'!W15="","",'Main table (road wear)'!W15)</f>
        <v>9886.5</v>
      </c>
      <c r="X15" s="581">
        <f>IF('Main table (road wear)'!X15="","",'Main table (road wear)'!X15)</f>
        <v>2</v>
      </c>
      <c r="Y15" s="582">
        <f>IF('Main table (road wear)'!Y15="","",'Main table (road wear)'!Y15)</f>
        <v>48.493282499999999</v>
      </c>
      <c r="Z15" s="566">
        <f>IF('Main table (road wear)'!Z15="","",'Main table (road wear)'!Z15)</f>
        <v>49966.531173195472</v>
      </c>
      <c r="AA15" s="563">
        <f>IF('Main table (road wear)'!AA15="","",'Main table (road wear)'!AA15)</f>
        <v>0.13501013815604002</v>
      </c>
      <c r="AB15" s="568">
        <f>IF('Main table (road wear)'!AC15="","",'Main table (road wear)'!AC15)</f>
        <v>0.27002027631208003</v>
      </c>
      <c r="AC15" s="564">
        <f>IF('Main table (road wear)'!AB15="","",'Main table (road wear)'!AB15)</f>
        <v>17196336.334733229</v>
      </c>
      <c r="AD15" s="569" t="str">
        <f>IF('Main table (road wear)'!AD15="","",'Main table (road wear)'!AD15)</f>
        <v>FCEV</v>
      </c>
      <c r="AE15" s="581">
        <f>IF('Main table (road wear)'!AE15="","",'Main table (road wear)'!AE15)</f>
        <v>9886.5</v>
      </c>
      <c r="AF15" s="581">
        <f>IF('Main table (road wear)'!AF15="","",'Main table (road wear)'!AF15)</f>
        <v>2</v>
      </c>
      <c r="AG15" s="582">
        <f>IF('Main table (road wear)'!AG15="","",'Main table (road wear)'!AG15)</f>
        <v>48.493282499999999</v>
      </c>
      <c r="AH15" s="566">
        <f>IF('Main table (road wear)'!AH15="","",'Main table (road wear)'!AH15)</f>
        <v>49966.531173195472</v>
      </c>
      <c r="AI15" s="563">
        <f>IF('Main table (road wear)'!AI15="","",'Main table (road wear)'!AI15)</f>
        <v>0.13501013815604002</v>
      </c>
      <c r="AJ15" s="568">
        <f>IF('Main table (road wear)'!AK15="","",'Main table (road wear)'!AK15)</f>
        <v>0.27002027631208003</v>
      </c>
      <c r="AK15" s="564">
        <f>IF('Main table (road wear)'!AJ15="","",'Main table (road wear)'!AJ15)</f>
        <v>17196336.334733229</v>
      </c>
      <c r="AL15" s="536"/>
    </row>
    <row r="16" spans="1:38" ht="22.5" x14ac:dyDescent="0.25">
      <c r="A16" s="536" t="str">
        <f>IF('Main table (road wear)'!A16="","",'Main table (road wear)'!A16)</f>
        <v/>
      </c>
      <c r="B16" s="540" t="str">
        <f>IF('Main table (road wear)'!B16="","",'Main table (road wear)'!B16)</f>
        <v>Goods</v>
      </c>
      <c r="C16" s="575" t="str">
        <f>IF('Main table (road wear)'!C16="","",'Main table (road wear)'!C16)</f>
        <v>Heavy
Goods</v>
      </c>
      <c r="D16" s="570" t="str">
        <f>IF('Main table (road wear)'!D16="","",'Main table (road wear)'!D16)</f>
        <v>12t - 16t</v>
      </c>
      <c r="E16" s="566">
        <f>IF('Main table (road wear)'!E16="","",'Main table (road wear)'!E16)</f>
        <v>1237.7231999999999</v>
      </c>
      <c r="F16" s="542" t="str">
        <f>IF('Main table (road wear)'!F16="","",'Main table (road wear)'!F16)</f>
        <v>Two axle rigid</v>
      </c>
      <c r="G16" s="566">
        <f>IF('Main table (road wear)'!G16="","",'Main table (road wear)'!G16)</f>
        <v>12000</v>
      </c>
      <c r="H16" s="566">
        <f>IF('Main table (road wear)'!H16="","",'Main table (road wear)'!H16)</f>
        <v>16000</v>
      </c>
      <c r="I16" s="580">
        <f>IF('Main table (road wear)'!I16="","",'Main table (road wear)'!I16)</f>
        <v>14000</v>
      </c>
      <c r="J16" s="581">
        <f>IF('Main table (road wear)'!J16="","",'Main table (road wear)'!J16)</f>
        <v>2</v>
      </c>
      <c r="K16" s="582">
        <f>IF('Main table (road wear)'!K16="","",'Main table (road wear)'!K16)</f>
        <v>68.67</v>
      </c>
      <c r="L16" s="566">
        <f>IF('Main table (road wear)'!L16="","",'Main table (road wear)'!L16)</f>
        <v>49966.531173195472</v>
      </c>
      <c r="M16" s="563">
        <f>IF('Main table (road wear)'!M16="","",'Main table (road wear)'!M16)</f>
        <v>0.54288549928337926</v>
      </c>
      <c r="N16" s="563">
        <f>IF('Main table (road wear)'!O16="","",'Main table (road wear)'!O16)</f>
        <v>1.0857709985667585</v>
      </c>
      <c r="O16" s="564">
        <f>IF('Main table (road wear)'!N16="","",'Main table (road wear)'!N16)</f>
        <v>67149219.521333158</v>
      </c>
      <c r="P16" s="583">
        <f>IF('Main table (road wear)'!P16="","",'Main table (road wear)'!P16)</f>
        <v>15471.77</v>
      </c>
      <c r="Q16" s="581">
        <f>IF('Main table (road wear)'!Q16="","",'Main table (road wear)'!Q16)</f>
        <v>2</v>
      </c>
      <c r="R16" s="582">
        <f>IF('Main table (road wear)'!R16="","",'Main table (road wear)'!R16)</f>
        <v>75.889031849999995</v>
      </c>
      <c r="S16" s="566">
        <f>IF('Main table (road wear)'!S16="","",'Main table (road wear)'!S16)</f>
        <v>49966.531173195472</v>
      </c>
      <c r="T16" s="563">
        <f>IF('Main table (road wear)'!T16="","",'Main table (road wear)'!T16)</f>
        <v>0.809759592721215</v>
      </c>
      <c r="U16" s="568">
        <f>IF('Main table (road wear)'!V16="","",'Main table (road wear)'!V16)</f>
        <v>1.61951918544243</v>
      </c>
      <c r="V16" s="564">
        <f>IF('Main table (road wear)'!U16="","",'Main table (road wear)'!U16)</f>
        <v>100158734.61884324</v>
      </c>
      <c r="W16" s="583">
        <f>IF('Main table (road wear)'!W16="","",'Main table (road wear)'!W16)</f>
        <v>14196</v>
      </c>
      <c r="X16" s="581">
        <f>IF('Main table (road wear)'!X16="","",'Main table (road wear)'!X16)</f>
        <v>2</v>
      </c>
      <c r="Y16" s="582">
        <f>IF('Main table (road wear)'!Y16="","",'Main table (road wear)'!Y16)</f>
        <v>69.631380000000007</v>
      </c>
      <c r="Z16" s="566">
        <f>IF('Main table (road wear)'!Z16="","",'Main table (road wear)'!Z16)</f>
        <v>49966.531173195472</v>
      </c>
      <c r="AA16" s="563">
        <f>IF('Main table (road wear)'!AA16="","",'Main table (road wear)'!AA16)</f>
        <v>0.57393150015713534</v>
      </c>
      <c r="AB16" s="568">
        <f>IF('Main table (road wear)'!AC16="","",'Main table (road wear)'!AC16)</f>
        <v>1.1478630003142707</v>
      </c>
      <c r="AC16" s="564">
        <f>IF('Main table (road wear)'!AB16="","",'Main table (road wear)'!AB16)</f>
        <v>70989282.906122804</v>
      </c>
      <c r="AD16" s="569" t="str">
        <f>IF('Main table (road wear)'!AD16="","",'Main table (road wear)'!AD16)</f>
        <v>FCEV</v>
      </c>
      <c r="AE16" s="581">
        <f>IF('Main table (road wear)'!AE16="","",'Main table (road wear)'!AE16)</f>
        <v>14196</v>
      </c>
      <c r="AF16" s="581">
        <f>IF('Main table (road wear)'!AF16="","",'Main table (road wear)'!AF16)</f>
        <v>2</v>
      </c>
      <c r="AG16" s="582">
        <f>IF('Main table (road wear)'!AG16="","",'Main table (road wear)'!AG16)</f>
        <v>69.631380000000007</v>
      </c>
      <c r="AH16" s="566">
        <f>IF('Main table (road wear)'!AH16="","",'Main table (road wear)'!AH16)</f>
        <v>49966.531173195472</v>
      </c>
      <c r="AI16" s="563">
        <f>IF('Main table (road wear)'!AI16="","",'Main table (road wear)'!AI16)</f>
        <v>0.57393150015713534</v>
      </c>
      <c r="AJ16" s="568">
        <f>IF('Main table (road wear)'!AK16="","",'Main table (road wear)'!AK16)</f>
        <v>1.1478630003142707</v>
      </c>
      <c r="AK16" s="564">
        <f>IF('Main table (road wear)'!AJ16="","",'Main table (road wear)'!AJ16)</f>
        <v>70989282.906122804</v>
      </c>
      <c r="AL16" s="536"/>
    </row>
    <row r="17" spans="1:38" ht="22.5" x14ac:dyDescent="0.25">
      <c r="A17" s="536" t="str">
        <f>IF('Main table (road wear)'!A17="","",'Main table (road wear)'!A17)</f>
        <v/>
      </c>
      <c r="B17" s="540" t="str">
        <f>IF('Main table (road wear)'!B17="","",'Main table (road wear)'!B17)</f>
        <v>Goods**</v>
      </c>
      <c r="C17" s="575" t="str">
        <f>IF('Main table (road wear)'!C17="","",'Main table (road wear)'!C17)</f>
        <v>Heavy
Goods</v>
      </c>
      <c r="D17" s="570" t="str">
        <f>IF('Main table (road wear)'!D17="","",'Main table (road wear)'!D17)</f>
        <v>16t - 20t</v>
      </c>
      <c r="E17" s="566">
        <f>IF('Main table (road wear)'!E17="","",'Main table (road wear)'!E17)</f>
        <v>4656.1968000000006</v>
      </c>
      <c r="F17" s="542" t="str">
        <f>IF('Main table (road wear)'!F17="","",'Main table (road wear)'!F17)</f>
        <v>Two axle rigid</v>
      </c>
      <c r="G17" s="566">
        <f>IF('Main table (road wear)'!G17="","",'Main table (road wear)'!G17)</f>
        <v>16000</v>
      </c>
      <c r="H17" s="584">
        <f>IF('Main table (road wear)'!H17="","",'Main table (road wear)'!H17)</f>
        <v>19000</v>
      </c>
      <c r="I17" s="580">
        <f>IF('Main table (road wear)'!I17="","",'Main table (road wear)'!I17)</f>
        <v>17500</v>
      </c>
      <c r="J17" s="581">
        <f>IF('Main table (road wear)'!J17="","",'Main table (road wear)'!J17)</f>
        <v>2</v>
      </c>
      <c r="K17" s="582">
        <f>IF('Main table (road wear)'!K17="","",'Main table (road wear)'!K17)</f>
        <v>85.837500000000006</v>
      </c>
      <c r="L17" s="566">
        <f>IF('Main table (road wear)'!L17="","",'Main table (road wear)'!L17)</f>
        <v>49966.531173195472</v>
      </c>
      <c r="M17" s="563">
        <f>IF('Main table (road wear)'!M17="","",'Main table (road wear)'!M17)</f>
        <v>1.3254040509848124</v>
      </c>
      <c r="N17" s="563">
        <f>IF('Main table (road wear)'!O17="","",'Main table (road wear)'!O17)</f>
        <v>2.6508081019696248</v>
      </c>
      <c r="O17" s="564">
        <f>IF('Main table (road wear)'!N17="","",'Main table (road wear)'!N17)</f>
        <v>616721114.93039894</v>
      </c>
      <c r="P17" s="583">
        <f>IF('Main table (road wear)'!P17="","",'Main table (road wear)'!P17)</f>
        <v>19232.169999999998</v>
      </c>
      <c r="Q17" s="581">
        <f>IF('Main table (road wear)'!Q17="","",'Main table (road wear)'!Q17)</f>
        <v>2</v>
      </c>
      <c r="R17" s="582">
        <f>IF('Main table (road wear)'!R17="","",'Main table (road wear)'!R17)</f>
        <v>94.333793850000006</v>
      </c>
      <c r="S17" s="566">
        <f>IF('Main table (road wear)'!S17="","",'Main table (road wear)'!S17)</f>
        <v>49966.531173195472</v>
      </c>
      <c r="T17" s="563">
        <f>IF('Main table (road wear)'!T17="","",'Main table (road wear)'!T17)</f>
        <v>1.9333445379634417</v>
      </c>
      <c r="U17" s="568">
        <f>IF('Main table (road wear)'!V17="","",'Main table (road wear)'!V17)</f>
        <v>3.8666890759268835</v>
      </c>
      <c r="V17" s="564">
        <f>IF('Main table (road wear)'!U17="","",'Main table (road wear)'!U17)</f>
        <v>899600690.15291822</v>
      </c>
      <c r="W17" s="583">
        <f>IF('Main table (road wear)'!W17="","",'Main table (road wear)'!W17)</f>
        <v>17745</v>
      </c>
      <c r="X17" s="581">
        <f>IF('Main table (road wear)'!X17="","",'Main table (road wear)'!X17)</f>
        <v>2</v>
      </c>
      <c r="Y17" s="582">
        <f>IF('Main table (road wear)'!Y17="","",'Main table (road wear)'!Y17)</f>
        <v>87.039225000000002</v>
      </c>
      <c r="Z17" s="566">
        <f>IF('Main table (road wear)'!Z17="","",'Main table (road wear)'!Z17)</f>
        <v>49966.531173195472</v>
      </c>
      <c r="AA17" s="563">
        <f>IF('Main table (road wear)'!AA17="","",'Main table (road wear)'!AA17)</f>
        <v>1.4011999515555063</v>
      </c>
      <c r="AB17" s="568">
        <f>IF('Main table (road wear)'!AC17="","",'Main table (road wear)'!AC17)</f>
        <v>2.8023999031110125</v>
      </c>
      <c r="AC17" s="564">
        <f>IF('Main table (road wear)'!AB17="","",'Main table (road wear)'!AB17)</f>
        <v>651989554.22057545</v>
      </c>
      <c r="AD17" s="569" t="str">
        <f>IF('Main table (road wear)'!AD17="","",'Main table (road wear)'!AD17)</f>
        <v>FCEV</v>
      </c>
      <c r="AE17" s="581">
        <f>IF('Main table (road wear)'!AE17="","",'Main table (road wear)'!AE17)</f>
        <v>17745</v>
      </c>
      <c r="AF17" s="581">
        <f>IF('Main table (road wear)'!AF17="","",'Main table (road wear)'!AF17)</f>
        <v>2</v>
      </c>
      <c r="AG17" s="582">
        <f>IF('Main table (road wear)'!AG17="","",'Main table (road wear)'!AG17)</f>
        <v>87.039225000000002</v>
      </c>
      <c r="AH17" s="566">
        <f>IF('Main table (road wear)'!AH17="","",'Main table (road wear)'!AH17)</f>
        <v>49966.531173195472</v>
      </c>
      <c r="AI17" s="563">
        <f>IF('Main table (road wear)'!AI17="","",'Main table (road wear)'!AI17)</f>
        <v>1.4011999515555063</v>
      </c>
      <c r="AJ17" s="568">
        <f>IF('Main table (road wear)'!AK17="","",'Main table (road wear)'!AK17)</f>
        <v>2.8023999031110125</v>
      </c>
      <c r="AK17" s="564">
        <f>IF('Main table (road wear)'!AJ17="","",'Main table (road wear)'!AJ17)</f>
        <v>651989554.22057545</v>
      </c>
      <c r="AL17" s="536"/>
    </row>
    <row r="18" spans="1:38" ht="22.5" x14ac:dyDescent="0.25">
      <c r="A18" s="536" t="str">
        <f>IF('Main table (road wear)'!A18="","",'Main table (road wear)'!A18)</f>
        <v/>
      </c>
      <c r="B18" s="540" t="str">
        <f>IF('Main table (road wear)'!B18="","",'Main table (road wear)'!B18)</f>
        <v>Goods</v>
      </c>
      <c r="C18" s="575" t="str">
        <f>IF('Main table (road wear)'!C18="","",'Main table (road wear)'!C18)</f>
        <v>Heavy
Goods</v>
      </c>
      <c r="D18" s="570" t="str">
        <f>IF('Main table (road wear)'!D18="","",'Main table (road wear)'!D18)</f>
        <v>20t - 24t</v>
      </c>
      <c r="E18" s="566">
        <f>IF('Main table (road wear)'!E18="","",'Main table (road wear)'!E18)</f>
        <v>677.80079999999998</v>
      </c>
      <c r="F18" s="542" t="str">
        <f>IF('Main table (road wear)'!F18="","",'Main table (road wear)'!F18)</f>
        <v>Three axle rigid</v>
      </c>
      <c r="G18" s="566">
        <f>IF('Main table (road wear)'!G18="","",'Main table (road wear)'!G18)</f>
        <v>19000</v>
      </c>
      <c r="H18" s="566">
        <f>IF('Main table (road wear)'!H18="","",'Main table (road wear)'!H18)</f>
        <v>24000</v>
      </c>
      <c r="I18" s="580">
        <f>IF('Main table (road wear)'!I18="","",'Main table (road wear)'!I18)</f>
        <v>21500</v>
      </c>
      <c r="J18" s="581">
        <f>IF('Main table (road wear)'!J18="","",'Main table (road wear)'!J18)</f>
        <v>3</v>
      </c>
      <c r="K18" s="582">
        <f>IF('Main table (road wear)'!K18="","",'Main table (road wear)'!K18)</f>
        <v>70.305000000000007</v>
      </c>
      <c r="L18" s="566">
        <f>IF('Main table (road wear)'!L18="","",'Main table (road wear)'!L18)</f>
        <v>30419.716055913941</v>
      </c>
      <c r="M18" s="563">
        <f>IF('Main table (road wear)'!M18="","",'Main table (road wear)'!M18)</f>
        <v>0.59646491425753567</v>
      </c>
      <c r="N18" s="563">
        <f>IF('Main table (road wear)'!O18="","",'Main table (road wear)'!O18)</f>
        <v>1.7893947427726071</v>
      </c>
      <c r="O18" s="564">
        <f>IF('Main table (road wear)'!N18="","",'Main table (road wear)'!N18)</f>
        <v>36894649.601552151</v>
      </c>
      <c r="P18" s="583">
        <f>IF('Main table (road wear)'!P18="","",'Main table (road wear)'!P18)</f>
        <v>23529.77</v>
      </c>
      <c r="Q18" s="581">
        <f>IF('Main table (road wear)'!Q18="","",'Main table (road wear)'!Q18)</f>
        <v>3</v>
      </c>
      <c r="R18" s="582">
        <f>IF('Main table (road wear)'!R18="","",'Main table (road wear)'!R18)</f>
        <v>76.942347900000001</v>
      </c>
      <c r="S18" s="566">
        <f>IF('Main table (road wear)'!S18="","",'Main table (road wear)'!S18)</f>
        <v>30419.716055913941</v>
      </c>
      <c r="T18" s="563">
        <f>IF('Main table (road wear)'!T18="","",'Main table (road wear)'!T18)</f>
        <v>0.85566110439251408</v>
      </c>
      <c r="U18" s="568">
        <f>IF('Main table (road wear)'!V18="","",'Main table (road wear)'!V18)</f>
        <v>2.5669833131775421</v>
      </c>
      <c r="V18" s="564">
        <f>IF('Main table (road wear)'!U18="","",'Main table (road wear)'!U18)</f>
        <v>52927365.666655548</v>
      </c>
      <c r="W18" s="583">
        <f>IF('Main table (road wear)'!W18="","",'Main table (road wear)'!W18)</f>
        <v>21801</v>
      </c>
      <c r="X18" s="581">
        <f>IF('Main table (road wear)'!X18="","",'Main table (road wear)'!X18)</f>
        <v>3</v>
      </c>
      <c r="Y18" s="582">
        <f>IF('Main table (road wear)'!Y18="","",'Main table (road wear)'!Y18)</f>
        <v>71.289270000000002</v>
      </c>
      <c r="Z18" s="566">
        <f>IF('Main table (road wear)'!Z18="","",'Main table (road wear)'!Z18)</f>
        <v>30419.716055913941</v>
      </c>
      <c r="AA18" s="563">
        <f>IF('Main table (road wear)'!AA18="","",'Main table (road wear)'!AA18)</f>
        <v>0.63057496190781936</v>
      </c>
      <c r="AB18" s="568">
        <f>IF('Main table (road wear)'!AC18="","",'Main table (road wear)'!AC18)</f>
        <v>1.8917248857234581</v>
      </c>
      <c r="AC18" s="564">
        <f>IF('Main table (road wear)'!AB18="","",'Main table (road wear)'!AB18)</f>
        <v>39004544.460189372</v>
      </c>
      <c r="AD18" s="569" t="str">
        <f>IF('Main table (road wear)'!AD18="","",'Main table (road wear)'!AD18)</f>
        <v>FCEV</v>
      </c>
      <c r="AE18" s="581">
        <f>IF('Main table (road wear)'!AE18="","",'Main table (road wear)'!AE18)</f>
        <v>21801</v>
      </c>
      <c r="AF18" s="581">
        <f>IF('Main table (road wear)'!AF18="","",'Main table (road wear)'!AF18)</f>
        <v>3</v>
      </c>
      <c r="AG18" s="582">
        <f>IF('Main table (road wear)'!AG18="","",'Main table (road wear)'!AG18)</f>
        <v>71.289270000000002</v>
      </c>
      <c r="AH18" s="566">
        <f>IF('Main table (road wear)'!AH18="","",'Main table (road wear)'!AH18)</f>
        <v>30419.716055913941</v>
      </c>
      <c r="AI18" s="563">
        <f>IF('Main table (road wear)'!AI18="","",'Main table (road wear)'!AI18)</f>
        <v>0.63057496190781936</v>
      </c>
      <c r="AJ18" s="568">
        <f>IF('Main table (road wear)'!AK18="","",'Main table (road wear)'!AK18)</f>
        <v>1.8917248857234581</v>
      </c>
      <c r="AK18" s="564">
        <f>IF('Main table (road wear)'!AJ18="","",'Main table (road wear)'!AJ18)</f>
        <v>39004544.460189372</v>
      </c>
      <c r="AL18" s="536"/>
    </row>
    <row r="19" spans="1:38" ht="22.5" x14ac:dyDescent="0.25">
      <c r="A19" s="536" t="str">
        <f>IF('Main table (road wear)'!A19="","",'Main table (road wear)'!A19)</f>
        <v/>
      </c>
      <c r="B19" s="540" t="str">
        <f>IF('Main table (road wear)'!B19="","",'Main table (road wear)'!B19)</f>
        <v>Goods**</v>
      </c>
      <c r="C19" s="575" t="str">
        <f>IF('Main table (road wear)'!C19="","",'Main table (road wear)'!C19)</f>
        <v>Heavy
Goods</v>
      </c>
      <c r="D19" s="570" t="str">
        <f>IF('Main table (road wear)'!D19="","",'Main table (road wear)'!D19)</f>
        <v>24t - 28t</v>
      </c>
      <c r="E19" s="566">
        <f>IF('Main table (road wear)'!E19="","",'Main table (road wear)'!E19)</f>
        <v>5367.1509000000005</v>
      </c>
      <c r="F19" s="542" t="str">
        <f>IF('Main table (road wear)'!F19="","",'Main table (road wear)'!F19)</f>
        <v>Three axle rigid</v>
      </c>
      <c r="G19" s="566">
        <f>IF('Main table (road wear)'!G19="","",'Main table (road wear)'!G19)</f>
        <v>24000</v>
      </c>
      <c r="H19" s="584">
        <f>IF('Main table (road wear)'!H19="","",'Main table (road wear)'!H19)</f>
        <v>27000</v>
      </c>
      <c r="I19" s="580">
        <f>IF('Main table (road wear)'!I19="","",'Main table (road wear)'!I19)</f>
        <v>25500</v>
      </c>
      <c r="J19" s="581">
        <f>IF('Main table (road wear)'!J19="","",'Main table (road wear)'!J19)</f>
        <v>3</v>
      </c>
      <c r="K19" s="582">
        <f>IF('Main table (road wear)'!K19="","",'Main table (road wear)'!K19)</f>
        <v>83.385000000000005</v>
      </c>
      <c r="L19" s="566">
        <f>IF('Main table (road wear)'!L19="","",'Main table (road wear)'!L19)</f>
        <v>30419.716055913941</v>
      </c>
      <c r="M19" s="563">
        <f>IF('Main table (road wear)'!M19="","",'Main table (road wear)'!M19)</f>
        <v>1.1802983076230504</v>
      </c>
      <c r="N19" s="563">
        <f>IF('Main table (road wear)'!O19="","",'Main table (road wear)'!O19)</f>
        <v>3.5408949228691515</v>
      </c>
      <c r="O19" s="564">
        <f>IF('Main table (road wear)'!N19="","",'Main table (road wear)'!N19)</f>
        <v>578112022.23843646</v>
      </c>
      <c r="P19" s="583">
        <f>IF('Main table (road wear)'!P19="","",'Main table (road wear)'!P19)</f>
        <v>27000</v>
      </c>
      <c r="Q19" s="581">
        <f>IF('Main table (road wear)'!Q19="","",'Main table (road wear)'!Q19)</f>
        <v>3</v>
      </c>
      <c r="R19" s="582">
        <f>IF('Main table (road wear)'!R19="","",'Main table (road wear)'!R19)</f>
        <v>88.29</v>
      </c>
      <c r="S19" s="566">
        <f>IF('Main table (road wear)'!S19="","",'Main table (road wear)'!S19)</f>
        <v>31351.877554920666</v>
      </c>
      <c r="T19" s="563">
        <f>IF('Main table (road wear)'!T19="","",'Main table (road wear)'!T19)</f>
        <v>1.4834951107031451</v>
      </c>
      <c r="U19" s="568">
        <f>IF('Main table (road wear)'!V19="","",'Main table (road wear)'!V19)</f>
        <v>4.4504853321094355</v>
      </c>
      <c r="V19" s="564">
        <f>IF('Main table (road wear)'!U19="","",'Main table (road wear)'!U19)</f>
        <v>748884314.3275317</v>
      </c>
      <c r="W19" s="583">
        <f>IF('Main table (road wear)'!W19="","",'Main table (road wear)'!W19)</f>
        <v>25857</v>
      </c>
      <c r="X19" s="581">
        <f>IF('Main table (road wear)'!X19="","",'Main table (road wear)'!X19)</f>
        <v>3</v>
      </c>
      <c r="Y19" s="582">
        <f>IF('Main table (road wear)'!Y19="","",'Main table (road wear)'!Y19)</f>
        <v>84.552390000000003</v>
      </c>
      <c r="Z19" s="566">
        <f>IF('Main table (road wear)'!Z19="","",'Main table (road wear)'!Z19)</f>
        <v>30419.716055913941</v>
      </c>
      <c r="AA19" s="563">
        <f>IF('Main table (road wear)'!AA19="","",'Main table (road wear)'!AA19)</f>
        <v>1.2477960439562705</v>
      </c>
      <c r="AB19" s="568">
        <f>IF('Main table (road wear)'!AC19="","",'Main table (road wear)'!AC19)</f>
        <v>3.7433881318688114</v>
      </c>
      <c r="AC19" s="564">
        <f>IF('Main table (road wear)'!AB19="","",'Main table (road wear)'!AB19)</f>
        <v>611172522.7882489</v>
      </c>
      <c r="AD19" s="569" t="str">
        <f>IF('Main table (road wear)'!AD19="","",'Main table (road wear)'!AD19)</f>
        <v>FCEV</v>
      </c>
      <c r="AE19" s="581">
        <f>IF('Main table (road wear)'!AE19="","",'Main table (road wear)'!AE19)</f>
        <v>25857</v>
      </c>
      <c r="AF19" s="581">
        <f>IF('Main table (road wear)'!AF19="","",'Main table (road wear)'!AF19)</f>
        <v>3</v>
      </c>
      <c r="AG19" s="582">
        <f>IF('Main table (road wear)'!AG19="","",'Main table (road wear)'!AG19)</f>
        <v>84.552390000000003</v>
      </c>
      <c r="AH19" s="566">
        <f>IF('Main table (road wear)'!AH19="","",'Main table (road wear)'!AH19)</f>
        <v>30419.716055913941</v>
      </c>
      <c r="AI19" s="563">
        <f>IF('Main table (road wear)'!AI19="","",'Main table (road wear)'!AI19)</f>
        <v>1.2477960439562705</v>
      </c>
      <c r="AJ19" s="568">
        <f>IF('Main table (road wear)'!AK19="","",'Main table (road wear)'!AK19)</f>
        <v>3.7433881318688114</v>
      </c>
      <c r="AK19" s="564">
        <f>IF('Main table (road wear)'!AJ19="","",'Main table (road wear)'!AJ19)</f>
        <v>611172522.7882489</v>
      </c>
      <c r="AL19" s="536"/>
    </row>
    <row r="20" spans="1:38" ht="22.5" x14ac:dyDescent="0.25">
      <c r="A20" s="536" t="str">
        <f>IF('Main table (road wear)'!A20="","",'Main table (road wear)'!A20)</f>
        <v/>
      </c>
      <c r="B20" s="540" t="str">
        <f>IF('Main table (road wear)'!B20="","",'Main table (road wear)'!B20)</f>
        <v>Goods**</v>
      </c>
      <c r="C20" s="575" t="str">
        <f>IF('Main table (road wear)'!C20="","",'Main table (road wear)'!C20)</f>
        <v>Heavy
Goods</v>
      </c>
      <c r="D20" s="570" t="str">
        <f>IF('Main table (road wear)'!D20="","",'Main table (road wear)'!D20)</f>
        <v>28t - 32t</v>
      </c>
      <c r="E20" s="566">
        <f>IF('Main table (road wear)'!E20="","",'Main table (road wear)'!E20)</f>
        <v>4446.2259000000004</v>
      </c>
      <c r="F20" s="542" t="str">
        <f>IF('Main table (road wear)'!F20="","",'Main table (road wear)'!F20)</f>
        <v>Four axle rigid</v>
      </c>
      <c r="G20" s="566">
        <f>IF('Main table (road wear)'!G20="","",'Main table (road wear)'!G20)</f>
        <v>27000</v>
      </c>
      <c r="H20" s="566">
        <f>IF('Main table (road wear)'!H20="","",'Main table (road wear)'!H20)</f>
        <v>32000</v>
      </c>
      <c r="I20" s="580">
        <f>IF('Main table (road wear)'!I20="","",'Main table (road wear)'!I20)</f>
        <v>29500</v>
      </c>
      <c r="J20" s="581">
        <f>IF('Main table (road wear)'!J20="","",'Main table (road wear)'!J20)</f>
        <v>4</v>
      </c>
      <c r="K20" s="582">
        <f>IF('Main table (road wear)'!K20="","",'Main table (road wear)'!K20)</f>
        <v>72.348749999999995</v>
      </c>
      <c r="L20" s="566">
        <f>IF('Main table (road wear)'!L20="","",'Main table (road wear)'!L20)</f>
        <v>45692.513219871638</v>
      </c>
      <c r="M20" s="563">
        <f>IF('Main table (road wear)'!M20="","",'Main table (road wear)'!M20)</f>
        <v>0.66890459627844123</v>
      </c>
      <c r="N20" s="563">
        <f>IF('Main table (road wear)'!O20="","",'Main table (road wear)'!O20)</f>
        <v>2.6756183851137649</v>
      </c>
      <c r="O20" s="564">
        <f>IF('Main table (road wear)'!N20="","",'Main table (road wear)'!N20)</f>
        <v>543576586.18280387</v>
      </c>
      <c r="P20" s="583">
        <f>IF('Main table (road wear)'!P20="","",'Main table (road wear)'!P20)</f>
        <v>32000</v>
      </c>
      <c r="Q20" s="581">
        <f>IF('Main table (road wear)'!Q20="","",'Main table (road wear)'!Q20)</f>
        <v>4</v>
      </c>
      <c r="R20" s="582">
        <f>IF('Main table (road wear)'!R20="","",'Main table (road wear)'!R20)</f>
        <v>78.48</v>
      </c>
      <c r="S20" s="566">
        <f>IF('Main table (road wear)'!S20="","",'Main table (road wear)'!S20)</f>
        <v>45870.956762905618</v>
      </c>
      <c r="T20" s="563">
        <f>IF('Main table (road wear)'!T20="","",'Main table (road wear)'!T20)</f>
        <v>0.92613869432100027</v>
      </c>
      <c r="U20" s="568">
        <f>IF('Main table (road wear)'!V20="","",'Main table (road wear)'!V20)</f>
        <v>3.7045547772840011</v>
      </c>
      <c r="V20" s="564">
        <f>IF('Main table (road wear)'!U20="","",'Main table (road wear)'!U20)</f>
        <v>755553712.09648359</v>
      </c>
      <c r="W20" s="583">
        <f>IF('Main table (road wear)'!W20="","",'Main table (road wear)'!W20)</f>
        <v>29913</v>
      </c>
      <c r="X20" s="581">
        <f>IF('Main table (road wear)'!X20="","",'Main table (road wear)'!X20)</f>
        <v>4</v>
      </c>
      <c r="Y20" s="582">
        <f>IF('Main table (road wear)'!Y20="","",'Main table (road wear)'!Y20)</f>
        <v>73.361632500000013</v>
      </c>
      <c r="Z20" s="566">
        <f>IF('Main table (road wear)'!Z20="","",'Main table (road wear)'!Z20)</f>
        <v>45692.513219871638</v>
      </c>
      <c r="AA20" s="563">
        <f>IF('Main table (road wear)'!AA20="","",'Main table (road wear)'!AA20)</f>
        <v>0.70715725306874566</v>
      </c>
      <c r="AB20" s="568">
        <f>IF('Main table (road wear)'!AC20="","",'Main table (road wear)'!AC20)</f>
        <v>2.8286290122749826</v>
      </c>
      <c r="AC20" s="564">
        <f>IF('Main table (road wear)'!AB20="","",'Main table (road wear)'!AB20)</f>
        <v>574662108.25304031</v>
      </c>
      <c r="AD20" s="569" t="str">
        <f>IF('Main table (road wear)'!AD20="","",'Main table (road wear)'!AD20)</f>
        <v>FCEV</v>
      </c>
      <c r="AE20" s="581">
        <f>IF('Main table (road wear)'!AE20="","",'Main table (road wear)'!AE20)</f>
        <v>29913</v>
      </c>
      <c r="AF20" s="581">
        <f>IF('Main table (road wear)'!AF20="","",'Main table (road wear)'!AF20)</f>
        <v>4</v>
      </c>
      <c r="AG20" s="582">
        <f>IF('Main table (road wear)'!AG20="","",'Main table (road wear)'!AG20)</f>
        <v>73.361632500000013</v>
      </c>
      <c r="AH20" s="566">
        <f>IF('Main table (road wear)'!AH20="","",'Main table (road wear)'!AH20)</f>
        <v>45692.513219871638</v>
      </c>
      <c r="AI20" s="563">
        <f>IF('Main table (road wear)'!AI20="","",'Main table (road wear)'!AI20)</f>
        <v>0.70715725306874566</v>
      </c>
      <c r="AJ20" s="568">
        <f>IF('Main table (road wear)'!AK20="","",'Main table (road wear)'!AK20)</f>
        <v>2.8286290122749826</v>
      </c>
      <c r="AK20" s="564">
        <f>IF('Main table (road wear)'!AJ20="","",'Main table (road wear)'!AJ20)</f>
        <v>574662108.25304031</v>
      </c>
      <c r="AL20" s="536"/>
    </row>
    <row r="21" spans="1:38" ht="22.5" x14ac:dyDescent="0.25">
      <c r="A21" s="536" t="str">
        <f>IF('Main table (road wear)'!A21="","",'Main table (road wear)'!A21)</f>
        <v/>
      </c>
      <c r="B21" s="540" t="str">
        <f>IF('Main table (road wear)'!B21="","",'Main table (road wear)'!B21)</f>
        <v>Goods**</v>
      </c>
      <c r="C21" s="575" t="str">
        <f>IF('Main table (road wear)'!C21="","",'Main table (road wear)'!C21)</f>
        <v>Heavy
Goods</v>
      </c>
      <c r="D21" s="570" t="str">
        <f>IF('Main table (road wear)'!D21="","",'Main table (road wear)'!D21)</f>
        <v>32t - 38t</v>
      </c>
      <c r="E21" s="566">
        <f>IF('Main table (road wear)'!E21="","",'Main table (road wear)'!E21)</f>
        <v>637.28010000000017</v>
      </c>
      <c r="F21" s="542" t="str">
        <f>IF('Main table (road wear)'!F21="","",'Main table (road wear)'!F21)</f>
        <v>Four axle articulated</v>
      </c>
      <c r="G21" s="566">
        <f>IF('Main table (road wear)'!G21="","",'Main table (road wear)'!G21)</f>
        <v>32000</v>
      </c>
      <c r="H21" s="566">
        <f>IF('Main table (road wear)'!H21="","",'Main table (road wear)'!H21)</f>
        <v>38000</v>
      </c>
      <c r="I21" s="580">
        <f>IF('Main table (road wear)'!I21="","",'Main table (road wear)'!I21)</f>
        <v>35000</v>
      </c>
      <c r="J21" s="581">
        <f>IF('Main table (road wear)'!J21="","",'Main table (road wear)'!J21)</f>
        <v>4</v>
      </c>
      <c r="K21" s="582">
        <f>IF('Main table (road wear)'!K21="","",'Main table (road wear)'!K21)</f>
        <v>85.837500000000006</v>
      </c>
      <c r="L21" s="566">
        <f>IF('Main table (road wear)'!L21="","",'Main table (road wear)'!L21)</f>
        <v>173886.06449727292</v>
      </c>
      <c r="M21" s="563">
        <f>IF('Main table (road wear)'!M21="","",'Main table (road wear)'!M21)</f>
        <v>1.3254040509848124</v>
      </c>
      <c r="N21" s="563">
        <f>IF('Main table (road wear)'!O21="","",'Main table (road wear)'!O21)</f>
        <v>5.3016162039392496</v>
      </c>
      <c r="O21" s="564">
        <f>IF('Main table (road wear)'!N21="","",'Main table (road wear)'!N21)</f>
        <v>587493979.65969312</v>
      </c>
      <c r="P21" s="583">
        <f>IF('Main table (road wear)'!P21="","",'Main table (road wear)'!P21)</f>
        <v>38000</v>
      </c>
      <c r="Q21" s="581">
        <f>IF('Main table (road wear)'!Q21="","",'Main table (road wear)'!Q21)</f>
        <v>4</v>
      </c>
      <c r="R21" s="582">
        <f>IF('Main table (road wear)'!R21="","",'Main table (road wear)'!R21)</f>
        <v>93.194999999999993</v>
      </c>
      <c r="S21" s="566">
        <f>IF('Main table (road wear)'!S21="","",'Main table (road wear)'!S21)</f>
        <v>174042.42467684849</v>
      </c>
      <c r="T21" s="563">
        <f>IF('Main table (road wear)'!T21="","",'Main table (road wear)'!T21)</f>
        <v>1.8416644406525728</v>
      </c>
      <c r="U21" s="568">
        <f>IF('Main table (road wear)'!V21="","",'Main table (road wear)'!V21)</f>
        <v>7.3666577626102914</v>
      </c>
      <c r="V21" s="564">
        <f>IF('Main table (road wear)'!U21="","",'Main table (road wear)'!U21)</f>
        <v>817063812.76114833</v>
      </c>
      <c r="W21" s="583">
        <f>IF('Main table (road wear)'!W21="","",'Main table (road wear)'!W21)</f>
        <v>35490</v>
      </c>
      <c r="X21" s="581">
        <f>IF('Main table (road wear)'!X21="","",'Main table (road wear)'!X21)</f>
        <v>4</v>
      </c>
      <c r="Y21" s="582">
        <f>IF('Main table (road wear)'!Y21="","",'Main table (road wear)'!Y21)</f>
        <v>87.039225000000002</v>
      </c>
      <c r="Z21" s="566">
        <f>IF('Main table (road wear)'!Z21="","",'Main table (road wear)'!Z21)</f>
        <v>173886.06449727292</v>
      </c>
      <c r="AA21" s="563">
        <f>IF('Main table (road wear)'!AA21="","",'Main table (road wear)'!AA21)</f>
        <v>1.4011999515555063</v>
      </c>
      <c r="AB21" s="568">
        <f>IF('Main table (road wear)'!AC21="","",'Main table (road wear)'!AC21)</f>
        <v>5.604799806222025</v>
      </c>
      <c r="AC21" s="564">
        <f>IF('Main table (road wear)'!AB21="","",'Main table (road wear)'!AB21)</f>
        <v>621091006.34380543</v>
      </c>
      <c r="AD21" s="569" t="str">
        <f>IF('Main table (road wear)'!AD21="","",'Main table (road wear)'!AD21)</f>
        <v>FCEV</v>
      </c>
      <c r="AE21" s="581">
        <f>IF('Main table (road wear)'!AE21="","",'Main table (road wear)'!AE21)</f>
        <v>35490</v>
      </c>
      <c r="AF21" s="581">
        <f>IF('Main table (road wear)'!AF21="","",'Main table (road wear)'!AF21)</f>
        <v>4</v>
      </c>
      <c r="AG21" s="582">
        <f>IF('Main table (road wear)'!AG21="","",'Main table (road wear)'!AG21)</f>
        <v>87.039225000000002</v>
      </c>
      <c r="AH21" s="566">
        <f>IF('Main table (road wear)'!AH21="","",'Main table (road wear)'!AH21)</f>
        <v>173886.06449727292</v>
      </c>
      <c r="AI21" s="563">
        <f>IF('Main table (road wear)'!AI21="","",'Main table (road wear)'!AI21)</f>
        <v>1.4011999515555063</v>
      </c>
      <c r="AJ21" s="568">
        <f>IF('Main table (road wear)'!AK21="","",'Main table (road wear)'!AK21)</f>
        <v>5.604799806222025</v>
      </c>
      <c r="AK21" s="564">
        <f>IF('Main table (road wear)'!AJ21="","",'Main table (road wear)'!AJ21)</f>
        <v>621091006.34380543</v>
      </c>
      <c r="AL21" s="536"/>
    </row>
    <row r="22" spans="1:38" ht="22.5" x14ac:dyDescent="0.25">
      <c r="A22" s="536" t="str">
        <f>IF('Main table (road wear)'!A22="","",'Main table (road wear)'!A22)</f>
        <v/>
      </c>
      <c r="B22" s="540" t="str">
        <f>IF('Main table (road wear)'!B22="","",'Main table (road wear)'!B22)</f>
        <v>Goods**</v>
      </c>
      <c r="C22" s="575" t="str">
        <f>IF('Main table (road wear)'!C22="","",'Main table (road wear)'!C22)</f>
        <v>Heavy
Goods</v>
      </c>
      <c r="D22" s="570" t="str">
        <f>IF('Main table (road wear)'!D22="","",'Main table (road wear)'!D22)</f>
        <v>38t - 40t</v>
      </c>
      <c r="E22" s="566">
        <f>IF('Main table (road wear)'!E22="","",'Main table (road wear)'!E22)</f>
        <v>3957.6751875000004</v>
      </c>
      <c r="F22" s="542" t="str">
        <f>IF('Main table (road wear)'!F22="","",'Main table (road wear)'!F22)</f>
        <v>Five axle articulated</v>
      </c>
      <c r="G22" s="566">
        <f>IF('Main table (road wear)'!G22="","",'Main table (road wear)'!G22)</f>
        <v>38000</v>
      </c>
      <c r="H22" s="566">
        <f>IF('Main table (road wear)'!H22="","",'Main table (road wear)'!H22)</f>
        <v>40000</v>
      </c>
      <c r="I22" s="580">
        <f>IF('Main table (road wear)'!I22="","",'Main table (road wear)'!I22)</f>
        <v>39000</v>
      </c>
      <c r="J22" s="581">
        <f>IF('Main table (road wear)'!J22="","",'Main table (road wear)'!J22)</f>
        <v>5</v>
      </c>
      <c r="K22" s="582">
        <f>IF('Main table (road wear)'!K22="","",'Main table (road wear)'!K22)</f>
        <v>76.518000000000001</v>
      </c>
      <c r="L22" s="566">
        <f>IF('Main table (road wear)'!L22="","",'Main table (road wear)'!L22)</f>
        <v>125999.11689226481</v>
      </c>
      <c r="M22" s="563">
        <f>IF('Main table (road wear)'!M22="","",'Main table (road wear)'!M22)</f>
        <v>0.83694032309713595</v>
      </c>
      <c r="N22" s="563">
        <f>IF('Main table (road wear)'!O22="","",'Main table (road wear)'!O22)</f>
        <v>4.1847016154856798</v>
      </c>
      <c r="O22" s="564">
        <f>IF('Main table (road wear)'!N22="","",'Main table (road wear)'!N22)</f>
        <v>2086758282.8317273</v>
      </c>
      <c r="P22" s="583">
        <f>IF('Main table (road wear)'!P22="","",'Main table (road wear)'!P22)</f>
        <v>40000</v>
      </c>
      <c r="Q22" s="581">
        <f>IF('Main table (road wear)'!Q22="","",'Main table (road wear)'!Q22)</f>
        <v>5</v>
      </c>
      <c r="R22" s="582">
        <f>IF('Main table (road wear)'!R22="","",'Main table (road wear)'!R22)</f>
        <v>78.48</v>
      </c>
      <c r="S22" s="566">
        <f>IF('Main table (road wear)'!S22="","",'Main table (road wear)'!S22)</f>
        <v>133344.1409121617</v>
      </c>
      <c r="T22" s="563">
        <f>IF('Main table (road wear)'!T22="","",'Main table (road wear)'!T22)</f>
        <v>0.92613869432100027</v>
      </c>
      <c r="U22" s="568">
        <f>IF('Main table (road wear)'!V22="","",'Main table (road wear)'!V22)</f>
        <v>4.6306934716050012</v>
      </c>
      <c r="V22" s="564">
        <f>IF('Main table (road wear)'!U22="","",'Main table (road wear)'!U22)</f>
        <v>2443768821.9251628</v>
      </c>
      <c r="W22" s="583">
        <f>IF('Main table (road wear)'!W22="","",'Main table (road wear)'!W22)</f>
        <v>39546</v>
      </c>
      <c r="X22" s="581">
        <f>IF('Main table (road wear)'!X22="","",'Main table (road wear)'!X22)</f>
        <v>5</v>
      </c>
      <c r="Y22" s="582">
        <f>IF('Main table (road wear)'!Y22="","",'Main table (road wear)'!Y22)</f>
        <v>77.589252000000002</v>
      </c>
      <c r="Z22" s="566">
        <f>IF('Main table (road wear)'!Z22="","",'Main table (road wear)'!Z22)</f>
        <v>125999.11689226481</v>
      </c>
      <c r="AA22" s="563">
        <f>IF('Main table (road wear)'!AA22="","",'Main table (road wear)'!AA22)</f>
        <v>0.88480244141942388</v>
      </c>
      <c r="AB22" s="568">
        <f>IF('Main table (road wear)'!AC22="","",'Main table (road wear)'!AC22)</f>
        <v>4.4240122070971193</v>
      </c>
      <c r="AC22" s="564">
        <f>IF('Main table (road wear)'!AB22="","",'Main table (road wear)'!AB22)</f>
        <v>2206093758.8347335</v>
      </c>
      <c r="AD22" s="569" t="str">
        <f>IF('Main table (road wear)'!AD22="","",'Main table (road wear)'!AD22)</f>
        <v>FCEV</v>
      </c>
      <c r="AE22" s="581">
        <f>IF('Main table (road wear)'!AE22="","",'Main table (road wear)'!AE22)</f>
        <v>39546</v>
      </c>
      <c r="AF22" s="581">
        <f>IF('Main table (road wear)'!AF22="","",'Main table (road wear)'!AF22)</f>
        <v>5</v>
      </c>
      <c r="AG22" s="582">
        <f>IF('Main table (road wear)'!AG22="","",'Main table (road wear)'!AG22)</f>
        <v>77.589252000000002</v>
      </c>
      <c r="AH22" s="566">
        <f>IF('Main table (road wear)'!AH22="","",'Main table (road wear)'!AH22)</f>
        <v>125999.11689226481</v>
      </c>
      <c r="AI22" s="563">
        <f>IF('Main table (road wear)'!AI22="","",'Main table (road wear)'!AI22)</f>
        <v>0.88480244141942388</v>
      </c>
      <c r="AJ22" s="568">
        <f>IF('Main table (road wear)'!AK22="","",'Main table (road wear)'!AK22)</f>
        <v>4.4240122070971193</v>
      </c>
      <c r="AK22" s="564">
        <f>IF('Main table (road wear)'!AJ22="","",'Main table (road wear)'!AJ22)</f>
        <v>2206093758.8347335</v>
      </c>
      <c r="AL22" s="536"/>
    </row>
    <row r="23" spans="1:38" ht="22.5" x14ac:dyDescent="0.25">
      <c r="A23" s="536" t="str">
        <f>IF('Main table (road wear)'!A23="","",'Main table (road wear)'!A23)</f>
        <v/>
      </c>
      <c r="B23" s="540" t="str">
        <f>IF('Main table (road wear)'!B23="","",'Main table (road wear)'!B23)</f>
        <v>Goods**</v>
      </c>
      <c r="C23" s="575" t="str">
        <f>IF('Main table (road wear)'!C23="","",'Main table (road wear)'!C23)</f>
        <v>Heavy
Goods</v>
      </c>
      <c r="D23" s="570" t="str">
        <f>IF('Main table (road wear)'!D23="","",'Main table (road wear)'!D23)</f>
        <v>40t - 44t</v>
      </c>
      <c r="E23" s="566">
        <f>IF('Main table (road wear)'!E23="","",'Main table (road wear)'!E23)</f>
        <v>6596.1253124999994</v>
      </c>
      <c r="F23" s="542" t="str">
        <f>IF('Main table (road wear)'!F23="","",'Main table (road wear)'!F23)</f>
        <v>Six axle articulated</v>
      </c>
      <c r="G23" s="566">
        <f>IF('Main table (road wear)'!G23="","",'Main table (road wear)'!G23)</f>
        <v>40000</v>
      </c>
      <c r="H23" s="566">
        <f>IF('Main table (road wear)'!H23="","",'Main table (road wear)'!H23)</f>
        <v>44000</v>
      </c>
      <c r="I23" s="580">
        <f>IF('Main table (road wear)'!I23="","",'Main table (road wear)'!I23)</f>
        <v>42000</v>
      </c>
      <c r="J23" s="581">
        <f>IF('Main table (road wear)'!J23="","",'Main table (road wear)'!J23)</f>
        <v>6</v>
      </c>
      <c r="K23" s="582">
        <f>IF('Main table (road wear)'!K23="","",'Main table (road wear)'!K23)</f>
        <v>68.67</v>
      </c>
      <c r="L23" s="566">
        <f>IF('Main table (road wear)'!L23="","",'Main table (road wear)'!L23)</f>
        <v>125999.11689226482</v>
      </c>
      <c r="M23" s="563">
        <f>IF('Main table (road wear)'!M23="","",'Main table (road wear)'!M23)</f>
        <v>0.54288549928337926</v>
      </c>
      <c r="N23" s="563">
        <f>IF('Main table (road wear)'!O23="","",'Main table (road wear)'!O23)</f>
        <v>3.2573129957002758</v>
      </c>
      <c r="O23" s="564">
        <f>IF('Main table (road wear)'!N23="","",'Main table (road wear)'!N23)</f>
        <v>2707172258.2718658</v>
      </c>
      <c r="P23" s="583">
        <f>IF('Main table (road wear)'!P23="","",'Main table (road wear)'!P23)</f>
        <v>44000</v>
      </c>
      <c r="Q23" s="581">
        <f>IF('Main table (road wear)'!Q23="","",'Main table (road wear)'!Q23)</f>
        <v>6</v>
      </c>
      <c r="R23" s="582">
        <f>IF('Main table (road wear)'!R23="","",'Main table (road wear)'!R23)</f>
        <v>71.94</v>
      </c>
      <c r="S23" s="566">
        <f>IF('Main table (road wear)'!S23="","",'Main table (road wear)'!S23)</f>
        <v>130451.95431940038</v>
      </c>
      <c r="T23" s="563">
        <f>IF('Main table (road wear)'!T23="","",'Main table (road wear)'!T23)</f>
        <v>0.6539157322315664</v>
      </c>
      <c r="U23" s="568">
        <f>IF('Main table (road wear)'!V23="","",'Main table (road wear)'!V23)</f>
        <v>3.9234943933893982</v>
      </c>
      <c r="V23" s="564">
        <f>IF('Main table (road wear)'!U23="","",'Main table (road wear)'!U23)</f>
        <v>3376078403.4399619</v>
      </c>
      <c r="W23" s="583">
        <f>IF('Main table (road wear)'!W23="","",'Main table (road wear)'!W23)</f>
        <v>42588</v>
      </c>
      <c r="X23" s="581">
        <f>IF('Main table (road wear)'!X23="","",'Main table (road wear)'!X23)</f>
        <v>6</v>
      </c>
      <c r="Y23" s="582">
        <f>IF('Main table (road wear)'!Y23="","",'Main table (road wear)'!Y23)</f>
        <v>69.631380000000007</v>
      </c>
      <c r="Z23" s="566">
        <f>IF('Main table (road wear)'!Z23="","",'Main table (road wear)'!Z23)</f>
        <v>125999.11689226482</v>
      </c>
      <c r="AA23" s="563">
        <f>IF('Main table (road wear)'!AA23="","",'Main table (road wear)'!AA23)</f>
        <v>0.57393150015713534</v>
      </c>
      <c r="AB23" s="568">
        <f>IF('Main table (road wear)'!AC23="","",'Main table (road wear)'!AC23)</f>
        <v>3.4435890009428123</v>
      </c>
      <c r="AC23" s="564">
        <f>IF('Main table (road wear)'!AB23="","",'Main table (road wear)'!AB23)</f>
        <v>2861987357.232255</v>
      </c>
      <c r="AD23" s="569" t="str">
        <f>IF('Main table (road wear)'!AD23="","",'Main table (road wear)'!AD23)</f>
        <v>FCEV</v>
      </c>
      <c r="AE23" s="581">
        <f>IF('Main table (road wear)'!AE23="","",'Main table (road wear)'!AE23)</f>
        <v>42588</v>
      </c>
      <c r="AF23" s="581">
        <f>IF('Main table (road wear)'!AF23="","",'Main table (road wear)'!AF23)</f>
        <v>6</v>
      </c>
      <c r="AG23" s="582">
        <f>IF('Main table (road wear)'!AG23="","",'Main table (road wear)'!AG23)</f>
        <v>69.631380000000007</v>
      </c>
      <c r="AH23" s="566">
        <f>IF('Main table (road wear)'!AH23="","",'Main table (road wear)'!AH23)</f>
        <v>125999.11689226482</v>
      </c>
      <c r="AI23" s="563">
        <f>IF('Main table (road wear)'!AI23="","",'Main table (road wear)'!AI23)</f>
        <v>0.57393150015713534</v>
      </c>
      <c r="AJ23" s="568">
        <f>IF('Main table (road wear)'!AK23="","",'Main table (road wear)'!AK23)</f>
        <v>3.4435890009428123</v>
      </c>
      <c r="AK23" s="564">
        <f>IF('Main table (road wear)'!AJ23="","",'Main table (road wear)'!AJ23)</f>
        <v>2861987357.232255</v>
      </c>
      <c r="AL23" s="536"/>
    </row>
    <row r="24" spans="1:38" ht="22.5" x14ac:dyDescent="0.25">
      <c r="A24" s="536" t="str">
        <f>IF('Main table (road wear)'!A24="","",'Main table (road wear)'!A24)</f>
        <v/>
      </c>
      <c r="B24" s="540" t="str">
        <f>IF('Main table (road wear)'!B24="","",'Main table (road wear)'!B24)</f>
        <v>Light Goods</v>
      </c>
      <c r="C24" s="575" t="str">
        <f>IF('Main table (road wear)'!C24="","",'Main table (road wear)'!C24)</f>
        <v>Light
Goods</v>
      </c>
      <c r="D24" s="570" t="str">
        <f>IF('Main table (road wear)'!D24="","",'Main table (road wear)'!D24)</f>
        <v>Petrol</v>
      </c>
      <c r="E24" s="566">
        <f>IF('Main table (road wear)'!E24="","",'Main table (road wear)'!E24)</f>
        <v>9842.1440000000002</v>
      </c>
      <c r="F24" s="585" t="str">
        <f>IF('Main table (road wear)'!F24="","",'Main table (road wear)'!F24)</f>
        <v/>
      </c>
      <c r="G24" s="566">
        <f>IF('Main table (road wear)'!G24="","",'Main table (road wear)'!G24)</f>
        <v>2500</v>
      </c>
      <c r="H24" s="566">
        <f>IF('Main table (road wear)'!H24="","",'Main table (road wear)'!H24)</f>
        <v>3500</v>
      </c>
      <c r="I24" s="586">
        <f>IF('Main table (road wear)'!I24="","",'Main table (road wear)'!I24)</f>
        <v>3000</v>
      </c>
      <c r="J24" s="581">
        <f>IF('Main table (road wear)'!J24="","",'Main table (road wear)'!J24)</f>
        <v>2</v>
      </c>
      <c r="K24" s="582">
        <f>IF('Main table (road wear)'!K24="","",'Main table (road wear)'!K24)</f>
        <v>14.715</v>
      </c>
      <c r="L24" s="566">
        <f>IF('Main table (road wear)'!L24="","",'Main table (road wear)'!L24)</f>
        <v>26261.95019929899</v>
      </c>
      <c r="M24" s="563">
        <f>IF('Main table (road wear)'!M24="","",'Main table (road wear)'!M24)</f>
        <v>1.1446721533203278E-3</v>
      </c>
      <c r="N24" s="563">
        <f>IF('Main table (road wear)'!O24="","",'Main table (road wear)'!O24)</f>
        <v>2.2893443066406556E-3</v>
      </c>
      <c r="O24" s="564">
        <f>IF('Main table (road wear)'!N24="","",'Main table (road wear)'!N24)</f>
        <v>591735.74126663699</v>
      </c>
      <c r="P24" s="583">
        <f>IF('Main table (road wear)'!P24="","",'Main table (road wear)'!P24)</f>
        <v>3500</v>
      </c>
      <c r="Q24" s="581">
        <f>IF('Main table (road wear)'!Q24="","",'Main table (road wear)'!Q24)</f>
        <v>2</v>
      </c>
      <c r="R24" s="582">
        <f>IF('Main table (road wear)'!R24="","",'Main table (road wear)'!R24)</f>
        <v>17.1675</v>
      </c>
      <c r="S24" s="566">
        <f>IF('Main table (road wear)'!S24="","",'Main table (road wear)'!S24)</f>
        <v>27412.748857032278</v>
      </c>
      <c r="T24" s="563">
        <f>IF('Main table (road wear)'!T24="","",'Main table (road wear)'!T24)</f>
        <v>2.1206464815757002E-3</v>
      </c>
      <c r="U24" s="568">
        <f>IF('Main table (road wear)'!V24="","",'Main table (road wear)'!V24)</f>
        <v>4.2412929631514005E-3</v>
      </c>
      <c r="V24" s="564">
        <f>IF('Main table (road wear)'!U24="","",'Main table (road wear)'!U24)</f>
        <v>1144301.7816966884</v>
      </c>
      <c r="W24" s="583">
        <f>IF('Main table (road wear)'!W24="","",'Main table (road wear)'!W24)</f>
        <v>3042</v>
      </c>
      <c r="X24" s="581">
        <f>IF('Main table (road wear)'!X24="","",'Main table (road wear)'!X24)</f>
        <v>2</v>
      </c>
      <c r="Y24" s="582">
        <f>IF('Main table (road wear)'!Y24="","",'Main table (road wear)'!Y24)</f>
        <v>14.921010000000001</v>
      </c>
      <c r="Z24" s="566">
        <f>IF('Main table (road wear)'!Z24="","",'Main table (road wear)'!Z24)</f>
        <v>26261.95019929899</v>
      </c>
      <c r="AA24" s="563">
        <f>IF('Main table (road wear)'!AA24="","",'Main table (road wear)'!AA24)</f>
        <v>1.2101325362538513E-3</v>
      </c>
      <c r="AB24" s="568">
        <f>IF('Main table (road wear)'!AC24="","",'Main table (road wear)'!AC24)</f>
        <v>2.4202650725077025E-3</v>
      </c>
      <c r="AC24" s="564">
        <f>IF('Main table (road wear)'!AB24="","",'Main table (road wear)'!AB24)</f>
        <v>625575.34163291473</v>
      </c>
      <c r="AD24" s="569" t="str">
        <f>IF('Main table (road wear)'!AD24="","",'Main table (road wear)'!AD24)</f>
        <v>BEV</v>
      </c>
      <c r="AE24" s="581">
        <f>IF('Main table (road wear)'!AE24="","",'Main table (road wear)'!AE24)</f>
        <v>3500</v>
      </c>
      <c r="AF24" s="581">
        <f>IF('Main table (road wear)'!AF24="","",'Main table (road wear)'!AF24)</f>
        <v>2</v>
      </c>
      <c r="AG24" s="582">
        <f>IF('Main table (road wear)'!AG24="","",'Main table (road wear)'!AG24)</f>
        <v>17.1675</v>
      </c>
      <c r="AH24" s="566">
        <f>IF('Main table (road wear)'!AH24="","",'Main table (road wear)'!AH24)</f>
        <v>26261.95019929899</v>
      </c>
      <c r="AI24" s="563">
        <f>IF('Main table (road wear)'!AI24="","",'Main table (road wear)'!AI24)</f>
        <v>2.1206464815757002E-3</v>
      </c>
      <c r="AJ24" s="587">
        <f>IF('Main table (road wear)'!AK24="","",'Main table (road wear)'!AK24)</f>
        <v>4.2412929631514005E-3</v>
      </c>
      <c r="AK24" s="564">
        <f>IF('Main table (road wear)'!AJ24="","",'Main table (road wear)'!AJ24)</f>
        <v>1096263.5144916633</v>
      </c>
      <c r="AL24" s="536"/>
    </row>
    <row r="25" spans="1:38" ht="22.5" x14ac:dyDescent="0.25">
      <c r="A25" s="536" t="str">
        <f>IF('Main table (road wear)'!A25="","",'Main table (road wear)'!A25)</f>
        <v/>
      </c>
      <c r="B25" s="540" t="str">
        <f>IF('Main table (road wear)'!B25="","",'Main table (road wear)'!B25)</f>
        <v>Light Goods</v>
      </c>
      <c r="C25" s="575" t="str">
        <f>IF('Main table (road wear)'!C25="","",'Main table (road wear)'!C25)</f>
        <v>Light
Goods</v>
      </c>
      <c r="D25" s="570" t="str">
        <f>IF('Main table (road wear)'!D25="","",'Main table (road wear)'!D25)</f>
        <v>Diesel</v>
      </c>
      <c r="E25" s="566">
        <f>IF('Main table (road wear)'!E25="","",'Main table (road wear)'!E25)</f>
        <v>296494.58799999999</v>
      </c>
      <c r="F25" s="571" t="str">
        <f>IF('Main table (road wear)'!F25="","",'Main table (road wear)'!F25)</f>
        <v/>
      </c>
      <c r="G25" s="566">
        <f>IF('Main table (road wear)'!G25="","",'Main table (road wear)'!G25)</f>
        <v>2500</v>
      </c>
      <c r="H25" s="566">
        <f>IF('Main table (road wear)'!H25="","",'Main table (road wear)'!H25)</f>
        <v>3500</v>
      </c>
      <c r="I25" s="586">
        <f>IF('Main table (road wear)'!I25="","",'Main table (road wear)'!I25)</f>
        <v>3000</v>
      </c>
      <c r="J25" s="581">
        <f>IF('Main table (road wear)'!J25="","",'Main table (road wear)'!J25)</f>
        <v>2</v>
      </c>
      <c r="K25" s="582">
        <f>IF('Main table (road wear)'!K25="","",'Main table (road wear)'!K25)</f>
        <v>14.715</v>
      </c>
      <c r="L25" s="566">
        <f>IF('Main table (road wear)'!L25="","",'Main table (road wear)'!L25)</f>
        <v>26261.95019929899</v>
      </c>
      <c r="M25" s="563">
        <f>IF('Main table (road wear)'!M25="","",'Main table (road wear)'!M25)</f>
        <v>1.1446721533203278E-3</v>
      </c>
      <c r="N25" s="563">
        <f>IF('Main table (road wear)'!O25="","",'Main table (road wear)'!O25)</f>
        <v>2.2893443066406556E-3</v>
      </c>
      <c r="O25" s="564">
        <f>IF('Main table (road wear)'!N25="","",'Main table (road wear)'!N25)</f>
        <v>17826039.205657437</v>
      </c>
      <c r="P25" s="583">
        <f>IF('Main table (road wear)'!P25="","",'Main table (road wear)'!P25)</f>
        <v>3500</v>
      </c>
      <c r="Q25" s="581">
        <f>IF('Main table (road wear)'!Q25="","",'Main table (road wear)'!Q25)</f>
        <v>2</v>
      </c>
      <c r="R25" s="582">
        <f>IF('Main table (road wear)'!R25="","",'Main table (road wear)'!R25)</f>
        <v>17.1675</v>
      </c>
      <c r="S25" s="566">
        <f>IF('Main table (road wear)'!S25="","",'Main table (road wear)'!S25)</f>
        <v>27412.748857032278</v>
      </c>
      <c r="T25" s="563">
        <f>IF('Main table (road wear)'!T25="","",'Main table (road wear)'!T25)</f>
        <v>2.1206464815757002E-3</v>
      </c>
      <c r="U25" s="568">
        <f>IF('Main table (road wear)'!V25="","",'Main table (road wear)'!V25)</f>
        <v>4.2412929631514005E-3</v>
      </c>
      <c r="V25" s="564">
        <f>IF('Main table (road wear)'!U25="","",'Main table (road wear)'!U25)</f>
        <v>34472091.173612736</v>
      </c>
      <c r="W25" s="583">
        <f>IF('Main table (road wear)'!W25="","",'Main table (road wear)'!W25)</f>
        <v>3042</v>
      </c>
      <c r="X25" s="581">
        <f>IF('Main table (road wear)'!X25="","",'Main table (road wear)'!X25)</f>
        <v>2</v>
      </c>
      <c r="Y25" s="582">
        <f>IF('Main table (road wear)'!Y25="","",'Main table (road wear)'!Y25)</f>
        <v>14.921010000000001</v>
      </c>
      <c r="Z25" s="566">
        <f>IF('Main table (road wear)'!Z25="","",'Main table (road wear)'!Z25)</f>
        <v>26261.95019929899</v>
      </c>
      <c r="AA25" s="563">
        <f>IF('Main table (road wear)'!AA25="","",'Main table (road wear)'!AA25)</f>
        <v>1.2101325362538513E-3</v>
      </c>
      <c r="AB25" s="568">
        <f>IF('Main table (road wear)'!AC25="","",'Main table (road wear)'!AC25)</f>
        <v>2.4202650725077025E-3</v>
      </c>
      <c r="AC25" s="564">
        <f>IF('Main table (road wear)'!AB25="","",'Main table (road wear)'!AB25)</f>
        <v>18845457.166691557</v>
      </c>
      <c r="AD25" s="569" t="str">
        <f>IF('Main table (road wear)'!AD25="","",'Main table (road wear)'!AD25)</f>
        <v>FCEV</v>
      </c>
      <c r="AE25" s="581">
        <f>IF('Main table (road wear)'!AE25="","",'Main table (road wear)'!AE25)</f>
        <v>3042</v>
      </c>
      <c r="AF25" s="581">
        <f>IF('Main table (road wear)'!AF25="","",'Main table (road wear)'!AF25)</f>
        <v>2</v>
      </c>
      <c r="AG25" s="582">
        <f>IF('Main table (road wear)'!AG25="","",'Main table (road wear)'!AG25)</f>
        <v>14.921010000000001</v>
      </c>
      <c r="AH25" s="566">
        <f>IF('Main table (road wear)'!AH25="","",'Main table (road wear)'!AH25)</f>
        <v>26261.95019929899</v>
      </c>
      <c r="AI25" s="563">
        <f>IF('Main table (road wear)'!AI25="","",'Main table (road wear)'!AI25)</f>
        <v>1.2101325362538513E-3</v>
      </c>
      <c r="AJ25" s="587">
        <f>IF('Main table (road wear)'!AK25="","",'Main table (road wear)'!AK25)</f>
        <v>2.4202650725077025E-3</v>
      </c>
      <c r="AK25" s="564">
        <f>IF('Main table (road wear)'!AJ25="","",'Main table (road wear)'!AJ25)</f>
        <v>18845457.166691557</v>
      </c>
      <c r="AL25" s="536"/>
    </row>
    <row r="26" spans="1:38" x14ac:dyDescent="0.25">
      <c r="A26" s="536" t="str">
        <f>IF('Main table (road wear)'!A26="","",'Main table (road wear)'!A26)</f>
        <v/>
      </c>
      <c r="B26" s="540" t="str">
        <f>IF('Main table (road wear)'!B26="","",'Main table (road wear)'!B26)</f>
        <v/>
      </c>
      <c r="C26" s="536" t="str">
        <f>IF('Main table (road wear)'!C26="","",'Main table (road wear)'!C26)</f>
        <v/>
      </c>
      <c r="D26" s="576" t="str">
        <f>IF('Main table (road wear)'!D26="","",'Main table (road wear)'!D26)</f>
        <v/>
      </c>
      <c r="E26" s="588" t="str">
        <f>IF('Main table (road wear)'!E26="","",'Main table (road wear)'!E26)</f>
        <v/>
      </c>
      <c r="F26" s="576" t="str">
        <f>IF('Main table (road wear)'!F26="","",'Main table (road wear)'!F26)</f>
        <v/>
      </c>
      <c r="G26" s="566" t="str">
        <f>IF('Main table (road wear)'!G26="","",'Main table (road wear)'!G26)</f>
        <v/>
      </c>
      <c r="H26" s="566" t="str">
        <f>IF('Main table (road wear)'!H26="","",'Main table (road wear)'!H26)</f>
        <v/>
      </c>
      <c r="I26" s="586" t="str">
        <f>IF('Main table (road wear)'!I26="","",'Main table (road wear)'!I26)</f>
        <v/>
      </c>
      <c r="J26" s="589" t="str">
        <f>IF('Main table (road wear)'!J26="","",'Main table (road wear)'!J26)</f>
        <v/>
      </c>
      <c r="K26" s="582" t="str">
        <f>IF('Main table (road wear)'!K26="","",'Main table (road wear)'!K26)</f>
        <v/>
      </c>
      <c r="L26" s="566" t="str">
        <f>IF('Main table (road wear)'!L26="","",'Main table (road wear)'!L26)</f>
        <v/>
      </c>
      <c r="M26" s="590" t="str">
        <f>IF('Main table (road wear)'!M26="","",'Main table (road wear)'!M26)</f>
        <v/>
      </c>
      <c r="N26" s="591" t="str">
        <f>IF('Main table (road wear)'!O26="","",'Main table (road wear)'!O26)</f>
        <v/>
      </c>
      <c r="O26" s="592">
        <f>O31</f>
        <v>8799046945.0698109</v>
      </c>
      <c r="P26" s="593" t="str">
        <f>IF('Main table (road wear)'!P26="","",'Main table (road wear)'!P26)</f>
        <v/>
      </c>
      <c r="Q26" s="594" t="str">
        <f>IF('Main table (road wear)'!Q26="","",'Main table (road wear)'!Q26)</f>
        <v/>
      </c>
      <c r="R26" s="595" t="str">
        <f>IF('Main table (road wear)'!R26="","",'Main table (road wear)'!R26)</f>
        <v/>
      </c>
      <c r="S26" s="596" t="str">
        <f>IF('Main table (road wear)'!S26="","",'Main table (road wear)'!S26)</f>
        <v/>
      </c>
      <c r="T26" s="597" t="str">
        <f>IF('Main table (road wear)'!T26="","",'Main table (road wear)'!T26)</f>
        <v/>
      </c>
      <c r="U26" s="598" t="str">
        <f>IF('Main table (road wear)'!V26="","",'Main table (road wear)'!V26)</f>
        <v/>
      </c>
      <c r="V26" s="592">
        <f>V31</f>
        <v>11527701704.542952</v>
      </c>
      <c r="W26" s="593" t="str">
        <f>IF('Main table (road wear)'!W26="","",'Main table (road wear)'!W26)</f>
        <v/>
      </c>
      <c r="X26" s="594" t="str">
        <f>IF('Main table (road wear)'!X26="","",'Main table (road wear)'!X26)</f>
        <v/>
      </c>
      <c r="Y26" s="595" t="str">
        <f>IF('Main table (road wear)'!Y26="","",'Main table (road wear)'!Y26)</f>
        <v/>
      </c>
      <c r="Z26" s="596" t="str">
        <f>IF('Main table (road wear)'!Z26="","",'Main table (road wear)'!Z26)</f>
        <v/>
      </c>
      <c r="AA26" s="597" t="str">
        <f>IF('Main table (road wear)'!AA26="","",'Main table (road wear)'!AA26)</f>
        <v/>
      </c>
      <c r="AB26" s="598" t="str">
        <f>IF('Main table (road wear)'!AC26="","",'Main table (road wear)'!AC26)</f>
        <v/>
      </c>
      <c r="AC26" s="592">
        <f>AC31</f>
        <v>9302238169.5645809</v>
      </c>
      <c r="AD26" s="599" t="str">
        <f>IF('Main table (road wear)'!AD26="","",'Main table (road wear)'!AD26)</f>
        <v/>
      </c>
      <c r="AE26" s="600" t="str">
        <f>IF('Main table (road wear)'!AE26="","",'Main table (road wear)'!AE26)</f>
        <v/>
      </c>
      <c r="AF26" s="594" t="str">
        <f>IF('Main table (road wear)'!AF26="","",'Main table (road wear)'!AF26)</f>
        <v/>
      </c>
      <c r="AG26" s="595" t="str">
        <f>IF('Main table (road wear)'!AG26="","",'Main table (road wear)'!AG26)</f>
        <v/>
      </c>
      <c r="AH26" s="596" t="str">
        <f>IF('Main table (road wear)'!AH26="","",'Main table (road wear)'!AH26)</f>
        <v/>
      </c>
      <c r="AI26" s="597" t="str">
        <f>IF('Main table (road wear)'!AI26="","",'Main table (road wear)'!AI26)</f>
        <v/>
      </c>
      <c r="AJ26" s="598" t="str">
        <f>IF('Main table (road wear)'!AK26="","",'Main table (road wear)'!AK26)</f>
        <v/>
      </c>
      <c r="AK26" s="592">
        <f>AK31</f>
        <v>9315519490.777256</v>
      </c>
      <c r="AL26" s="536"/>
    </row>
    <row r="27" spans="1:38" x14ac:dyDescent="0.25">
      <c r="A27" s="536" t="str">
        <f>IF('Main table (road wear)'!A27="","",'Main table (road wear)'!A27)</f>
        <v>HGV</v>
      </c>
      <c r="B27" s="556" t="str">
        <f>IF('Main table (road wear)'!B27="","",'Main table (road wear)'!B27)</f>
        <v>All HGVs</v>
      </c>
      <c r="C27" s="536" t="str">
        <f>IF('Main table (road wear)'!C27="","",'Main table (road wear)'!C27)</f>
        <v>HGV</v>
      </c>
      <c r="D27" s="576" t="str">
        <f>IF('Main table (road wear)'!D27="","",'Main table (road wear)'!D27)</f>
        <v/>
      </c>
      <c r="E27" s="566">
        <f>IF('Main table (road wear)'!E27="","",'Main table (road wear)'!E27)</f>
        <v>36837</v>
      </c>
      <c r="F27" s="576" t="str">
        <f>IF('Main table (road wear)'!F27="","",'Main table (road wear)'!F27)</f>
        <v/>
      </c>
      <c r="G27" s="601" t="str">
        <f>IF('Main table (road wear)'!G27="","",'Main table (road wear)'!G27)</f>
        <v/>
      </c>
      <c r="H27" s="601" t="str">
        <f>IF('Main table (road wear)'!H27="","",'Main table (road wear)'!H27)</f>
        <v/>
      </c>
      <c r="I27" s="580"/>
      <c r="J27" s="602"/>
      <c r="K27" s="589"/>
      <c r="L27" s="589"/>
      <c r="M27" s="603"/>
      <c r="N27" s="604"/>
      <c r="O27" s="564">
        <f>IF('Main table (road wear)'!N27="","",'Main table (road wear)'!N27)</f>
        <v>7250464711.031146</v>
      </c>
      <c r="P27" s="580"/>
      <c r="Q27" s="602"/>
      <c r="R27" s="589"/>
      <c r="S27" s="589"/>
      <c r="T27" s="603"/>
      <c r="U27" s="604"/>
      <c r="V27" s="564">
        <f>IF('Main table (road wear)'!U27="","",'Main table (road wear)'!U27)</f>
        <v>9237711067.6071072</v>
      </c>
      <c r="W27" s="580"/>
      <c r="X27" s="602"/>
      <c r="Y27" s="589"/>
      <c r="Z27" s="589"/>
      <c r="AA27" s="603"/>
      <c r="AB27" s="604"/>
      <c r="AC27" s="564">
        <f>IF('Main table (road wear)'!AB27="","",'Main table (road wear)'!AB27)</f>
        <v>7665097140.9835863</v>
      </c>
      <c r="AD27" s="580"/>
      <c r="AE27" s="589"/>
      <c r="AF27" s="602"/>
      <c r="AG27" s="589"/>
      <c r="AH27" s="589"/>
      <c r="AI27" s="603"/>
      <c r="AJ27" s="604"/>
      <c r="AK27" s="564">
        <f>IF('Main table (road wear)'!AJ27="","",'Main table (road wear)'!AJ27)</f>
        <v>7665097140.9835863</v>
      </c>
      <c r="AL27" s="536"/>
    </row>
    <row r="28" spans="1:38" x14ac:dyDescent="0.25">
      <c r="A28" s="536" t="str">
        <f>IF('Main table (road wear)'!A28="","",'Main table (road wear)'!A28)</f>
        <v>Cars</v>
      </c>
      <c r="B28" s="556" t="str">
        <f>IF('Main table (road wear)'!B28="","",'Main table (road wear)'!B28)</f>
        <v>All Cars</v>
      </c>
      <c r="C28" s="536" t="str">
        <f>IF('Main table (road wear)'!C28="","",'Main table (road wear)'!C28)</f>
        <v>Cars</v>
      </c>
      <c r="D28" s="576" t="str">
        <f>IF('Main table (road wear)'!D28="","",'Main table (road wear)'!D28)</f>
        <v/>
      </c>
      <c r="E28" s="566">
        <f>IF('Main table (road wear)'!E28="","",'Main table (road wear)'!E28)</f>
        <v>2524000</v>
      </c>
      <c r="F28" s="576" t="str">
        <f>IF('Main table (road wear)'!F28="","",'Main table (road wear)'!F28)</f>
        <v/>
      </c>
      <c r="G28" s="601" t="str">
        <f>IF('Main table (road wear)'!G28="","",'Main table (road wear)'!G28)</f>
        <v/>
      </c>
      <c r="H28" s="601" t="str">
        <f>IF('Main table (road wear)'!H28="","",'Main table (road wear)'!H28)</f>
        <v/>
      </c>
      <c r="I28" s="580"/>
      <c r="J28" s="581"/>
      <c r="K28" s="589"/>
      <c r="L28" s="589"/>
      <c r="M28" s="603"/>
      <c r="N28" s="605"/>
      <c r="O28" s="564">
        <f>IF('Main table (road wear)'!N28="","",'Main table (road wear)'!N28)</f>
        <v>10884462.967033401</v>
      </c>
      <c r="P28" s="580"/>
      <c r="Q28" s="581"/>
      <c r="R28" s="589"/>
      <c r="S28" s="589"/>
      <c r="T28" s="603"/>
      <c r="U28" s="605"/>
      <c r="V28" s="564">
        <f>IF('Main table (road wear)'!U28="","",'Main table (road wear)'!U28)</f>
        <v>32387170.638253443</v>
      </c>
      <c r="W28" s="580"/>
      <c r="X28" s="581"/>
      <c r="Y28" s="589"/>
      <c r="Z28" s="589"/>
      <c r="AA28" s="603"/>
      <c r="AB28" s="605"/>
      <c r="AC28" s="564">
        <f>IF('Main table (road wear)'!AB28="","",'Main table (road wear)'!AB28)</f>
        <v>11506912.907639556</v>
      </c>
      <c r="AD28" s="580"/>
      <c r="AE28" s="589"/>
      <c r="AF28" s="581"/>
      <c r="AG28" s="589"/>
      <c r="AH28" s="589"/>
      <c r="AI28" s="603"/>
      <c r="AJ28" s="605"/>
      <c r="AK28" s="564">
        <f>IF('Main table (road wear)'!AJ28="","",'Main table (road wear)'!AJ28)</f>
        <v>24315986.67611856</v>
      </c>
      <c r="AL28" s="536"/>
    </row>
    <row r="29" spans="1:38" x14ac:dyDescent="0.25">
      <c r="A29" s="536" t="str">
        <f>IF('Main table (road wear)'!A29="","",'Main table (road wear)'!A29)</f>
        <v>LGV</v>
      </c>
      <c r="B29" s="556" t="str">
        <f>IF('Main table (road wear)'!B29="","",'Main table (road wear)'!B29)</f>
        <v>All LGVs</v>
      </c>
      <c r="C29" s="536" t="str">
        <f>IF('Main table (road wear)'!C29="","",'Main table (road wear)'!C29)</f>
        <v>LGV</v>
      </c>
      <c r="D29" s="576" t="str">
        <f>IF('Main table (road wear)'!D29="","",'Main table (road wear)'!D29)</f>
        <v/>
      </c>
      <c r="E29" s="566">
        <f>IF('Main table (road wear)'!E29="","",'Main table (road wear)'!E29)</f>
        <v>308000</v>
      </c>
      <c r="F29" s="576" t="str">
        <f>IF('Main table (road wear)'!F29="","",'Main table (road wear)'!F29)</f>
        <v/>
      </c>
      <c r="G29" s="601" t="str">
        <f>IF('Main table (road wear)'!G29="","",'Main table (road wear)'!G29)</f>
        <v/>
      </c>
      <c r="H29" s="601" t="str">
        <f>IF('Main table (road wear)'!H29="","",'Main table (road wear)'!H29)</f>
        <v/>
      </c>
      <c r="I29" s="580"/>
      <c r="J29" s="581"/>
      <c r="K29" s="589"/>
      <c r="L29" s="589"/>
      <c r="M29" s="603"/>
      <c r="N29" s="605"/>
      <c r="O29" s="564">
        <f>IF('Main table (road wear)'!N29="","",'Main table (road wear)'!N29)</f>
        <v>18417774.946924075</v>
      </c>
      <c r="P29" s="580"/>
      <c r="Q29" s="581"/>
      <c r="R29" s="589"/>
      <c r="S29" s="589"/>
      <c r="T29" s="603"/>
      <c r="U29" s="605"/>
      <c r="V29" s="564">
        <f>IF('Main table (road wear)'!U29="","",'Main table (road wear)'!U29)</f>
        <v>35616392.955309421</v>
      </c>
      <c r="W29" s="580"/>
      <c r="X29" s="581"/>
      <c r="Y29" s="589"/>
      <c r="Z29" s="589"/>
      <c r="AA29" s="603"/>
      <c r="AB29" s="605"/>
      <c r="AC29" s="564">
        <f>IF('Main table (road wear)'!AB29="","",'Main table (road wear)'!AB29)</f>
        <v>19471032.50832447</v>
      </c>
      <c r="AD29" s="580"/>
      <c r="AE29" s="589"/>
      <c r="AF29" s="581"/>
      <c r="AG29" s="589"/>
      <c r="AH29" s="589"/>
      <c r="AI29" s="603"/>
      <c r="AJ29" s="605"/>
      <c r="AK29" s="564">
        <f>IF('Main table (road wear)'!AJ29="","",'Main table (road wear)'!AJ29)</f>
        <v>19941720.681183219</v>
      </c>
      <c r="AL29" s="536"/>
    </row>
    <row r="30" spans="1:38" x14ac:dyDescent="0.25">
      <c r="A30" s="536" t="str">
        <f>IF('Main table (road wear)'!A30="","",'Main table (road wear)'!A30)</f>
        <v/>
      </c>
      <c r="B30" s="556" t="str">
        <f>IF('Main table (road wear)'!B30="","",'Main table (road wear)'!B30)</f>
        <v/>
      </c>
      <c r="C30" s="551" t="str">
        <f>IF('Main table (road wear)'!C30="","",'Main table (road wear)'!C30)</f>
        <v/>
      </c>
      <c r="D30" s="576" t="str">
        <f>IF('Main table (road wear)'!D30="","",'Main table (road wear)'!D30)</f>
        <v/>
      </c>
      <c r="E30" s="601" t="str">
        <f>IF('Main table (road wear)'!E30="","",'Main table (road wear)'!E30)</f>
        <v/>
      </c>
      <c r="F30" s="576" t="str">
        <f>IF('Main table (road wear)'!F30="","",'Main table (road wear)'!F30)</f>
        <v/>
      </c>
      <c r="G30" s="601" t="str">
        <f>IF('Main table (road wear)'!G30="","",'Main table (road wear)'!G30)</f>
        <v/>
      </c>
      <c r="H30" s="601" t="str">
        <f>IF('Main table (road wear)'!H30="","",'Main table (road wear)'!H30)</f>
        <v/>
      </c>
      <c r="I30" s="586" t="str">
        <f>IF('Main table (road wear)'!I30="","",'Main table (road wear)'!I30)</f>
        <v/>
      </c>
      <c r="J30" s="576" t="str">
        <f>IF('Main table (road wear)'!J30="","",'Main table (road wear)'!J30)</f>
        <v/>
      </c>
      <c r="K30" s="576" t="str">
        <f>IF('Main table (road wear)'!K30="","",'Main table (road wear)'!K30)</f>
        <v/>
      </c>
      <c r="L30" s="576" t="str">
        <f>IF('Main table (road wear)'!L30="","",'Main table (road wear)'!L30)</f>
        <v/>
      </c>
      <c r="M30" s="576" t="str">
        <f>IF('Main table (road wear)'!M30="","",'Main table (road wear)'!M30)</f>
        <v/>
      </c>
      <c r="N30" s="606" t="str">
        <f>IF('Main table (road wear)'!O30="","",'Main table (road wear)'!O30)</f>
        <v/>
      </c>
      <c r="O30" s="564" t="str">
        <f>IF('Main table (road wear)'!N30="","",'Main table (road wear)'!N30)</f>
        <v/>
      </c>
      <c r="P30" s="586" t="str">
        <f>IF('Main table (road wear)'!P30="","",'Main table (road wear)'!P30)</f>
        <v/>
      </c>
      <c r="Q30" s="576" t="str">
        <f>IF('Main table (road wear)'!Q30="","",'Main table (road wear)'!Q30)</f>
        <v/>
      </c>
      <c r="R30" s="576" t="str">
        <f>IF('Main table (road wear)'!R30="","",'Main table (road wear)'!R30)</f>
        <v/>
      </c>
      <c r="S30" s="576" t="str">
        <f>IF('Main table (road wear)'!S30="","",'Main table (road wear)'!S30)</f>
        <v/>
      </c>
      <c r="T30" s="576" t="str">
        <f>IF('Main table (road wear)'!T30="","",'Main table (road wear)'!T30)</f>
        <v/>
      </c>
      <c r="U30" s="606" t="str">
        <f>IF('Main table (road wear)'!V30="","",'Main table (road wear)'!V30)</f>
        <v/>
      </c>
      <c r="V30" s="607" t="str">
        <f>IF('Main table (road wear)'!U30="","",'Main table (road wear)'!U30)</f>
        <v/>
      </c>
      <c r="W30" s="586" t="str">
        <f>IF('Main table (road wear)'!W30="","",'Main table (road wear)'!W30)</f>
        <v/>
      </c>
      <c r="X30" s="576" t="str">
        <f>IF('Main table (road wear)'!X30="","",'Main table (road wear)'!X30)</f>
        <v/>
      </c>
      <c r="Y30" s="576" t="str">
        <f>IF('Main table (road wear)'!Y30="","",'Main table (road wear)'!Y30)</f>
        <v/>
      </c>
      <c r="Z30" s="576" t="str">
        <f>IF('Main table (road wear)'!Z30="","",'Main table (road wear)'!Z30)</f>
        <v/>
      </c>
      <c r="AA30" s="576" t="str">
        <f>IF('Main table (road wear)'!AA30="","",'Main table (road wear)'!AA30)</f>
        <v/>
      </c>
      <c r="AB30" s="606" t="str">
        <f>IF('Main table (road wear)'!AC30="","",'Main table (road wear)'!AC30)</f>
        <v/>
      </c>
      <c r="AC30" s="607" t="str">
        <f>IF('Main table (road wear)'!AB30="","",'Main table (road wear)'!AB30)</f>
        <v/>
      </c>
      <c r="AD30" s="608" t="str">
        <f>IF('Main table (road wear)'!AD30="","",'Main table (road wear)'!AD30)</f>
        <v/>
      </c>
      <c r="AE30" s="576" t="str">
        <f>IF('Main table (road wear)'!AE30="","",'Main table (road wear)'!AE30)</f>
        <v/>
      </c>
      <c r="AF30" s="576" t="str">
        <f>IF('Main table (road wear)'!AF30="","",'Main table (road wear)'!AF30)</f>
        <v/>
      </c>
      <c r="AG30" s="576" t="str">
        <f>IF('Main table (road wear)'!AG30="","",'Main table (road wear)'!AG30)</f>
        <v/>
      </c>
      <c r="AH30" s="589" t="str">
        <f>IF('Main table (road wear)'!AH30="","",'Main table (road wear)'!AH30)</f>
        <v/>
      </c>
      <c r="AI30" s="576" t="str">
        <f>IF('Main table (road wear)'!AI30="","",'Main table (road wear)'!AI30)</f>
        <v/>
      </c>
      <c r="AJ30" s="606" t="str">
        <f>IF('Main table (road wear)'!AK30="","",'Main table (road wear)'!AK30)</f>
        <v/>
      </c>
      <c r="AK30" s="607" t="str">
        <f>IF('Main table (road wear)'!AJ30="","",'Main table (road wear)'!AJ30)</f>
        <v/>
      </c>
      <c r="AL30" s="536"/>
    </row>
    <row r="31" spans="1:38" ht="15.75" thickBot="1" x14ac:dyDescent="0.3">
      <c r="A31" s="536" t="str">
        <f>IF('Main table (road wear)'!A31="","",'Main table (road wear)'!A31)</f>
        <v/>
      </c>
      <c r="B31" s="609" t="str">
        <f>IF('Main table (road wear)'!B31="","",'Main table (road wear)'!B31)</f>
        <v/>
      </c>
      <c r="C31" s="610" t="str">
        <f>IF('Main table (road wear)'!C31="","",'Main table (road wear)'!C31)</f>
        <v/>
      </c>
      <c r="D31" s="611" t="str">
        <f>IF('Main table (road wear)'!D31="","",'Main table (road wear)'!D31)</f>
        <v/>
      </c>
      <c r="E31" s="612" t="str">
        <f>IF('Main table (road wear)'!E31="","",'Main table (road wear)'!E31)</f>
        <v/>
      </c>
      <c r="F31" s="611" t="str">
        <f>IF('Main table (road wear)'!F31="","",'Main table (road wear)'!F31)</f>
        <v/>
      </c>
      <c r="G31" s="612" t="str">
        <f>IF('Main table (road wear)'!G31="","",'Main table (road wear)'!G31)</f>
        <v/>
      </c>
      <c r="H31" s="612" t="str">
        <f>IF('Main table (road wear)'!H31="","",'Main table (road wear)'!H31)</f>
        <v/>
      </c>
      <c r="I31" s="613"/>
      <c r="J31" s="611"/>
      <c r="K31" s="611"/>
      <c r="L31" s="611"/>
      <c r="M31" s="611"/>
      <c r="N31" s="614" t="s">
        <v>146</v>
      </c>
      <c r="O31" s="615">
        <f>IF('Main table (road wear)'!N31="","",'Main table (road wear)'!N31)</f>
        <v>8799046945.0698109</v>
      </c>
      <c r="P31" s="613"/>
      <c r="Q31" s="611"/>
      <c r="R31" s="611"/>
      <c r="S31" s="611"/>
      <c r="T31" s="611"/>
      <c r="U31" s="614" t="s">
        <v>146</v>
      </c>
      <c r="V31" s="615">
        <f>IF('Main table (road wear)'!U31="","",'Main table (road wear)'!U31)</f>
        <v>11527701704.542952</v>
      </c>
      <c r="W31" s="613"/>
      <c r="X31" s="611"/>
      <c r="Y31" s="611"/>
      <c r="Z31" s="611"/>
      <c r="AA31" s="611"/>
      <c r="AB31" s="611" t="s">
        <v>146</v>
      </c>
      <c r="AC31" s="615">
        <f>IF('Main table (road wear)'!AB31="","",'Main table (road wear)'!AB31)</f>
        <v>9302238169.5645809</v>
      </c>
      <c r="AD31" s="613"/>
      <c r="AE31" s="611"/>
      <c r="AF31" s="611"/>
      <c r="AG31" s="611"/>
      <c r="AH31" s="611"/>
      <c r="AI31" s="610"/>
      <c r="AJ31" s="611" t="str">
        <f>IF('Main table (road wear)'!AI31="","",'Main table (road wear)'!AI31)</f>
        <v>Total Standard axle - km per year - proxy for damage factor</v>
      </c>
      <c r="AK31" s="615">
        <f>IF('Main table (road wear)'!AJ31="","",'Main table (road wear)'!AJ31)</f>
        <v>9315519490.777256</v>
      </c>
      <c r="AL31" s="536"/>
    </row>
    <row r="32" spans="1:38" x14ac:dyDescent="0.25">
      <c r="A32" s="536"/>
      <c r="B32" s="536"/>
      <c r="C32" s="536"/>
      <c r="D32" s="536"/>
      <c r="E32" s="536"/>
      <c r="F32" s="536"/>
      <c r="G32" s="536"/>
      <c r="H32" s="536"/>
      <c r="I32" s="536"/>
      <c r="J32" s="536"/>
      <c r="K32" s="536"/>
      <c r="L32" s="536"/>
      <c r="M32" s="536"/>
      <c r="N32" s="536"/>
      <c r="O32" s="536"/>
      <c r="P32" s="536"/>
      <c r="Q32" s="536"/>
      <c r="R32" s="536"/>
      <c r="S32" s="536"/>
      <c r="T32" s="536"/>
      <c r="U32" s="536" t="s">
        <v>489</v>
      </c>
      <c r="V32" s="616">
        <f>V31/$O$31</f>
        <v>1.3101079897070025</v>
      </c>
      <c r="W32" s="536"/>
      <c r="X32" s="536"/>
      <c r="Y32" s="536"/>
      <c r="Z32" s="536"/>
      <c r="AA32" s="536"/>
      <c r="AB32" s="536" t="s">
        <v>489</v>
      </c>
      <c r="AC32" s="616">
        <f>AC31/$O$31</f>
        <v>1.0571870144160003</v>
      </c>
      <c r="AD32" s="536"/>
      <c r="AE32" s="536"/>
      <c r="AF32" s="536"/>
      <c r="AG32" s="536"/>
      <c r="AH32" s="536"/>
      <c r="AI32" s="536"/>
      <c r="AJ32" s="536" t="s">
        <v>489</v>
      </c>
      <c r="AK32" s="616">
        <f>AK31/$O$31</f>
        <v>1.0586964189339654</v>
      </c>
      <c r="AL32" s="536"/>
    </row>
  </sheetData>
  <sheetProtection algorithmName="SHA-512" hashValue="ShwSmkEIh4POk+PNta7VGtwyNU1RlHqf+q0ev/CVr5yzLTXsfXFVGqDcn3F2Vjt6Y3U5yNKnfmaNdN6aXdY0/w==" saltValue="uNa/Zyghl+xHDUGGEITKBQ==" spinCount="100000" sheet="1" objects="1" scenarios="1"/>
  <mergeCells count="5">
    <mergeCell ref="P5:S5"/>
    <mergeCell ref="W5:Y5"/>
    <mergeCell ref="P6:S6"/>
    <mergeCell ref="W6:Y6"/>
    <mergeCell ref="G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14</vt:i4>
      </vt:variant>
    </vt:vector>
  </HeadingPairs>
  <TitlesOfParts>
    <vt:vector size="14" baseType="lpstr">
      <vt:lpstr>Main table (road wear)</vt:lpstr>
      <vt:lpstr>axle distribution sensitivity</vt:lpstr>
      <vt:lpstr>Lading sensitivity (D.distance)</vt:lpstr>
      <vt:lpstr>Different weight categories</vt:lpstr>
      <vt:lpstr>Summary tables</vt:lpstr>
      <vt:lpstr>Charts for report</vt:lpstr>
      <vt:lpstr>8.consumption &amp; emissions calcs</vt:lpstr>
      <vt:lpstr>Mileage &amp; vehicle numbers</vt:lpstr>
      <vt:lpstr>Emissions and vehicles</vt:lpstr>
      <vt:lpstr>Vehicle numbers</vt:lpstr>
      <vt:lpstr>Annual distance covered (GB)</vt:lpstr>
      <vt:lpstr>Extraction of HGV annual dist</vt:lpstr>
      <vt:lpstr>Vehicle weight data</vt:lpstr>
      <vt:lpstr>main table summary for appendix</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 John</dc:creator>
  <cp:lastModifiedBy>LOW John</cp:lastModifiedBy>
  <cp:lastPrinted>2021-06-08T10:40:59Z</cp:lastPrinted>
  <dcterms:created xsi:type="dcterms:W3CDTF">2021-03-09T11:14:40Z</dcterms:created>
  <dcterms:modified xsi:type="dcterms:W3CDTF">2022-07-27T13:54:37Z</dcterms:modified>
</cp:coreProperties>
</file>