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roshan.hande\Projects\Rakuten Americas Phase-2\Charles-Schwab-MMO-II-\app_server\optim_input\"/>
    </mc:Choice>
  </mc:AlternateContent>
  <xr:revisionPtr revIDLastSave="0" documentId="13_ncr:1_{BF87253A-8652-4E28-8235-546C6311F7A6}" xr6:coauthVersionLast="47" xr6:coauthVersionMax="47" xr10:uidLastSave="{00000000-0000-0000-0000-000000000000}"/>
  <bookViews>
    <workbookView xWindow="-120" yWindow="-120" windowWidth="20730" windowHeight="11160" firstSheet="6" activeTab="8" xr2:uid="{00000000-000D-0000-FFFF-FFFF00000000}"/>
  </bookViews>
  <sheets>
    <sheet name="Main Input" sheetId="9" r:id="rId1"/>
    <sheet name="Optim Input" sheetId="11" r:id="rId2"/>
    <sheet name="Config" sheetId="10" r:id="rId3"/>
    <sheet name="Base Scenario" sheetId="8" r:id="rId4"/>
    <sheet name="Quarterly Calculation" sheetId="15" r:id="rId5"/>
    <sheet name="Individual Bounds - Overall" sheetId="17" r:id="rId6"/>
    <sheet name="Individual Bounds - Quarterly" sheetId="12" r:id="rId7"/>
    <sheet name="Variable Group Definition" sheetId="6" r:id="rId8"/>
    <sheet name="Group Constraints" sheetId="3" r:id="rId9"/>
    <sheet name="Wide Format" sheetId="14" state="hidden" r:id="rId10"/>
  </sheets>
  <definedNames>
    <definedName name="_xlnm._FilterDatabase" localSheetId="3" hidden="1">'Base Scenario'!$A$1:$J$50</definedName>
    <definedName name="_xlnm._FilterDatabase" localSheetId="5" hidden="1">'Individual Bounds - Overall'!$A$1:$L$50</definedName>
    <definedName name="_xlnm._FilterDatabase" localSheetId="6" hidden="1">'Individual Bounds - Quarterly'!$A$1:$N$197</definedName>
    <definedName name="_xlnm._FilterDatabase" localSheetId="7" hidden="1">'Variable Group Definition'!$A$1:$D$48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0" i="17" l="1"/>
  <c r="J29" i="17"/>
  <c r="J28" i="17"/>
  <c r="J27" i="17"/>
  <c r="J26" i="17"/>
  <c r="J25" i="17"/>
  <c r="J24" i="17"/>
  <c r="J23" i="17"/>
  <c r="J22" i="17"/>
  <c r="J21" i="17"/>
  <c r="J20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J3" i="17"/>
  <c r="J2" i="17"/>
  <c r="I54" i="15"/>
  <c r="K54" i="15" s="1"/>
  <c r="F54" i="15"/>
  <c r="G54" i="15" s="1"/>
  <c r="J54" i="15" s="1"/>
  <c r="I53" i="15"/>
  <c r="K53" i="15" s="1"/>
  <c r="F53" i="15"/>
  <c r="G53" i="15" s="1"/>
  <c r="J53" i="15" s="1"/>
  <c r="I52" i="15"/>
  <c r="K52" i="15" s="1"/>
  <c r="F52" i="15"/>
  <c r="G52" i="15" s="1"/>
  <c r="J52" i="15" s="1"/>
  <c r="I51" i="15"/>
  <c r="K51" i="15" s="1"/>
  <c r="F51" i="15"/>
  <c r="G51" i="15" s="1"/>
  <c r="I50" i="15"/>
  <c r="K50" i="15" s="1"/>
  <c r="F50" i="15"/>
  <c r="G50" i="15" s="1"/>
  <c r="J50" i="15" s="1"/>
  <c r="I49" i="15"/>
  <c r="K49" i="15" s="1"/>
  <c r="F49" i="15"/>
  <c r="G49" i="15" s="1"/>
  <c r="J49" i="15" s="1"/>
  <c r="I48" i="15"/>
  <c r="K48" i="15" s="1"/>
  <c r="F48" i="15"/>
  <c r="G48" i="15" s="1"/>
  <c r="J48" i="15" s="1"/>
  <c r="I47" i="15"/>
  <c r="K47" i="15" s="1"/>
  <c r="F47" i="15"/>
  <c r="G47" i="15" s="1"/>
  <c r="E53" i="12"/>
  <c r="E52" i="12"/>
  <c r="E51" i="12"/>
  <c r="E50" i="12"/>
  <c r="E49" i="12"/>
  <c r="E48" i="12"/>
  <c r="E47" i="12"/>
  <c r="E46" i="12"/>
  <c r="F14" i="17"/>
  <c r="L14" i="17" s="1"/>
  <c r="F13" i="17"/>
  <c r="L13" i="17" s="1"/>
  <c r="I14" i="8"/>
  <c r="I13" i="8"/>
  <c r="I16" i="8"/>
  <c r="I17" i="8"/>
  <c r="I20" i="8"/>
  <c r="I22" i="8"/>
  <c r="I25" i="8"/>
  <c r="I30" i="8"/>
  <c r="I5" i="8"/>
  <c r="I8" i="8"/>
  <c r="I10" i="8"/>
  <c r="I23" i="8"/>
  <c r="I15" i="8"/>
  <c r="I7" i="8"/>
  <c r="B1" i="11"/>
  <c r="E109" i="12"/>
  <c r="E93" i="12"/>
  <c r="E117" i="12"/>
  <c r="E97" i="12"/>
  <c r="E105" i="12"/>
  <c r="E101" i="12"/>
  <c r="E113" i="12"/>
  <c r="E89" i="12"/>
  <c r="E81" i="12"/>
  <c r="E85" i="12"/>
  <c r="E77" i="12"/>
  <c r="E69" i="12"/>
  <c r="E65" i="12"/>
  <c r="E73" i="12"/>
  <c r="E61" i="12"/>
  <c r="E57" i="12"/>
  <c r="E37" i="12"/>
  <c r="E33" i="12"/>
  <c r="E45" i="12"/>
  <c r="E41" i="12"/>
  <c r="E29" i="12"/>
  <c r="E25" i="12"/>
  <c r="E21" i="12"/>
  <c r="E13" i="12"/>
  <c r="E17" i="12"/>
  <c r="E9" i="12"/>
  <c r="E5" i="12"/>
  <c r="E108" i="12"/>
  <c r="E92" i="12"/>
  <c r="E116" i="12"/>
  <c r="E96" i="12"/>
  <c r="E104" i="12"/>
  <c r="E100" i="12"/>
  <c r="E112" i="12"/>
  <c r="E88" i="12"/>
  <c r="E80" i="12"/>
  <c r="E84" i="12"/>
  <c r="E76" i="12"/>
  <c r="E68" i="12"/>
  <c r="E64" i="12"/>
  <c r="E72" i="12"/>
  <c r="E60" i="12"/>
  <c r="E56" i="12"/>
  <c r="E36" i="12"/>
  <c r="E32" i="12"/>
  <c r="E44" i="12"/>
  <c r="E40" i="12"/>
  <c r="E28" i="12"/>
  <c r="E24" i="12"/>
  <c r="E20" i="12"/>
  <c r="E12" i="12"/>
  <c r="E16" i="12"/>
  <c r="E8" i="12"/>
  <c r="E4" i="12"/>
  <c r="E107" i="12"/>
  <c r="E91" i="12"/>
  <c r="E115" i="12"/>
  <c r="E95" i="12"/>
  <c r="E103" i="12"/>
  <c r="E99" i="12"/>
  <c r="E111" i="12"/>
  <c r="E87" i="12"/>
  <c r="E79" i="12"/>
  <c r="E83" i="12"/>
  <c r="E75" i="12"/>
  <c r="E67" i="12"/>
  <c r="E63" i="12"/>
  <c r="E71" i="12"/>
  <c r="E59" i="12"/>
  <c r="E55" i="12"/>
  <c r="E35" i="12"/>
  <c r="E31" i="12"/>
  <c r="E43" i="12"/>
  <c r="E39" i="12"/>
  <c r="E27" i="12"/>
  <c r="E23" i="12"/>
  <c r="E19" i="12"/>
  <c r="E11" i="12"/>
  <c r="E15" i="12"/>
  <c r="E7" i="12"/>
  <c r="E3" i="12"/>
  <c r="I2" i="8"/>
  <c r="I3" i="8"/>
  <c r="I4" i="8"/>
  <c r="I6" i="8"/>
  <c r="I9" i="8"/>
  <c r="I11" i="8"/>
  <c r="I12" i="8"/>
  <c r="I18" i="8"/>
  <c r="I19" i="8"/>
  <c r="I21" i="8"/>
  <c r="I24" i="8"/>
  <c r="I26" i="8"/>
  <c r="I27" i="8"/>
  <c r="I28" i="8"/>
  <c r="I29" i="8"/>
  <c r="E6" i="12"/>
  <c r="E14" i="12"/>
  <c r="E10" i="12"/>
  <c r="E18" i="12"/>
  <c r="E22" i="12"/>
  <c r="E26" i="12"/>
  <c r="E38" i="12"/>
  <c r="E42" i="12"/>
  <c r="E30" i="12"/>
  <c r="E34" i="12"/>
  <c r="E54" i="12"/>
  <c r="E58" i="12"/>
  <c r="E70" i="12"/>
  <c r="E62" i="12"/>
  <c r="E66" i="12"/>
  <c r="E74" i="12"/>
  <c r="E82" i="12"/>
  <c r="E78" i="12"/>
  <c r="E86" i="12"/>
  <c r="E110" i="12"/>
  <c r="E98" i="12"/>
  <c r="E102" i="12"/>
  <c r="E94" i="12"/>
  <c r="E114" i="12"/>
  <c r="E90" i="12"/>
  <c r="E106" i="12"/>
  <c r="E2" i="12"/>
  <c r="K13" i="17" l="1"/>
  <c r="K14" i="17"/>
  <c r="L51" i="15"/>
  <c r="M51" i="15" s="1"/>
  <c r="L54" i="15"/>
  <c r="M54" i="15" s="1"/>
  <c r="L53" i="15"/>
  <c r="M53" i="15" s="1"/>
  <c r="L52" i="15"/>
  <c r="M52" i="15" s="1"/>
  <c r="H53" i="15"/>
  <c r="H52" i="15"/>
  <c r="J51" i="15"/>
  <c r="H51" i="15"/>
  <c r="H54" i="15"/>
  <c r="L47" i="15"/>
  <c r="M47" i="15" s="1"/>
  <c r="L50" i="15"/>
  <c r="M50" i="15" s="1"/>
  <c r="L48" i="15"/>
  <c r="M48" i="15" s="1"/>
  <c r="L49" i="15"/>
  <c r="M49" i="15" s="1"/>
  <c r="H49" i="15"/>
  <c r="H48" i="15"/>
  <c r="J47" i="15"/>
  <c r="H47" i="15"/>
  <c r="H50" i="15"/>
  <c r="I7" i="15"/>
  <c r="I11" i="15"/>
  <c r="I15" i="15"/>
  <c r="I19" i="15"/>
  <c r="I23" i="15"/>
  <c r="I27" i="15"/>
  <c r="I31" i="15"/>
  <c r="I35" i="15"/>
  <c r="I39" i="15"/>
  <c r="I43" i="15"/>
  <c r="I55" i="15"/>
  <c r="I59" i="15"/>
  <c r="I63" i="15"/>
  <c r="I67" i="15"/>
  <c r="I71" i="15"/>
  <c r="I75" i="15"/>
  <c r="I79" i="15"/>
  <c r="I83" i="15"/>
  <c r="I87" i="15"/>
  <c r="I91" i="15"/>
  <c r="I95" i="15"/>
  <c r="I99" i="15"/>
  <c r="I103" i="15"/>
  <c r="I107" i="15"/>
  <c r="I111" i="15"/>
  <c r="I115" i="15"/>
  <c r="I4" i="15"/>
  <c r="I8" i="15"/>
  <c r="I12" i="15"/>
  <c r="I16" i="15"/>
  <c r="I20" i="15"/>
  <c r="I24" i="15"/>
  <c r="I28" i="15"/>
  <c r="I32" i="15"/>
  <c r="I36" i="15"/>
  <c r="I40" i="15"/>
  <c r="I44" i="15"/>
  <c r="I56" i="15"/>
  <c r="I60" i="15"/>
  <c r="I64" i="15"/>
  <c r="I68" i="15"/>
  <c r="I72" i="15"/>
  <c r="I76" i="15"/>
  <c r="I80" i="15"/>
  <c r="I84" i="15"/>
  <c r="I88" i="15"/>
  <c r="I92" i="15"/>
  <c r="I96" i="15"/>
  <c r="I100" i="15"/>
  <c r="I104" i="15"/>
  <c r="I108" i="15"/>
  <c r="I112" i="15"/>
  <c r="I116" i="15"/>
  <c r="I5" i="15"/>
  <c r="I9" i="15"/>
  <c r="I13" i="15"/>
  <c r="I17" i="15"/>
  <c r="I21" i="15"/>
  <c r="I25" i="15"/>
  <c r="I29" i="15"/>
  <c r="I33" i="15"/>
  <c r="I37" i="15"/>
  <c r="I41" i="15"/>
  <c r="I45" i="15"/>
  <c r="I57" i="15"/>
  <c r="I61" i="15"/>
  <c r="I65" i="15"/>
  <c r="I69" i="15"/>
  <c r="I73" i="15"/>
  <c r="I77" i="15"/>
  <c r="I81" i="15"/>
  <c r="I85" i="15"/>
  <c r="I89" i="15"/>
  <c r="I93" i="15"/>
  <c r="I97" i="15"/>
  <c r="I101" i="15"/>
  <c r="I105" i="15"/>
  <c r="I109" i="15"/>
  <c r="I113" i="15"/>
  <c r="I117" i="15"/>
  <c r="I6" i="15"/>
  <c r="I10" i="15"/>
  <c r="I14" i="15"/>
  <c r="I18" i="15"/>
  <c r="I22" i="15"/>
  <c r="I26" i="15"/>
  <c r="I30" i="15"/>
  <c r="I34" i="15"/>
  <c r="I38" i="15"/>
  <c r="I42" i="15"/>
  <c r="I46" i="15"/>
  <c r="I58" i="15"/>
  <c r="I62" i="15"/>
  <c r="I66" i="15"/>
  <c r="I70" i="15"/>
  <c r="I74" i="15"/>
  <c r="I78" i="15"/>
  <c r="I82" i="15"/>
  <c r="I86" i="15"/>
  <c r="I90" i="15"/>
  <c r="I94" i="15"/>
  <c r="I98" i="15"/>
  <c r="I102" i="15"/>
  <c r="I106" i="15"/>
  <c r="I110" i="15"/>
  <c r="I114" i="15"/>
  <c r="I118" i="15"/>
  <c r="I3" i="15"/>
  <c r="O54" i="15" l="1"/>
  <c r="N53" i="12" s="1"/>
  <c r="N54" i="15"/>
  <c r="M53" i="12" s="1"/>
  <c r="O52" i="15"/>
  <c r="N51" i="12" s="1"/>
  <c r="N52" i="15"/>
  <c r="M51" i="12" s="1"/>
  <c r="O49" i="15"/>
  <c r="N48" i="12" s="1"/>
  <c r="N49" i="15"/>
  <c r="M48" i="12" s="1"/>
  <c r="O48" i="15"/>
  <c r="N47" i="12" s="1"/>
  <c r="N48" i="15"/>
  <c r="M47" i="12" s="1"/>
  <c r="O53" i="15"/>
  <c r="N52" i="12" s="1"/>
  <c r="N53" i="15"/>
  <c r="M52" i="12" s="1"/>
  <c r="N47" i="15"/>
  <c r="M46" i="12" s="1"/>
  <c r="O47" i="15"/>
  <c r="N46" i="12" s="1"/>
  <c r="O51" i="15"/>
  <c r="N50" i="12" s="1"/>
  <c r="N51" i="15"/>
  <c r="M50" i="12" s="1"/>
  <c r="O50" i="15"/>
  <c r="N49" i="12" s="1"/>
  <c r="N50" i="15"/>
  <c r="M49" i="12" s="1"/>
  <c r="F7" i="15"/>
  <c r="G7" i="15" s="1"/>
  <c r="F11" i="15"/>
  <c r="F15" i="15"/>
  <c r="F19" i="15"/>
  <c r="G19" i="15" s="1"/>
  <c r="F23" i="15"/>
  <c r="G23" i="15" s="1"/>
  <c r="F27" i="15"/>
  <c r="G27" i="15" s="1"/>
  <c r="F31" i="15"/>
  <c r="G31" i="15" s="1"/>
  <c r="F35" i="15"/>
  <c r="G35" i="15" s="1"/>
  <c r="F39" i="15"/>
  <c r="G39" i="15" s="1"/>
  <c r="F43" i="15"/>
  <c r="F55" i="15"/>
  <c r="F59" i="15"/>
  <c r="G59" i="15" s="1"/>
  <c r="F63" i="15"/>
  <c r="G63" i="15" s="1"/>
  <c r="F67" i="15"/>
  <c r="G67" i="15" s="1"/>
  <c r="F71" i="15"/>
  <c r="G71" i="15" s="1"/>
  <c r="F75" i="15"/>
  <c r="G75" i="15" s="1"/>
  <c r="F79" i="15"/>
  <c r="G79" i="15" s="1"/>
  <c r="F83" i="15"/>
  <c r="G83" i="15" s="1"/>
  <c r="F87" i="15"/>
  <c r="G87" i="15" s="1"/>
  <c r="F91" i="15"/>
  <c r="G91" i="15" s="1"/>
  <c r="F95" i="15"/>
  <c r="G95" i="15" s="1"/>
  <c r="F99" i="15"/>
  <c r="G99" i="15" s="1"/>
  <c r="F103" i="15"/>
  <c r="G103" i="15" s="1"/>
  <c r="F107" i="15"/>
  <c r="G107" i="15" s="1"/>
  <c r="F111" i="15"/>
  <c r="G111" i="15" s="1"/>
  <c r="F115" i="15"/>
  <c r="G115" i="15" s="1"/>
  <c r="F4" i="15"/>
  <c r="F8" i="15"/>
  <c r="G8" i="15" s="1"/>
  <c r="F12" i="15"/>
  <c r="F16" i="15"/>
  <c r="F20" i="15"/>
  <c r="G20" i="15" s="1"/>
  <c r="F24" i="15"/>
  <c r="G24" i="15" s="1"/>
  <c r="F28" i="15"/>
  <c r="G28" i="15" s="1"/>
  <c r="F32" i="15"/>
  <c r="G32" i="15" s="1"/>
  <c r="F36" i="15"/>
  <c r="G36" i="15" s="1"/>
  <c r="F40" i="15"/>
  <c r="G40" i="15" s="1"/>
  <c r="F44" i="15"/>
  <c r="F56" i="15"/>
  <c r="F60" i="15"/>
  <c r="G60" i="15" s="1"/>
  <c r="F64" i="15"/>
  <c r="G64" i="15" s="1"/>
  <c r="F68" i="15"/>
  <c r="G68" i="15" s="1"/>
  <c r="F72" i="15"/>
  <c r="G72" i="15" s="1"/>
  <c r="F76" i="15"/>
  <c r="G76" i="15" s="1"/>
  <c r="F80" i="15"/>
  <c r="G80" i="15" s="1"/>
  <c r="F84" i="15"/>
  <c r="G84" i="15" s="1"/>
  <c r="F88" i="15"/>
  <c r="G88" i="15" s="1"/>
  <c r="F92" i="15"/>
  <c r="G92" i="15" s="1"/>
  <c r="F96" i="15"/>
  <c r="G96" i="15" s="1"/>
  <c r="F100" i="15"/>
  <c r="G100" i="15" s="1"/>
  <c r="F104" i="15"/>
  <c r="G104" i="15" s="1"/>
  <c r="F108" i="15"/>
  <c r="G108" i="15" s="1"/>
  <c r="F112" i="15"/>
  <c r="G112" i="15" s="1"/>
  <c r="F116" i="15"/>
  <c r="G116" i="15" s="1"/>
  <c r="F5" i="15"/>
  <c r="F9" i="15"/>
  <c r="G9" i="15" s="1"/>
  <c r="F13" i="15"/>
  <c r="F17" i="15"/>
  <c r="F21" i="15"/>
  <c r="G21" i="15" s="1"/>
  <c r="F25" i="15"/>
  <c r="G25" i="15" s="1"/>
  <c r="F29" i="15"/>
  <c r="G29" i="15" s="1"/>
  <c r="F33" i="15"/>
  <c r="G33" i="15" s="1"/>
  <c r="F37" i="15"/>
  <c r="G37" i="15" s="1"/>
  <c r="F41" i="15"/>
  <c r="G41" i="15" s="1"/>
  <c r="F45" i="15"/>
  <c r="F57" i="15"/>
  <c r="F61" i="15"/>
  <c r="G61" i="15" s="1"/>
  <c r="F65" i="15"/>
  <c r="G65" i="15" s="1"/>
  <c r="F69" i="15"/>
  <c r="G69" i="15" s="1"/>
  <c r="F73" i="15"/>
  <c r="G73" i="15" s="1"/>
  <c r="F77" i="15"/>
  <c r="G77" i="15" s="1"/>
  <c r="F81" i="15"/>
  <c r="G81" i="15" s="1"/>
  <c r="F85" i="15"/>
  <c r="G85" i="15" s="1"/>
  <c r="F89" i="15"/>
  <c r="G89" i="15" s="1"/>
  <c r="F93" i="15"/>
  <c r="G93" i="15" s="1"/>
  <c r="F97" i="15"/>
  <c r="G97" i="15" s="1"/>
  <c r="F101" i="15"/>
  <c r="G101" i="15" s="1"/>
  <c r="F105" i="15"/>
  <c r="G105" i="15" s="1"/>
  <c r="F109" i="15"/>
  <c r="G109" i="15" s="1"/>
  <c r="F113" i="15"/>
  <c r="G113" i="15" s="1"/>
  <c r="F117" i="15"/>
  <c r="G117" i="15" s="1"/>
  <c r="F6" i="15"/>
  <c r="F10" i="15"/>
  <c r="G10" i="15" s="1"/>
  <c r="F14" i="15"/>
  <c r="F18" i="15"/>
  <c r="F22" i="15"/>
  <c r="G22" i="15" s="1"/>
  <c r="F26" i="15"/>
  <c r="G26" i="15" s="1"/>
  <c r="F30" i="15"/>
  <c r="G30" i="15" s="1"/>
  <c r="F34" i="15"/>
  <c r="G34" i="15" s="1"/>
  <c r="F38" i="15"/>
  <c r="G38" i="15" s="1"/>
  <c r="F42" i="15"/>
  <c r="G42" i="15" s="1"/>
  <c r="F46" i="15"/>
  <c r="F58" i="15"/>
  <c r="F62" i="15"/>
  <c r="F66" i="15"/>
  <c r="F70" i="15"/>
  <c r="G70" i="15" s="1"/>
  <c r="F74" i="15"/>
  <c r="G74" i="15" s="1"/>
  <c r="F78" i="15"/>
  <c r="G78" i="15" s="1"/>
  <c r="F82" i="15"/>
  <c r="G82" i="15" s="1"/>
  <c r="F86" i="15"/>
  <c r="G86" i="15" s="1"/>
  <c r="F90" i="15"/>
  <c r="G90" i="15" s="1"/>
  <c r="F94" i="15"/>
  <c r="G94" i="15" s="1"/>
  <c r="F98" i="15"/>
  <c r="G98" i="15" s="1"/>
  <c r="F102" i="15"/>
  <c r="G102" i="15" s="1"/>
  <c r="F106" i="15"/>
  <c r="G106" i="15" s="1"/>
  <c r="F110" i="15"/>
  <c r="G110" i="15" s="1"/>
  <c r="F114" i="15"/>
  <c r="G114" i="15" s="1"/>
  <c r="F118" i="15"/>
  <c r="G118" i="15" s="1"/>
  <c r="F3" i="15"/>
  <c r="B4" i="11"/>
  <c r="H108" i="15" l="1"/>
  <c r="H107" i="15"/>
  <c r="H109" i="15"/>
  <c r="H110" i="15"/>
  <c r="H76" i="15"/>
  <c r="H75" i="15"/>
  <c r="H77" i="15"/>
  <c r="H78" i="15"/>
  <c r="H36" i="15"/>
  <c r="H35" i="15"/>
  <c r="H37" i="15"/>
  <c r="H38" i="15"/>
  <c r="H104" i="15"/>
  <c r="H103" i="15"/>
  <c r="H105" i="15"/>
  <c r="H106" i="15"/>
  <c r="H72" i="15"/>
  <c r="H71" i="15"/>
  <c r="H73" i="15"/>
  <c r="H74" i="15"/>
  <c r="H32" i="15"/>
  <c r="H31" i="15"/>
  <c r="H33" i="15"/>
  <c r="H34" i="15"/>
  <c r="H116" i="15"/>
  <c r="H115" i="15"/>
  <c r="H118" i="15"/>
  <c r="H117" i="15"/>
  <c r="H100" i="15"/>
  <c r="H99" i="15"/>
  <c r="H102" i="15"/>
  <c r="H101" i="15"/>
  <c r="H84" i="15"/>
  <c r="H83" i="15"/>
  <c r="H85" i="15"/>
  <c r="H86" i="15"/>
  <c r="H68" i="15"/>
  <c r="H67" i="15"/>
  <c r="H69" i="15"/>
  <c r="H70" i="15"/>
  <c r="H28" i="15"/>
  <c r="H27" i="15"/>
  <c r="H29" i="15"/>
  <c r="H30" i="15"/>
  <c r="H92" i="15"/>
  <c r="H91" i="15"/>
  <c r="H94" i="15"/>
  <c r="H93" i="15"/>
  <c r="H20" i="15"/>
  <c r="H19" i="15"/>
  <c r="H21" i="15"/>
  <c r="H22" i="15"/>
  <c r="H88" i="15"/>
  <c r="H87" i="15"/>
  <c r="H89" i="15"/>
  <c r="H90" i="15"/>
  <c r="H112" i="15"/>
  <c r="H111" i="15"/>
  <c r="H113" i="15"/>
  <c r="H114" i="15"/>
  <c r="H96" i="15"/>
  <c r="H95" i="15"/>
  <c r="H97" i="15"/>
  <c r="H98" i="15"/>
  <c r="H80" i="15"/>
  <c r="H79" i="15"/>
  <c r="H81" i="15"/>
  <c r="H82" i="15"/>
  <c r="H40" i="15"/>
  <c r="H39" i="15"/>
  <c r="H41" i="15"/>
  <c r="H42" i="15"/>
  <c r="H24" i="15"/>
  <c r="H23" i="15"/>
  <c r="H25" i="15"/>
  <c r="H26" i="15"/>
  <c r="H8" i="15"/>
  <c r="H7" i="15"/>
  <c r="H9" i="15"/>
  <c r="H10" i="15"/>
  <c r="F14" i="10" l="1"/>
  <c r="F13" i="10"/>
  <c r="F12" i="10"/>
  <c r="F11" i="10"/>
  <c r="F15" i="10" l="1"/>
  <c r="B6" i="11"/>
  <c r="F4" i="17" l="1"/>
  <c r="F12" i="17"/>
  <c r="F5" i="17"/>
  <c r="F15" i="17"/>
  <c r="B8" i="11"/>
  <c r="F6" i="9"/>
  <c r="C11" i="9"/>
  <c r="F20" i="17" l="1"/>
  <c r="J78" i="15"/>
  <c r="K78" i="15" s="1"/>
  <c r="F72" i="12" s="1"/>
  <c r="J75" i="15"/>
  <c r="K75" i="15" s="1"/>
  <c r="F36" i="12" s="1"/>
  <c r="J77" i="15"/>
  <c r="K77" i="15" s="1"/>
  <c r="F60" i="12" s="1"/>
  <c r="J76" i="15"/>
  <c r="K76" i="15" s="1"/>
  <c r="F56" i="12" s="1"/>
  <c r="F2" i="17"/>
  <c r="D9" i="9"/>
  <c r="F19" i="17"/>
  <c r="J72" i="15"/>
  <c r="K72" i="15" s="1"/>
  <c r="F40" i="12" s="1"/>
  <c r="J71" i="15"/>
  <c r="K71" i="15" s="1"/>
  <c r="F28" i="12" s="1"/>
  <c r="J74" i="15"/>
  <c r="K74" i="15" s="1"/>
  <c r="F32" i="12" s="1"/>
  <c r="J73" i="15"/>
  <c r="K73" i="15" s="1"/>
  <c r="F44" i="12" s="1"/>
  <c r="F18" i="17"/>
  <c r="J69" i="15"/>
  <c r="K69" i="15" s="1"/>
  <c r="F20" i="12" s="1"/>
  <c r="J70" i="15"/>
  <c r="K70" i="15" s="1"/>
  <c r="F24" i="12" s="1"/>
  <c r="J68" i="15"/>
  <c r="K68" i="15" s="1"/>
  <c r="F12" i="12" s="1"/>
  <c r="J67" i="15"/>
  <c r="K67" i="15" s="1"/>
  <c r="F16" i="12" s="1"/>
  <c r="F17" i="17"/>
  <c r="J65" i="15"/>
  <c r="K65" i="15" s="1"/>
  <c r="F4" i="12" s="1"/>
  <c r="J64" i="15"/>
  <c r="K64" i="15" s="1"/>
  <c r="F107" i="12" s="1"/>
  <c r="J63" i="15"/>
  <c r="K63" i="15" s="1"/>
  <c r="F91" i="12" s="1"/>
  <c r="F16" i="17"/>
  <c r="J60" i="15"/>
  <c r="K60" i="15" s="1"/>
  <c r="F103" i="12" s="1"/>
  <c r="J59" i="15"/>
  <c r="K59" i="15" s="1"/>
  <c r="F99" i="12" s="1"/>
  <c r="J61" i="15"/>
  <c r="K61" i="15" s="1"/>
  <c r="F95" i="12" s="1"/>
  <c r="K15" i="17"/>
  <c r="L15" i="17"/>
  <c r="F30" i="17"/>
  <c r="J115" i="15"/>
  <c r="K115" i="15" s="1"/>
  <c r="F97" i="12" s="1"/>
  <c r="J117" i="15"/>
  <c r="K117" i="15" s="1"/>
  <c r="F93" i="12" s="1"/>
  <c r="J118" i="15"/>
  <c r="K118" i="15" s="1"/>
  <c r="F109" i="12" s="1"/>
  <c r="J116" i="15"/>
  <c r="K116" i="15" s="1"/>
  <c r="F117" i="12" s="1"/>
  <c r="K12" i="17"/>
  <c r="L12" i="17"/>
  <c r="F29" i="17"/>
  <c r="J111" i="15"/>
  <c r="K111" i="15" s="1"/>
  <c r="F89" i="12" s="1"/>
  <c r="J112" i="15"/>
  <c r="K112" i="15" s="1"/>
  <c r="F113" i="12" s="1"/>
  <c r="J114" i="15"/>
  <c r="K114" i="15" s="1"/>
  <c r="F105" i="12" s="1"/>
  <c r="J113" i="15"/>
  <c r="K113" i="15" s="1"/>
  <c r="F101" i="12" s="1"/>
  <c r="F11" i="17"/>
  <c r="J40" i="15"/>
  <c r="K40" i="15" s="1"/>
  <c r="F35" i="12" s="1"/>
  <c r="J39" i="15"/>
  <c r="K39" i="15" s="1"/>
  <c r="F31" i="12" s="1"/>
  <c r="J42" i="15"/>
  <c r="K42" i="15" s="1"/>
  <c r="F59" i="12" s="1"/>
  <c r="J41" i="15"/>
  <c r="K41" i="15" s="1"/>
  <c r="F55" i="12" s="1"/>
  <c r="F28" i="17"/>
  <c r="J109" i="15"/>
  <c r="K109" i="15" s="1"/>
  <c r="F85" i="12" s="1"/>
  <c r="J107" i="15"/>
  <c r="K107" i="15" s="1"/>
  <c r="J108" i="15"/>
  <c r="K108" i="15" s="1"/>
  <c r="J110" i="15"/>
  <c r="K110" i="15" s="1"/>
  <c r="F81" i="12" s="1"/>
  <c r="F10" i="17"/>
  <c r="J37" i="15"/>
  <c r="K37" i="15" s="1"/>
  <c r="F39" i="12" s="1"/>
  <c r="J36" i="15"/>
  <c r="K36" i="15" s="1"/>
  <c r="F27" i="12" s="1"/>
  <c r="J35" i="15"/>
  <c r="K35" i="15" s="1"/>
  <c r="F23" i="12" s="1"/>
  <c r="J38" i="15"/>
  <c r="K38" i="15" s="1"/>
  <c r="F43" i="12" s="1"/>
  <c r="F27" i="17"/>
  <c r="J106" i="15"/>
  <c r="K106" i="15" s="1"/>
  <c r="J105" i="15"/>
  <c r="K105" i="15" s="1"/>
  <c r="J103" i="15"/>
  <c r="K103" i="15" s="1"/>
  <c r="J104" i="15"/>
  <c r="K104" i="15" s="1"/>
  <c r="F9" i="17"/>
  <c r="J34" i="15"/>
  <c r="K34" i="15" s="1"/>
  <c r="F19" i="12" s="1"/>
  <c r="J32" i="15"/>
  <c r="K32" i="15" s="1"/>
  <c r="F15" i="12" s="1"/>
  <c r="J31" i="15"/>
  <c r="K31" i="15" s="1"/>
  <c r="F7" i="12" s="1"/>
  <c r="J33" i="15"/>
  <c r="K33" i="15" s="1"/>
  <c r="F11" i="12" s="1"/>
  <c r="F26" i="17"/>
  <c r="J102" i="15"/>
  <c r="K102" i="15" s="1"/>
  <c r="J100" i="15"/>
  <c r="K100" i="15" s="1"/>
  <c r="F45" i="12" s="1"/>
  <c r="J99" i="15"/>
  <c r="K99" i="15" s="1"/>
  <c r="F41" i="12" s="1"/>
  <c r="J101" i="15"/>
  <c r="K101" i="15" s="1"/>
  <c r="F8" i="17"/>
  <c r="J30" i="15"/>
  <c r="K30" i="15" s="1"/>
  <c r="F3" i="12" s="1"/>
  <c r="J27" i="15"/>
  <c r="K27" i="15" s="1"/>
  <c r="J29" i="15"/>
  <c r="K29" i="15" s="1"/>
  <c r="F106" i="12" s="1"/>
  <c r="J28" i="15"/>
  <c r="K28" i="15" s="1"/>
  <c r="F25" i="17"/>
  <c r="J97" i="15"/>
  <c r="K97" i="15" s="1"/>
  <c r="F25" i="12" s="1"/>
  <c r="J95" i="15"/>
  <c r="K95" i="15" s="1"/>
  <c r="F13" i="12" s="1"/>
  <c r="J96" i="15"/>
  <c r="K96" i="15" s="1"/>
  <c r="F21" i="12" s="1"/>
  <c r="J98" i="15"/>
  <c r="K98" i="15" s="1"/>
  <c r="F29" i="12" s="1"/>
  <c r="F7" i="17"/>
  <c r="J25" i="15"/>
  <c r="K25" i="15" s="1"/>
  <c r="F102" i="12" s="1"/>
  <c r="J24" i="15"/>
  <c r="K24" i="15" s="1"/>
  <c r="F98" i="12" s="1"/>
  <c r="J23" i="15"/>
  <c r="K23" i="15" s="1"/>
  <c r="J26" i="15"/>
  <c r="K26" i="15" s="1"/>
  <c r="F94" i="12" s="1"/>
  <c r="F24" i="17"/>
  <c r="J94" i="15"/>
  <c r="K94" i="15" s="1"/>
  <c r="F17" i="12" s="1"/>
  <c r="J93" i="15"/>
  <c r="K93" i="15" s="1"/>
  <c r="F9" i="12" s="1"/>
  <c r="J91" i="15"/>
  <c r="K91" i="15" s="1"/>
  <c r="F108" i="12" s="1"/>
  <c r="J92" i="15"/>
  <c r="K92" i="15" s="1"/>
  <c r="F5" i="12" s="1"/>
  <c r="F6" i="17"/>
  <c r="J22" i="15"/>
  <c r="K22" i="15" s="1"/>
  <c r="F86" i="12" s="1"/>
  <c r="J20" i="15"/>
  <c r="K20" i="15" s="1"/>
  <c r="F82" i="12" s="1"/>
  <c r="J21" i="15"/>
  <c r="K21" i="15" s="1"/>
  <c r="J19" i="15"/>
  <c r="K19" i="15" s="1"/>
  <c r="F23" i="17"/>
  <c r="J88" i="15"/>
  <c r="K88" i="15" s="1"/>
  <c r="F96" i="12" s="1"/>
  <c r="J90" i="15"/>
  <c r="K90" i="15" s="1"/>
  <c r="F92" i="12" s="1"/>
  <c r="J89" i="15"/>
  <c r="K89" i="15" s="1"/>
  <c r="F116" i="12" s="1"/>
  <c r="J87" i="15"/>
  <c r="K87" i="15" s="1"/>
  <c r="F104" i="12" s="1"/>
  <c r="K5" i="17"/>
  <c r="L5" i="17"/>
  <c r="F22" i="17"/>
  <c r="J86" i="15"/>
  <c r="K86" i="15" s="1"/>
  <c r="F100" i="12" s="1"/>
  <c r="J84" i="15"/>
  <c r="K84" i="15" s="1"/>
  <c r="F88" i="12" s="1"/>
  <c r="J83" i="15"/>
  <c r="K83" i="15" s="1"/>
  <c r="F80" i="12" s="1"/>
  <c r="J85" i="15"/>
  <c r="K85" i="15" s="1"/>
  <c r="F112" i="12" s="1"/>
  <c r="K4" i="17"/>
  <c r="L4" i="17"/>
  <c r="F21" i="17"/>
  <c r="J82" i="15"/>
  <c r="K82" i="15" s="1"/>
  <c r="F84" i="12" s="1"/>
  <c r="J81" i="15"/>
  <c r="K81" i="15" s="1"/>
  <c r="F76" i="12" s="1"/>
  <c r="J79" i="15"/>
  <c r="K79" i="15" s="1"/>
  <c r="F64" i="12" s="1"/>
  <c r="J80" i="15"/>
  <c r="K80" i="15" s="1"/>
  <c r="F68" i="12" s="1"/>
  <c r="F3" i="17"/>
  <c r="J8" i="15"/>
  <c r="K8" i="15" s="1"/>
  <c r="J9" i="15"/>
  <c r="K9" i="15" s="1"/>
  <c r="F26" i="12" s="1"/>
  <c r="J10" i="15"/>
  <c r="K10" i="15" s="1"/>
  <c r="F38" i="12" s="1"/>
  <c r="J7" i="15"/>
  <c r="B5" i="11"/>
  <c r="F69" i="12" l="1"/>
  <c r="K69" i="12" s="1"/>
  <c r="F52" i="12"/>
  <c r="F33" i="12"/>
  <c r="L33" i="12" s="1"/>
  <c r="F46" i="12"/>
  <c r="F77" i="12"/>
  <c r="L77" i="12" s="1"/>
  <c r="F53" i="12"/>
  <c r="F61" i="12"/>
  <c r="L61" i="12" s="1"/>
  <c r="F49" i="12"/>
  <c r="F37" i="12"/>
  <c r="L37" i="12" s="1"/>
  <c r="F47" i="12"/>
  <c r="F57" i="12"/>
  <c r="K57" i="12" s="1"/>
  <c r="F48" i="12"/>
  <c r="F65" i="12"/>
  <c r="L65" i="12" s="1"/>
  <c r="F51" i="12"/>
  <c r="F73" i="12"/>
  <c r="K73" i="12" s="1"/>
  <c r="F50" i="12"/>
  <c r="L88" i="12"/>
  <c r="K88" i="12"/>
  <c r="L44" i="12"/>
  <c r="K44" i="12"/>
  <c r="K101" i="12"/>
  <c r="L101" i="12"/>
  <c r="L103" i="12"/>
  <c r="K103" i="12"/>
  <c r="K32" i="12"/>
  <c r="L32" i="12"/>
  <c r="K43" i="12"/>
  <c r="L43" i="12"/>
  <c r="K85" i="12"/>
  <c r="L85" i="12"/>
  <c r="L105" i="12"/>
  <c r="K105" i="12"/>
  <c r="L28" i="12"/>
  <c r="K28" i="12"/>
  <c r="L68" i="12"/>
  <c r="K68" i="12"/>
  <c r="K5" i="12"/>
  <c r="L5" i="12"/>
  <c r="L23" i="12"/>
  <c r="K23" i="12"/>
  <c r="L113" i="12"/>
  <c r="K113" i="12"/>
  <c r="L91" i="12"/>
  <c r="K91" i="12"/>
  <c r="L16" i="12"/>
  <c r="K16" i="12"/>
  <c r="L40" i="12"/>
  <c r="K40" i="12"/>
  <c r="K56" i="12"/>
  <c r="L56" i="12"/>
  <c r="L96" i="12"/>
  <c r="K96" i="12"/>
  <c r="L108" i="12"/>
  <c r="K108" i="12"/>
  <c r="K41" i="12"/>
  <c r="L41" i="12"/>
  <c r="L11" i="12"/>
  <c r="K11" i="12"/>
  <c r="L27" i="12"/>
  <c r="K27" i="12"/>
  <c r="K55" i="12"/>
  <c r="L55" i="12"/>
  <c r="K89" i="12"/>
  <c r="L89" i="12"/>
  <c r="L117" i="12"/>
  <c r="K117" i="12"/>
  <c r="L107" i="12"/>
  <c r="K107" i="12"/>
  <c r="L12" i="12"/>
  <c r="K12" i="12"/>
  <c r="L60" i="12"/>
  <c r="K60" i="12"/>
  <c r="K3" i="12"/>
  <c r="L3" i="12"/>
  <c r="K76" i="12"/>
  <c r="L76" i="12"/>
  <c r="K9" i="12"/>
  <c r="L9" i="12"/>
  <c r="L29" i="12"/>
  <c r="K29" i="12"/>
  <c r="K45" i="12"/>
  <c r="L45" i="12"/>
  <c r="K7" i="12"/>
  <c r="L7" i="12"/>
  <c r="K39" i="12"/>
  <c r="L39" i="12"/>
  <c r="K59" i="12"/>
  <c r="L59" i="12"/>
  <c r="L109" i="12"/>
  <c r="K109" i="12"/>
  <c r="K4" i="12"/>
  <c r="L4" i="12"/>
  <c r="K24" i="12"/>
  <c r="L24" i="12"/>
  <c r="L36" i="12"/>
  <c r="K36" i="12"/>
  <c r="K100" i="12"/>
  <c r="L100" i="12"/>
  <c r="L104" i="12"/>
  <c r="K104" i="12"/>
  <c r="K84" i="12"/>
  <c r="L84" i="12"/>
  <c r="L112" i="12"/>
  <c r="K112" i="12"/>
  <c r="K116" i="12"/>
  <c r="L116" i="12"/>
  <c r="L17" i="12"/>
  <c r="K17" i="12"/>
  <c r="L21" i="12"/>
  <c r="K21" i="12"/>
  <c r="L15" i="12"/>
  <c r="K15" i="12"/>
  <c r="K31" i="12"/>
  <c r="L31" i="12"/>
  <c r="K93" i="12"/>
  <c r="L93" i="12"/>
  <c r="L20" i="12"/>
  <c r="K20" i="12"/>
  <c r="K72" i="12"/>
  <c r="L72" i="12"/>
  <c r="K25" i="12"/>
  <c r="L25" i="12"/>
  <c r="K99" i="12"/>
  <c r="L99" i="12"/>
  <c r="L64" i="12"/>
  <c r="K64" i="12"/>
  <c r="L80" i="12"/>
  <c r="K80" i="12"/>
  <c r="L92" i="12"/>
  <c r="K92" i="12"/>
  <c r="K13" i="12"/>
  <c r="L13" i="12"/>
  <c r="K19" i="12"/>
  <c r="L19" i="12"/>
  <c r="L81" i="12"/>
  <c r="K81" i="12"/>
  <c r="L35" i="12"/>
  <c r="K35" i="12"/>
  <c r="K97" i="12"/>
  <c r="L97" i="12"/>
  <c r="K95" i="12"/>
  <c r="L95" i="12"/>
  <c r="L21" i="15"/>
  <c r="F74" i="12"/>
  <c r="L20" i="15"/>
  <c r="L22" i="15"/>
  <c r="L19" i="15"/>
  <c r="L38" i="12"/>
  <c r="K38" i="12"/>
  <c r="F22" i="12"/>
  <c r="K86" i="12"/>
  <c r="L86" i="12"/>
  <c r="L25" i="15"/>
  <c r="L23" i="15"/>
  <c r="L26" i="15"/>
  <c r="F110" i="12"/>
  <c r="L24" i="15"/>
  <c r="L30" i="15"/>
  <c r="L27" i="15"/>
  <c r="F114" i="12"/>
  <c r="L29" i="15"/>
  <c r="L28" i="15"/>
  <c r="L102" i="15"/>
  <c r="L99" i="15"/>
  <c r="L100" i="15"/>
  <c r="L101" i="15"/>
  <c r="L111" i="15"/>
  <c r="L113" i="15"/>
  <c r="L112" i="15"/>
  <c r="L114" i="15"/>
  <c r="L118" i="15"/>
  <c r="L115" i="15"/>
  <c r="L117" i="15"/>
  <c r="L116" i="15"/>
  <c r="L37" i="15"/>
  <c r="L36" i="15"/>
  <c r="L38" i="15"/>
  <c r="L35" i="15"/>
  <c r="K7" i="15"/>
  <c r="F78" i="12"/>
  <c r="K102" i="12"/>
  <c r="L102" i="12"/>
  <c r="L97" i="15"/>
  <c r="L96" i="15"/>
  <c r="L95" i="15"/>
  <c r="L98" i="15"/>
  <c r="L31" i="15"/>
  <c r="L33" i="15"/>
  <c r="L32" i="15"/>
  <c r="L34" i="15"/>
  <c r="L39" i="15"/>
  <c r="L40" i="15"/>
  <c r="L42" i="15"/>
  <c r="L41" i="15"/>
  <c r="L68" i="15"/>
  <c r="L70" i="15"/>
  <c r="L67" i="15"/>
  <c r="L69" i="15"/>
  <c r="L98" i="12"/>
  <c r="K98" i="12"/>
  <c r="F90" i="12"/>
  <c r="K26" i="12"/>
  <c r="L26" i="12"/>
  <c r="L81" i="15"/>
  <c r="L82" i="15"/>
  <c r="L79" i="15"/>
  <c r="L80" i="15"/>
  <c r="L85" i="15"/>
  <c r="L84" i="15"/>
  <c r="L86" i="15"/>
  <c r="L83" i="15"/>
  <c r="L89" i="15"/>
  <c r="L88" i="15"/>
  <c r="L90" i="15"/>
  <c r="M90" i="15" s="1"/>
  <c r="L87" i="15"/>
  <c r="K82" i="12"/>
  <c r="L82" i="12"/>
  <c r="L93" i="15"/>
  <c r="L92" i="15"/>
  <c r="L94" i="15"/>
  <c r="L91" i="15"/>
  <c r="M91" i="15" s="1"/>
  <c r="L94" i="12"/>
  <c r="K94" i="12"/>
  <c r="K106" i="12"/>
  <c r="L106" i="12"/>
  <c r="L103" i="15"/>
  <c r="M103" i="15" s="1"/>
  <c r="L105" i="15"/>
  <c r="L104" i="15"/>
  <c r="L106" i="15"/>
  <c r="L109" i="15"/>
  <c r="L107" i="15"/>
  <c r="L108" i="15"/>
  <c r="L110" i="15"/>
  <c r="M110" i="15" s="1"/>
  <c r="L71" i="15"/>
  <c r="M71" i="15" s="1"/>
  <c r="L73" i="15"/>
  <c r="L72" i="15"/>
  <c r="L74" i="15"/>
  <c r="L77" i="15"/>
  <c r="M77" i="15" s="1"/>
  <c r="L78" i="15"/>
  <c r="L75" i="15"/>
  <c r="L76" i="15"/>
  <c r="K23" i="17"/>
  <c r="L23" i="17"/>
  <c r="L7" i="17"/>
  <c r="K7" i="17"/>
  <c r="K26" i="17"/>
  <c r="L26" i="17"/>
  <c r="L25" i="17"/>
  <c r="K25" i="17"/>
  <c r="K10" i="17"/>
  <c r="L10" i="17"/>
  <c r="L11" i="17"/>
  <c r="K11" i="17"/>
  <c r="K2" i="17"/>
  <c r="L2" i="17"/>
  <c r="L3" i="17"/>
  <c r="K3" i="17"/>
  <c r="K6" i="17"/>
  <c r="L6" i="17"/>
  <c r="K9" i="17"/>
  <c r="L9" i="17"/>
  <c r="K28" i="17"/>
  <c r="L28" i="17"/>
  <c r="L29" i="17"/>
  <c r="K29" i="17"/>
  <c r="K30" i="17"/>
  <c r="L30" i="17"/>
  <c r="K19" i="17"/>
  <c r="L19" i="17"/>
  <c r="K20" i="17"/>
  <c r="L20" i="17"/>
  <c r="L21" i="17"/>
  <c r="K21" i="17"/>
  <c r="K22" i="17"/>
  <c r="L22" i="17"/>
  <c r="K24" i="17"/>
  <c r="L24" i="17"/>
  <c r="K8" i="17"/>
  <c r="L8" i="17"/>
  <c r="K27" i="17"/>
  <c r="L27" i="17"/>
  <c r="L17" i="17"/>
  <c r="K17" i="17"/>
  <c r="K18" i="17"/>
  <c r="L18" i="17"/>
  <c r="K16" i="17"/>
  <c r="L16" i="17"/>
  <c r="Q10" i="10"/>
  <c r="Q11" i="10" s="1"/>
  <c r="K77" i="12" l="1"/>
  <c r="K65" i="12"/>
  <c r="K61" i="12"/>
  <c r="L73" i="12"/>
  <c r="K33" i="12"/>
  <c r="K37" i="12"/>
  <c r="L57" i="12"/>
  <c r="L69" i="12"/>
  <c r="K50" i="12"/>
  <c r="L50" i="12"/>
  <c r="L49" i="12"/>
  <c r="K49" i="12"/>
  <c r="L53" i="12"/>
  <c r="K53" i="12"/>
  <c r="L51" i="12"/>
  <c r="K51" i="12"/>
  <c r="L48" i="12"/>
  <c r="K48" i="12"/>
  <c r="K46" i="12"/>
  <c r="L46" i="12"/>
  <c r="L47" i="12"/>
  <c r="K47" i="12"/>
  <c r="K52" i="12"/>
  <c r="L52" i="12"/>
  <c r="M108" i="15"/>
  <c r="N108" i="15" s="1"/>
  <c r="M107" i="12" s="1"/>
  <c r="M73" i="15"/>
  <c r="O73" i="15" s="1"/>
  <c r="N72" i="12" s="1"/>
  <c r="M76" i="15"/>
  <c r="O76" i="15" s="1"/>
  <c r="N75" i="12" s="1"/>
  <c r="M113" i="15"/>
  <c r="N113" i="15" s="1"/>
  <c r="M112" i="12" s="1"/>
  <c r="M87" i="15"/>
  <c r="N87" i="15" s="1"/>
  <c r="M86" i="12" s="1"/>
  <c r="M78" i="15"/>
  <c r="O78" i="15" s="1"/>
  <c r="N77" i="12" s="1"/>
  <c r="M93" i="15"/>
  <c r="N93" i="15" s="1"/>
  <c r="M92" i="12" s="1"/>
  <c r="M83" i="15"/>
  <c r="O83" i="15" s="1"/>
  <c r="N82" i="12" s="1"/>
  <c r="M80" i="15"/>
  <c r="N80" i="15" s="1"/>
  <c r="M79" i="12" s="1"/>
  <c r="M68" i="15"/>
  <c r="O68" i="15" s="1"/>
  <c r="N67" i="12" s="1"/>
  <c r="M31" i="15"/>
  <c r="N31" i="15" s="1"/>
  <c r="M30" i="12" s="1"/>
  <c r="M28" i="15"/>
  <c r="N28" i="15" s="1"/>
  <c r="M27" i="12" s="1"/>
  <c r="M23" i="15"/>
  <c r="O23" i="15" s="1"/>
  <c r="N22" i="12" s="1"/>
  <c r="M106" i="15"/>
  <c r="O106" i="15" s="1"/>
  <c r="N105" i="12" s="1"/>
  <c r="M86" i="15"/>
  <c r="O86" i="15" s="1"/>
  <c r="N85" i="12" s="1"/>
  <c r="M79" i="15"/>
  <c r="N79" i="15" s="1"/>
  <c r="M78" i="12" s="1"/>
  <c r="M41" i="15"/>
  <c r="N41" i="15" s="1"/>
  <c r="M40" i="12" s="1"/>
  <c r="M98" i="15"/>
  <c r="N98" i="15" s="1"/>
  <c r="M97" i="12" s="1"/>
  <c r="M29" i="15"/>
  <c r="O29" i="15" s="1"/>
  <c r="N28" i="12" s="1"/>
  <c r="M25" i="15"/>
  <c r="O25" i="15" s="1"/>
  <c r="N24" i="12" s="1"/>
  <c r="M74" i="15"/>
  <c r="O74" i="15" s="1"/>
  <c r="N73" i="12" s="1"/>
  <c r="M117" i="15"/>
  <c r="N117" i="15" s="1"/>
  <c r="M116" i="12" s="1"/>
  <c r="M104" i="15"/>
  <c r="O104" i="15" s="1"/>
  <c r="N103" i="12" s="1"/>
  <c r="M84" i="15"/>
  <c r="N84" i="15" s="1"/>
  <c r="M83" i="12" s="1"/>
  <c r="M82" i="15"/>
  <c r="N82" i="15" s="1"/>
  <c r="M81" i="12" s="1"/>
  <c r="M42" i="15"/>
  <c r="N42" i="15" s="1"/>
  <c r="M41" i="12" s="1"/>
  <c r="M95" i="15"/>
  <c r="N95" i="15" s="1"/>
  <c r="M94" i="12" s="1"/>
  <c r="M116" i="15"/>
  <c r="O116" i="15" s="1"/>
  <c r="N115" i="12" s="1"/>
  <c r="M115" i="15"/>
  <c r="O115" i="15" s="1"/>
  <c r="N114" i="12" s="1"/>
  <c r="M72" i="15"/>
  <c r="O72" i="15" s="1"/>
  <c r="N71" i="12" s="1"/>
  <c r="M105" i="15"/>
  <c r="O105" i="15" s="1"/>
  <c r="N104" i="12" s="1"/>
  <c r="M85" i="15"/>
  <c r="N85" i="15" s="1"/>
  <c r="M84" i="12" s="1"/>
  <c r="M81" i="15"/>
  <c r="N81" i="15" s="1"/>
  <c r="M80" i="12" s="1"/>
  <c r="M40" i="15"/>
  <c r="N40" i="15" s="1"/>
  <c r="M39" i="12" s="1"/>
  <c r="M96" i="15"/>
  <c r="O96" i="15" s="1"/>
  <c r="N95" i="12" s="1"/>
  <c r="M118" i="15"/>
  <c r="O118" i="15" s="1"/>
  <c r="N117" i="12" s="1"/>
  <c r="M27" i="15"/>
  <c r="N27" i="15" s="1"/>
  <c r="M26" i="12" s="1"/>
  <c r="M19" i="15"/>
  <c r="N19" i="15" s="1"/>
  <c r="M18" i="12" s="1"/>
  <c r="M39" i="15"/>
  <c r="O39" i="15" s="1"/>
  <c r="N38" i="12" s="1"/>
  <c r="M97" i="15"/>
  <c r="O97" i="15" s="1"/>
  <c r="N96" i="12" s="1"/>
  <c r="M35" i="15"/>
  <c r="N35" i="15" s="1"/>
  <c r="M34" i="12" s="1"/>
  <c r="M114" i="15"/>
  <c r="N114" i="15" s="1"/>
  <c r="M113" i="12" s="1"/>
  <c r="M101" i="15"/>
  <c r="N101" i="15" s="1"/>
  <c r="M100" i="12" s="1"/>
  <c r="M30" i="15"/>
  <c r="O30" i="15" s="1"/>
  <c r="N29" i="12" s="1"/>
  <c r="M22" i="15"/>
  <c r="O22" i="15" s="1"/>
  <c r="N21" i="12" s="1"/>
  <c r="M69" i="15"/>
  <c r="N69" i="15" s="1"/>
  <c r="M68" i="12" s="1"/>
  <c r="M34" i="15"/>
  <c r="O34" i="15" s="1"/>
  <c r="N33" i="12" s="1"/>
  <c r="M38" i="15"/>
  <c r="O38" i="15" s="1"/>
  <c r="N37" i="12" s="1"/>
  <c r="M112" i="15"/>
  <c r="N112" i="15" s="1"/>
  <c r="M111" i="12" s="1"/>
  <c r="M100" i="15"/>
  <c r="O100" i="15" s="1"/>
  <c r="N99" i="12" s="1"/>
  <c r="M24" i="15"/>
  <c r="N24" i="15" s="1"/>
  <c r="M23" i="12" s="1"/>
  <c r="M20" i="15"/>
  <c r="O20" i="15" s="1"/>
  <c r="N19" i="12" s="1"/>
  <c r="M107" i="15"/>
  <c r="N107" i="15" s="1"/>
  <c r="M106" i="12" s="1"/>
  <c r="M94" i="15"/>
  <c r="O94" i="15" s="1"/>
  <c r="N93" i="12" s="1"/>
  <c r="M88" i="15"/>
  <c r="O88" i="15" s="1"/>
  <c r="N87" i="12" s="1"/>
  <c r="M67" i="15"/>
  <c r="O67" i="15" s="1"/>
  <c r="N66" i="12" s="1"/>
  <c r="M32" i="15"/>
  <c r="O32" i="15" s="1"/>
  <c r="N31" i="12" s="1"/>
  <c r="M36" i="15"/>
  <c r="N36" i="15" s="1"/>
  <c r="M35" i="12" s="1"/>
  <c r="M99" i="15"/>
  <c r="N99" i="15" s="1"/>
  <c r="M98" i="12" s="1"/>
  <c r="M75" i="15"/>
  <c r="N75" i="15" s="1"/>
  <c r="M74" i="12" s="1"/>
  <c r="M109" i="15"/>
  <c r="O109" i="15" s="1"/>
  <c r="N108" i="12" s="1"/>
  <c r="M92" i="15"/>
  <c r="O92" i="15" s="1"/>
  <c r="N91" i="12" s="1"/>
  <c r="M89" i="15"/>
  <c r="O89" i="15" s="1"/>
  <c r="N88" i="12" s="1"/>
  <c r="M70" i="15"/>
  <c r="O70" i="15" s="1"/>
  <c r="N69" i="12" s="1"/>
  <c r="M33" i="15"/>
  <c r="O33" i="15" s="1"/>
  <c r="N32" i="12" s="1"/>
  <c r="M37" i="15"/>
  <c r="O37" i="15" s="1"/>
  <c r="N36" i="12" s="1"/>
  <c r="M111" i="15"/>
  <c r="O111" i="15" s="1"/>
  <c r="N110" i="12" s="1"/>
  <c r="M102" i="15"/>
  <c r="O102" i="15" s="1"/>
  <c r="N101" i="12" s="1"/>
  <c r="M26" i="15"/>
  <c r="N26" i="15" s="1"/>
  <c r="M25" i="12" s="1"/>
  <c r="M21" i="15"/>
  <c r="N21" i="15" s="1"/>
  <c r="M20" i="12" s="1"/>
  <c r="G66" i="15"/>
  <c r="G62" i="15"/>
  <c r="L9" i="15"/>
  <c r="M9" i="15" s="1"/>
  <c r="N9" i="15" s="1"/>
  <c r="M8" i="12" s="1"/>
  <c r="L10" i="15"/>
  <c r="M10" i="15" s="1"/>
  <c r="N10" i="15" s="1"/>
  <c r="M9" i="12" s="1"/>
  <c r="L7" i="15"/>
  <c r="M7" i="15" s="1"/>
  <c r="N7" i="15" s="1"/>
  <c r="M6" i="12" s="1"/>
  <c r="F18" i="12"/>
  <c r="L8" i="15"/>
  <c r="M8" i="15" s="1"/>
  <c r="O8" i="15" s="1"/>
  <c r="N7" i="12" s="1"/>
  <c r="L74" i="12"/>
  <c r="K74" i="12"/>
  <c r="K78" i="12"/>
  <c r="L78" i="12"/>
  <c r="K90" i="12"/>
  <c r="L90" i="12"/>
  <c r="K22" i="12"/>
  <c r="L22" i="12"/>
  <c r="K114" i="12"/>
  <c r="L114" i="12"/>
  <c r="K110" i="12"/>
  <c r="L110" i="12"/>
  <c r="O77" i="15"/>
  <c r="N76" i="12" s="1"/>
  <c r="G3" i="15"/>
  <c r="J3" i="15" s="1"/>
  <c r="K3" i="15" s="1"/>
  <c r="G6" i="15"/>
  <c r="J6" i="15" s="1"/>
  <c r="K6" i="15" s="1"/>
  <c r="F10" i="12" s="1"/>
  <c r="G18" i="15"/>
  <c r="J18" i="15" s="1"/>
  <c r="K18" i="15" s="1"/>
  <c r="F66" i="12" s="1"/>
  <c r="G14" i="15"/>
  <c r="J14" i="15" s="1"/>
  <c r="K14" i="15" s="1"/>
  <c r="F54" i="12" s="1"/>
  <c r="G58" i="15"/>
  <c r="J58" i="15" s="1"/>
  <c r="K58" i="15" s="1"/>
  <c r="F111" i="12" s="1"/>
  <c r="G46" i="15"/>
  <c r="J46" i="15" s="1"/>
  <c r="K46" i="15" s="1"/>
  <c r="F75" i="12" s="1"/>
  <c r="N77" i="15"/>
  <c r="M76" i="12" s="1"/>
  <c r="O103" i="15"/>
  <c r="N102" i="12" s="1"/>
  <c r="O93" i="15"/>
  <c r="N92" i="12" s="1"/>
  <c r="O91" i="15"/>
  <c r="N90" i="12" s="1"/>
  <c r="O71" i="15"/>
  <c r="N70" i="12" s="1"/>
  <c r="O110" i="15"/>
  <c r="N109" i="12" s="1"/>
  <c r="O90" i="15"/>
  <c r="N89" i="12" s="1"/>
  <c r="N104" i="15"/>
  <c r="M103" i="12" s="1"/>
  <c r="N103" i="15"/>
  <c r="M102" i="12" s="1"/>
  <c r="N91" i="15"/>
  <c r="M90" i="12" s="1"/>
  <c r="N71" i="15"/>
  <c r="M70" i="12" s="1"/>
  <c r="N110" i="15"/>
  <c r="M109" i="12" s="1"/>
  <c r="N90" i="15"/>
  <c r="M89" i="12" s="1"/>
  <c r="G4" i="15"/>
  <c r="J4" i="15" s="1"/>
  <c r="K4" i="15" s="1"/>
  <c r="F6" i="12" s="1"/>
  <c r="G5" i="15"/>
  <c r="J5" i="15" s="1"/>
  <c r="K5" i="15" s="1"/>
  <c r="F14" i="12" s="1"/>
  <c r="G17" i="15"/>
  <c r="J17" i="15" s="1"/>
  <c r="K17" i="15" s="1"/>
  <c r="F62" i="12" s="1"/>
  <c r="G13" i="15"/>
  <c r="J13" i="15" s="1"/>
  <c r="K13" i="15" s="1"/>
  <c r="F34" i="12" s="1"/>
  <c r="G55" i="15"/>
  <c r="G44" i="15"/>
  <c r="J44" i="15" s="1"/>
  <c r="K44" i="15" s="1"/>
  <c r="F63" i="12" s="1"/>
  <c r="G11" i="15"/>
  <c r="G12" i="15"/>
  <c r="J12" i="15" s="1"/>
  <c r="K12" i="15" s="1"/>
  <c r="F30" i="12" s="1"/>
  <c r="G45" i="15"/>
  <c r="J45" i="15" s="1"/>
  <c r="K45" i="15" s="1"/>
  <c r="F67" i="12" s="1"/>
  <c r="G16" i="15"/>
  <c r="J16" i="15" s="1"/>
  <c r="K16" i="15" s="1"/>
  <c r="F70" i="12" s="1"/>
  <c r="G15" i="15"/>
  <c r="G43" i="15"/>
  <c r="G56" i="15"/>
  <c r="J56" i="15" s="1"/>
  <c r="K56" i="15" s="1"/>
  <c r="F79" i="12" s="1"/>
  <c r="G57" i="15"/>
  <c r="J57" i="15" s="1"/>
  <c r="K57" i="15" s="1"/>
  <c r="F87" i="12" s="1"/>
  <c r="D12" i="9"/>
  <c r="B9" i="11" s="1"/>
  <c r="N106" i="15" l="1"/>
  <c r="M105" i="12" s="1"/>
  <c r="O69" i="15"/>
  <c r="N68" i="12" s="1"/>
  <c r="O113" i="15"/>
  <c r="N112" i="12" s="1"/>
  <c r="O87" i="15"/>
  <c r="N86" i="12" s="1"/>
  <c r="N86" i="15"/>
  <c r="M85" i="12" s="1"/>
  <c r="N105" i="15"/>
  <c r="M104" i="12" s="1"/>
  <c r="N118" i="15"/>
  <c r="M117" i="12" s="1"/>
  <c r="N29" i="15"/>
  <c r="M28" i="12" s="1"/>
  <c r="N116" i="15"/>
  <c r="M115" i="12" s="1"/>
  <c r="O95" i="15"/>
  <c r="N94" i="12" s="1"/>
  <c r="O24" i="15"/>
  <c r="N23" i="12" s="1"/>
  <c r="O98" i="15"/>
  <c r="N97" i="12" s="1"/>
  <c r="O79" i="15"/>
  <c r="N78" i="12" s="1"/>
  <c r="N97" i="15"/>
  <c r="M96" i="12" s="1"/>
  <c r="O84" i="15"/>
  <c r="N83" i="12" s="1"/>
  <c r="O35" i="15"/>
  <c r="N34" i="12" s="1"/>
  <c r="N32" i="15"/>
  <c r="M31" i="12" s="1"/>
  <c r="L67" i="12"/>
  <c r="K67" i="12"/>
  <c r="K75" i="12"/>
  <c r="L75" i="12"/>
  <c r="L79" i="12"/>
  <c r="K79" i="12"/>
  <c r="N8" i="15"/>
  <c r="M7" i="12" s="1"/>
  <c r="L111" i="12"/>
  <c r="K111" i="12"/>
  <c r="L87" i="12"/>
  <c r="K87" i="12"/>
  <c r="L63" i="12"/>
  <c r="K63" i="12"/>
  <c r="N33" i="15"/>
  <c r="M32" i="12" s="1"/>
  <c r="N102" i="15"/>
  <c r="M101" i="12" s="1"/>
  <c r="N100" i="15"/>
  <c r="M99" i="12" s="1"/>
  <c r="N67" i="15"/>
  <c r="M66" i="12" s="1"/>
  <c r="N96" i="15"/>
  <c r="M95" i="12" s="1"/>
  <c r="O108" i="15"/>
  <c r="N107" i="12" s="1"/>
  <c r="O21" i="15"/>
  <c r="N20" i="12" s="1"/>
  <c r="N70" i="15"/>
  <c r="M69" i="12" s="1"/>
  <c r="N115" i="15"/>
  <c r="M114" i="12" s="1"/>
  <c r="O112" i="15"/>
  <c r="N111" i="12" s="1"/>
  <c r="N73" i="15"/>
  <c r="M72" i="12" s="1"/>
  <c r="O40" i="15"/>
  <c r="N39" i="12" s="1"/>
  <c r="N78" i="15"/>
  <c r="M77" i="12" s="1"/>
  <c r="O99" i="15"/>
  <c r="N98" i="12" s="1"/>
  <c r="O107" i="15"/>
  <c r="N106" i="12" s="1"/>
  <c r="N38" i="15"/>
  <c r="M37" i="12" s="1"/>
  <c r="N74" i="15"/>
  <c r="M73" i="12" s="1"/>
  <c r="N83" i="15"/>
  <c r="M82" i="12" s="1"/>
  <c r="N23" i="15"/>
  <c r="M22" i="12" s="1"/>
  <c r="O81" i="15"/>
  <c r="N80" i="12" s="1"/>
  <c r="O27" i="15"/>
  <c r="N26" i="12" s="1"/>
  <c r="O80" i="15"/>
  <c r="N79" i="12" s="1"/>
  <c r="O114" i="15"/>
  <c r="N113" i="12" s="1"/>
  <c r="N76" i="15"/>
  <c r="M75" i="12" s="1"/>
  <c r="N94" i="15"/>
  <c r="M93" i="12" s="1"/>
  <c r="N89" i="15"/>
  <c r="M88" i="12" s="1"/>
  <c r="N88" i="15"/>
  <c r="M87" i="12" s="1"/>
  <c r="O117" i="15"/>
  <c r="N116" i="12" s="1"/>
  <c r="N68" i="15"/>
  <c r="M67" i="12" s="1"/>
  <c r="O101" i="15"/>
  <c r="N100" i="12" s="1"/>
  <c r="N92" i="15"/>
  <c r="M91" i="12" s="1"/>
  <c r="N72" i="15"/>
  <c r="M71" i="12" s="1"/>
  <c r="N37" i="15"/>
  <c r="M36" i="12" s="1"/>
  <c r="N34" i="15"/>
  <c r="M33" i="12" s="1"/>
  <c r="O28" i="15"/>
  <c r="N27" i="12" s="1"/>
  <c r="O36" i="15"/>
  <c r="N35" i="12" s="1"/>
  <c r="N109" i="15"/>
  <c r="M108" i="12" s="1"/>
  <c r="N25" i="15"/>
  <c r="M24" i="12" s="1"/>
  <c r="O85" i="15"/>
  <c r="N84" i="12" s="1"/>
  <c r="O82" i="15"/>
  <c r="N81" i="12" s="1"/>
  <c r="N20" i="15"/>
  <c r="M19" i="12" s="1"/>
  <c r="O42" i="15"/>
  <c r="N41" i="12" s="1"/>
  <c r="O41" i="15"/>
  <c r="N40" i="12" s="1"/>
  <c r="O75" i="15"/>
  <c r="N74" i="12" s="1"/>
  <c r="N111" i="15"/>
  <c r="M110" i="12" s="1"/>
  <c r="O19" i="15"/>
  <c r="N18" i="12" s="1"/>
  <c r="N39" i="15"/>
  <c r="M38" i="12" s="1"/>
  <c r="O31" i="15"/>
  <c r="N30" i="12" s="1"/>
  <c r="O26" i="15"/>
  <c r="N25" i="12" s="1"/>
  <c r="N22" i="15"/>
  <c r="M21" i="12" s="1"/>
  <c r="N30" i="15"/>
  <c r="M29" i="12" s="1"/>
  <c r="O7" i="15"/>
  <c r="N6" i="12" s="1"/>
  <c r="O9" i="15"/>
  <c r="N8" i="12" s="1"/>
  <c r="O10" i="15"/>
  <c r="N9" i="12" s="1"/>
  <c r="H61" i="15"/>
  <c r="H62" i="15"/>
  <c r="H60" i="15"/>
  <c r="H59" i="15"/>
  <c r="J62" i="15"/>
  <c r="K62" i="15" s="1"/>
  <c r="F115" i="12" s="1"/>
  <c r="H65" i="15"/>
  <c r="H66" i="15"/>
  <c r="H64" i="15"/>
  <c r="H63" i="15"/>
  <c r="J66" i="15"/>
  <c r="K66" i="15" s="1"/>
  <c r="F8" i="12" s="1"/>
  <c r="K18" i="12"/>
  <c r="L18" i="12"/>
  <c r="K70" i="12"/>
  <c r="L70" i="12"/>
  <c r="L34" i="12"/>
  <c r="K34" i="12"/>
  <c r="K66" i="12"/>
  <c r="L66" i="12"/>
  <c r="L4" i="15"/>
  <c r="M4" i="15" s="1"/>
  <c r="L6" i="15"/>
  <c r="M6" i="15" s="1"/>
  <c r="L3" i="15"/>
  <c r="M3" i="15" s="1"/>
  <c r="F2" i="12"/>
  <c r="K2" i="12" s="1"/>
  <c r="L5" i="15"/>
  <c r="M5" i="15" s="1"/>
  <c r="L30" i="12"/>
  <c r="K30" i="12"/>
  <c r="K62" i="12"/>
  <c r="L62" i="12"/>
  <c r="K54" i="12"/>
  <c r="L54" i="12"/>
  <c r="H6" i="15"/>
  <c r="H5" i="15"/>
  <c r="H44" i="15"/>
  <c r="J43" i="15"/>
  <c r="K43" i="15" s="1"/>
  <c r="F71" i="12" s="1"/>
  <c r="H43" i="15"/>
  <c r="H45" i="15"/>
  <c r="H46" i="15"/>
  <c r="H12" i="15"/>
  <c r="J11" i="15"/>
  <c r="K11" i="15" s="1"/>
  <c r="H11" i="15"/>
  <c r="H13" i="15"/>
  <c r="H14" i="15"/>
  <c r="H56" i="15"/>
  <c r="J55" i="15"/>
  <c r="K55" i="15" s="1"/>
  <c r="F83" i="12" s="1"/>
  <c r="H55" i="15"/>
  <c r="H57" i="15"/>
  <c r="H58" i="15"/>
  <c r="H16" i="15"/>
  <c r="J15" i="15"/>
  <c r="K15" i="15" s="1"/>
  <c r="H15" i="15"/>
  <c r="H17" i="15"/>
  <c r="H18" i="15"/>
  <c r="H3" i="15"/>
  <c r="H4" i="15"/>
  <c r="B7" i="11"/>
  <c r="K8" i="12" l="1"/>
  <c r="L8" i="12"/>
  <c r="L71" i="12"/>
  <c r="K71" i="12"/>
  <c r="L115" i="12"/>
  <c r="K115" i="12"/>
  <c r="L83" i="12"/>
  <c r="K83" i="12"/>
  <c r="L66" i="15"/>
  <c r="M66" i="15" s="1"/>
  <c r="L65" i="15"/>
  <c r="M65" i="15" s="1"/>
  <c r="L64" i="15"/>
  <c r="M64" i="15" s="1"/>
  <c r="L63" i="15"/>
  <c r="M63" i="15" s="1"/>
  <c r="L62" i="15"/>
  <c r="M62" i="15" s="1"/>
  <c r="L59" i="15"/>
  <c r="M59" i="15" s="1"/>
  <c r="L60" i="15"/>
  <c r="M60" i="15" s="1"/>
  <c r="L61" i="15"/>
  <c r="M61" i="15" s="1"/>
  <c r="L2" i="12"/>
  <c r="O5" i="15"/>
  <c r="N4" i="12" s="1"/>
  <c r="N5" i="15"/>
  <c r="M4" i="12" s="1"/>
  <c r="O3" i="15"/>
  <c r="N2" i="12" s="1"/>
  <c r="N3" i="15"/>
  <c r="M2" i="12" s="1"/>
  <c r="N4" i="15"/>
  <c r="M3" i="12" s="1"/>
  <c r="O4" i="15"/>
  <c r="N3" i="12" s="1"/>
  <c r="L17" i="15"/>
  <c r="M17" i="15" s="1"/>
  <c r="L15" i="15"/>
  <c r="M15" i="15" s="1"/>
  <c r="F58" i="12"/>
  <c r="L16" i="15"/>
  <c r="M16" i="15" s="1"/>
  <c r="L18" i="15"/>
  <c r="M18" i="15" s="1"/>
  <c r="L43" i="15"/>
  <c r="M43" i="15" s="1"/>
  <c r="L45" i="15"/>
  <c r="M45" i="15" s="1"/>
  <c r="L44" i="15"/>
  <c r="M44" i="15" s="1"/>
  <c r="L46" i="15"/>
  <c r="M46" i="15" s="1"/>
  <c r="O6" i="15"/>
  <c r="N5" i="12" s="1"/>
  <c r="N6" i="15"/>
  <c r="M5" i="12" s="1"/>
  <c r="L57" i="15"/>
  <c r="M57" i="15" s="1"/>
  <c r="L55" i="15"/>
  <c r="M55" i="15" s="1"/>
  <c r="L56" i="15"/>
  <c r="M56" i="15" s="1"/>
  <c r="L58" i="15"/>
  <c r="M58" i="15" s="1"/>
  <c r="L12" i="15"/>
  <c r="M12" i="15" s="1"/>
  <c r="L14" i="15"/>
  <c r="M14" i="15" s="1"/>
  <c r="L11" i="15"/>
  <c r="M11" i="15" s="1"/>
  <c r="F42" i="12"/>
  <c r="L13" i="15"/>
  <c r="M13" i="15" s="1"/>
  <c r="K10" i="12"/>
  <c r="L10" i="12"/>
  <c r="N61" i="15" l="1"/>
  <c r="M60" i="12" s="1"/>
  <c r="O61" i="15"/>
  <c r="N60" i="12" s="1"/>
  <c r="O59" i="15"/>
  <c r="N58" i="12" s="1"/>
  <c r="N59" i="15"/>
  <c r="M58" i="12" s="1"/>
  <c r="N64" i="15"/>
  <c r="M63" i="12" s="1"/>
  <c r="O64" i="15"/>
  <c r="N63" i="12" s="1"/>
  <c r="O62" i="15"/>
  <c r="N61" i="12" s="1"/>
  <c r="N62" i="15"/>
  <c r="M61" i="12" s="1"/>
  <c r="N65" i="15"/>
  <c r="M64" i="12" s="1"/>
  <c r="O65" i="15"/>
  <c r="N64" i="12" s="1"/>
  <c r="N66" i="15"/>
  <c r="M65" i="12" s="1"/>
  <c r="O66" i="15"/>
  <c r="N65" i="12" s="1"/>
  <c r="O60" i="15"/>
  <c r="N59" i="12" s="1"/>
  <c r="N60" i="15"/>
  <c r="M59" i="12" s="1"/>
  <c r="O63" i="15"/>
  <c r="N62" i="12" s="1"/>
  <c r="N63" i="15"/>
  <c r="M62" i="12" s="1"/>
  <c r="O11" i="15"/>
  <c r="N10" i="12" s="1"/>
  <c r="N11" i="15"/>
  <c r="M10" i="12" s="1"/>
  <c r="N57" i="15"/>
  <c r="M56" i="12" s="1"/>
  <c r="O57" i="15"/>
  <c r="N56" i="12" s="1"/>
  <c r="O14" i="15"/>
  <c r="N13" i="12" s="1"/>
  <c r="N14" i="15"/>
  <c r="M13" i="12" s="1"/>
  <c r="O56" i="15"/>
  <c r="N55" i="12" s="1"/>
  <c r="N56" i="15"/>
  <c r="M55" i="12" s="1"/>
  <c r="N46" i="15"/>
  <c r="M45" i="12" s="1"/>
  <c r="O46" i="15"/>
  <c r="N45" i="12" s="1"/>
  <c r="O15" i="15"/>
  <c r="N14" i="12" s="1"/>
  <c r="N15" i="15"/>
  <c r="M14" i="12" s="1"/>
  <c r="O13" i="15"/>
  <c r="N12" i="12" s="1"/>
  <c r="N13" i="15"/>
  <c r="M12" i="12" s="1"/>
  <c r="O12" i="15"/>
  <c r="N11" i="12" s="1"/>
  <c r="N12" i="15"/>
  <c r="M11" i="12" s="1"/>
  <c r="N44" i="15"/>
  <c r="M43" i="12" s="1"/>
  <c r="O44" i="15"/>
  <c r="N43" i="12" s="1"/>
  <c r="O18" i="15"/>
  <c r="N17" i="12" s="1"/>
  <c r="N18" i="15"/>
  <c r="M17" i="12" s="1"/>
  <c r="N17" i="15"/>
  <c r="M16" i="12" s="1"/>
  <c r="O17" i="15"/>
  <c r="N16" i="12" s="1"/>
  <c r="K42" i="12"/>
  <c r="L42" i="12"/>
  <c r="N55" i="15"/>
  <c r="M54" i="12" s="1"/>
  <c r="O55" i="15"/>
  <c r="N54" i="12" s="1"/>
  <c r="O45" i="15"/>
  <c r="N44" i="12" s="1"/>
  <c r="N45" i="15"/>
  <c r="M44" i="12" s="1"/>
  <c r="N16" i="15"/>
  <c r="M15" i="12" s="1"/>
  <c r="O16" i="15"/>
  <c r="N15" i="12" s="1"/>
  <c r="N58" i="15"/>
  <c r="M57" i="12" s="1"/>
  <c r="O58" i="15"/>
  <c r="N57" i="12" s="1"/>
  <c r="N43" i="15"/>
  <c r="M42" i="12" s="1"/>
  <c r="O43" i="15"/>
  <c r="N42" i="12" s="1"/>
  <c r="K58" i="12"/>
  <c r="L58" i="12"/>
  <c r="K6" i="12"/>
  <c r="L6" i="12"/>
  <c r="K14" i="12"/>
  <c r="L14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tamal.panja</author>
  </authors>
  <commentList>
    <comment ref="D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tamal.panja:</t>
        </r>
        <r>
          <rPr>
            <sz val="9"/>
            <color indexed="81"/>
            <rFont val="Tahoma"/>
            <family val="2"/>
          </rPr>
          <t xml:space="preserve">
2019 Base Plan</t>
        </r>
      </text>
    </comment>
    <comment ref="E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tamal.panja:</t>
        </r>
        <r>
          <rPr>
            <sz val="9"/>
            <color indexed="81"/>
            <rFont val="Tahoma"/>
            <family val="2"/>
          </rPr>
          <t xml:space="preserve">
2019 Base Plan</t>
        </r>
      </text>
    </comment>
    <comment ref="F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tamal.panja:</t>
        </r>
        <r>
          <rPr>
            <sz val="9"/>
            <color indexed="81"/>
            <rFont val="Tahoma"/>
            <family val="2"/>
          </rPr>
          <t xml:space="preserve">
2019 Base Plan</t>
        </r>
      </text>
    </comment>
    <comment ref="G1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tamal.panja:</t>
        </r>
        <r>
          <rPr>
            <sz val="9"/>
            <color indexed="81"/>
            <rFont val="Tahoma"/>
            <family val="2"/>
          </rPr>
          <t xml:space="preserve">
2019 Base Plan</t>
        </r>
      </text>
    </comment>
    <comment ref="I1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tamal.panja:</t>
        </r>
        <r>
          <rPr>
            <sz val="9"/>
            <color indexed="81"/>
            <rFont val="Tahoma"/>
            <family val="2"/>
          </rPr>
          <t xml:space="preserve">
This total is dynamic sum for the selected period for optimization in "Main Input" sheet.
For example, if the selected period is Q3 - Q4, then Total (column H) represents the sum of Q3 (column F) and Q4 (column G).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Kumar Aishwary</author>
  </authors>
  <commentList>
    <comment ref="I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Kumar Aishwary:</t>
        </r>
        <r>
          <rPr>
            <sz val="9"/>
            <color indexed="81"/>
            <rFont val="Tahoma"/>
            <family val="2"/>
          </rPr>
          <t xml:space="preserve">
Populated from Q1-Q4 of "Base Scenario" sheet</t>
        </r>
      </text>
    </comment>
    <comment ref="J2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Kumar Aishwary:</t>
        </r>
        <r>
          <rPr>
            <sz val="9"/>
            <color indexed="81"/>
            <rFont val="Tahoma"/>
            <family val="2"/>
          </rPr>
          <t xml:space="preserve">
Populated from "Total" column of "Base Scenario" sheet and multiplied by "Quarterly Ratio"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Kumar Aishwary</author>
  </authors>
  <commentList>
    <comment ref="D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Kumar Aishwary:</t>
        </r>
        <r>
          <rPr>
            <sz val="9"/>
            <color indexed="81"/>
            <rFont val="Tahoma"/>
            <family val="2"/>
          </rPr>
          <t xml:space="preserve">
If you have quarterly bounds, then select "No" for this column and enter the values in "Individual Bounds - Quarterly" sheet. Otherwise select "Yes" to enter overall bounds for that touchpoint in this sheet.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tamal.panja</author>
  </authors>
  <commentList>
    <comment ref="E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tamal.panja:</t>
        </r>
        <r>
          <rPr>
            <sz val="9"/>
            <color indexed="81"/>
            <rFont val="Tahoma"/>
            <family val="2"/>
          </rPr>
          <t xml:space="preserve">
This column is populated from "Individual Bounds - Overall" sheet</t>
        </r>
      </text>
    </comment>
    <comment ref="F1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tamal.panja:</t>
        </r>
        <r>
          <rPr>
            <sz val="9"/>
            <color indexed="81"/>
            <rFont val="Tahoma"/>
            <family val="2"/>
          </rPr>
          <t xml:space="preserve">
This column will be populated from "Base Scenario" sheet based on the selection of optimization time period.</t>
        </r>
      </text>
    </comment>
  </commentList>
</comments>
</file>

<file path=xl/sharedStrings.xml><?xml version="1.0" encoding="utf-8"?>
<sst xmlns="http://schemas.openxmlformats.org/spreadsheetml/2006/main" count="1734" uniqueCount="261">
  <si>
    <t>M_TV_N_RTL_NWS_SP</t>
  </si>
  <si>
    <t>M_TV_N_RTL_SPT_SP</t>
  </si>
  <si>
    <t>M_TV_N_RTL_OTH_SP</t>
  </si>
  <si>
    <t>M_TV_N_SPN_SP</t>
  </si>
  <si>
    <t>M_OD_N_RTL_SP</t>
  </si>
  <si>
    <t>M_OD_N_SPN_SP</t>
  </si>
  <si>
    <t>M_OV_N_RTL_SP</t>
  </si>
  <si>
    <t>M_OV_N_SPN_SP</t>
  </si>
  <si>
    <t>M_OD_CS_N_ACQ_RTL_SP</t>
  </si>
  <si>
    <t>M_OD_CS_N_BR_RTL_SP</t>
  </si>
  <si>
    <t>M_OD_CS_N_CON_RTL_SP</t>
  </si>
  <si>
    <t>M_PS_N_BRP_RTL_SP</t>
  </si>
  <si>
    <t>M_PS_N_BRG_RTL_SP</t>
  </si>
  <si>
    <t>M_PS_N_NBR_RTL_SP</t>
  </si>
  <si>
    <t>M_OD_CNS_N_RTL_SP</t>
  </si>
  <si>
    <t>M_OD_BUT_N_RTL_SP</t>
  </si>
  <si>
    <t>M_MG_N_RTL_SP</t>
  </si>
  <si>
    <t>M_NP_N_RTL_SP</t>
  </si>
  <si>
    <t>M_RD_N_RTL_SP</t>
  </si>
  <si>
    <t>M_MG_L_RTL_SP</t>
  </si>
  <si>
    <t>M_NP_L_RTL_SP</t>
  </si>
  <si>
    <t>M_OD_L_RTL_SP</t>
  </si>
  <si>
    <t>M_RD_L_RTL_SP</t>
  </si>
  <si>
    <t>M_OD_CS_N_CON_EA_SP</t>
  </si>
  <si>
    <t>M_PS_N_BRG_EA_SP</t>
  </si>
  <si>
    <t>M_PS_N_NBR_EA_SP</t>
  </si>
  <si>
    <t>M_OD_CNS_N_EA_SP</t>
  </si>
  <si>
    <t>M_OD_N_EA_SP</t>
  </si>
  <si>
    <t>M_OV_N_EA_SP</t>
  </si>
  <si>
    <t>PRO_NTF_CEQA_SP</t>
  </si>
  <si>
    <t>PRO_EX_CEQA_SP</t>
  </si>
  <si>
    <t>PRO_NTF_ADV_CA_SP</t>
  </si>
  <si>
    <t>PRO_EX_ADV_CA_SP</t>
  </si>
  <si>
    <t>PRO_NTF_ADV_GF_SP</t>
  </si>
  <si>
    <t>PRO_EX_ADV_GF_SP</t>
  </si>
  <si>
    <t>PRO_NTF_ADV_ST_SP</t>
  </si>
  <si>
    <t>PRO_EX_ADV_ST_SP</t>
  </si>
  <si>
    <t>PRO_NTF_HIP_SP</t>
  </si>
  <si>
    <t>PRO_EX_HIP_SP</t>
  </si>
  <si>
    <t>M_EVT_L_NSP_SP</t>
  </si>
  <si>
    <t>M_EVT_L_SPT_SP</t>
  </si>
  <si>
    <t>M_HSP_L_MLB_SP</t>
  </si>
  <si>
    <t>M_HSP_L_PGA_SP</t>
  </si>
  <si>
    <t>Base Scenario</t>
  </si>
  <si>
    <t>Advertised Promotion - Cash - Existing - Local</t>
  </si>
  <si>
    <t>Advertised Promotion - Cash - NTF - Local</t>
  </si>
  <si>
    <t>Advertised Promotion - Gift - Existing - Local</t>
  </si>
  <si>
    <t>Advertised Promotion - Gift - NTF - Local</t>
  </si>
  <si>
    <t>Advertised Promotion - Sports - NTF - Local</t>
  </si>
  <si>
    <t>Cash Equivalents - Existing - Local</t>
  </si>
  <si>
    <t>Cash Equivalents - NTF - Local</t>
  </si>
  <si>
    <t>Hip Pocket Promotion - Existing - Local</t>
  </si>
  <si>
    <t>Hip Pocket Promotion - NTF - Local</t>
  </si>
  <si>
    <t>Hospitality - MLB - Local</t>
  </si>
  <si>
    <t>Hospitality - PGA - Local</t>
  </si>
  <si>
    <t>Variable Description</t>
  </si>
  <si>
    <t>Variable Category</t>
  </si>
  <si>
    <t>Cash Equivalents</t>
  </si>
  <si>
    <t>Content Syndication</t>
  </si>
  <si>
    <t>Hospitality</t>
  </si>
  <si>
    <t>Local Events</t>
  </si>
  <si>
    <t>Magazine</t>
  </si>
  <si>
    <t>Newspaper</t>
  </si>
  <si>
    <t>Online Display</t>
  </si>
  <si>
    <t>Social</t>
  </si>
  <si>
    <t>Online Video</t>
  </si>
  <si>
    <t>Paid Search</t>
  </si>
  <si>
    <t>Promotion</t>
  </si>
  <si>
    <t>Radio</t>
  </si>
  <si>
    <t>Sponsorship</t>
  </si>
  <si>
    <t>TV</t>
  </si>
  <si>
    <t>Variable Group</t>
  </si>
  <si>
    <t>Variable Name</t>
  </si>
  <si>
    <t>Lock</t>
  </si>
  <si>
    <t>Yes</t>
  </si>
  <si>
    <t>Q1</t>
  </si>
  <si>
    <t>Q2</t>
  </si>
  <si>
    <t>Q3</t>
  </si>
  <si>
    <t>Q4</t>
  </si>
  <si>
    <t>Total</t>
  </si>
  <si>
    <t>Objective Values</t>
  </si>
  <si>
    <t>Objective Value Keys</t>
  </si>
  <si>
    <t>Outcome to Maximize</t>
  </si>
  <si>
    <t>Quarter</t>
  </si>
  <si>
    <t>Quarter Num</t>
  </si>
  <si>
    <t>Optimization Time Period Start</t>
  </si>
  <si>
    <t>Optimization Time Period End</t>
  </si>
  <si>
    <t>Constraint Type</t>
  </si>
  <si>
    <t>Cap</t>
  </si>
  <si>
    <t>Value</t>
  </si>
  <si>
    <t>Legends</t>
  </si>
  <si>
    <t>Dropdown List Input</t>
  </si>
  <si>
    <t>Numeric Input</t>
  </si>
  <si>
    <t>Optimization Main Inputs</t>
  </si>
  <si>
    <t>Period</t>
  </si>
  <si>
    <t>Overall</t>
  </si>
  <si>
    <t>Period for Constraints</t>
  </si>
  <si>
    <t>No</t>
  </si>
  <si>
    <t>objective_to_max</t>
  </si>
  <si>
    <t>period_type</t>
  </si>
  <si>
    <t>QUARTER</t>
  </si>
  <si>
    <t>period_start</t>
  </si>
  <si>
    <t>period_end</t>
  </si>
  <si>
    <t>Base Scenario Budget</t>
  </si>
  <si>
    <t>Incremental Budget</t>
  </si>
  <si>
    <t>budget_base</t>
  </si>
  <si>
    <t>budget_incremental</t>
  </si>
  <si>
    <t>budget_total</t>
  </si>
  <si>
    <t>Bound Type</t>
  </si>
  <si>
    <t>% Bounds</t>
  </si>
  <si>
    <t>$ Bounds</t>
  </si>
  <si>
    <t>Reallocate Base Budget</t>
  </si>
  <si>
    <t>Budget Type</t>
  </si>
  <si>
    <t>New Overall Budget</t>
  </si>
  <si>
    <t>Total Budget to Optimize</t>
  </si>
  <si>
    <t>Calculated Field (Don't change these fields)</t>
  </si>
  <si>
    <t>Lower Bound (%)</t>
  </si>
  <si>
    <t>Upper Bound (%)</t>
  </si>
  <si>
    <t>Lower Bound ($)</t>
  </si>
  <si>
    <t>Upper Bound ($)</t>
  </si>
  <si>
    <t>Base Scenario Type</t>
  </si>
  <si>
    <t>Quarterly</t>
  </si>
  <si>
    <t>base_scenario_type</t>
  </si>
  <si>
    <t>M_TV_N_EA_SP</t>
  </si>
  <si>
    <t>M_OD_CS_N_BR_EA_SP</t>
  </si>
  <si>
    <t>M_OD_CS_N_ACQ_EA_SP</t>
  </si>
  <si>
    <t>M_OOH_L_EA_SP</t>
  </si>
  <si>
    <t>OOH - Local - EA</t>
  </si>
  <si>
    <t>OOH</t>
  </si>
  <si>
    <t>Content Syndication Non Social Online - National - EA</t>
  </si>
  <si>
    <t>Content Syndication Non Social Online - National - DAT</t>
  </si>
  <si>
    <t>Local Events - Non Sports</t>
  </si>
  <si>
    <t>Local Events - Sports</t>
  </si>
  <si>
    <t>Magazine - Local - DAT</t>
  </si>
  <si>
    <t>Magazine - National - DAT</t>
  </si>
  <si>
    <t>Newspaper - Local - DAT</t>
  </si>
  <si>
    <t>Newspaper - National - DAT</t>
  </si>
  <si>
    <t>Online Display Button - National - DAT</t>
  </si>
  <si>
    <t>Online Display - Local - DAT</t>
  </si>
  <si>
    <t>Online Display - National - EA</t>
  </si>
  <si>
    <t>Online Display - National - DAT</t>
  </si>
  <si>
    <t>Online Video - National - EA</t>
  </si>
  <si>
    <t>Online Video - National - DAT</t>
  </si>
  <si>
    <t>Paid Search - Brand Generic - National - EA</t>
  </si>
  <si>
    <t>Paid Search - Brand Generic - National - DAT</t>
  </si>
  <si>
    <t>Paid Search - Brand Pure - National - DAT</t>
  </si>
  <si>
    <t>Paid Search - Non Brand - National - EA</t>
  </si>
  <si>
    <t>Paid Search - Non Brand - National - DAT</t>
  </si>
  <si>
    <t>Advertised Promotion - Sports - Existing - Local</t>
  </si>
  <si>
    <t>Radio - Local - DAT</t>
  </si>
  <si>
    <t>Radio - National - DAT</t>
  </si>
  <si>
    <t>Social Acquisition Online - National - EA</t>
  </si>
  <si>
    <t>Social Acquisition Online - National - DAT</t>
  </si>
  <si>
    <t>Social Brand Online - National - EA</t>
  </si>
  <si>
    <t>Social Brand Online - National - DAT</t>
  </si>
  <si>
    <t>Social Content Online - National - EA</t>
  </si>
  <si>
    <t>Social Content Online - National - DAT</t>
  </si>
  <si>
    <t>Online Display Sponsorship - National - DAT</t>
  </si>
  <si>
    <t>Online Video Sponsorship - National - DAT</t>
  </si>
  <si>
    <t>TV Sponsorship - National - DAT</t>
  </si>
  <si>
    <t>TV - National - EA</t>
  </si>
  <si>
    <t>TV - National - DAT - News Business</t>
  </si>
  <si>
    <t>TV - National - DAT - Other</t>
  </si>
  <si>
    <t>TV - National - DAT - Sports</t>
  </si>
  <si>
    <t>Base Scenario Total</t>
  </si>
  <si>
    <t>Time Period</t>
  </si>
  <si>
    <t>Min (%)</t>
  </si>
  <si>
    <t>Min ($)</t>
  </si>
  <si>
    <t>Max ($)</t>
  </si>
  <si>
    <t>Lower Bound</t>
  </si>
  <si>
    <t>Upper Bound</t>
  </si>
  <si>
    <t>n_periods</t>
  </si>
  <si>
    <t>ratio</t>
  </si>
  <si>
    <t>LB - Q</t>
  </si>
  <si>
    <t>UB - Q</t>
  </si>
  <si>
    <t>Previous Year Total for Selected Quarters</t>
  </si>
  <si>
    <t>Previous Year Quarterly Spend</t>
  </si>
  <si>
    <t>Quarterly Ratio</t>
  </si>
  <si>
    <t>Sum of Quarterly Ratio</t>
  </si>
  <si>
    <t>Lower Bound (Overall -&gt; Quarterly)</t>
  </si>
  <si>
    <t>Upper Bound (Overall -&gt; Quarterly)</t>
  </si>
  <si>
    <t>Base Scenario Quarterly</t>
  </si>
  <si>
    <t>Base Scenario (Overall -&gt; Quarterly)</t>
  </si>
  <si>
    <t>Base Scenario Quarterly - Final</t>
  </si>
  <si>
    <t>Base Scenario  Quarterly Ratio</t>
  </si>
  <si>
    <t>Previous Year</t>
  </si>
  <si>
    <t>Max (%)</t>
  </si>
  <si>
    <t>Outcome</t>
  </si>
  <si>
    <t>FTB</t>
  </si>
  <si>
    <t>SU</t>
  </si>
  <si>
    <t>M_AU_POD_SP</t>
  </si>
  <si>
    <t>Audio</t>
  </si>
  <si>
    <t>Audio Podcast spends</t>
  </si>
  <si>
    <t>M_DISP_DISP_SP</t>
  </si>
  <si>
    <t>Display</t>
  </si>
  <si>
    <t>Display spends</t>
  </si>
  <si>
    <t>M_MA_IOS_SP</t>
  </si>
  <si>
    <t>Mobile App</t>
  </si>
  <si>
    <t xml:space="preserve">Mobile App -  IOS </t>
  </si>
  <si>
    <t>M_MA_AND_SP</t>
  </si>
  <si>
    <t>Mobile App -  Android</t>
  </si>
  <si>
    <t>M_OV_OV_SP</t>
  </si>
  <si>
    <t>Online video</t>
  </si>
  <si>
    <t>M_PA_BUT_SP</t>
  </si>
  <si>
    <t>Paid Affiliate</t>
  </si>
  <si>
    <t>Paid Affiliate - Button</t>
  </si>
  <si>
    <t>M_PA_PROS_SP</t>
  </si>
  <si>
    <t>Paid Affiliate - Prospecting</t>
  </si>
  <si>
    <t>M_PS_PROS_SP</t>
  </si>
  <si>
    <t>Paid social</t>
  </si>
  <si>
    <t>Paid social - Prospecting</t>
  </si>
  <si>
    <t>M_PS_RET_SP</t>
  </si>
  <si>
    <t>Paid social - Retargeting</t>
  </si>
  <si>
    <t>M_PS_BUT_SP</t>
  </si>
  <si>
    <t>Paid social - Button</t>
  </si>
  <si>
    <t>M_PS_INF_SP</t>
  </si>
  <si>
    <t>Paid social - Influencer</t>
  </si>
  <si>
    <t>M_REF30_SP</t>
  </si>
  <si>
    <t>Referral</t>
  </si>
  <si>
    <t>Referral 30-30 bonus</t>
  </si>
  <si>
    <t>M_REF40_SP</t>
  </si>
  <si>
    <t>Referral 40-40 bonus</t>
  </si>
  <si>
    <t>M_SEM_NB_SP</t>
  </si>
  <si>
    <t>SEM</t>
  </si>
  <si>
    <t xml:space="preserve">SEM Non-brand </t>
  </si>
  <si>
    <t>M_SEM_B_SP</t>
  </si>
  <si>
    <t xml:space="preserve">SEM brand </t>
  </si>
  <si>
    <t>M_SEM_BUT_SP</t>
  </si>
  <si>
    <t>SEM Button</t>
  </si>
  <si>
    <t>M_SEM_TRV_SP</t>
  </si>
  <si>
    <t>SEM Travel</t>
  </si>
  <si>
    <t>M_TV_CAB_SP</t>
  </si>
  <si>
    <t>TV Cable/syndicate</t>
  </si>
  <si>
    <t>M_TV_BRD_SP</t>
  </si>
  <si>
    <t>TV Broadcast</t>
  </si>
  <si>
    <t>M_TV_OTH_SP</t>
  </si>
  <si>
    <t>TV Others</t>
  </si>
  <si>
    <t>M_TVE_ROKU_SP</t>
  </si>
  <si>
    <t>TVE</t>
  </si>
  <si>
    <t xml:space="preserve">TVE Roku </t>
  </si>
  <si>
    <t>M_TVE_HTS_SP</t>
  </si>
  <si>
    <t>TVE HTS</t>
  </si>
  <si>
    <t>M_TVE_HULU_SP</t>
  </si>
  <si>
    <t>TVE Hulu</t>
  </si>
  <si>
    <t>M_TVE_EYEQ_SP</t>
  </si>
  <si>
    <t>TVE EyeQ</t>
  </si>
  <si>
    <t>M_TVE_TUBI_SP</t>
  </si>
  <si>
    <t>TVETubi</t>
  </si>
  <si>
    <t>M_TVE_DISC_SP</t>
  </si>
  <si>
    <t>TVE Discovery</t>
  </si>
  <si>
    <t>M_TVE_OTH_SP</t>
  </si>
  <si>
    <t>TVE Others</t>
  </si>
  <si>
    <t>Button</t>
  </si>
  <si>
    <t>Prospecting</t>
  </si>
  <si>
    <t>FTBS</t>
  </si>
  <si>
    <t>SIGNUPS</t>
  </si>
  <si>
    <t>period_year</t>
  </si>
  <si>
    <t>M_REF20_SP</t>
  </si>
  <si>
    <t>Referral 20-20 bonus</t>
  </si>
  <si>
    <t>M_REF25_SP</t>
  </si>
  <si>
    <t>Referral 25-25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</si>
</sst>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₹&quot;\ * #,##0.00_ ;_ &quot;₹&quot;\ * \-#,##0.00_ ;_ &quot;₹&quot;\ * &quot;-&quot;??_ ;_ @_ 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_([$$-409]* #,##0_);_([$$-409]* \(#,##0\);_([$$-409]* &quot;-&quot;??_);_(@_)"/>
    <numFmt numFmtId="167" formatCode="_([$$-409]* #,##0.000_);_([$$-409]* \(#,##0.000\);_([$$-409]* &quot;-&quot;??_);_(@_)"/>
    <numFmt numFmtId="168" formatCode="&quot;₹&quot;\ #,##0.00"/>
    <numFmt numFmtId="169" formatCode="_-[$$-409]* #,##0_ ;_-[$$-409]* \-#,##0\ ;_-[$$-409]* &quot;-&quot;??_ ;_-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44" fontId="1" fillId="0" borderId="0" applyFon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/>
    <xf numFmtId="0" fontId="0" fillId="0" borderId="1" xfId="0" applyBorder="1"/>
    <xf numFmtId="0" fontId="0" fillId="5" borderId="0" xfId="0" applyFill="1"/>
    <xf numFmtId="165" fontId="0" fillId="4" borderId="0" xfId="1" applyNumberFormat="1" applyFont="1" applyFill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5" borderId="2" xfId="0" applyFill="1" applyBorder="1" applyAlignment="1">
      <alignment horizontal="center" vertical="center"/>
    </xf>
    <xf numFmtId="166" fontId="0" fillId="0" borderId="2" xfId="0" applyNumberFormat="1" applyBorder="1"/>
    <xf numFmtId="9" fontId="0" fillId="0" borderId="2" xfId="2" applyFont="1" applyBorder="1" applyAlignment="1">
      <alignment horizontal="center"/>
    </xf>
    <xf numFmtId="165" fontId="0" fillId="6" borderId="1" xfId="1" applyNumberFormat="1" applyFont="1" applyFill="1" applyBorder="1" applyAlignment="1" applyProtection="1">
      <alignment horizontal="center"/>
    </xf>
    <xf numFmtId="0" fontId="0" fillId="0" borderId="0" xfId="0" applyProtection="1">
      <protection locked="0"/>
    </xf>
    <xf numFmtId="0" fontId="3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5" fillId="0" borderId="1" xfId="0" applyFont="1" applyBorder="1" applyProtection="1">
      <protection locked="0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0" xfId="0" applyFill="1" applyProtection="1">
      <protection locked="0"/>
    </xf>
    <xf numFmtId="0" fontId="5" fillId="0" borderId="1" xfId="0" applyFont="1" applyBorder="1" applyAlignment="1" applyProtection="1">
      <alignment vertical="center"/>
      <protection locked="0"/>
    </xf>
    <xf numFmtId="0" fontId="4" fillId="4" borderId="0" xfId="0" applyFont="1" applyFill="1" applyProtection="1">
      <protection locked="0"/>
    </xf>
    <xf numFmtId="0" fontId="0" fillId="6" borderId="0" xfId="0" applyFill="1" applyProtection="1">
      <protection locked="0"/>
    </xf>
    <xf numFmtId="165" fontId="0" fillId="4" borderId="1" xfId="1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Alignment="1">
      <alignment horizontal="center" vertical="center" wrapText="1"/>
    </xf>
    <xf numFmtId="0" fontId="5" fillId="0" borderId="1" xfId="1" applyNumberFormat="1" applyFont="1" applyFill="1" applyBorder="1" applyAlignment="1" applyProtection="1">
      <alignment horizontal="left" vertical="center"/>
    </xf>
    <xf numFmtId="166" fontId="0" fillId="0" borderId="0" xfId="0" applyNumberFormat="1"/>
    <xf numFmtId="167" fontId="0" fillId="0" borderId="0" xfId="0" applyNumberFormat="1"/>
    <xf numFmtId="165" fontId="0" fillId="4" borderId="1" xfId="1" applyNumberFormat="1" applyFont="1" applyFill="1" applyBorder="1"/>
    <xf numFmtId="165" fontId="0" fillId="0" borderId="0" xfId="0" applyNumberFormat="1"/>
    <xf numFmtId="165" fontId="0" fillId="0" borderId="0" xfId="1" applyNumberFormat="1" applyFont="1" applyFill="1"/>
    <xf numFmtId="0" fontId="2" fillId="0" borderId="0" xfId="0" applyFont="1"/>
    <xf numFmtId="165" fontId="0" fillId="0" borderId="2" xfId="4" applyNumberFormat="1" applyFont="1" applyBorder="1" applyAlignment="1">
      <alignment horizontal="center"/>
    </xf>
    <xf numFmtId="165" fontId="0" fillId="0" borderId="3" xfId="4" applyNumberFormat="1" applyFont="1" applyBorder="1" applyAlignment="1">
      <alignment horizontal="center"/>
    </xf>
    <xf numFmtId="165" fontId="0" fillId="0" borderId="4" xfId="4" applyNumberFormat="1" applyFont="1" applyBorder="1" applyAlignment="1">
      <alignment horizontal="center"/>
    </xf>
    <xf numFmtId="9" fontId="0" fillId="0" borderId="4" xfId="2" applyFont="1" applyBorder="1" applyAlignment="1">
      <alignment horizontal="center"/>
    </xf>
    <xf numFmtId="166" fontId="0" fillId="0" borderId="4" xfId="0" applyNumberFormat="1" applyBorder="1"/>
    <xf numFmtId="0" fontId="0" fillId="5" borderId="5" xfId="0" applyFill="1" applyBorder="1" applyAlignment="1">
      <alignment horizontal="center" vertical="center"/>
    </xf>
    <xf numFmtId="0" fontId="0" fillId="0" borderId="6" xfId="0" applyBorder="1"/>
    <xf numFmtId="165" fontId="0" fillId="0" borderId="7" xfId="4" applyNumberFormat="1" applyFont="1" applyBorder="1" applyAlignment="1">
      <alignment horizontal="center"/>
    </xf>
    <xf numFmtId="0" fontId="0" fillId="5" borderId="8" xfId="0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/>
    </xf>
    <xf numFmtId="0" fontId="0" fillId="0" borderId="15" xfId="0" applyBorder="1"/>
    <xf numFmtId="2" fontId="0" fillId="0" borderId="1" xfId="0" applyNumberFormat="1" applyBorder="1"/>
    <xf numFmtId="168" fontId="0" fillId="0" borderId="0" xfId="0" applyNumberFormat="1"/>
    <xf numFmtId="166" fontId="0" fillId="6" borderId="2" xfId="0" applyNumberFormat="1" applyFill="1" applyBorder="1"/>
    <xf numFmtId="166" fontId="0" fillId="6" borderId="1" xfId="0" applyNumberFormat="1" applyFill="1" applyBorder="1"/>
    <xf numFmtId="169" fontId="0" fillId="0" borderId="1" xfId="0" applyNumberFormat="1" applyBorder="1"/>
    <xf numFmtId="0" fontId="2" fillId="2" borderId="2" xfId="0" applyFont="1" applyFill="1" applyBorder="1" applyAlignment="1">
      <alignment horizontal="center" vertical="center" wrapText="1"/>
    </xf>
    <xf numFmtId="169" fontId="0" fillId="6" borderId="1" xfId="0" applyNumberFormat="1" applyFill="1" applyBorder="1"/>
    <xf numFmtId="165" fontId="2" fillId="2" borderId="1" xfId="1" applyNumberFormat="1" applyFont="1" applyFill="1" applyBorder="1" applyAlignment="1">
      <alignment horizontal="center"/>
    </xf>
    <xf numFmtId="165" fontId="0" fillId="0" borderId="0" xfId="1" applyNumberFormat="1" applyFont="1"/>
    <xf numFmtId="169" fontId="0" fillId="6" borderId="2" xfId="2" applyNumberFormat="1" applyFont="1" applyFill="1" applyBorder="1" applyAlignment="1">
      <alignment horizontal="center"/>
    </xf>
    <xf numFmtId="165" fontId="0" fillId="0" borderId="1" xfId="4" applyNumberFormat="1" applyFont="1" applyBorder="1" applyAlignment="1">
      <alignment horizontal="center"/>
    </xf>
    <xf numFmtId="165" fontId="0" fillId="6" borderId="1" xfId="4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9" fontId="0" fillId="4" borderId="2" xfId="2" applyFont="1" applyFill="1" applyBorder="1" applyAlignment="1">
      <alignment horizontal="center"/>
    </xf>
    <xf numFmtId="165" fontId="0" fillId="4" borderId="2" xfId="1" applyNumberFormat="1" applyFont="1" applyFill="1" applyBorder="1" applyAlignment="1">
      <alignment horizontal="center"/>
    </xf>
    <xf numFmtId="9" fontId="0" fillId="4" borderId="1" xfId="2" applyFont="1" applyFill="1" applyBorder="1" applyAlignment="1">
      <alignment horizontal="center"/>
    </xf>
    <xf numFmtId="165" fontId="0" fillId="4" borderId="1" xfId="4" applyNumberFormat="1" applyFont="1" applyFill="1" applyBorder="1" applyAlignment="1">
      <alignment horizontal="center"/>
    </xf>
    <xf numFmtId="169" fontId="0" fillId="4" borderId="1" xfId="0" applyNumberFormat="1" applyFill="1" applyBorder="1"/>
    <xf numFmtId="0" fontId="7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5">
    <cellStyle name="Currency" xfId="1" builtinId="4"/>
    <cellStyle name="Currency 2" xfId="4" xr:uid="{00000000-0005-0000-0000-000001000000}"/>
    <cellStyle name="Normal" xfId="0" builtinId="0"/>
    <cellStyle name="Normal 2" xfId="3" xr:uid="{00000000-0005-0000-0000-000003000000}"/>
    <cellStyle name="Percent" xfId="2" builtinId="5"/>
  </cellStyles>
  <dxfs count="661">
    <dxf>
      <fill>
        <patternFill>
          <bgColor theme="0" tint="-0.34998626667073579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0" tint="-0.34998626667073579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0" tint="-0.34998626667073579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0" tint="-0.34998626667073579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0" tint="-0.34998626667073579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0" tint="-0.34998626667073579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0" tint="-0.34998626667073579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I12"/>
  <sheetViews>
    <sheetView showGridLines="0" workbookViewId="0">
      <selection activeCell="F8" sqref="F8"/>
    </sheetView>
  </sheetViews>
  <sheetFormatPr defaultColWidth="8.85546875" defaultRowHeight="15" x14ac:dyDescent="0.25"/>
  <cols>
    <col min="1" max="1" width="1.7109375" style="16" customWidth="1"/>
    <col min="2" max="2" width="14.5703125" style="16" customWidth="1"/>
    <col min="3" max="3" width="30.7109375" style="16" customWidth="1"/>
    <col min="4" max="4" width="25.7109375" style="16" customWidth="1"/>
    <col min="5" max="5" width="2.7109375" style="16" customWidth="1"/>
    <col min="6" max="6" width="27.140625" style="16" customWidth="1"/>
    <col min="7" max="7" width="2.7109375" style="16" customWidth="1"/>
    <col min="8" max="16384" width="8.85546875" style="16"/>
  </cols>
  <sheetData>
    <row r="1" spans="3:9" ht="10.15" customHeight="1" x14ac:dyDescent="0.25"/>
    <row r="3" spans="3:9" ht="18.75" x14ac:dyDescent="0.3">
      <c r="C3" s="17" t="s">
        <v>93</v>
      </c>
    </row>
    <row r="4" spans="3:9" x14ac:dyDescent="0.25">
      <c r="H4" s="18" t="s">
        <v>90</v>
      </c>
    </row>
    <row r="5" spans="3:9" x14ac:dyDescent="0.25">
      <c r="C5" s="19" t="s">
        <v>82</v>
      </c>
      <c r="D5" s="20" t="s">
        <v>189</v>
      </c>
      <c r="H5" s="21"/>
      <c r="I5" s="16" t="s">
        <v>91</v>
      </c>
    </row>
    <row r="6" spans="3:9" ht="14.45" customHeight="1" x14ac:dyDescent="0.25">
      <c r="C6" s="22" t="s">
        <v>85</v>
      </c>
      <c r="D6" s="20" t="s">
        <v>75</v>
      </c>
      <c r="F6" s="65" t="str">
        <f>IF(D6&gt;D7, "End time period can't be earlier than start time period.", "")</f>
        <v/>
      </c>
      <c r="H6" s="23"/>
      <c r="I6" s="16" t="s">
        <v>92</v>
      </c>
    </row>
    <row r="7" spans="3:9" x14ac:dyDescent="0.25">
      <c r="C7" s="22" t="s">
        <v>86</v>
      </c>
      <c r="D7" s="20" t="s">
        <v>78</v>
      </c>
      <c r="F7" s="65"/>
      <c r="H7" s="24"/>
      <c r="I7" s="16" t="s">
        <v>115</v>
      </c>
    </row>
    <row r="8" spans="3:9" x14ac:dyDescent="0.25">
      <c r="C8" s="22" t="s">
        <v>120</v>
      </c>
      <c r="D8" s="20" t="s">
        <v>121</v>
      </c>
      <c r="F8" s="26"/>
    </row>
    <row r="9" spans="3:9" x14ac:dyDescent="0.25">
      <c r="C9" s="19" t="s">
        <v>103</v>
      </c>
      <c r="D9" s="15">
        <f>SUM('Base Scenario'!I2:I50)</f>
        <v>108820476.32100001</v>
      </c>
    </row>
    <row r="10" spans="3:9" x14ac:dyDescent="0.25">
      <c r="C10" s="19" t="s">
        <v>112</v>
      </c>
      <c r="D10" s="20" t="s">
        <v>111</v>
      </c>
      <c r="H10" s="16" t="s">
        <v>187</v>
      </c>
    </row>
    <row r="11" spans="3:9" x14ac:dyDescent="0.25">
      <c r="C11" s="27" t="str">
        <f>D10</f>
        <v>Reallocate Base Budget</v>
      </c>
      <c r="D11" s="25">
        <v>5000000</v>
      </c>
      <c r="H11" s="16" t="s">
        <v>188</v>
      </c>
    </row>
    <row r="12" spans="3:9" x14ac:dyDescent="0.25">
      <c r="C12" s="19" t="s">
        <v>114</v>
      </c>
      <c r="D12" s="15">
        <f>IF(D10=Config!L3,'Main Input'!D9,IF('Main Input'!D10=Config!L4,'Main Input'!D9+'Main Input'!D11,'Main Input'!D11))</f>
        <v>108820476.32100001</v>
      </c>
      <c r="H12" s="16" t="s">
        <v>189</v>
      </c>
    </row>
  </sheetData>
  <sheetProtection formatCells="0" formatColumns="0" formatRows="0" insertHyperlinks="0" selectLockedCells="1"/>
  <mergeCells count="1">
    <mergeCell ref="F6:F7"/>
  </mergeCells>
  <dataValidations count="1">
    <dataValidation type="list" allowBlank="1" showInputMessage="1" showErrorMessage="1" sqref="D5" xr:uid="{00000000-0002-0000-0000-000000000000}">
      <formula1>$H$11:$H$12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3DA5F309-A51E-4588-AC74-2E947CA8A5F4}">
            <xm:f>$D$10=Config!$L$3</xm:f>
            <x14:dxf>
              <fill>
                <patternFill>
                  <bgColor theme="1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expression" priority="1" id="{4CC04EEA-9391-4BDF-9E04-C87B4664F82B}">
            <xm:f>$D$10=Config!$L$3</xm:f>
            <x14:dxf>
              <fill>
                <patternFill>
                  <bgColor theme="1"/>
                </patternFill>
              </fill>
            </x14:dxf>
          </x14:cfRule>
          <xm:sqref>C11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1000000}">
          <x14:formula1>
            <xm:f>Config!$E$3:$E$6</xm:f>
          </x14:formula1>
          <xm:sqref>D6:D7</xm:sqref>
        </x14:dataValidation>
        <x14:dataValidation type="list" allowBlank="1" showInputMessage="1" showErrorMessage="1" xr:uid="{00000000-0002-0000-0000-000002000000}">
          <x14:formula1>
            <xm:f>Config!$L$3:$L$5</xm:f>
          </x14:formula1>
          <xm:sqref>D10</xm:sqref>
        </x14:dataValidation>
        <x14:dataValidation type="list" allowBlank="1" showInputMessage="1" showErrorMessage="1" xr:uid="{00000000-0002-0000-0000-000003000000}">
          <x14:formula1>
            <xm:f>Config!$P$3:$P$4</xm:f>
          </x14:formula1>
          <xm:sqref>D8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49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C14" sqref="C14"/>
    </sheetView>
  </sheetViews>
  <sheetFormatPr defaultRowHeight="15" x14ac:dyDescent="0.25"/>
  <cols>
    <col min="1" max="1" width="24.5703125" bestFit="1" customWidth="1"/>
    <col min="2" max="2" width="19.140625" bestFit="1" customWidth="1"/>
    <col min="3" max="3" width="50.7109375" bestFit="1" customWidth="1"/>
    <col min="4" max="4" width="4.85546875" bestFit="1" customWidth="1"/>
    <col min="5" max="5" width="13.28515625" bestFit="1" customWidth="1"/>
    <col min="6" max="6" width="16.140625" bestFit="1" customWidth="1"/>
    <col min="7" max="7" width="16.28515625" bestFit="1" customWidth="1"/>
    <col min="8" max="8" width="15.5703125" bestFit="1" customWidth="1"/>
    <col min="9" max="9" width="15.7109375" bestFit="1" customWidth="1"/>
    <col min="10" max="10" width="4.85546875" bestFit="1" customWidth="1"/>
    <col min="11" max="11" width="13.28515625" bestFit="1" customWidth="1"/>
    <col min="12" max="12" width="16.140625" bestFit="1" customWidth="1"/>
    <col min="13" max="13" width="16.28515625" bestFit="1" customWidth="1"/>
    <col min="14" max="14" width="15.5703125" bestFit="1" customWidth="1"/>
    <col min="15" max="15" width="15.7109375" bestFit="1" customWidth="1"/>
    <col min="16" max="16" width="4.85546875" bestFit="1" customWidth="1"/>
    <col min="17" max="17" width="13.28515625" bestFit="1" customWidth="1"/>
    <col min="18" max="18" width="16.140625" bestFit="1" customWidth="1"/>
    <col min="19" max="19" width="16.28515625" bestFit="1" customWidth="1"/>
    <col min="20" max="20" width="15.5703125" bestFit="1" customWidth="1"/>
    <col min="21" max="21" width="15.7109375" bestFit="1" customWidth="1"/>
    <col min="22" max="22" width="4.85546875" bestFit="1" customWidth="1"/>
    <col min="23" max="23" width="13.28515625" bestFit="1" customWidth="1"/>
    <col min="24" max="24" width="16.140625" bestFit="1" customWidth="1"/>
    <col min="25" max="25" width="16.28515625" bestFit="1" customWidth="1"/>
    <col min="26" max="26" width="15.5703125" bestFit="1" customWidth="1"/>
    <col min="27" max="27" width="15.7109375" bestFit="1" customWidth="1"/>
  </cols>
  <sheetData>
    <row r="1" spans="1:27" x14ac:dyDescent="0.25">
      <c r="A1" s="46"/>
      <c r="B1" s="46"/>
      <c r="C1" s="46"/>
      <c r="D1" s="69" t="s">
        <v>75</v>
      </c>
      <c r="E1" s="70"/>
      <c r="F1" s="70"/>
      <c r="G1" s="70"/>
      <c r="H1" s="70"/>
      <c r="I1" s="71"/>
      <c r="J1" s="72" t="s">
        <v>76</v>
      </c>
      <c r="K1" s="73"/>
      <c r="L1" s="73"/>
      <c r="M1" s="73"/>
      <c r="N1" s="73"/>
      <c r="O1" s="74"/>
      <c r="P1" s="72" t="s">
        <v>77</v>
      </c>
      <c r="Q1" s="73"/>
      <c r="R1" s="73"/>
      <c r="S1" s="73"/>
      <c r="T1" s="73"/>
      <c r="U1" s="74"/>
      <c r="V1" s="72" t="s">
        <v>78</v>
      </c>
      <c r="W1" s="73"/>
      <c r="X1" s="73"/>
      <c r="Y1" s="73"/>
      <c r="Z1" s="73"/>
      <c r="AA1" s="74"/>
    </row>
    <row r="2" spans="1:27" x14ac:dyDescent="0.25">
      <c r="A2" s="6" t="s">
        <v>72</v>
      </c>
      <c r="B2" s="6" t="s">
        <v>56</v>
      </c>
      <c r="C2" s="45" t="s">
        <v>55</v>
      </c>
      <c r="D2" s="44" t="s">
        <v>73</v>
      </c>
      <c r="E2" s="6" t="s">
        <v>43</v>
      </c>
      <c r="F2" s="6" t="s">
        <v>116</v>
      </c>
      <c r="G2" s="6" t="s">
        <v>117</v>
      </c>
      <c r="H2" s="6" t="s">
        <v>118</v>
      </c>
      <c r="I2" s="43" t="s">
        <v>119</v>
      </c>
      <c r="J2" s="44" t="s">
        <v>73</v>
      </c>
      <c r="K2" s="6" t="s">
        <v>43</v>
      </c>
      <c r="L2" s="6" t="s">
        <v>116</v>
      </c>
      <c r="M2" s="6" t="s">
        <v>117</v>
      </c>
      <c r="N2" s="6" t="s">
        <v>118</v>
      </c>
      <c r="O2" s="43" t="s">
        <v>119</v>
      </c>
      <c r="P2" s="44" t="s">
        <v>73</v>
      </c>
      <c r="Q2" s="6" t="s">
        <v>43</v>
      </c>
      <c r="R2" s="6" t="s">
        <v>116</v>
      </c>
      <c r="S2" s="6" t="s">
        <v>117</v>
      </c>
      <c r="T2" s="6" t="s">
        <v>118</v>
      </c>
      <c r="U2" s="43" t="s">
        <v>119</v>
      </c>
      <c r="V2" s="44" t="s">
        <v>73</v>
      </c>
      <c r="W2" s="6" t="s">
        <v>43</v>
      </c>
      <c r="X2" s="6" t="s">
        <v>116</v>
      </c>
      <c r="Y2" s="6" t="s">
        <v>117</v>
      </c>
      <c r="Z2" s="6" t="s">
        <v>118</v>
      </c>
      <c r="AA2" s="43" t="s">
        <v>119</v>
      </c>
    </row>
    <row r="3" spans="1:27" x14ac:dyDescent="0.25">
      <c r="A3" s="11" t="s">
        <v>32</v>
      </c>
      <c r="B3" s="11" t="s">
        <v>67</v>
      </c>
      <c r="C3" s="40" t="s">
        <v>44</v>
      </c>
      <c r="D3" s="42" t="s">
        <v>74</v>
      </c>
      <c r="E3" s="13">
        <v>0</v>
      </c>
      <c r="F3" s="14">
        <v>0</v>
      </c>
      <c r="G3" s="14">
        <v>0.05</v>
      </c>
      <c r="H3" s="34">
        <v>0</v>
      </c>
      <c r="I3" s="41">
        <v>0</v>
      </c>
      <c r="J3" s="42" t="s">
        <v>74</v>
      </c>
      <c r="K3" s="13">
        <v>0</v>
      </c>
      <c r="L3" s="14">
        <v>0</v>
      </c>
      <c r="M3" s="14">
        <v>0.05</v>
      </c>
      <c r="N3" s="34">
        <v>0</v>
      </c>
      <c r="O3" s="41">
        <v>0</v>
      </c>
      <c r="P3" s="42" t="s">
        <v>74</v>
      </c>
      <c r="Q3" s="13">
        <v>0</v>
      </c>
      <c r="R3" s="14">
        <v>0</v>
      </c>
      <c r="S3" s="14">
        <v>0.05</v>
      </c>
      <c r="T3" s="34">
        <v>0</v>
      </c>
      <c r="U3" s="41">
        <v>0</v>
      </c>
      <c r="V3" s="42" t="s">
        <v>74</v>
      </c>
      <c r="W3" s="13">
        <v>0</v>
      </c>
      <c r="X3" s="14">
        <v>0</v>
      </c>
      <c r="Y3" s="14">
        <v>0.05</v>
      </c>
      <c r="Z3" s="34">
        <v>0</v>
      </c>
      <c r="AA3" s="41">
        <v>0</v>
      </c>
    </row>
    <row r="4" spans="1:27" x14ac:dyDescent="0.25">
      <c r="A4" s="3" t="s">
        <v>31</v>
      </c>
      <c r="B4" s="11" t="s">
        <v>67</v>
      </c>
      <c r="C4" s="40" t="s">
        <v>45</v>
      </c>
      <c r="D4" s="42" t="s">
        <v>74</v>
      </c>
      <c r="E4" s="13">
        <v>796901</v>
      </c>
      <c r="F4" s="14">
        <v>0</v>
      </c>
      <c r="G4" s="14">
        <v>0.05</v>
      </c>
      <c r="H4" s="34">
        <v>796901</v>
      </c>
      <c r="I4" s="41">
        <v>836746.05</v>
      </c>
      <c r="J4" s="42" t="s">
        <v>74</v>
      </c>
      <c r="K4" s="13">
        <v>1401685</v>
      </c>
      <c r="L4" s="14">
        <v>0</v>
      </c>
      <c r="M4" s="14">
        <v>0.05</v>
      </c>
      <c r="N4" s="34">
        <v>0</v>
      </c>
      <c r="O4" s="41">
        <v>0</v>
      </c>
      <c r="P4" s="42" t="s">
        <v>74</v>
      </c>
      <c r="Q4" s="13">
        <v>1324364</v>
      </c>
      <c r="R4" s="14">
        <v>0</v>
      </c>
      <c r="S4" s="14">
        <v>0.05</v>
      </c>
      <c r="T4" s="34">
        <v>0</v>
      </c>
      <c r="U4" s="41">
        <v>0</v>
      </c>
      <c r="V4" s="42" t="s">
        <v>74</v>
      </c>
      <c r="W4" s="13">
        <v>1331429</v>
      </c>
      <c r="X4" s="14">
        <v>0</v>
      </c>
      <c r="Y4" s="14">
        <v>0.05</v>
      </c>
      <c r="Z4" s="34">
        <v>0</v>
      </c>
      <c r="AA4" s="41">
        <v>0</v>
      </c>
    </row>
    <row r="5" spans="1:27" x14ac:dyDescent="0.25">
      <c r="A5" s="3" t="s">
        <v>34</v>
      </c>
      <c r="B5" s="11" t="s">
        <v>67</v>
      </c>
      <c r="C5" s="40" t="s">
        <v>46</v>
      </c>
      <c r="D5" s="42" t="s">
        <v>74</v>
      </c>
      <c r="E5" s="13">
        <v>0</v>
      </c>
      <c r="F5" s="14">
        <v>0</v>
      </c>
      <c r="G5" s="14">
        <v>0.05</v>
      </c>
      <c r="H5" s="34">
        <v>0</v>
      </c>
      <c r="I5" s="41">
        <v>0</v>
      </c>
      <c r="J5" s="42" t="s">
        <v>74</v>
      </c>
      <c r="K5" s="13">
        <v>0</v>
      </c>
      <c r="L5" s="14">
        <v>0</v>
      </c>
      <c r="M5" s="14">
        <v>0.05</v>
      </c>
      <c r="N5" s="34">
        <v>0</v>
      </c>
      <c r="O5" s="41">
        <v>0</v>
      </c>
      <c r="P5" s="42" t="s">
        <v>74</v>
      </c>
      <c r="Q5" s="13">
        <v>0</v>
      </c>
      <c r="R5" s="14">
        <v>0</v>
      </c>
      <c r="S5" s="14">
        <v>0.05</v>
      </c>
      <c r="T5" s="34">
        <v>0</v>
      </c>
      <c r="U5" s="41">
        <v>0</v>
      </c>
      <c r="V5" s="42" t="s">
        <v>74</v>
      </c>
      <c r="W5" s="13">
        <v>0</v>
      </c>
      <c r="X5" s="14">
        <v>0</v>
      </c>
      <c r="Y5" s="14">
        <v>0.05</v>
      </c>
      <c r="Z5" s="34">
        <v>0</v>
      </c>
      <c r="AA5" s="41">
        <v>0</v>
      </c>
    </row>
    <row r="6" spans="1:27" x14ac:dyDescent="0.25">
      <c r="A6" s="3" t="s">
        <v>33</v>
      </c>
      <c r="B6" s="11" t="s">
        <v>67</v>
      </c>
      <c r="C6" s="40" t="s">
        <v>47</v>
      </c>
      <c r="D6" s="42" t="s">
        <v>74</v>
      </c>
      <c r="E6" s="13">
        <v>0</v>
      </c>
      <c r="F6" s="14">
        <v>0</v>
      </c>
      <c r="G6" s="14">
        <v>0.05</v>
      </c>
      <c r="H6" s="34">
        <v>0</v>
      </c>
      <c r="I6" s="41">
        <v>0</v>
      </c>
      <c r="J6" s="42" t="s">
        <v>74</v>
      </c>
      <c r="K6" s="13">
        <v>0</v>
      </c>
      <c r="L6" s="14">
        <v>0</v>
      </c>
      <c r="M6" s="14">
        <v>0.05</v>
      </c>
      <c r="N6" s="34">
        <v>0</v>
      </c>
      <c r="O6" s="41">
        <v>0</v>
      </c>
      <c r="P6" s="42" t="s">
        <v>74</v>
      </c>
      <c r="Q6" s="13">
        <v>0</v>
      </c>
      <c r="R6" s="14">
        <v>0</v>
      </c>
      <c r="S6" s="14">
        <v>0.05</v>
      </c>
      <c r="T6" s="34">
        <v>0</v>
      </c>
      <c r="U6" s="41">
        <v>0</v>
      </c>
      <c r="V6" s="42" t="s">
        <v>74</v>
      </c>
      <c r="W6" s="13">
        <v>0</v>
      </c>
      <c r="X6" s="14">
        <v>0</v>
      </c>
      <c r="Y6" s="14">
        <v>0.05</v>
      </c>
      <c r="Z6" s="34">
        <v>0</v>
      </c>
      <c r="AA6" s="41">
        <v>0</v>
      </c>
    </row>
    <row r="7" spans="1:27" x14ac:dyDescent="0.25">
      <c r="A7" s="3" t="s">
        <v>36</v>
      </c>
      <c r="B7" s="11" t="s">
        <v>67</v>
      </c>
      <c r="C7" s="40" t="s">
        <v>148</v>
      </c>
      <c r="D7" s="42" t="s">
        <v>74</v>
      </c>
      <c r="E7" s="13">
        <v>158985</v>
      </c>
      <c r="F7" s="14">
        <v>0</v>
      </c>
      <c r="G7" s="14">
        <v>0.05</v>
      </c>
      <c r="H7" s="34">
        <v>158985</v>
      </c>
      <c r="I7" s="41">
        <v>166934.25</v>
      </c>
      <c r="J7" s="42" t="s">
        <v>74</v>
      </c>
      <c r="K7" s="13">
        <v>151559</v>
      </c>
      <c r="L7" s="14">
        <v>0</v>
      </c>
      <c r="M7" s="14">
        <v>0.05</v>
      </c>
      <c r="N7" s="34">
        <v>0</v>
      </c>
      <c r="O7" s="41">
        <v>0</v>
      </c>
      <c r="P7" s="42" t="s">
        <v>74</v>
      </c>
      <c r="Q7" s="13">
        <v>129573</v>
      </c>
      <c r="R7" s="14">
        <v>0</v>
      </c>
      <c r="S7" s="14">
        <v>0.05</v>
      </c>
      <c r="T7" s="34">
        <v>0</v>
      </c>
      <c r="U7" s="41">
        <v>0</v>
      </c>
      <c r="V7" s="42" t="s">
        <v>74</v>
      </c>
      <c r="W7" s="13">
        <v>101635</v>
      </c>
      <c r="X7" s="14">
        <v>0</v>
      </c>
      <c r="Y7" s="14">
        <v>0.05</v>
      </c>
      <c r="Z7" s="34">
        <v>0</v>
      </c>
      <c r="AA7" s="41">
        <v>0</v>
      </c>
    </row>
    <row r="8" spans="1:27" x14ac:dyDescent="0.25">
      <c r="A8" s="3" t="s">
        <v>35</v>
      </c>
      <c r="B8" s="11" t="s">
        <v>67</v>
      </c>
      <c r="C8" s="40" t="s">
        <v>48</v>
      </c>
      <c r="D8" s="42" t="s">
        <v>74</v>
      </c>
      <c r="E8" s="13">
        <v>34005</v>
      </c>
      <c r="F8" s="14">
        <v>0</v>
      </c>
      <c r="G8" s="14">
        <v>0.05</v>
      </c>
      <c r="H8" s="34">
        <v>34005</v>
      </c>
      <c r="I8" s="41">
        <v>35705.25</v>
      </c>
      <c r="J8" s="42" t="s">
        <v>74</v>
      </c>
      <c r="K8" s="13">
        <v>17442</v>
      </c>
      <c r="L8" s="14">
        <v>0</v>
      </c>
      <c r="M8" s="14">
        <v>0.05</v>
      </c>
      <c r="N8" s="34">
        <v>0</v>
      </c>
      <c r="O8" s="41">
        <v>0</v>
      </c>
      <c r="P8" s="42" t="s">
        <v>74</v>
      </c>
      <c r="Q8" s="13">
        <v>26582</v>
      </c>
      <c r="R8" s="14">
        <v>0</v>
      </c>
      <c r="S8" s="14">
        <v>0.05</v>
      </c>
      <c r="T8" s="34">
        <v>0</v>
      </c>
      <c r="U8" s="41">
        <v>0</v>
      </c>
      <c r="V8" s="42" t="s">
        <v>74</v>
      </c>
      <c r="W8" s="13">
        <v>26300</v>
      </c>
      <c r="X8" s="14">
        <v>0</v>
      </c>
      <c r="Y8" s="14">
        <v>0.05</v>
      </c>
      <c r="Z8" s="34">
        <v>0</v>
      </c>
      <c r="AA8" s="41">
        <v>0</v>
      </c>
    </row>
    <row r="9" spans="1:27" x14ac:dyDescent="0.25">
      <c r="A9" s="3" t="s">
        <v>30</v>
      </c>
      <c r="B9" s="11" t="s">
        <v>57</v>
      </c>
      <c r="C9" s="40" t="s">
        <v>49</v>
      </c>
      <c r="D9" s="42" t="s">
        <v>74</v>
      </c>
      <c r="E9" s="13">
        <v>1584285</v>
      </c>
      <c r="F9" s="14">
        <v>0</v>
      </c>
      <c r="G9" s="14">
        <v>0.05</v>
      </c>
      <c r="H9" s="34">
        <v>1584285</v>
      </c>
      <c r="I9" s="41">
        <v>1663499.25</v>
      </c>
      <c r="J9" s="42" t="s">
        <v>74</v>
      </c>
      <c r="K9" s="13">
        <v>2546380</v>
      </c>
      <c r="L9" s="14">
        <v>0</v>
      </c>
      <c r="M9" s="14">
        <v>0.05</v>
      </c>
      <c r="N9" s="34">
        <v>0</v>
      </c>
      <c r="O9" s="41">
        <v>0</v>
      </c>
      <c r="P9" s="42" t="s">
        <v>74</v>
      </c>
      <c r="Q9" s="13">
        <v>2430653</v>
      </c>
      <c r="R9" s="14">
        <v>0</v>
      </c>
      <c r="S9" s="14">
        <v>0.05</v>
      </c>
      <c r="T9" s="34">
        <v>0</v>
      </c>
      <c r="U9" s="41">
        <v>0</v>
      </c>
      <c r="V9" s="42" t="s">
        <v>74</v>
      </c>
      <c r="W9" s="13">
        <v>2180967</v>
      </c>
      <c r="X9" s="14">
        <v>0</v>
      </c>
      <c r="Y9" s="14">
        <v>0.05</v>
      </c>
      <c r="Z9" s="34">
        <v>0</v>
      </c>
      <c r="AA9" s="41">
        <v>0</v>
      </c>
    </row>
    <row r="10" spans="1:27" x14ac:dyDescent="0.25">
      <c r="A10" s="3" t="s">
        <v>29</v>
      </c>
      <c r="B10" s="11" t="s">
        <v>57</v>
      </c>
      <c r="C10" s="40" t="s">
        <v>50</v>
      </c>
      <c r="D10" s="42" t="s">
        <v>74</v>
      </c>
      <c r="E10" s="13">
        <v>503110</v>
      </c>
      <c r="F10" s="14">
        <v>0</v>
      </c>
      <c r="G10" s="14">
        <v>0.05</v>
      </c>
      <c r="H10" s="34">
        <v>503110</v>
      </c>
      <c r="I10" s="41">
        <v>528265.5</v>
      </c>
      <c r="J10" s="42" t="s">
        <v>74</v>
      </c>
      <c r="K10" s="13">
        <v>628995</v>
      </c>
      <c r="L10" s="14">
        <v>0</v>
      </c>
      <c r="M10" s="14">
        <v>0.05</v>
      </c>
      <c r="N10" s="34">
        <v>0</v>
      </c>
      <c r="O10" s="41">
        <v>0</v>
      </c>
      <c r="P10" s="42" t="s">
        <v>74</v>
      </c>
      <c r="Q10" s="13">
        <v>689621</v>
      </c>
      <c r="R10" s="14">
        <v>0</v>
      </c>
      <c r="S10" s="14">
        <v>0.05</v>
      </c>
      <c r="T10" s="34">
        <v>0</v>
      </c>
      <c r="U10" s="41">
        <v>0</v>
      </c>
      <c r="V10" s="42" t="s">
        <v>74</v>
      </c>
      <c r="W10" s="13">
        <v>735969</v>
      </c>
      <c r="X10" s="14">
        <v>0</v>
      </c>
      <c r="Y10" s="14">
        <v>0.05</v>
      </c>
      <c r="Z10" s="34">
        <v>0</v>
      </c>
      <c r="AA10" s="41">
        <v>0</v>
      </c>
    </row>
    <row r="11" spans="1:27" x14ac:dyDescent="0.25">
      <c r="A11" s="3" t="s">
        <v>14</v>
      </c>
      <c r="B11" s="11" t="s">
        <v>58</v>
      </c>
      <c r="C11" s="40" t="s">
        <v>130</v>
      </c>
      <c r="D11" s="42" t="s">
        <v>97</v>
      </c>
      <c r="E11" s="13">
        <v>1298218</v>
      </c>
      <c r="F11" s="14">
        <v>-0.3</v>
      </c>
      <c r="G11" s="14">
        <v>0.3</v>
      </c>
      <c r="H11" s="34">
        <v>955651</v>
      </c>
      <c r="I11" s="41">
        <v>1529043</v>
      </c>
      <c r="J11" s="42" t="s">
        <v>97</v>
      </c>
      <c r="K11" s="13">
        <v>1805499</v>
      </c>
      <c r="L11" s="14">
        <v>-0.3</v>
      </c>
      <c r="M11" s="14">
        <v>0.3</v>
      </c>
      <c r="N11" s="34">
        <v>955651</v>
      </c>
      <c r="O11" s="41">
        <v>1529043</v>
      </c>
      <c r="P11" s="42" t="s">
        <v>97</v>
      </c>
      <c r="Q11" s="13">
        <v>1547448</v>
      </c>
      <c r="R11" s="14">
        <v>-0.3</v>
      </c>
      <c r="S11" s="14">
        <v>0.3</v>
      </c>
      <c r="T11" s="34">
        <v>955651</v>
      </c>
      <c r="U11" s="41">
        <v>1529043</v>
      </c>
      <c r="V11" s="42" t="s">
        <v>97</v>
      </c>
      <c r="W11" s="13">
        <v>955651</v>
      </c>
      <c r="X11" s="14">
        <v>-0.3</v>
      </c>
      <c r="Y11" s="14">
        <v>0.3</v>
      </c>
      <c r="Z11" s="34">
        <v>955651</v>
      </c>
      <c r="AA11" s="41">
        <v>1529043</v>
      </c>
    </row>
    <row r="12" spans="1:27" x14ac:dyDescent="0.25">
      <c r="A12" s="3" t="s">
        <v>26</v>
      </c>
      <c r="B12" s="11" t="s">
        <v>58</v>
      </c>
      <c r="C12" s="40" t="s">
        <v>129</v>
      </c>
      <c r="D12" s="42" t="s">
        <v>97</v>
      </c>
      <c r="E12" s="13">
        <v>0</v>
      </c>
      <c r="F12" s="14">
        <v>-0.2</v>
      </c>
      <c r="G12" s="14">
        <v>0.2</v>
      </c>
      <c r="H12" s="34">
        <v>697543</v>
      </c>
      <c r="I12" s="41">
        <v>1116074</v>
      </c>
      <c r="J12" s="42" t="s">
        <v>97</v>
      </c>
      <c r="K12" s="13">
        <v>704916</v>
      </c>
      <c r="L12" s="14">
        <v>-0.2</v>
      </c>
      <c r="M12" s="14">
        <v>0.2</v>
      </c>
      <c r="N12" s="34">
        <v>697543</v>
      </c>
      <c r="O12" s="41">
        <v>1116074</v>
      </c>
      <c r="P12" s="42" t="s">
        <v>97</v>
      </c>
      <c r="Q12" s="13">
        <v>697544</v>
      </c>
      <c r="R12" s="14">
        <v>-0.2</v>
      </c>
      <c r="S12" s="14">
        <v>0.2</v>
      </c>
      <c r="T12" s="34">
        <v>697543</v>
      </c>
      <c r="U12" s="41">
        <v>1116074</v>
      </c>
      <c r="V12" s="42" t="s">
        <v>97</v>
      </c>
      <c r="W12" s="13">
        <v>697543</v>
      </c>
      <c r="X12" s="14">
        <v>-0.2</v>
      </c>
      <c r="Y12" s="14">
        <v>0.2</v>
      </c>
      <c r="Z12" s="34">
        <v>697543</v>
      </c>
      <c r="AA12" s="41">
        <v>1116074</v>
      </c>
    </row>
    <row r="13" spans="1:27" x14ac:dyDescent="0.25">
      <c r="A13" s="3" t="s">
        <v>38</v>
      </c>
      <c r="B13" s="11" t="s">
        <v>67</v>
      </c>
      <c r="C13" s="40" t="s">
        <v>51</v>
      </c>
      <c r="D13" s="42" t="s">
        <v>74</v>
      </c>
      <c r="E13" s="13">
        <v>0</v>
      </c>
      <c r="F13" s="14">
        <v>0</v>
      </c>
      <c r="G13" s="14">
        <v>0.05</v>
      </c>
      <c r="H13" s="34">
        <v>0</v>
      </c>
      <c r="I13" s="41">
        <v>0</v>
      </c>
      <c r="J13" s="42" t="s">
        <v>74</v>
      </c>
      <c r="K13" s="13">
        <v>0</v>
      </c>
      <c r="L13" s="14">
        <v>0</v>
      </c>
      <c r="M13" s="14">
        <v>0.05</v>
      </c>
      <c r="N13" s="34">
        <v>0</v>
      </c>
      <c r="O13" s="41">
        <v>0</v>
      </c>
      <c r="P13" s="42" t="s">
        <v>74</v>
      </c>
      <c r="Q13" s="13">
        <v>0</v>
      </c>
      <c r="R13" s="14">
        <v>0</v>
      </c>
      <c r="S13" s="14">
        <v>0.05</v>
      </c>
      <c r="T13" s="34">
        <v>0</v>
      </c>
      <c r="U13" s="41">
        <v>0</v>
      </c>
      <c r="V13" s="42" t="s">
        <v>74</v>
      </c>
      <c r="W13" s="13">
        <v>0</v>
      </c>
      <c r="X13" s="14">
        <v>0</v>
      </c>
      <c r="Y13" s="14">
        <v>0.05</v>
      </c>
      <c r="Z13" s="34">
        <v>0</v>
      </c>
      <c r="AA13" s="41">
        <v>0</v>
      </c>
    </row>
    <row r="14" spans="1:27" x14ac:dyDescent="0.25">
      <c r="A14" s="3" t="s">
        <v>37</v>
      </c>
      <c r="B14" s="11" t="s">
        <v>67</v>
      </c>
      <c r="C14" s="40" t="s">
        <v>52</v>
      </c>
      <c r="D14" s="42" t="s">
        <v>74</v>
      </c>
      <c r="E14" s="13">
        <v>0</v>
      </c>
      <c r="F14" s="14">
        <v>0</v>
      </c>
      <c r="G14" s="14">
        <v>0.05</v>
      </c>
      <c r="H14" s="34">
        <v>0</v>
      </c>
      <c r="I14" s="41">
        <v>0</v>
      </c>
      <c r="J14" s="42" t="s">
        <v>74</v>
      </c>
      <c r="K14" s="13">
        <v>0</v>
      </c>
      <c r="L14" s="14">
        <v>0</v>
      </c>
      <c r="M14" s="14">
        <v>0.05</v>
      </c>
      <c r="N14" s="34">
        <v>0</v>
      </c>
      <c r="O14" s="41">
        <v>0</v>
      </c>
      <c r="P14" s="42" t="s">
        <v>74</v>
      </c>
      <c r="Q14" s="13">
        <v>0</v>
      </c>
      <c r="R14" s="14">
        <v>0</v>
      </c>
      <c r="S14" s="14">
        <v>0.05</v>
      </c>
      <c r="T14" s="34">
        <v>0</v>
      </c>
      <c r="U14" s="41">
        <v>0</v>
      </c>
      <c r="V14" s="42" t="s">
        <v>74</v>
      </c>
      <c r="W14" s="13">
        <v>0</v>
      </c>
      <c r="X14" s="14">
        <v>0</v>
      </c>
      <c r="Y14" s="14">
        <v>0.05</v>
      </c>
      <c r="Z14" s="34">
        <v>0</v>
      </c>
      <c r="AA14" s="41">
        <v>0</v>
      </c>
    </row>
    <row r="15" spans="1:27" x14ac:dyDescent="0.25">
      <c r="A15" s="3" t="s">
        <v>41</v>
      </c>
      <c r="B15" s="11" t="s">
        <v>59</v>
      </c>
      <c r="C15" s="40" t="s">
        <v>53</v>
      </c>
      <c r="D15" s="42" t="s">
        <v>74</v>
      </c>
      <c r="E15" s="13">
        <v>0</v>
      </c>
      <c r="F15" s="14">
        <v>0</v>
      </c>
      <c r="G15" s="14">
        <v>0.6</v>
      </c>
      <c r="H15" s="34">
        <v>0</v>
      </c>
      <c r="I15" s="41">
        <v>0</v>
      </c>
      <c r="J15" s="42" t="s">
        <v>74</v>
      </c>
      <c r="K15" s="13">
        <v>785184</v>
      </c>
      <c r="L15" s="14">
        <v>0</v>
      </c>
      <c r="M15" s="14">
        <v>0.6</v>
      </c>
      <c r="N15" s="34">
        <v>0</v>
      </c>
      <c r="O15" s="41">
        <v>0</v>
      </c>
      <c r="P15" s="42" t="s">
        <v>74</v>
      </c>
      <c r="Q15" s="13">
        <v>651545</v>
      </c>
      <c r="R15" s="14">
        <v>0</v>
      </c>
      <c r="S15" s="14">
        <v>0.6</v>
      </c>
      <c r="T15" s="34">
        <v>0</v>
      </c>
      <c r="U15" s="41">
        <v>0</v>
      </c>
      <c r="V15" s="42" t="s">
        <v>74</v>
      </c>
      <c r="W15" s="13">
        <v>0</v>
      </c>
      <c r="X15" s="14">
        <v>0</v>
      </c>
      <c r="Y15" s="14">
        <v>0.6</v>
      </c>
      <c r="Z15" s="34">
        <v>0</v>
      </c>
      <c r="AA15" s="41">
        <v>0</v>
      </c>
    </row>
    <row r="16" spans="1:27" x14ac:dyDescent="0.25">
      <c r="A16" s="3" t="s">
        <v>42</v>
      </c>
      <c r="B16" s="11" t="s">
        <v>59</v>
      </c>
      <c r="C16" s="40" t="s">
        <v>54</v>
      </c>
      <c r="D16" s="42" t="s">
        <v>74</v>
      </c>
      <c r="E16" s="13">
        <v>0</v>
      </c>
      <c r="F16" s="14">
        <v>0</v>
      </c>
      <c r="G16" s="14">
        <v>0.6</v>
      </c>
      <c r="H16" s="34">
        <v>0</v>
      </c>
      <c r="I16" s="41">
        <v>0</v>
      </c>
      <c r="J16" s="42" t="s">
        <v>74</v>
      </c>
      <c r="K16" s="13">
        <v>310259</v>
      </c>
      <c r="L16" s="14">
        <v>0</v>
      </c>
      <c r="M16" s="14">
        <v>0.6</v>
      </c>
      <c r="N16" s="34">
        <v>0</v>
      </c>
      <c r="O16" s="41">
        <v>0</v>
      </c>
      <c r="P16" s="42" t="s">
        <v>74</v>
      </c>
      <c r="Q16" s="13">
        <v>1053015</v>
      </c>
      <c r="R16" s="14">
        <v>0</v>
      </c>
      <c r="S16" s="14">
        <v>0.6</v>
      </c>
      <c r="T16" s="34">
        <v>0</v>
      </c>
      <c r="U16" s="41">
        <v>0</v>
      </c>
      <c r="V16" s="42" t="s">
        <v>74</v>
      </c>
      <c r="W16" s="13">
        <v>0</v>
      </c>
      <c r="X16" s="14">
        <v>0</v>
      </c>
      <c r="Y16" s="14">
        <v>0.6</v>
      </c>
      <c r="Z16" s="34">
        <v>0</v>
      </c>
      <c r="AA16" s="41">
        <v>0</v>
      </c>
    </row>
    <row r="17" spans="1:27" x14ac:dyDescent="0.25">
      <c r="A17" s="3" t="s">
        <v>39</v>
      </c>
      <c r="B17" s="11" t="s">
        <v>60</v>
      </c>
      <c r="C17" s="40" t="s">
        <v>131</v>
      </c>
      <c r="D17" s="42" t="s">
        <v>97</v>
      </c>
      <c r="E17" s="13">
        <v>424020</v>
      </c>
      <c r="F17" s="14">
        <v>0</v>
      </c>
      <c r="G17" s="14">
        <v>0.15</v>
      </c>
      <c r="H17" s="34">
        <v>424020</v>
      </c>
      <c r="I17" s="41">
        <v>487622.99999999994</v>
      </c>
      <c r="J17" s="42" t="s">
        <v>97</v>
      </c>
      <c r="K17" s="13">
        <v>1216399</v>
      </c>
      <c r="L17" s="14">
        <v>0</v>
      </c>
      <c r="M17" s="14">
        <v>0.15</v>
      </c>
      <c r="N17" s="34">
        <v>0</v>
      </c>
      <c r="O17" s="41">
        <v>0</v>
      </c>
      <c r="P17" s="42" t="s">
        <v>97</v>
      </c>
      <c r="Q17" s="13">
        <v>602041</v>
      </c>
      <c r="R17" s="14">
        <v>0</v>
      </c>
      <c r="S17" s="14">
        <v>0.15</v>
      </c>
      <c r="T17" s="34">
        <v>0</v>
      </c>
      <c r="U17" s="41">
        <v>0</v>
      </c>
      <c r="V17" s="42" t="s">
        <v>97</v>
      </c>
      <c r="W17" s="13">
        <v>964220</v>
      </c>
      <c r="X17" s="14">
        <v>0</v>
      </c>
      <c r="Y17" s="14">
        <v>0.15</v>
      </c>
      <c r="Z17" s="34">
        <v>0</v>
      </c>
      <c r="AA17" s="41">
        <v>0</v>
      </c>
    </row>
    <row r="18" spans="1:27" x14ac:dyDescent="0.25">
      <c r="A18" s="3" t="s">
        <v>40</v>
      </c>
      <c r="B18" s="11" t="s">
        <v>60</v>
      </c>
      <c r="C18" s="40" t="s">
        <v>132</v>
      </c>
      <c r="D18" s="42" t="s">
        <v>97</v>
      </c>
      <c r="E18" s="13">
        <v>275382</v>
      </c>
      <c r="F18" s="14">
        <v>0</v>
      </c>
      <c r="G18" s="14">
        <v>0.15</v>
      </c>
      <c r="H18" s="34">
        <v>275382</v>
      </c>
      <c r="I18" s="41">
        <v>316689.3</v>
      </c>
      <c r="J18" s="42" t="s">
        <v>97</v>
      </c>
      <c r="K18" s="13">
        <v>597111</v>
      </c>
      <c r="L18" s="14">
        <v>0</v>
      </c>
      <c r="M18" s="14">
        <v>0.15</v>
      </c>
      <c r="N18" s="34">
        <v>0</v>
      </c>
      <c r="O18" s="41">
        <v>0</v>
      </c>
      <c r="P18" s="42" t="s">
        <v>97</v>
      </c>
      <c r="Q18" s="13">
        <v>427759</v>
      </c>
      <c r="R18" s="14">
        <v>0</v>
      </c>
      <c r="S18" s="14">
        <v>0.15</v>
      </c>
      <c r="T18" s="34">
        <v>0</v>
      </c>
      <c r="U18" s="41">
        <v>0</v>
      </c>
      <c r="V18" s="42" t="s">
        <v>97</v>
      </c>
      <c r="W18" s="13">
        <v>370180</v>
      </c>
      <c r="X18" s="14">
        <v>0</v>
      </c>
      <c r="Y18" s="14">
        <v>0.15</v>
      </c>
      <c r="Z18" s="34">
        <v>0</v>
      </c>
      <c r="AA18" s="41">
        <v>0</v>
      </c>
    </row>
    <row r="19" spans="1:27" x14ac:dyDescent="0.25">
      <c r="A19" s="3" t="s">
        <v>19</v>
      </c>
      <c r="B19" s="11" t="s">
        <v>61</v>
      </c>
      <c r="C19" s="40" t="s">
        <v>133</v>
      </c>
      <c r="D19" s="42" t="s">
        <v>97</v>
      </c>
      <c r="E19" s="13">
        <v>2466</v>
      </c>
      <c r="F19" s="14">
        <v>-0.3</v>
      </c>
      <c r="G19" s="14">
        <v>0.3</v>
      </c>
      <c r="H19" s="34">
        <v>2466</v>
      </c>
      <c r="I19" s="41">
        <v>3946</v>
      </c>
      <c r="J19" s="42" t="s">
        <v>97</v>
      </c>
      <c r="K19" s="13">
        <v>2466</v>
      </c>
      <c r="L19" s="14">
        <v>-0.3</v>
      </c>
      <c r="M19" s="14">
        <v>0.3</v>
      </c>
      <c r="N19" s="34">
        <v>2466</v>
      </c>
      <c r="O19" s="41">
        <v>3946</v>
      </c>
      <c r="P19" s="42" t="s">
        <v>97</v>
      </c>
      <c r="Q19" s="13">
        <v>2466</v>
      </c>
      <c r="R19" s="14">
        <v>-0.3</v>
      </c>
      <c r="S19" s="14">
        <v>0.3</v>
      </c>
      <c r="T19" s="34">
        <v>2466</v>
      </c>
      <c r="U19" s="41">
        <v>3946</v>
      </c>
      <c r="V19" s="42" t="s">
        <v>97</v>
      </c>
      <c r="W19" s="13">
        <v>2466</v>
      </c>
      <c r="X19" s="14">
        <v>-0.3</v>
      </c>
      <c r="Y19" s="14">
        <v>0.3</v>
      </c>
      <c r="Z19" s="34">
        <v>2466</v>
      </c>
      <c r="AA19" s="41">
        <v>3946</v>
      </c>
    </row>
    <row r="20" spans="1:27" x14ac:dyDescent="0.25">
      <c r="A20" s="3" t="s">
        <v>16</v>
      </c>
      <c r="B20" s="11" t="s">
        <v>61</v>
      </c>
      <c r="C20" s="40" t="s">
        <v>134</v>
      </c>
      <c r="D20" s="42" t="s">
        <v>97</v>
      </c>
      <c r="E20" s="13">
        <v>811339</v>
      </c>
      <c r="F20" s="14">
        <v>-0.3</v>
      </c>
      <c r="G20" s="14">
        <v>0.3</v>
      </c>
      <c r="H20" s="34">
        <v>484613</v>
      </c>
      <c r="I20" s="41">
        <v>775379</v>
      </c>
      <c r="J20" s="42" t="s">
        <v>97</v>
      </c>
      <c r="K20" s="13">
        <v>1121519</v>
      </c>
      <c r="L20" s="14">
        <v>-0.3</v>
      </c>
      <c r="M20" s="14">
        <v>0.3</v>
      </c>
      <c r="N20" s="34">
        <v>484613</v>
      </c>
      <c r="O20" s="41">
        <v>775379</v>
      </c>
      <c r="P20" s="42" t="s">
        <v>97</v>
      </c>
      <c r="Q20" s="13">
        <v>884830</v>
      </c>
      <c r="R20" s="14">
        <v>-0.3</v>
      </c>
      <c r="S20" s="14">
        <v>0.3</v>
      </c>
      <c r="T20" s="34">
        <v>484613</v>
      </c>
      <c r="U20" s="41">
        <v>775379</v>
      </c>
      <c r="V20" s="42" t="s">
        <v>97</v>
      </c>
      <c r="W20" s="13">
        <v>484613</v>
      </c>
      <c r="X20" s="14">
        <v>-0.3</v>
      </c>
      <c r="Y20" s="14">
        <v>0.3</v>
      </c>
      <c r="Z20" s="34">
        <v>484613</v>
      </c>
      <c r="AA20" s="41">
        <v>775379</v>
      </c>
    </row>
    <row r="21" spans="1:27" x14ac:dyDescent="0.25">
      <c r="A21" s="3" t="s">
        <v>20</v>
      </c>
      <c r="B21" s="11" t="s">
        <v>62</v>
      </c>
      <c r="C21" s="40" t="s">
        <v>135</v>
      </c>
      <c r="D21" s="42" t="s">
        <v>97</v>
      </c>
      <c r="E21" s="13">
        <v>4241</v>
      </c>
      <c r="F21" s="14">
        <v>-0.3</v>
      </c>
      <c r="G21" s="14">
        <v>0.3</v>
      </c>
      <c r="H21" s="34">
        <v>4240</v>
      </c>
      <c r="I21" s="41">
        <v>6786</v>
      </c>
      <c r="J21" s="42" t="s">
        <v>97</v>
      </c>
      <c r="K21" s="13">
        <v>4241</v>
      </c>
      <c r="L21" s="14">
        <v>-0.3</v>
      </c>
      <c r="M21" s="14">
        <v>0.3</v>
      </c>
      <c r="N21" s="34">
        <v>4240</v>
      </c>
      <c r="O21" s="41">
        <v>6786</v>
      </c>
      <c r="P21" s="42" t="s">
        <v>97</v>
      </c>
      <c r="Q21" s="13">
        <v>4240</v>
      </c>
      <c r="R21" s="14">
        <v>-0.3</v>
      </c>
      <c r="S21" s="14">
        <v>0.3</v>
      </c>
      <c r="T21" s="34">
        <v>4240</v>
      </c>
      <c r="U21" s="41">
        <v>6786</v>
      </c>
      <c r="V21" s="42" t="s">
        <v>97</v>
      </c>
      <c r="W21" s="13">
        <v>4240</v>
      </c>
      <c r="X21" s="14">
        <v>-0.3</v>
      </c>
      <c r="Y21" s="14">
        <v>0.3</v>
      </c>
      <c r="Z21" s="34">
        <v>4240</v>
      </c>
      <c r="AA21" s="41">
        <v>6786</v>
      </c>
    </row>
    <row r="22" spans="1:27" x14ac:dyDescent="0.25">
      <c r="A22" s="3" t="s">
        <v>17</v>
      </c>
      <c r="B22" s="11" t="s">
        <v>62</v>
      </c>
      <c r="C22" s="40" t="s">
        <v>136</v>
      </c>
      <c r="D22" s="42" t="s">
        <v>97</v>
      </c>
      <c r="E22" s="13">
        <v>1024459</v>
      </c>
      <c r="F22" s="14">
        <v>-0.3</v>
      </c>
      <c r="G22" s="14">
        <v>0.3</v>
      </c>
      <c r="H22" s="34">
        <v>541198</v>
      </c>
      <c r="I22" s="41">
        <v>865918</v>
      </c>
      <c r="J22" s="42" t="s">
        <v>97</v>
      </c>
      <c r="K22" s="13">
        <v>788366</v>
      </c>
      <c r="L22" s="14">
        <v>-0.3</v>
      </c>
      <c r="M22" s="14">
        <v>0.3</v>
      </c>
      <c r="N22" s="34">
        <v>541198</v>
      </c>
      <c r="O22" s="41">
        <v>865918</v>
      </c>
      <c r="P22" s="42" t="s">
        <v>97</v>
      </c>
      <c r="Q22" s="13">
        <v>802910</v>
      </c>
      <c r="R22" s="14">
        <v>-0.3</v>
      </c>
      <c r="S22" s="14">
        <v>0.3</v>
      </c>
      <c r="T22" s="34">
        <v>541198</v>
      </c>
      <c r="U22" s="41">
        <v>865918</v>
      </c>
      <c r="V22" s="42" t="s">
        <v>97</v>
      </c>
      <c r="W22" s="13">
        <v>541198</v>
      </c>
      <c r="X22" s="14">
        <v>-0.3</v>
      </c>
      <c r="Y22" s="14">
        <v>0.3</v>
      </c>
      <c r="Z22" s="34">
        <v>541198</v>
      </c>
      <c r="AA22" s="41">
        <v>865918</v>
      </c>
    </row>
    <row r="23" spans="1:27" x14ac:dyDescent="0.25">
      <c r="A23" s="3" t="s">
        <v>21</v>
      </c>
      <c r="B23" s="11" t="s">
        <v>63</v>
      </c>
      <c r="C23" s="40" t="s">
        <v>138</v>
      </c>
      <c r="D23" s="42" t="s">
        <v>97</v>
      </c>
      <c r="E23" s="13">
        <v>108711</v>
      </c>
      <c r="F23" s="14">
        <v>-0.3</v>
      </c>
      <c r="G23" s="14">
        <v>0.3</v>
      </c>
      <c r="H23" s="34">
        <v>236831</v>
      </c>
      <c r="I23" s="41">
        <v>378931</v>
      </c>
      <c r="J23" s="42" t="s">
        <v>97</v>
      </c>
      <c r="K23" s="13">
        <v>304329</v>
      </c>
      <c r="L23" s="14">
        <v>-0.3</v>
      </c>
      <c r="M23" s="14">
        <v>0.3</v>
      </c>
      <c r="N23" s="34">
        <v>236831</v>
      </c>
      <c r="O23" s="41">
        <v>378931</v>
      </c>
      <c r="P23" s="42" t="s">
        <v>97</v>
      </c>
      <c r="Q23" s="13">
        <v>300138</v>
      </c>
      <c r="R23" s="14">
        <v>-0.3</v>
      </c>
      <c r="S23" s="14">
        <v>0.3</v>
      </c>
      <c r="T23" s="34">
        <v>236831</v>
      </c>
      <c r="U23" s="41">
        <v>378931</v>
      </c>
      <c r="V23" s="42" t="s">
        <v>97</v>
      </c>
      <c r="W23" s="13">
        <v>236831</v>
      </c>
      <c r="X23" s="14">
        <v>-0.3</v>
      </c>
      <c r="Y23" s="14">
        <v>0.3</v>
      </c>
      <c r="Z23" s="34">
        <v>236831</v>
      </c>
      <c r="AA23" s="41">
        <v>378931</v>
      </c>
    </row>
    <row r="24" spans="1:27" x14ac:dyDescent="0.25">
      <c r="A24" s="3" t="s">
        <v>4</v>
      </c>
      <c r="B24" s="11" t="s">
        <v>63</v>
      </c>
      <c r="C24" s="40" t="s">
        <v>140</v>
      </c>
      <c r="D24" s="42" t="s">
        <v>97</v>
      </c>
      <c r="E24" s="13">
        <v>2988501</v>
      </c>
      <c r="F24" s="14">
        <v>-0.3</v>
      </c>
      <c r="G24" s="14">
        <v>0.3</v>
      </c>
      <c r="H24" s="34">
        <v>1905159</v>
      </c>
      <c r="I24" s="41">
        <v>3048253</v>
      </c>
      <c r="J24" s="42" t="s">
        <v>97</v>
      </c>
      <c r="K24" s="13">
        <v>3222243</v>
      </c>
      <c r="L24" s="14">
        <v>-0.3</v>
      </c>
      <c r="M24" s="14">
        <v>0.3</v>
      </c>
      <c r="N24" s="34">
        <v>1905159</v>
      </c>
      <c r="O24" s="41">
        <v>3048253</v>
      </c>
      <c r="P24" s="42" t="s">
        <v>97</v>
      </c>
      <c r="Q24" s="13">
        <v>2903984</v>
      </c>
      <c r="R24" s="14">
        <v>-0.3</v>
      </c>
      <c r="S24" s="14">
        <v>0.3</v>
      </c>
      <c r="T24" s="34">
        <v>1905159</v>
      </c>
      <c r="U24" s="41">
        <v>3048253</v>
      </c>
      <c r="V24" s="42" t="s">
        <v>97</v>
      </c>
      <c r="W24" s="13">
        <v>1905159</v>
      </c>
      <c r="X24" s="14">
        <v>-0.3</v>
      </c>
      <c r="Y24" s="14">
        <v>0.3</v>
      </c>
      <c r="Z24" s="34">
        <v>1905159</v>
      </c>
      <c r="AA24" s="41">
        <v>3048253</v>
      </c>
    </row>
    <row r="25" spans="1:27" x14ac:dyDescent="0.25">
      <c r="A25" s="3" t="s">
        <v>27</v>
      </c>
      <c r="B25" s="11" t="s">
        <v>63</v>
      </c>
      <c r="C25" s="40" t="s">
        <v>139</v>
      </c>
      <c r="D25" s="42" t="s">
        <v>97</v>
      </c>
      <c r="E25" s="13">
        <v>902091</v>
      </c>
      <c r="F25" s="14">
        <v>-0.3</v>
      </c>
      <c r="G25" s="14">
        <v>0.3</v>
      </c>
      <c r="H25" s="34">
        <v>992235</v>
      </c>
      <c r="I25" s="41">
        <v>1587579</v>
      </c>
      <c r="J25" s="42" t="s">
        <v>97</v>
      </c>
      <c r="K25" s="13">
        <v>1101747</v>
      </c>
      <c r="L25" s="14">
        <v>-0.3</v>
      </c>
      <c r="M25" s="14">
        <v>0.3</v>
      </c>
      <c r="N25" s="34">
        <v>992235</v>
      </c>
      <c r="O25" s="41">
        <v>1587579</v>
      </c>
      <c r="P25" s="42" t="s">
        <v>97</v>
      </c>
      <c r="Q25" s="13">
        <v>1471507</v>
      </c>
      <c r="R25" s="14">
        <v>-0.3</v>
      </c>
      <c r="S25" s="14">
        <v>0.3</v>
      </c>
      <c r="T25" s="34">
        <v>992235</v>
      </c>
      <c r="U25" s="41">
        <v>1587579</v>
      </c>
      <c r="V25" s="42" t="s">
        <v>97</v>
      </c>
      <c r="W25" s="13">
        <v>992235</v>
      </c>
      <c r="X25" s="14">
        <v>-0.3</v>
      </c>
      <c r="Y25" s="14">
        <v>0.3</v>
      </c>
      <c r="Z25" s="34">
        <v>992235</v>
      </c>
      <c r="AA25" s="41">
        <v>1587579</v>
      </c>
    </row>
    <row r="26" spans="1:27" x14ac:dyDescent="0.25">
      <c r="A26" s="3" t="s">
        <v>15</v>
      </c>
      <c r="B26" s="11" t="s">
        <v>63</v>
      </c>
      <c r="C26" s="40" t="s">
        <v>137</v>
      </c>
      <c r="D26" s="42" t="s">
        <v>97</v>
      </c>
      <c r="E26" s="13">
        <v>677430</v>
      </c>
      <c r="F26" s="14">
        <v>-0.3</v>
      </c>
      <c r="G26" s="14">
        <v>0.3</v>
      </c>
      <c r="H26" s="34">
        <v>553306</v>
      </c>
      <c r="I26" s="41">
        <v>885288</v>
      </c>
      <c r="J26" s="42" t="s">
        <v>97</v>
      </c>
      <c r="K26" s="13">
        <v>785742</v>
      </c>
      <c r="L26" s="14">
        <v>-0.3</v>
      </c>
      <c r="M26" s="14">
        <v>0.3</v>
      </c>
      <c r="N26" s="34">
        <v>553306</v>
      </c>
      <c r="O26" s="41">
        <v>885288</v>
      </c>
      <c r="P26" s="42" t="s">
        <v>97</v>
      </c>
      <c r="Q26" s="13">
        <v>721355</v>
      </c>
      <c r="R26" s="14">
        <v>-0.3</v>
      </c>
      <c r="S26" s="14">
        <v>0.3</v>
      </c>
      <c r="T26" s="34">
        <v>553306</v>
      </c>
      <c r="U26" s="41">
        <v>885288</v>
      </c>
      <c r="V26" s="42" t="s">
        <v>97</v>
      </c>
      <c r="W26" s="13">
        <v>553306</v>
      </c>
      <c r="X26" s="14">
        <v>-0.3</v>
      </c>
      <c r="Y26" s="14">
        <v>0.3</v>
      </c>
      <c r="Z26" s="34">
        <v>553306</v>
      </c>
      <c r="AA26" s="41">
        <v>885288</v>
      </c>
    </row>
    <row r="27" spans="1:27" x14ac:dyDescent="0.25">
      <c r="A27" s="3" t="s">
        <v>5</v>
      </c>
      <c r="B27" s="11" t="s">
        <v>69</v>
      </c>
      <c r="C27" s="40" t="s">
        <v>157</v>
      </c>
      <c r="D27" s="42" t="s">
        <v>74</v>
      </c>
      <c r="E27" s="13">
        <v>25000</v>
      </c>
      <c r="F27" s="14">
        <v>0</v>
      </c>
      <c r="G27" s="14">
        <v>0.05</v>
      </c>
      <c r="H27" s="34">
        <v>570000</v>
      </c>
      <c r="I27" s="41">
        <v>200000000</v>
      </c>
      <c r="J27" s="42" t="s">
        <v>74</v>
      </c>
      <c r="K27" s="13">
        <v>65000</v>
      </c>
      <c r="L27" s="14">
        <v>0</v>
      </c>
      <c r="M27" s="14">
        <v>0.05</v>
      </c>
      <c r="N27" s="34">
        <v>570000</v>
      </c>
      <c r="O27" s="41">
        <v>200000000</v>
      </c>
      <c r="P27" s="42" t="s">
        <v>74</v>
      </c>
      <c r="Q27" s="13">
        <v>65000</v>
      </c>
      <c r="R27" s="14">
        <v>0</v>
      </c>
      <c r="S27" s="14">
        <v>0.05</v>
      </c>
      <c r="T27" s="34">
        <v>570000</v>
      </c>
      <c r="U27" s="41">
        <v>200000000</v>
      </c>
      <c r="V27" s="42" t="s">
        <v>74</v>
      </c>
      <c r="W27" s="13">
        <v>25000</v>
      </c>
      <c r="X27" s="14">
        <v>0</v>
      </c>
      <c r="Y27" s="14">
        <v>0.05</v>
      </c>
      <c r="Z27" s="34">
        <v>570000</v>
      </c>
      <c r="AA27" s="41">
        <v>200000000</v>
      </c>
    </row>
    <row r="28" spans="1:27" x14ac:dyDescent="0.25">
      <c r="A28" s="3" t="s">
        <v>6</v>
      </c>
      <c r="B28" s="11" t="s">
        <v>65</v>
      </c>
      <c r="C28" s="40" t="s">
        <v>142</v>
      </c>
      <c r="D28" s="42" t="s">
        <v>97</v>
      </c>
      <c r="E28" s="13">
        <v>857860</v>
      </c>
      <c r="F28" s="14">
        <v>-0.3</v>
      </c>
      <c r="G28" s="14">
        <v>0.3</v>
      </c>
      <c r="H28" s="34">
        <v>550082</v>
      </c>
      <c r="I28" s="41">
        <v>880136</v>
      </c>
      <c r="J28" s="42" t="s">
        <v>97</v>
      </c>
      <c r="K28" s="13">
        <v>914949</v>
      </c>
      <c r="L28" s="14">
        <v>-0.3</v>
      </c>
      <c r="M28" s="14">
        <v>0.3</v>
      </c>
      <c r="N28" s="34">
        <v>550082</v>
      </c>
      <c r="O28" s="41">
        <v>880136</v>
      </c>
      <c r="P28" s="42" t="s">
        <v>97</v>
      </c>
      <c r="Q28" s="13">
        <v>789333</v>
      </c>
      <c r="R28" s="14">
        <v>-0.3</v>
      </c>
      <c r="S28" s="14">
        <v>0.3</v>
      </c>
      <c r="T28" s="34">
        <v>550082</v>
      </c>
      <c r="U28" s="41">
        <v>880136</v>
      </c>
      <c r="V28" s="42" t="s">
        <v>97</v>
      </c>
      <c r="W28" s="13">
        <v>550082</v>
      </c>
      <c r="X28" s="14">
        <v>-0.3</v>
      </c>
      <c r="Y28" s="14">
        <v>0.3</v>
      </c>
      <c r="Z28" s="34">
        <v>550082</v>
      </c>
      <c r="AA28" s="41">
        <v>880136</v>
      </c>
    </row>
    <row r="29" spans="1:27" x14ac:dyDescent="0.25">
      <c r="A29" s="3" t="s">
        <v>28</v>
      </c>
      <c r="B29" s="11" t="s">
        <v>65</v>
      </c>
      <c r="C29" s="40" t="s">
        <v>141</v>
      </c>
      <c r="D29" s="42" t="s">
        <v>97</v>
      </c>
      <c r="E29" s="13">
        <v>0</v>
      </c>
      <c r="F29" s="14">
        <v>-0.5</v>
      </c>
      <c r="G29" s="14">
        <v>0.5</v>
      </c>
      <c r="H29" s="34">
        <v>481208</v>
      </c>
      <c r="I29" s="41">
        <v>769936</v>
      </c>
      <c r="J29" s="42" t="s">
        <v>97</v>
      </c>
      <c r="K29" s="13">
        <v>0</v>
      </c>
      <c r="L29" s="14">
        <v>-0.5</v>
      </c>
      <c r="M29" s="14">
        <v>0.5</v>
      </c>
      <c r="N29" s="34">
        <v>481208</v>
      </c>
      <c r="O29" s="41">
        <v>769936</v>
      </c>
      <c r="P29" s="42" t="s">
        <v>97</v>
      </c>
      <c r="Q29" s="13">
        <v>541360</v>
      </c>
      <c r="R29" s="14">
        <v>-0.5</v>
      </c>
      <c r="S29" s="14">
        <v>0.5</v>
      </c>
      <c r="T29" s="34">
        <v>481208</v>
      </c>
      <c r="U29" s="41">
        <v>769936</v>
      </c>
      <c r="V29" s="42" t="s">
        <v>97</v>
      </c>
      <c r="W29" s="13">
        <v>481208</v>
      </c>
      <c r="X29" s="14">
        <v>-0.5</v>
      </c>
      <c r="Y29" s="14">
        <v>0.5</v>
      </c>
      <c r="Z29" s="34">
        <v>481208</v>
      </c>
      <c r="AA29" s="41">
        <v>769936</v>
      </c>
    </row>
    <row r="30" spans="1:27" x14ac:dyDescent="0.25">
      <c r="A30" s="3" t="s">
        <v>7</v>
      </c>
      <c r="B30" s="11" t="s">
        <v>69</v>
      </c>
      <c r="C30" s="40" t="s">
        <v>158</v>
      </c>
      <c r="D30" s="42" t="s">
        <v>74</v>
      </c>
      <c r="E30" s="13">
        <v>25000</v>
      </c>
      <c r="F30" s="14">
        <v>0</v>
      </c>
      <c r="G30" s="14">
        <v>0.05</v>
      </c>
      <c r="H30" s="34">
        <v>343000</v>
      </c>
      <c r="I30" s="41">
        <v>200000000</v>
      </c>
      <c r="J30" s="42" t="s">
        <v>74</v>
      </c>
      <c r="K30" s="13">
        <v>60000</v>
      </c>
      <c r="L30" s="14">
        <v>0</v>
      </c>
      <c r="M30" s="14">
        <v>0.05</v>
      </c>
      <c r="N30" s="34">
        <v>343000</v>
      </c>
      <c r="O30" s="41">
        <v>200000000</v>
      </c>
      <c r="P30" s="42" t="s">
        <v>74</v>
      </c>
      <c r="Q30" s="13">
        <v>60000</v>
      </c>
      <c r="R30" s="14">
        <v>0</v>
      </c>
      <c r="S30" s="14">
        <v>0.05</v>
      </c>
      <c r="T30" s="34">
        <v>343000</v>
      </c>
      <c r="U30" s="41">
        <v>200000000</v>
      </c>
      <c r="V30" s="42" t="s">
        <v>74</v>
      </c>
      <c r="W30" s="13">
        <v>25000</v>
      </c>
      <c r="X30" s="14">
        <v>0</v>
      </c>
      <c r="Y30" s="14">
        <v>0.05</v>
      </c>
      <c r="Z30" s="34">
        <v>343000</v>
      </c>
      <c r="AA30" s="41">
        <v>200000000</v>
      </c>
    </row>
    <row r="31" spans="1:27" x14ac:dyDescent="0.25">
      <c r="A31" s="3" t="s">
        <v>126</v>
      </c>
      <c r="B31" s="11" t="s">
        <v>128</v>
      </c>
      <c r="C31" s="40" t="s">
        <v>127</v>
      </c>
      <c r="D31" s="42" t="s">
        <v>74</v>
      </c>
      <c r="E31" s="13">
        <v>0</v>
      </c>
      <c r="F31" s="14">
        <v>-0.3</v>
      </c>
      <c r="G31" s="14">
        <v>0.3</v>
      </c>
      <c r="H31" s="34">
        <v>0</v>
      </c>
      <c r="I31" s="41">
        <v>0</v>
      </c>
      <c r="J31" s="42" t="s">
        <v>74</v>
      </c>
      <c r="K31" s="13">
        <v>0</v>
      </c>
      <c r="L31" s="14">
        <v>-0.3</v>
      </c>
      <c r="M31" s="14">
        <v>0.3</v>
      </c>
      <c r="N31" s="34">
        <v>0</v>
      </c>
      <c r="O31" s="41">
        <v>0</v>
      </c>
      <c r="P31" s="42" t="s">
        <v>74</v>
      </c>
      <c r="Q31" s="13">
        <v>0</v>
      </c>
      <c r="R31" s="14">
        <v>-0.3</v>
      </c>
      <c r="S31" s="14">
        <v>0.3</v>
      </c>
      <c r="T31" s="34">
        <v>0</v>
      </c>
      <c r="U31" s="41">
        <v>0</v>
      </c>
      <c r="V31" s="42" t="s">
        <v>74</v>
      </c>
      <c r="W31" s="13">
        <v>0</v>
      </c>
      <c r="X31" s="14">
        <v>-0.3</v>
      </c>
      <c r="Y31" s="14">
        <v>0.3</v>
      </c>
      <c r="Z31" s="34">
        <v>0</v>
      </c>
      <c r="AA31" s="41">
        <v>0</v>
      </c>
    </row>
    <row r="32" spans="1:27" x14ac:dyDescent="0.25">
      <c r="A32" s="3" t="s">
        <v>12</v>
      </c>
      <c r="B32" s="11" t="s">
        <v>66</v>
      </c>
      <c r="C32" s="40" t="s">
        <v>144</v>
      </c>
      <c r="D32" s="42" t="s">
        <v>97</v>
      </c>
      <c r="E32" s="13">
        <v>683207</v>
      </c>
      <c r="F32" s="14">
        <v>-0.3</v>
      </c>
      <c r="G32" s="14">
        <v>0.3</v>
      </c>
      <c r="H32" s="34">
        <v>419313</v>
      </c>
      <c r="I32" s="41">
        <v>670899</v>
      </c>
      <c r="J32" s="42" t="s">
        <v>97</v>
      </c>
      <c r="K32" s="13">
        <v>633794</v>
      </c>
      <c r="L32" s="14">
        <v>-0.3</v>
      </c>
      <c r="M32" s="14">
        <v>0.3</v>
      </c>
      <c r="N32" s="34">
        <v>419313</v>
      </c>
      <c r="O32" s="41">
        <v>670899</v>
      </c>
      <c r="P32" s="42" t="s">
        <v>97</v>
      </c>
      <c r="Q32" s="13">
        <v>445376</v>
      </c>
      <c r="R32" s="14">
        <v>-0.3</v>
      </c>
      <c r="S32" s="14">
        <v>0.3</v>
      </c>
      <c r="T32" s="34">
        <v>419313</v>
      </c>
      <c r="U32" s="41">
        <v>670899</v>
      </c>
      <c r="V32" s="42" t="s">
        <v>97</v>
      </c>
      <c r="W32" s="13">
        <v>419313</v>
      </c>
      <c r="X32" s="14">
        <v>-0.3</v>
      </c>
      <c r="Y32" s="14">
        <v>0.3</v>
      </c>
      <c r="Z32" s="34">
        <v>419313</v>
      </c>
      <c r="AA32" s="41">
        <v>670899</v>
      </c>
    </row>
    <row r="33" spans="1:27" x14ac:dyDescent="0.25">
      <c r="A33" s="3" t="s">
        <v>24</v>
      </c>
      <c r="B33" s="11" t="s">
        <v>66</v>
      </c>
      <c r="C33" s="40" t="s">
        <v>143</v>
      </c>
      <c r="D33" s="42" t="s">
        <v>97</v>
      </c>
      <c r="E33" s="13">
        <v>150000</v>
      </c>
      <c r="F33" s="14">
        <v>-0.5</v>
      </c>
      <c r="G33" s="14">
        <v>0.5</v>
      </c>
      <c r="H33" s="34">
        <v>84545</v>
      </c>
      <c r="I33" s="41">
        <v>135269</v>
      </c>
      <c r="J33" s="42" t="s">
        <v>97</v>
      </c>
      <c r="K33" s="13">
        <v>130815</v>
      </c>
      <c r="L33" s="14">
        <v>-0.5</v>
      </c>
      <c r="M33" s="14">
        <v>0.5</v>
      </c>
      <c r="N33" s="34">
        <v>84545</v>
      </c>
      <c r="O33" s="41">
        <v>135269</v>
      </c>
      <c r="P33" s="42" t="s">
        <v>97</v>
      </c>
      <c r="Q33" s="13">
        <v>90740</v>
      </c>
      <c r="R33" s="14">
        <v>-0.5</v>
      </c>
      <c r="S33" s="14">
        <v>0.5</v>
      </c>
      <c r="T33" s="34">
        <v>84545</v>
      </c>
      <c r="U33" s="41">
        <v>135269</v>
      </c>
      <c r="V33" s="42" t="s">
        <v>97</v>
      </c>
      <c r="W33" s="13">
        <v>84545</v>
      </c>
      <c r="X33" s="14">
        <v>-0.5</v>
      </c>
      <c r="Y33" s="14">
        <v>0.5</v>
      </c>
      <c r="Z33" s="34">
        <v>84545</v>
      </c>
      <c r="AA33" s="41">
        <v>135269</v>
      </c>
    </row>
    <row r="34" spans="1:27" x14ac:dyDescent="0.25">
      <c r="A34" s="3" t="s">
        <v>11</v>
      </c>
      <c r="B34" s="11" t="s">
        <v>66</v>
      </c>
      <c r="C34" s="40" t="s">
        <v>145</v>
      </c>
      <c r="D34" s="42" t="s">
        <v>97</v>
      </c>
      <c r="E34" s="13">
        <v>488792</v>
      </c>
      <c r="F34" s="14">
        <v>0</v>
      </c>
      <c r="G34" s="14">
        <v>0.6</v>
      </c>
      <c r="H34" s="34">
        <v>211668</v>
      </c>
      <c r="I34" s="41">
        <v>338669</v>
      </c>
      <c r="J34" s="42" t="s">
        <v>97</v>
      </c>
      <c r="K34" s="13">
        <v>327519</v>
      </c>
      <c r="L34" s="14">
        <v>0</v>
      </c>
      <c r="M34" s="14">
        <v>0.6</v>
      </c>
      <c r="N34" s="34">
        <v>211668</v>
      </c>
      <c r="O34" s="41">
        <v>338669</v>
      </c>
      <c r="P34" s="42" t="s">
        <v>97</v>
      </c>
      <c r="Q34" s="13">
        <v>227188</v>
      </c>
      <c r="R34" s="14">
        <v>0</v>
      </c>
      <c r="S34" s="14">
        <v>0.6</v>
      </c>
      <c r="T34" s="34">
        <v>211668</v>
      </c>
      <c r="U34" s="41">
        <v>338669</v>
      </c>
      <c r="V34" s="42" t="s">
        <v>97</v>
      </c>
      <c r="W34" s="13">
        <v>211668</v>
      </c>
      <c r="X34" s="14">
        <v>0</v>
      </c>
      <c r="Y34" s="14">
        <v>0.6</v>
      </c>
      <c r="Z34" s="34">
        <v>211668</v>
      </c>
      <c r="AA34" s="41">
        <v>338669</v>
      </c>
    </row>
    <row r="35" spans="1:27" x14ac:dyDescent="0.25">
      <c r="A35" s="3" t="s">
        <v>13</v>
      </c>
      <c r="B35" s="11" t="s">
        <v>66</v>
      </c>
      <c r="C35" s="40" t="s">
        <v>147</v>
      </c>
      <c r="D35" s="42" t="s">
        <v>97</v>
      </c>
      <c r="E35" s="13">
        <v>1237174</v>
      </c>
      <c r="F35" s="14">
        <v>-0.3</v>
      </c>
      <c r="G35" s="14">
        <v>0.3</v>
      </c>
      <c r="H35" s="34">
        <v>691453</v>
      </c>
      <c r="I35" s="41">
        <v>1106322</v>
      </c>
      <c r="J35" s="42" t="s">
        <v>97</v>
      </c>
      <c r="K35" s="13">
        <v>2370556</v>
      </c>
      <c r="L35" s="14">
        <v>-0.3</v>
      </c>
      <c r="M35" s="14">
        <v>0.3</v>
      </c>
      <c r="N35" s="34">
        <v>691453</v>
      </c>
      <c r="O35" s="41">
        <v>1106322</v>
      </c>
      <c r="P35" s="42" t="s">
        <v>97</v>
      </c>
      <c r="Q35" s="13">
        <v>1794466</v>
      </c>
      <c r="R35" s="14">
        <v>-0.3</v>
      </c>
      <c r="S35" s="14">
        <v>0.3</v>
      </c>
      <c r="T35" s="34">
        <v>691453</v>
      </c>
      <c r="U35" s="41">
        <v>1106322</v>
      </c>
      <c r="V35" s="42" t="s">
        <v>97</v>
      </c>
      <c r="W35" s="13">
        <v>691453</v>
      </c>
      <c r="X35" s="14">
        <v>-0.3</v>
      </c>
      <c r="Y35" s="14">
        <v>0.3</v>
      </c>
      <c r="Z35" s="34">
        <v>691453</v>
      </c>
      <c r="AA35" s="41">
        <v>1106322</v>
      </c>
    </row>
    <row r="36" spans="1:27" x14ac:dyDescent="0.25">
      <c r="A36" s="3" t="s">
        <v>25</v>
      </c>
      <c r="B36" s="11" t="s">
        <v>66</v>
      </c>
      <c r="C36" s="40" t="s">
        <v>146</v>
      </c>
      <c r="D36" s="42" t="s">
        <v>97</v>
      </c>
      <c r="E36" s="13">
        <v>189567</v>
      </c>
      <c r="F36" s="14">
        <v>-0.3</v>
      </c>
      <c r="G36" s="14">
        <v>0.3</v>
      </c>
      <c r="H36" s="34">
        <v>106823</v>
      </c>
      <c r="I36" s="41">
        <v>170917</v>
      </c>
      <c r="J36" s="42" t="s">
        <v>97</v>
      </c>
      <c r="K36" s="13">
        <v>165288</v>
      </c>
      <c r="L36" s="14">
        <v>-0.3</v>
      </c>
      <c r="M36" s="14">
        <v>0.3</v>
      </c>
      <c r="N36" s="34">
        <v>106823</v>
      </c>
      <c r="O36" s="41">
        <v>170917</v>
      </c>
      <c r="P36" s="42" t="s">
        <v>97</v>
      </c>
      <c r="Q36" s="13">
        <v>114657</v>
      </c>
      <c r="R36" s="14">
        <v>-0.3</v>
      </c>
      <c r="S36" s="14">
        <v>0.3</v>
      </c>
      <c r="T36" s="34">
        <v>106823</v>
      </c>
      <c r="U36" s="41">
        <v>170917</v>
      </c>
      <c r="V36" s="42" t="s">
        <v>97</v>
      </c>
      <c r="W36" s="13">
        <v>106823</v>
      </c>
      <c r="X36" s="14">
        <v>-0.3</v>
      </c>
      <c r="Y36" s="14">
        <v>0.3</v>
      </c>
      <c r="Z36" s="34">
        <v>106823</v>
      </c>
      <c r="AA36" s="41">
        <v>170917</v>
      </c>
    </row>
    <row r="37" spans="1:27" x14ac:dyDescent="0.25">
      <c r="A37" s="3" t="s">
        <v>22</v>
      </c>
      <c r="B37" s="11" t="s">
        <v>68</v>
      </c>
      <c r="C37" s="40" t="s">
        <v>149</v>
      </c>
      <c r="D37" s="42" t="s">
        <v>74</v>
      </c>
      <c r="E37" s="13">
        <v>0</v>
      </c>
      <c r="F37" s="14">
        <v>-0.3</v>
      </c>
      <c r="G37" s="14">
        <v>0.3</v>
      </c>
      <c r="H37" s="34">
        <v>0</v>
      </c>
      <c r="I37" s="41">
        <v>0</v>
      </c>
      <c r="J37" s="42" t="s">
        <v>74</v>
      </c>
      <c r="K37" s="13">
        <v>0</v>
      </c>
      <c r="L37" s="14">
        <v>-0.3</v>
      </c>
      <c r="M37" s="14">
        <v>0.3</v>
      </c>
      <c r="N37" s="34">
        <v>-0.21</v>
      </c>
      <c r="O37" s="41">
        <v>-0.39</v>
      </c>
      <c r="P37" s="42" t="s">
        <v>74</v>
      </c>
      <c r="Q37" s="13">
        <v>0</v>
      </c>
      <c r="R37" s="14">
        <v>-0.3</v>
      </c>
      <c r="S37" s="14">
        <v>0.3</v>
      </c>
      <c r="T37" s="34">
        <v>-0.21</v>
      </c>
      <c r="U37" s="41">
        <v>-0.39</v>
      </c>
      <c r="V37" s="42" t="s">
        <v>74</v>
      </c>
      <c r="W37" s="13">
        <v>0</v>
      </c>
      <c r="X37" s="14">
        <v>-0.3</v>
      </c>
      <c r="Y37" s="14">
        <v>0.3</v>
      </c>
      <c r="Z37" s="34">
        <v>-0.21</v>
      </c>
      <c r="AA37" s="41">
        <v>-0.39</v>
      </c>
    </row>
    <row r="38" spans="1:27" x14ac:dyDescent="0.25">
      <c r="A38" s="3" t="s">
        <v>18</v>
      </c>
      <c r="B38" s="11" t="s">
        <v>68</v>
      </c>
      <c r="C38" s="40" t="s">
        <v>150</v>
      </c>
      <c r="D38" s="42" t="s">
        <v>97</v>
      </c>
      <c r="E38" s="13">
        <v>400000</v>
      </c>
      <c r="F38" s="14">
        <v>-0.3</v>
      </c>
      <c r="G38" s="14">
        <v>0.3</v>
      </c>
      <c r="H38" s="34">
        <v>400000</v>
      </c>
      <c r="I38" s="41">
        <v>639998</v>
      </c>
      <c r="J38" s="42" t="s">
        <v>97</v>
      </c>
      <c r="K38" s="13">
        <v>400000</v>
      </c>
      <c r="L38" s="14">
        <v>-0.3</v>
      </c>
      <c r="M38" s="14">
        <v>0.3</v>
      </c>
      <c r="N38" s="34">
        <v>400000</v>
      </c>
      <c r="O38" s="41">
        <v>639998</v>
      </c>
      <c r="P38" s="42" t="s">
        <v>97</v>
      </c>
      <c r="Q38" s="13">
        <v>400000</v>
      </c>
      <c r="R38" s="14">
        <v>-0.3</v>
      </c>
      <c r="S38" s="14">
        <v>0.3</v>
      </c>
      <c r="T38" s="34">
        <v>400000</v>
      </c>
      <c r="U38" s="41">
        <v>639998</v>
      </c>
      <c r="V38" s="42" t="s">
        <v>97</v>
      </c>
      <c r="W38" s="13">
        <v>400000</v>
      </c>
      <c r="X38" s="14">
        <v>-0.3</v>
      </c>
      <c r="Y38" s="14">
        <v>0.3</v>
      </c>
      <c r="Z38" s="34">
        <v>400000</v>
      </c>
      <c r="AA38" s="41">
        <v>639998</v>
      </c>
    </row>
    <row r="39" spans="1:27" x14ac:dyDescent="0.25">
      <c r="A39" s="3" t="s">
        <v>8</v>
      </c>
      <c r="B39" s="11" t="s">
        <v>64</v>
      </c>
      <c r="C39" s="40" t="s">
        <v>152</v>
      </c>
      <c r="D39" s="42" t="s">
        <v>97</v>
      </c>
      <c r="E39" s="13">
        <v>641521</v>
      </c>
      <c r="F39" s="14">
        <v>-0.3</v>
      </c>
      <c r="G39" s="14">
        <v>0.3</v>
      </c>
      <c r="H39" s="34">
        <v>166492</v>
      </c>
      <c r="I39" s="41">
        <v>266384</v>
      </c>
      <c r="J39" s="42" t="s">
        <v>97</v>
      </c>
      <c r="K39" s="13">
        <v>545453</v>
      </c>
      <c r="L39" s="14">
        <v>-0.3</v>
      </c>
      <c r="M39" s="14">
        <v>0.3</v>
      </c>
      <c r="N39" s="34">
        <v>166492</v>
      </c>
      <c r="O39" s="41">
        <v>266384</v>
      </c>
      <c r="P39" s="42" t="s">
        <v>97</v>
      </c>
      <c r="Q39" s="13">
        <v>538134</v>
      </c>
      <c r="R39" s="14">
        <v>-0.3</v>
      </c>
      <c r="S39" s="14">
        <v>0.3</v>
      </c>
      <c r="T39" s="34">
        <v>166492</v>
      </c>
      <c r="U39" s="41">
        <v>266384</v>
      </c>
      <c r="V39" s="42" t="s">
        <v>97</v>
      </c>
      <c r="W39" s="13">
        <v>166492</v>
      </c>
      <c r="X39" s="14">
        <v>-0.3</v>
      </c>
      <c r="Y39" s="14">
        <v>0.3</v>
      </c>
      <c r="Z39" s="34">
        <v>166492</v>
      </c>
      <c r="AA39" s="41">
        <v>266384</v>
      </c>
    </row>
    <row r="40" spans="1:27" x14ac:dyDescent="0.25">
      <c r="A40" s="3" t="s">
        <v>125</v>
      </c>
      <c r="B40" s="11" t="s">
        <v>64</v>
      </c>
      <c r="C40" s="40" t="s">
        <v>151</v>
      </c>
      <c r="D40" s="42" t="s">
        <v>97</v>
      </c>
      <c r="E40" s="13">
        <v>187493</v>
      </c>
      <c r="F40" s="14">
        <v>-0.3</v>
      </c>
      <c r="G40" s="14">
        <v>0.3</v>
      </c>
      <c r="H40" s="34">
        <v>87496</v>
      </c>
      <c r="I40" s="41">
        <v>139992</v>
      </c>
      <c r="J40" s="42" t="s">
        <v>97</v>
      </c>
      <c r="K40" s="13">
        <v>187493</v>
      </c>
      <c r="L40" s="14">
        <v>-0.3</v>
      </c>
      <c r="M40" s="14">
        <v>0.3</v>
      </c>
      <c r="N40" s="34">
        <v>87496</v>
      </c>
      <c r="O40" s="41">
        <v>139992</v>
      </c>
      <c r="P40" s="42" t="s">
        <v>97</v>
      </c>
      <c r="Q40" s="13">
        <v>187492</v>
      </c>
      <c r="R40" s="14">
        <v>-0.3</v>
      </c>
      <c r="S40" s="14">
        <v>0.3</v>
      </c>
      <c r="T40" s="34">
        <v>87496</v>
      </c>
      <c r="U40" s="41">
        <v>139992</v>
      </c>
      <c r="V40" s="42" t="s">
        <v>97</v>
      </c>
      <c r="W40" s="13">
        <v>87496</v>
      </c>
      <c r="X40" s="14">
        <v>-0.3</v>
      </c>
      <c r="Y40" s="14">
        <v>0.3</v>
      </c>
      <c r="Z40" s="34">
        <v>87496</v>
      </c>
      <c r="AA40" s="41">
        <v>139992</v>
      </c>
    </row>
    <row r="41" spans="1:27" x14ac:dyDescent="0.25">
      <c r="A41" s="3" t="s">
        <v>9</v>
      </c>
      <c r="B41" s="11" t="s">
        <v>64</v>
      </c>
      <c r="C41" s="40" t="s">
        <v>154</v>
      </c>
      <c r="D41" s="42" t="s">
        <v>97</v>
      </c>
      <c r="E41" s="13">
        <v>249963</v>
      </c>
      <c r="F41" s="14">
        <v>-0.3</v>
      </c>
      <c r="G41" s="14">
        <v>0.3</v>
      </c>
      <c r="H41" s="34">
        <v>202521</v>
      </c>
      <c r="I41" s="41">
        <v>324030</v>
      </c>
      <c r="J41" s="42" t="s">
        <v>97</v>
      </c>
      <c r="K41" s="13">
        <v>447803</v>
      </c>
      <c r="L41" s="14">
        <v>-0.3</v>
      </c>
      <c r="M41" s="14">
        <v>0.3</v>
      </c>
      <c r="N41" s="34">
        <v>202521</v>
      </c>
      <c r="O41" s="41">
        <v>324030</v>
      </c>
      <c r="P41" s="42" t="s">
        <v>97</v>
      </c>
      <c r="Q41" s="13">
        <v>458118</v>
      </c>
      <c r="R41" s="14">
        <v>-0.3</v>
      </c>
      <c r="S41" s="14">
        <v>0.3</v>
      </c>
      <c r="T41" s="34">
        <v>202521</v>
      </c>
      <c r="U41" s="41">
        <v>324030</v>
      </c>
      <c r="V41" s="42" t="s">
        <v>97</v>
      </c>
      <c r="W41" s="13">
        <v>202521</v>
      </c>
      <c r="X41" s="14">
        <v>-0.3</v>
      </c>
      <c r="Y41" s="14">
        <v>0.3</v>
      </c>
      <c r="Z41" s="34">
        <v>202521</v>
      </c>
      <c r="AA41" s="41">
        <v>324030</v>
      </c>
    </row>
    <row r="42" spans="1:27" x14ac:dyDescent="0.25">
      <c r="A42" s="3" t="s">
        <v>124</v>
      </c>
      <c r="B42" s="11" t="s">
        <v>64</v>
      </c>
      <c r="C42" s="40" t="s">
        <v>153</v>
      </c>
      <c r="D42" s="42" t="s">
        <v>97</v>
      </c>
      <c r="E42" s="13">
        <v>187492</v>
      </c>
      <c r="F42" s="14">
        <v>-0.3</v>
      </c>
      <c r="G42" s="14">
        <v>0.3</v>
      </c>
      <c r="H42" s="34">
        <v>94758</v>
      </c>
      <c r="I42" s="41">
        <v>151618</v>
      </c>
      <c r="J42" s="42" t="s">
        <v>97</v>
      </c>
      <c r="K42" s="13">
        <v>180231</v>
      </c>
      <c r="L42" s="14">
        <v>-0.3</v>
      </c>
      <c r="M42" s="14">
        <v>0.3</v>
      </c>
      <c r="N42" s="34">
        <v>94758</v>
      </c>
      <c r="O42" s="41">
        <v>151618</v>
      </c>
      <c r="P42" s="42" t="s">
        <v>97</v>
      </c>
      <c r="Q42" s="13">
        <v>187493</v>
      </c>
      <c r="R42" s="14">
        <v>-0.3</v>
      </c>
      <c r="S42" s="14">
        <v>0.3</v>
      </c>
      <c r="T42" s="34">
        <v>94758</v>
      </c>
      <c r="U42" s="41">
        <v>151618</v>
      </c>
      <c r="V42" s="42" t="s">
        <v>97</v>
      </c>
      <c r="W42" s="13">
        <v>94758</v>
      </c>
      <c r="X42" s="14">
        <v>-0.3</v>
      </c>
      <c r="Y42" s="14">
        <v>0.3</v>
      </c>
      <c r="Z42" s="34">
        <v>94758</v>
      </c>
      <c r="AA42" s="41">
        <v>151618</v>
      </c>
    </row>
    <row r="43" spans="1:27" x14ac:dyDescent="0.25">
      <c r="A43" s="3" t="s">
        <v>10</v>
      </c>
      <c r="B43" s="11" t="s">
        <v>64</v>
      </c>
      <c r="C43" s="40" t="s">
        <v>156</v>
      </c>
      <c r="D43" s="42" t="s">
        <v>97</v>
      </c>
      <c r="E43" s="13">
        <v>1186870</v>
      </c>
      <c r="F43" s="14">
        <v>-0.3</v>
      </c>
      <c r="G43" s="14">
        <v>0.3</v>
      </c>
      <c r="H43" s="34">
        <v>529845</v>
      </c>
      <c r="I43" s="41">
        <v>847750</v>
      </c>
      <c r="J43" s="42" t="s">
        <v>97</v>
      </c>
      <c r="K43" s="13">
        <v>1194930</v>
      </c>
      <c r="L43" s="14">
        <v>-0.3</v>
      </c>
      <c r="M43" s="14">
        <v>0.3</v>
      </c>
      <c r="N43" s="34">
        <v>529845</v>
      </c>
      <c r="O43" s="41">
        <v>847750</v>
      </c>
      <c r="P43" s="42" t="s">
        <v>97</v>
      </c>
      <c r="Q43" s="13">
        <v>1194926</v>
      </c>
      <c r="R43" s="14">
        <v>-0.3</v>
      </c>
      <c r="S43" s="14">
        <v>0.3</v>
      </c>
      <c r="T43" s="34">
        <v>529845</v>
      </c>
      <c r="U43" s="41">
        <v>847750</v>
      </c>
      <c r="V43" s="42" t="s">
        <v>97</v>
      </c>
      <c r="W43" s="13">
        <v>529845</v>
      </c>
      <c r="X43" s="14">
        <v>-0.3</v>
      </c>
      <c r="Y43" s="14">
        <v>0.3</v>
      </c>
      <c r="Z43" s="34">
        <v>529845</v>
      </c>
      <c r="AA43" s="41">
        <v>847750</v>
      </c>
    </row>
    <row r="44" spans="1:27" x14ac:dyDescent="0.25">
      <c r="A44" s="3" t="s">
        <v>23</v>
      </c>
      <c r="B44" s="11" t="s">
        <v>64</v>
      </c>
      <c r="C44" s="40" t="s">
        <v>155</v>
      </c>
      <c r="D44" s="42" t="s">
        <v>97</v>
      </c>
      <c r="E44" s="13">
        <v>283191</v>
      </c>
      <c r="F44" s="14">
        <v>-0.3</v>
      </c>
      <c r="G44" s="14">
        <v>0.3</v>
      </c>
      <c r="H44" s="34">
        <v>355603</v>
      </c>
      <c r="I44" s="41">
        <v>500000</v>
      </c>
      <c r="J44" s="42" t="s">
        <v>97</v>
      </c>
      <c r="K44" s="13">
        <v>355602</v>
      </c>
      <c r="L44" s="14">
        <v>-0.3</v>
      </c>
      <c r="M44" s="14">
        <v>0.3</v>
      </c>
      <c r="N44" s="34">
        <v>355603</v>
      </c>
      <c r="O44" s="41">
        <v>500000</v>
      </c>
      <c r="P44" s="42" t="s">
        <v>97</v>
      </c>
      <c r="Q44" s="13">
        <v>355604</v>
      </c>
      <c r="R44" s="14">
        <v>-0.3</v>
      </c>
      <c r="S44" s="14">
        <v>0.3</v>
      </c>
      <c r="T44" s="34">
        <v>355603</v>
      </c>
      <c r="U44" s="41">
        <v>500000</v>
      </c>
      <c r="V44" s="42" t="s">
        <v>97</v>
      </c>
      <c r="W44" s="13">
        <v>355603</v>
      </c>
      <c r="X44" s="14">
        <v>-0.3</v>
      </c>
      <c r="Y44" s="14">
        <v>0.3</v>
      </c>
      <c r="Z44" s="34">
        <v>355603</v>
      </c>
      <c r="AA44" s="41">
        <v>500000</v>
      </c>
    </row>
    <row r="45" spans="1:27" x14ac:dyDescent="0.25">
      <c r="A45" s="3" t="s">
        <v>0</v>
      </c>
      <c r="B45" s="11" t="s">
        <v>70</v>
      </c>
      <c r="C45" s="40" t="s">
        <v>161</v>
      </c>
      <c r="D45" s="42" t="s">
        <v>97</v>
      </c>
      <c r="E45" s="13">
        <v>3685831</v>
      </c>
      <c r="F45" s="14">
        <v>-0.5</v>
      </c>
      <c r="G45" s="14">
        <v>0.5</v>
      </c>
      <c r="H45" s="34">
        <v>1706285</v>
      </c>
      <c r="I45" s="41">
        <v>2730056</v>
      </c>
      <c r="J45" s="42" t="s">
        <v>97</v>
      </c>
      <c r="K45" s="13">
        <v>3273560</v>
      </c>
      <c r="L45" s="14">
        <v>-0.5</v>
      </c>
      <c r="M45" s="14">
        <v>0.5</v>
      </c>
      <c r="N45" s="34">
        <v>1706285</v>
      </c>
      <c r="O45" s="41">
        <v>2730056</v>
      </c>
      <c r="P45" s="42" t="s">
        <v>97</v>
      </c>
      <c r="Q45" s="13">
        <v>3589128</v>
      </c>
      <c r="R45" s="14">
        <v>-0.5</v>
      </c>
      <c r="S45" s="14">
        <v>0.5</v>
      </c>
      <c r="T45" s="34">
        <v>1706285</v>
      </c>
      <c r="U45" s="41">
        <v>2730056</v>
      </c>
      <c r="V45" s="42" t="s">
        <v>97</v>
      </c>
      <c r="W45" s="13">
        <v>1706285</v>
      </c>
      <c r="X45" s="14">
        <v>-0.5</v>
      </c>
      <c r="Y45" s="14">
        <v>0.5</v>
      </c>
      <c r="Z45" s="34">
        <v>1706285</v>
      </c>
      <c r="AA45" s="41">
        <v>2730056</v>
      </c>
    </row>
    <row r="46" spans="1:27" x14ac:dyDescent="0.25">
      <c r="A46" s="3" t="s">
        <v>2</v>
      </c>
      <c r="B46" s="11" t="s">
        <v>70</v>
      </c>
      <c r="C46" s="40" t="s">
        <v>162</v>
      </c>
      <c r="D46" s="42" t="s">
        <v>97</v>
      </c>
      <c r="E46" s="13">
        <v>4071998</v>
      </c>
      <c r="F46" s="14">
        <v>-0.3</v>
      </c>
      <c r="G46" s="14">
        <v>0.3</v>
      </c>
      <c r="H46" s="34">
        <v>2480171</v>
      </c>
      <c r="I46" s="41">
        <v>3968275</v>
      </c>
      <c r="J46" s="42" t="s">
        <v>97</v>
      </c>
      <c r="K46" s="13">
        <v>2711182</v>
      </c>
      <c r="L46" s="14">
        <v>-0.3</v>
      </c>
      <c r="M46" s="14">
        <v>0.3</v>
      </c>
      <c r="N46" s="34">
        <v>2480171</v>
      </c>
      <c r="O46" s="41">
        <v>3968275</v>
      </c>
      <c r="P46" s="42" t="s">
        <v>97</v>
      </c>
      <c r="Q46" s="13">
        <v>2588037</v>
      </c>
      <c r="R46" s="14">
        <v>-0.3</v>
      </c>
      <c r="S46" s="14">
        <v>0.3</v>
      </c>
      <c r="T46" s="34">
        <v>2480171</v>
      </c>
      <c r="U46" s="41">
        <v>3968275</v>
      </c>
      <c r="V46" s="42" t="s">
        <v>97</v>
      </c>
      <c r="W46" s="13">
        <v>2480171</v>
      </c>
      <c r="X46" s="14">
        <v>-0.3</v>
      </c>
      <c r="Y46" s="14">
        <v>0.3</v>
      </c>
      <c r="Z46" s="34">
        <v>2480171</v>
      </c>
      <c r="AA46" s="41">
        <v>3968275</v>
      </c>
    </row>
    <row r="47" spans="1:27" x14ac:dyDescent="0.25">
      <c r="A47" s="3" t="s">
        <v>1</v>
      </c>
      <c r="B47" s="11" t="s">
        <v>70</v>
      </c>
      <c r="C47" s="40" t="s">
        <v>163</v>
      </c>
      <c r="D47" s="42" t="s">
        <v>97</v>
      </c>
      <c r="E47" s="13">
        <v>2059205</v>
      </c>
      <c r="F47" s="14">
        <v>-0.3</v>
      </c>
      <c r="G47" s="14">
        <v>0.3</v>
      </c>
      <c r="H47" s="34">
        <v>1423452</v>
      </c>
      <c r="I47" s="41">
        <v>2277523</v>
      </c>
      <c r="J47" s="42" t="s">
        <v>97</v>
      </c>
      <c r="K47" s="13">
        <v>1899528</v>
      </c>
      <c r="L47" s="14">
        <v>-0.3</v>
      </c>
      <c r="M47" s="14">
        <v>0.3</v>
      </c>
      <c r="N47" s="34">
        <v>1423452</v>
      </c>
      <c r="O47" s="41">
        <v>2277523</v>
      </c>
      <c r="P47" s="42" t="s">
        <v>97</v>
      </c>
      <c r="Q47" s="13">
        <v>1661623</v>
      </c>
      <c r="R47" s="14">
        <v>-0.3</v>
      </c>
      <c r="S47" s="14">
        <v>0.3</v>
      </c>
      <c r="T47" s="34">
        <v>1423452</v>
      </c>
      <c r="U47" s="41">
        <v>2277523</v>
      </c>
      <c r="V47" s="42" t="s">
        <v>97</v>
      </c>
      <c r="W47" s="13">
        <v>1423452</v>
      </c>
      <c r="X47" s="14">
        <v>-0.3</v>
      </c>
      <c r="Y47" s="14">
        <v>0.3</v>
      </c>
      <c r="Z47" s="34">
        <v>1423452</v>
      </c>
      <c r="AA47" s="41">
        <v>2277523</v>
      </c>
    </row>
    <row r="48" spans="1:27" x14ac:dyDescent="0.25">
      <c r="A48" s="3" t="s">
        <v>123</v>
      </c>
      <c r="B48" s="11" t="s">
        <v>70</v>
      </c>
      <c r="C48" s="40" t="s">
        <v>160</v>
      </c>
      <c r="D48" s="42" t="s">
        <v>74</v>
      </c>
      <c r="E48" s="13">
        <v>0</v>
      </c>
      <c r="F48" s="14">
        <v>-0.3</v>
      </c>
      <c r="G48" s="14">
        <v>0.3</v>
      </c>
      <c r="H48" s="34">
        <v>9600000</v>
      </c>
      <c r="I48" s="41">
        <v>24000000</v>
      </c>
      <c r="J48" s="42" t="s">
        <v>74</v>
      </c>
      <c r="K48" s="13">
        <v>0</v>
      </c>
      <c r="L48" s="14">
        <v>-0.3</v>
      </c>
      <c r="M48" s="14">
        <v>0.3</v>
      </c>
      <c r="N48" s="34">
        <v>9600000</v>
      </c>
      <c r="O48" s="41">
        <v>24000000</v>
      </c>
      <c r="P48" s="42" t="s">
        <v>74</v>
      </c>
      <c r="Q48" s="13">
        <v>0</v>
      </c>
      <c r="R48" s="14">
        <v>-0.3</v>
      </c>
      <c r="S48" s="14">
        <v>0.3</v>
      </c>
      <c r="T48" s="34">
        <v>9600000</v>
      </c>
      <c r="U48" s="41">
        <v>24000000</v>
      </c>
      <c r="V48" s="42" t="s">
        <v>74</v>
      </c>
      <c r="W48" s="13">
        <v>0</v>
      </c>
      <c r="X48" s="14">
        <v>-0.3</v>
      </c>
      <c r="Y48" s="14">
        <v>0.3</v>
      </c>
      <c r="Z48" s="34">
        <v>9600000</v>
      </c>
      <c r="AA48" s="41">
        <v>24000000</v>
      </c>
    </row>
    <row r="49" spans="1:27" ht="15.75" thickBot="1" x14ac:dyDescent="0.3">
      <c r="A49" s="3" t="s">
        <v>3</v>
      </c>
      <c r="B49" s="11" t="s">
        <v>69</v>
      </c>
      <c r="C49" s="40" t="s">
        <v>159</v>
      </c>
      <c r="D49" s="39" t="s">
        <v>74</v>
      </c>
      <c r="E49" s="38">
        <v>1612500</v>
      </c>
      <c r="F49" s="37">
        <v>0</v>
      </c>
      <c r="G49" s="37">
        <v>0.05</v>
      </c>
      <c r="H49" s="36">
        <v>5199999</v>
      </c>
      <c r="I49" s="35">
        <v>200000000</v>
      </c>
      <c r="J49" s="39" t="s">
        <v>74</v>
      </c>
      <c r="K49" s="38">
        <v>2562500</v>
      </c>
      <c r="L49" s="37">
        <v>0</v>
      </c>
      <c r="M49" s="37">
        <v>0.05</v>
      </c>
      <c r="N49" s="36">
        <v>5199999</v>
      </c>
      <c r="O49" s="35">
        <v>200000000</v>
      </c>
      <c r="P49" s="39" t="s">
        <v>74</v>
      </c>
      <c r="Q49" s="38">
        <v>1512500</v>
      </c>
      <c r="R49" s="37">
        <v>0</v>
      </c>
      <c r="S49" s="37">
        <v>0.05</v>
      </c>
      <c r="T49" s="36">
        <v>5199999</v>
      </c>
      <c r="U49" s="35">
        <v>200000000</v>
      </c>
      <c r="V49" s="39" t="s">
        <v>74</v>
      </c>
      <c r="W49" s="38">
        <v>62500</v>
      </c>
      <c r="X49" s="37">
        <v>0</v>
      </c>
      <c r="Y49" s="37">
        <v>0.05</v>
      </c>
      <c r="Z49" s="36">
        <v>5199999</v>
      </c>
      <c r="AA49" s="35">
        <v>200000000</v>
      </c>
    </row>
  </sheetData>
  <mergeCells count="4">
    <mergeCell ref="D1:I1"/>
    <mergeCell ref="J1:O1"/>
    <mergeCell ref="P1:U1"/>
    <mergeCell ref="V1:AA1"/>
  </mergeCells>
  <conditionalFormatting sqref="E3:E35 E37:E49">
    <cfRule type="expression" dxfId="217" priority="216">
      <formula>$D3="Yes"</formula>
    </cfRule>
  </conditionalFormatting>
  <conditionalFormatting sqref="F27 F30 F33:F34 F3:F22 G11:G18 G20 G22 F24:G26 F37:G42 F46:G49">
    <cfRule type="expression" dxfId="216" priority="215">
      <formula>OR($D3="Yes",#REF!&lt;&gt;"% Bounds")</formula>
    </cfRule>
  </conditionalFormatting>
  <conditionalFormatting sqref="G3">
    <cfRule type="expression" dxfId="215" priority="214">
      <formula>OR($D3="Yes",#REF!&lt;&gt;"% Bounds")</formula>
    </cfRule>
  </conditionalFormatting>
  <conditionalFormatting sqref="H3 H11:I25 H35:I35 H47:I49 H37:I42">
    <cfRule type="expression" dxfId="214" priority="213">
      <formula>OR($D3="Yes",#REF!&lt;&gt;"$ Bounds")</formula>
    </cfRule>
  </conditionalFormatting>
  <conditionalFormatting sqref="I3">
    <cfRule type="expression" dxfId="213" priority="212">
      <formula>OR($D3="Yes",#REF!&lt;&gt;"$ Bounds")</formula>
    </cfRule>
  </conditionalFormatting>
  <conditionalFormatting sqref="G4">
    <cfRule type="expression" dxfId="212" priority="211">
      <formula>OR($D4="Yes",#REF!&lt;&gt;"% Bounds")</formula>
    </cfRule>
  </conditionalFormatting>
  <conditionalFormatting sqref="H4">
    <cfRule type="expression" dxfId="211" priority="210">
      <formula>OR($D4="Yes",#REF!&lt;&gt;"$ Bounds")</formula>
    </cfRule>
  </conditionalFormatting>
  <conditionalFormatting sqref="I4">
    <cfRule type="expression" dxfId="210" priority="209">
      <formula>OR($D4="Yes",#REF!&lt;&gt;"$ Bounds")</formula>
    </cfRule>
  </conditionalFormatting>
  <conditionalFormatting sqref="G5">
    <cfRule type="expression" dxfId="209" priority="208">
      <formula>OR($D5="Yes",#REF!&lt;&gt;"% Bounds")</formula>
    </cfRule>
  </conditionalFormatting>
  <conditionalFormatting sqref="H5:H8">
    <cfRule type="expression" dxfId="208" priority="207">
      <formula>OR($D5="Yes",#REF!&lt;&gt;"$ Bounds")</formula>
    </cfRule>
  </conditionalFormatting>
  <conditionalFormatting sqref="G6">
    <cfRule type="expression" dxfId="207" priority="206">
      <formula>OR($D6="Yes",#REF!&lt;&gt;"% Bounds")</formula>
    </cfRule>
  </conditionalFormatting>
  <conditionalFormatting sqref="G7">
    <cfRule type="expression" dxfId="206" priority="205">
      <formula>OR($D7="Yes",#REF!&lt;&gt;"% Bounds")</formula>
    </cfRule>
  </conditionalFormatting>
  <conditionalFormatting sqref="G8">
    <cfRule type="expression" dxfId="205" priority="204">
      <formula>OR($D8="Yes",#REF!&lt;&gt;"% Bounds")</formula>
    </cfRule>
  </conditionalFormatting>
  <conditionalFormatting sqref="G9">
    <cfRule type="expression" dxfId="204" priority="203">
      <formula>OR($D9="Yes",#REF!&lt;&gt;"% Bounds")</formula>
    </cfRule>
  </conditionalFormatting>
  <conditionalFormatting sqref="I9">
    <cfRule type="expression" dxfId="203" priority="202">
      <formula>OR($D9="Yes",#REF!&lt;&gt;"$ Bounds")</formula>
    </cfRule>
  </conditionalFormatting>
  <conditionalFormatting sqref="G10">
    <cfRule type="expression" dxfId="202" priority="201">
      <formula>OR($D10="Yes",#REF!&lt;&gt;"% Bounds")</formula>
    </cfRule>
  </conditionalFormatting>
  <conditionalFormatting sqref="I10">
    <cfRule type="expression" dxfId="201" priority="200">
      <formula>OR($D10="Yes",#REF!&lt;&gt;"$ Bounds")</formula>
    </cfRule>
  </conditionalFormatting>
  <conditionalFormatting sqref="G34">
    <cfRule type="expression" dxfId="200" priority="199">
      <formula>OR($D34="Yes",#REF!&lt;&gt;"% Bounds")</formula>
    </cfRule>
  </conditionalFormatting>
  <conditionalFormatting sqref="G19">
    <cfRule type="expression" dxfId="199" priority="198">
      <formula>OR($D19="Yes",#REF!&lt;&gt;"% Bounds")</formula>
    </cfRule>
  </conditionalFormatting>
  <conditionalFormatting sqref="G21">
    <cfRule type="expression" dxfId="198" priority="197">
      <formula>OR($D21="Yes",#REF!&lt;&gt;"% Bounds")</formula>
    </cfRule>
  </conditionalFormatting>
  <conditionalFormatting sqref="H26">
    <cfRule type="expression" dxfId="197" priority="196">
      <formula>OR($D26="Yes",#REF!&lt;&gt;"$ Bounds")</formula>
    </cfRule>
  </conditionalFormatting>
  <conditionalFormatting sqref="I26">
    <cfRule type="expression" dxfId="196" priority="195">
      <formula>OR($D26="Yes",#REF!&lt;&gt;"$ Bounds")</formula>
    </cfRule>
  </conditionalFormatting>
  <conditionalFormatting sqref="G27">
    <cfRule type="expression" dxfId="195" priority="194">
      <formula>OR($D27="Yes",#REF!&lt;&gt;"% Bounds")</formula>
    </cfRule>
  </conditionalFormatting>
  <conditionalFormatting sqref="H27">
    <cfRule type="expression" dxfId="194" priority="193">
      <formula>OR($D27="Yes",#REF!&lt;&gt;"$ Bounds")</formula>
    </cfRule>
  </conditionalFormatting>
  <conditionalFormatting sqref="I27">
    <cfRule type="expression" dxfId="193" priority="192">
      <formula>OR($D27="Yes",#REF!&lt;&gt;"$ Bounds")</formula>
    </cfRule>
  </conditionalFormatting>
  <conditionalFormatting sqref="H28">
    <cfRule type="expression" dxfId="192" priority="191">
      <formula>OR($D28="Yes",#REF!&lt;&gt;"$ Bounds")</formula>
    </cfRule>
  </conditionalFormatting>
  <conditionalFormatting sqref="I28">
    <cfRule type="expression" dxfId="191" priority="190">
      <formula>OR($D28="Yes",#REF!&lt;&gt;"$ Bounds")</formula>
    </cfRule>
  </conditionalFormatting>
  <conditionalFormatting sqref="H29">
    <cfRule type="expression" dxfId="190" priority="189">
      <formula>OR($D29="Yes",#REF!&lt;&gt;"$ Bounds")</formula>
    </cfRule>
  </conditionalFormatting>
  <conditionalFormatting sqref="I29">
    <cfRule type="expression" dxfId="189" priority="188">
      <formula>OR($D29="Yes",#REF!&lt;&gt;"$ Bounds")</formula>
    </cfRule>
  </conditionalFormatting>
  <conditionalFormatting sqref="G30">
    <cfRule type="expression" dxfId="188" priority="187">
      <formula>OR($D30="Yes",#REF!&lt;&gt;"% Bounds")</formula>
    </cfRule>
  </conditionalFormatting>
  <conditionalFormatting sqref="H30">
    <cfRule type="expression" dxfId="187" priority="186">
      <formula>OR($D30="Yes",#REF!&lt;&gt;"$ Bounds")</formula>
    </cfRule>
  </conditionalFormatting>
  <conditionalFormatting sqref="I30">
    <cfRule type="expression" dxfId="186" priority="185">
      <formula>OR($D30="Yes",#REF!&lt;&gt;"$ Bounds")</formula>
    </cfRule>
  </conditionalFormatting>
  <conditionalFormatting sqref="H31">
    <cfRule type="expression" dxfId="185" priority="184">
      <formula>OR($D31="Yes",#REF!&lt;&gt;"$ Bounds")</formula>
    </cfRule>
  </conditionalFormatting>
  <conditionalFormatting sqref="I31">
    <cfRule type="expression" dxfId="184" priority="183">
      <formula>OR($D31="Yes",#REF!&lt;&gt;"$ Bounds")</formula>
    </cfRule>
  </conditionalFormatting>
  <conditionalFormatting sqref="H32">
    <cfRule type="expression" dxfId="183" priority="182">
      <formula>OR($D32="Yes",#REF!&lt;&gt;"$ Bounds")</formula>
    </cfRule>
  </conditionalFormatting>
  <conditionalFormatting sqref="I32">
    <cfRule type="expression" dxfId="182" priority="181">
      <formula>OR($D32="Yes",#REF!&lt;&gt;"$ Bounds")</formula>
    </cfRule>
  </conditionalFormatting>
  <conditionalFormatting sqref="G33">
    <cfRule type="expression" dxfId="181" priority="180">
      <formula>OR($D33="Yes",#REF!&lt;&gt;"% Bounds")</formula>
    </cfRule>
  </conditionalFormatting>
  <conditionalFormatting sqref="H33">
    <cfRule type="expression" dxfId="180" priority="179">
      <formula>OR($D33="Yes",#REF!&lt;&gt;"$ Bounds")</formula>
    </cfRule>
  </conditionalFormatting>
  <conditionalFormatting sqref="I33">
    <cfRule type="expression" dxfId="179" priority="178">
      <formula>OR($D33="Yes",#REF!&lt;&gt;"$ Bounds")</formula>
    </cfRule>
  </conditionalFormatting>
  <conditionalFormatting sqref="H34">
    <cfRule type="expression" dxfId="178" priority="177">
      <formula>OR($D34="Yes",#REF!&lt;&gt;"$ Bounds")</formula>
    </cfRule>
  </conditionalFormatting>
  <conditionalFormatting sqref="I34">
    <cfRule type="expression" dxfId="177" priority="176">
      <formula>OR($D34="Yes",#REF!&lt;&gt;"$ Bounds")</formula>
    </cfRule>
  </conditionalFormatting>
  <conditionalFormatting sqref="H43">
    <cfRule type="expression" dxfId="176" priority="175">
      <formula>OR($D43="Yes",#REF!&lt;&gt;"$ Bounds")</formula>
    </cfRule>
  </conditionalFormatting>
  <conditionalFormatting sqref="I43:I45">
    <cfRule type="expression" dxfId="175" priority="174">
      <formula>OR($D43="Yes",#REF!&lt;&gt;"$ Bounds")</formula>
    </cfRule>
  </conditionalFormatting>
  <conditionalFormatting sqref="H44">
    <cfRule type="expression" dxfId="174" priority="173">
      <formula>OR($D44="Yes",#REF!&lt;&gt;"$ Bounds")</formula>
    </cfRule>
  </conditionalFormatting>
  <conditionalFormatting sqref="H46">
    <cfRule type="expression" dxfId="173" priority="172">
      <formula>OR($D46="Yes",#REF!&lt;&gt;"$ Bounds")</formula>
    </cfRule>
  </conditionalFormatting>
  <conditionalFormatting sqref="I46">
    <cfRule type="expression" dxfId="172" priority="171">
      <formula>OR($D46="Yes",#REF!&lt;&gt;"$ Bounds")</formula>
    </cfRule>
  </conditionalFormatting>
  <conditionalFormatting sqref="F23">
    <cfRule type="expression" dxfId="171" priority="170">
      <formula>OR($D23="Yes",#REF!&lt;&gt;"% Bounds")</formula>
    </cfRule>
  </conditionalFormatting>
  <conditionalFormatting sqref="G23">
    <cfRule type="expression" dxfId="170" priority="169">
      <formula>OR($D23="Yes",#REF!&lt;&gt;"% Bounds")</formula>
    </cfRule>
  </conditionalFormatting>
  <conditionalFormatting sqref="F28">
    <cfRule type="expression" dxfId="169" priority="168">
      <formula>OR($D28="Yes",#REF!&lt;&gt;"% Bounds")</formula>
    </cfRule>
  </conditionalFormatting>
  <conditionalFormatting sqref="G28">
    <cfRule type="expression" dxfId="168" priority="167">
      <formula>OR($D28="Yes",#REF!&lt;&gt;"% Bounds")</formula>
    </cfRule>
  </conditionalFormatting>
  <conditionalFormatting sqref="F29">
    <cfRule type="expression" dxfId="167" priority="166">
      <formula>OR($D29="Yes",#REF!&lt;&gt;"% Bounds")</formula>
    </cfRule>
  </conditionalFormatting>
  <conditionalFormatting sqref="G29">
    <cfRule type="expression" dxfId="166" priority="165">
      <formula>OR($D29="Yes",#REF!&lt;&gt;"% Bounds")</formula>
    </cfRule>
  </conditionalFormatting>
  <conditionalFormatting sqref="F43:F44">
    <cfRule type="expression" dxfId="165" priority="164">
      <formula>OR($D43="Yes",#REF!&lt;&gt;"% Bounds")</formula>
    </cfRule>
  </conditionalFormatting>
  <conditionalFormatting sqref="G43:G44">
    <cfRule type="expression" dxfId="164" priority="163">
      <formula>OR($D43="Yes",#REF!&lt;&gt;"% Bounds")</formula>
    </cfRule>
  </conditionalFormatting>
  <conditionalFormatting sqref="F35">
    <cfRule type="expression" dxfId="163" priority="162">
      <formula>OR($D35="Yes",#REF!&lt;&gt;"% Bounds")</formula>
    </cfRule>
  </conditionalFormatting>
  <conditionalFormatting sqref="G35">
    <cfRule type="expression" dxfId="162" priority="161">
      <formula>OR($D35="Yes",#REF!&lt;&gt;"% Bounds")</formula>
    </cfRule>
  </conditionalFormatting>
  <conditionalFormatting sqref="F31">
    <cfRule type="expression" dxfId="161" priority="160">
      <formula>OR($D31="Yes",#REF!&lt;&gt;"% Bounds")</formula>
    </cfRule>
  </conditionalFormatting>
  <conditionalFormatting sqref="G31">
    <cfRule type="expression" dxfId="160" priority="159">
      <formula>OR($D31="Yes",#REF!&lt;&gt;"% Bounds")</formula>
    </cfRule>
  </conditionalFormatting>
  <conditionalFormatting sqref="F32">
    <cfRule type="expression" dxfId="159" priority="158">
      <formula>OR($D32="Yes",#REF!&lt;&gt;"% Bounds")</formula>
    </cfRule>
  </conditionalFormatting>
  <conditionalFormatting sqref="G32">
    <cfRule type="expression" dxfId="158" priority="157">
      <formula>OR($D32="Yes",#REF!&lt;&gt;"% Bounds")</formula>
    </cfRule>
  </conditionalFormatting>
  <conditionalFormatting sqref="F45">
    <cfRule type="expression" dxfId="157" priority="156">
      <formula>OR($D45="Yes",#REF!&lt;&gt;"% Bounds")</formula>
    </cfRule>
  </conditionalFormatting>
  <conditionalFormatting sqref="G45">
    <cfRule type="expression" dxfId="156" priority="155">
      <formula>OR($D45="Yes",#REF!&lt;&gt;"% Bounds")</formula>
    </cfRule>
  </conditionalFormatting>
  <conditionalFormatting sqref="H45">
    <cfRule type="expression" dxfId="155" priority="154">
      <formula>OR($D45="Yes",#REF!&lt;&gt;"$ Bounds")</formula>
    </cfRule>
  </conditionalFormatting>
  <conditionalFormatting sqref="H9">
    <cfRule type="expression" dxfId="154" priority="153">
      <formula>OR($D9="Yes",#REF!&lt;&gt;"$ Bounds")</formula>
    </cfRule>
  </conditionalFormatting>
  <conditionalFormatting sqref="H10">
    <cfRule type="expression" dxfId="153" priority="152">
      <formula>OR($D10="Yes",#REF!&lt;&gt;"$ Bounds")</formula>
    </cfRule>
  </conditionalFormatting>
  <conditionalFormatting sqref="I5:I8">
    <cfRule type="expression" dxfId="152" priority="151">
      <formula>OR($D5="Yes",#REF!&lt;&gt;"$ Bounds")</formula>
    </cfRule>
  </conditionalFormatting>
  <conditionalFormatting sqref="E36">
    <cfRule type="expression" dxfId="151" priority="150">
      <formula>$D36="Yes"</formula>
    </cfRule>
  </conditionalFormatting>
  <conditionalFormatting sqref="H36:I36">
    <cfRule type="expression" dxfId="150" priority="149">
      <formula>OR($D36="Yes",#REF!&lt;&gt;"$ Bounds")</formula>
    </cfRule>
  </conditionalFormatting>
  <conditionalFormatting sqref="F36">
    <cfRule type="expression" dxfId="149" priority="148">
      <formula>OR($D36="Yes",#REF!&lt;&gt;"% Bounds")</formula>
    </cfRule>
  </conditionalFormatting>
  <conditionalFormatting sqref="G36">
    <cfRule type="expression" dxfId="148" priority="147">
      <formula>OR($D36="Yes",#REF!&lt;&gt;"% Bounds")</formula>
    </cfRule>
  </conditionalFormatting>
  <conditionalFormatting sqref="K3:K49">
    <cfRule type="expression" dxfId="147" priority="146">
      <formula>$E3="Yes"</formula>
    </cfRule>
  </conditionalFormatting>
  <conditionalFormatting sqref="L27 L30 L33:L34 L3:L22 M11:M18 M20 M22 L24:M26 L37:M42 L46:M49">
    <cfRule type="expression" dxfId="146" priority="145">
      <formula>OR($E3="Yes",#REF!&lt;&gt;"% Bounds")</formula>
    </cfRule>
  </conditionalFormatting>
  <conditionalFormatting sqref="M3">
    <cfRule type="expression" dxfId="145" priority="144">
      <formula>OR($E3="Yes",#REF!&lt;&gt;"% Bounds")</formula>
    </cfRule>
  </conditionalFormatting>
  <conditionalFormatting sqref="N3 N11:O25 N35:O35 N47:O49 N37:O42">
    <cfRule type="expression" dxfId="144" priority="143">
      <formula>OR($E3="Yes",#REF!&lt;&gt;"$ Bounds")</formula>
    </cfRule>
  </conditionalFormatting>
  <conditionalFormatting sqref="O3">
    <cfRule type="expression" dxfId="143" priority="142">
      <formula>OR($E3="Yes",#REF!&lt;&gt;"$ Bounds")</formula>
    </cfRule>
  </conditionalFormatting>
  <conditionalFormatting sqref="M4">
    <cfRule type="expression" dxfId="142" priority="141">
      <formula>OR($E4="Yes",#REF!&lt;&gt;"% Bounds")</formula>
    </cfRule>
  </conditionalFormatting>
  <conditionalFormatting sqref="N4">
    <cfRule type="expression" dxfId="141" priority="140">
      <formula>OR($E4="Yes",#REF!&lt;&gt;"$ Bounds")</formula>
    </cfRule>
  </conditionalFormatting>
  <conditionalFormatting sqref="O4">
    <cfRule type="expression" dxfId="140" priority="139">
      <formula>OR($E4="Yes",#REF!&lt;&gt;"$ Bounds")</formula>
    </cfRule>
  </conditionalFormatting>
  <conditionalFormatting sqref="M5">
    <cfRule type="expression" dxfId="139" priority="138">
      <formula>OR($E5="Yes",#REF!&lt;&gt;"% Bounds")</formula>
    </cfRule>
  </conditionalFormatting>
  <conditionalFormatting sqref="N5:N8">
    <cfRule type="expression" dxfId="138" priority="137">
      <formula>OR($E5="Yes",#REF!&lt;&gt;"$ Bounds")</formula>
    </cfRule>
  </conditionalFormatting>
  <conditionalFormatting sqref="M6">
    <cfRule type="expression" dxfId="137" priority="136">
      <formula>OR($E6="Yes",#REF!&lt;&gt;"% Bounds")</formula>
    </cfRule>
  </conditionalFormatting>
  <conditionalFormatting sqref="M7">
    <cfRule type="expression" dxfId="136" priority="135">
      <formula>OR($E7="Yes",#REF!&lt;&gt;"% Bounds")</formula>
    </cfRule>
  </conditionalFormatting>
  <conditionalFormatting sqref="M8">
    <cfRule type="expression" dxfId="135" priority="134">
      <formula>OR($E8="Yes",#REF!&lt;&gt;"% Bounds")</formula>
    </cfRule>
  </conditionalFormatting>
  <conditionalFormatting sqref="M9">
    <cfRule type="expression" dxfId="134" priority="133">
      <formula>OR($E9="Yes",#REF!&lt;&gt;"% Bounds")</formula>
    </cfRule>
  </conditionalFormatting>
  <conditionalFormatting sqref="O9">
    <cfRule type="expression" dxfId="133" priority="132">
      <formula>OR($E9="Yes",#REF!&lt;&gt;"$ Bounds")</formula>
    </cfRule>
  </conditionalFormatting>
  <conditionalFormatting sqref="M10">
    <cfRule type="expression" dxfId="132" priority="131">
      <formula>OR($E10="Yes",#REF!&lt;&gt;"% Bounds")</formula>
    </cfRule>
  </conditionalFormatting>
  <conditionalFormatting sqref="O10">
    <cfRule type="expression" dxfId="131" priority="130">
      <formula>OR($E10="Yes",#REF!&lt;&gt;"$ Bounds")</formula>
    </cfRule>
  </conditionalFormatting>
  <conditionalFormatting sqref="M34">
    <cfRule type="expression" dxfId="130" priority="129">
      <formula>OR($E34="Yes",#REF!&lt;&gt;"% Bounds")</formula>
    </cfRule>
  </conditionalFormatting>
  <conditionalFormatting sqref="M19">
    <cfRule type="expression" dxfId="129" priority="128">
      <formula>OR($E19="Yes",#REF!&lt;&gt;"% Bounds")</formula>
    </cfRule>
  </conditionalFormatting>
  <conditionalFormatting sqref="M21">
    <cfRule type="expression" dxfId="128" priority="127">
      <formula>OR($E21="Yes",#REF!&lt;&gt;"% Bounds")</formula>
    </cfRule>
  </conditionalFormatting>
  <conditionalFormatting sqref="N26">
    <cfRule type="expression" dxfId="127" priority="126">
      <formula>OR($E26="Yes",#REF!&lt;&gt;"$ Bounds")</formula>
    </cfRule>
  </conditionalFormatting>
  <conditionalFormatting sqref="O26">
    <cfRule type="expression" dxfId="126" priority="125">
      <formula>OR($E26="Yes",#REF!&lt;&gt;"$ Bounds")</formula>
    </cfRule>
  </conditionalFormatting>
  <conditionalFormatting sqref="M27">
    <cfRule type="expression" dxfId="125" priority="124">
      <formula>OR($E27="Yes",#REF!&lt;&gt;"% Bounds")</formula>
    </cfRule>
  </conditionalFormatting>
  <conditionalFormatting sqref="N27">
    <cfRule type="expression" dxfId="124" priority="123">
      <formula>OR($E27="Yes",#REF!&lt;&gt;"$ Bounds")</formula>
    </cfRule>
  </conditionalFormatting>
  <conditionalFormatting sqref="O27">
    <cfRule type="expression" dxfId="123" priority="122">
      <formula>OR($E27="Yes",#REF!&lt;&gt;"$ Bounds")</formula>
    </cfRule>
  </conditionalFormatting>
  <conditionalFormatting sqref="N28">
    <cfRule type="expression" dxfId="122" priority="121">
      <formula>OR($E28="Yes",#REF!&lt;&gt;"$ Bounds")</formula>
    </cfRule>
  </conditionalFormatting>
  <conditionalFormatting sqref="O28">
    <cfRule type="expression" dxfId="121" priority="120">
      <formula>OR($E28="Yes",#REF!&lt;&gt;"$ Bounds")</formula>
    </cfRule>
  </conditionalFormatting>
  <conditionalFormatting sqref="N29">
    <cfRule type="expression" dxfId="120" priority="119">
      <formula>OR($E29="Yes",#REF!&lt;&gt;"$ Bounds")</formula>
    </cfRule>
  </conditionalFormatting>
  <conditionalFormatting sqref="O29">
    <cfRule type="expression" dxfId="119" priority="118">
      <formula>OR($E29="Yes",#REF!&lt;&gt;"$ Bounds")</formula>
    </cfRule>
  </conditionalFormatting>
  <conditionalFormatting sqref="M30">
    <cfRule type="expression" dxfId="118" priority="117">
      <formula>OR($E30="Yes",#REF!&lt;&gt;"% Bounds")</formula>
    </cfRule>
  </conditionalFormatting>
  <conditionalFormatting sqref="N30">
    <cfRule type="expression" dxfId="117" priority="116">
      <formula>OR($E30="Yes",#REF!&lt;&gt;"$ Bounds")</formula>
    </cfRule>
  </conditionalFormatting>
  <conditionalFormatting sqref="O30">
    <cfRule type="expression" dxfId="116" priority="115">
      <formula>OR($E30="Yes",#REF!&lt;&gt;"$ Bounds")</formula>
    </cfRule>
  </conditionalFormatting>
  <conditionalFormatting sqref="N31">
    <cfRule type="expression" dxfId="115" priority="114">
      <formula>OR($E31="Yes",#REF!&lt;&gt;"$ Bounds")</formula>
    </cfRule>
  </conditionalFormatting>
  <conditionalFormatting sqref="O31">
    <cfRule type="expression" dxfId="114" priority="113">
      <formula>OR($E31="Yes",#REF!&lt;&gt;"$ Bounds")</formula>
    </cfRule>
  </conditionalFormatting>
  <conditionalFormatting sqref="N32">
    <cfRule type="expression" dxfId="113" priority="112">
      <formula>OR($E32="Yes",#REF!&lt;&gt;"$ Bounds")</formula>
    </cfRule>
  </conditionalFormatting>
  <conditionalFormatting sqref="O32">
    <cfRule type="expression" dxfId="112" priority="111">
      <formula>OR($E32="Yes",#REF!&lt;&gt;"$ Bounds")</formula>
    </cfRule>
  </conditionalFormatting>
  <conditionalFormatting sqref="M33">
    <cfRule type="expression" dxfId="111" priority="110">
      <formula>OR($E33="Yes",#REF!&lt;&gt;"% Bounds")</formula>
    </cfRule>
  </conditionalFormatting>
  <conditionalFormatting sqref="N33">
    <cfRule type="expression" dxfId="110" priority="109">
      <formula>OR($E33="Yes",#REF!&lt;&gt;"$ Bounds")</formula>
    </cfRule>
  </conditionalFormatting>
  <conditionalFormatting sqref="O33">
    <cfRule type="expression" dxfId="109" priority="108">
      <formula>OR($E33="Yes",#REF!&lt;&gt;"$ Bounds")</formula>
    </cfRule>
  </conditionalFormatting>
  <conditionalFormatting sqref="N34">
    <cfRule type="expression" dxfId="108" priority="107">
      <formula>OR($E34="Yes",#REF!&lt;&gt;"$ Bounds")</formula>
    </cfRule>
  </conditionalFormatting>
  <conditionalFormatting sqref="O34">
    <cfRule type="expression" dxfId="107" priority="106">
      <formula>OR($E34="Yes",#REF!&lt;&gt;"$ Bounds")</formula>
    </cfRule>
  </conditionalFormatting>
  <conditionalFormatting sqref="N43">
    <cfRule type="expression" dxfId="106" priority="105">
      <formula>OR($E43="Yes",#REF!&lt;&gt;"$ Bounds")</formula>
    </cfRule>
  </conditionalFormatting>
  <conditionalFormatting sqref="O43:O45">
    <cfRule type="expression" dxfId="105" priority="104">
      <formula>OR($E43="Yes",#REF!&lt;&gt;"$ Bounds")</formula>
    </cfRule>
  </conditionalFormatting>
  <conditionalFormatting sqref="N44">
    <cfRule type="expression" dxfId="104" priority="103">
      <formula>OR($E44="Yes",#REF!&lt;&gt;"$ Bounds")</formula>
    </cfRule>
  </conditionalFormatting>
  <conditionalFormatting sqref="N46">
    <cfRule type="expression" dxfId="103" priority="102">
      <formula>OR($E46="Yes",#REF!&lt;&gt;"$ Bounds")</formula>
    </cfRule>
  </conditionalFormatting>
  <conditionalFormatting sqref="O46">
    <cfRule type="expression" dxfId="102" priority="101">
      <formula>OR($E46="Yes",#REF!&lt;&gt;"$ Bounds")</formula>
    </cfRule>
  </conditionalFormatting>
  <conditionalFormatting sqref="L23">
    <cfRule type="expression" dxfId="101" priority="100">
      <formula>OR($E23="Yes",#REF!&lt;&gt;"% Bounds")</formula>
    </cfRule>
  </conditionalFormatting>
  <conditionalFormatting sqref="M23">
    <cfRule type="expression" dxfId="100" priority="99">
      <formula>OR($E23="Yes",#REF!&lt;&gt;"% Bounds")</formula>
    </cfRule>
  </conditionalFormatting>
  <conditionalFormatting sqref="L28">
    <cfRule type="expression" dxfId="99" priority="98">
      <formula>OR($E28="Yes",#REF!&lt;&gt;"% Bounds")</formula>
    </cfRule>
  </conditionalFormatting>
  <conditionalFormatting sqref="M28">
    <cfRule type="expression" dxfId="98" priority="97">
      <formula>OR($E28="Yes",#REF!&lt;&gt;"% Bounds")</formula>
    </cfRule>
  </conditionalFormatting>
  <conditionalFormatting sqref="L29">
    <cfRule type="expression" dxfId="97" priority="96">
      <formula>OR($E29="Yes",#REF!&lt;&gt;"% Bounds")</formula>
    </cfRule>
  </conditionalFormatting>
  <conditionalFormatting sqref="M29">
    <cfRule type="expression" dxfId="96" priority="95">
      <formula>OR($E29="Yes",#REF!&lt;&gt;"% Bounds")</formula>
    </cfRule>
  </conditionalFormatting>
  <conditionalFormatting sqref="L43:L44">
    <cfRule type="expression" dxfId="95" priority="94">
      <formula>OR($E43="Yes",#REF!&lt;&gt;"% Bounds")</formula>
    </cfRule>
  </conditionalFormatting>
  <conditionalFormatting sqref="M43:M44">
    <cfRule type="expression" dxfId="94" priority="93">
      <formula>OR($E43="Yes",#REF!&lt;&gt;"% Bounds")</formula>
    </cfRule>
  </conditionalFormatting>
  <conditionalFormatting sqref="L35">
    <cfRule type="expression" dxfId="93" priority="92">
      <formula>OR($E35="Yes",#REF!&lt;&gt;"% Bounds")</formula>
    </cfRule>
  </conditionalFormatting>
  <conditionalFormatting sqref="M35">
    <cfRule type="expression" dxfId="92" priority="91">
      <formula>OR($E35="Yes",#REF!&lt;&gt;"% Bounds")</formula>
    </cfRule>
  </conditionalFormatting>
  <conditionalFormatting sqref="L31">
    <cfRule type="expression" dxfId="91" priority="90">
      <formula>OR($E31="Yes",#REF!&lt;&gt;"% Bounds")</formula>
    </cfRule>
  </conditionalFormatting>
  <conditionalFormatting sqref="M31">
    <cfRule type="expression" dxfId="90" priority="89">
      <formula>OR($E31="Yes",#REF!&lt;&gt;"% Bounds")</formula>
    </cfRule>
  </conditionalFormatting>
  <conditionalFormatting sqref="L32">
    <cfRule type="expression" dxfId="89" priority="88">
      <formula>OR($E32="Yes",#REF!&lt;&gt;"% Bounds")</formula>
    </cfRule>
  </conditionalFormatting>
  <conditionalFormatting sqref="M32">
    <cfRule type="expression" dxfId="88" priority="87">
      <formula>OR($E32="Yes",#REF!&lt;&gt;"% Bounds")</formula>
    </cfRule>
  </conditionalFormatting>
  <conditionalFormatting sqref="L45">
    <cfRule type="expression" dxfId="87" priority="86">
      <formula>OR($E45="Yes",#REF!&lt;&gt;"% Bounds")</formula>
    </cfRule>
  </conditionalFormatting>
  <conditionalFormatting sqref="M45">
    <cfRule type="expression" dxfId="86" priority="85">
      <formula>OR($E45="Yes",#REF!&lt;&gt;"% Bounds")</formula>
    </cfRule>
  </conditionalFormatting>
  <conditionalFormatting sqref="N45">
    <cfRule type="expression" dxfId="85" priority="84">
      <formula>OR($E45="Yes",#REF!&lt;&gt;"$ Bounds")</formula>
    </cfRule>
  </conditionalFormatting>
  <conditionalFormatting sqref="N9">
    <cfRule type="expression" dxfId="84" priority="83">
      <formula>OR($E9="Yes",#REF!&lt;&gt;"$ Bounds")</formula>
    </cfRule>
  </conditionalFormatting>
  <conditionalFormatting sqref="N10">
    <cfRule type="expression" dxfId="83" priority="82">
      <formula>OR($E10="Yes",#REF!&lt;&gt;"$ Bounds")</formula>
    </cfRule>
  </conditionalFormatting>
  <conditionalFormatting sqref="O5:O8">
    <cfRule type="expression" dxfId="82" priority="81">
      <formula>OR($E5="Yes",#REF!&lt;&gt;"$ Bounds")</formula>
    </cfRule>
  </conditionalFormatting>
  <conditionalFormatting sqref="N36:O36">
    <cfRule type="expression" dxfId="81" priority="80">
      <formula>OR($E36="Yes",#REF!&lt;&gt;"$ Bounds")</formula>
    </cfRule>
  </conditionalFormatting>
  <conditionalFormatting sqref="L36">
    <cfRule type="expression" dxfId="80" priority="79">
      <formula>OR($E36="Yes",#REF!&lt;&gt;"% Bounds")</formula>
    </cfRule>
  </conditionalFormatting>
  <conditionalFormatting sqref="M36">
    <cfRule type="expression" dxfId="79" priority="78">
      <formula>OR($E36="Yes",#REF!&lt;&gt;"% Bounds")</formula>
    </cfRule>
  </conditionalFormatting>
  <conditionalFormatting sqref="L3:O49">
    <cfRule type="expression" dxfId="78" priority="4">
      <formula>$J3="Yes"</formula>
    </cfRule>
    <cfRule type="expression" dxfId="77" priority="77">
      <formula>$E3="Yes"</formula>
    </cfRule>
  </conditionalFormatting>
  <conditionalFormatting sqref="Q3:Q49">
    <cfRule type="expression" dxfId="76" priority="76">
      <formula>$E3="Yes"</formula>
    </cfRule>
  </conditionalFormatting>
  <conditionalFormatting sqref="R27 R30 R33:R34 R3:R22 S11:S18 S20 S22 R24:S26 R37:S42 R46:S49">
    <cfRule type="expression" dxfId="75" priority="75">
      <formula>OR($E3="Yes",#REF!&lt;&gt;"% Bounds")</formula>
    </cfRule>
  </conditionalFormatting>
  <conditionalFormatting sqref="S3">
    <cfRule type="expression" dxfId="74" priority="74">
      <formula>OR($E3="Yes",#REF!&lt;&gt;"% Bounds")</formula>
    </cfRule>
  </conditionalFormatting>
  <conditionalFormatting sqref="T3 T11:U25 T35:U35 T47:U49 T37:U42">
    <cfRule type="expression" dxfId="73" priority="73">
      <formula>OR($E3="Yes",#REF!&lt;&gt;"$ Bounds")</formula>
    </cfRule>
  </conditionalFormatting>
  <conditionalFormatting sqref="U3">
    <cfRule type="expression" dxfId="72" priority="72">
      <formula>OR($E3="Yes",#REF!&lt;&gt;"$ Bounds")</formula>
    </cfRule>
  </conditionalFormatting>
  <conditionalFormatting sqref="S4">
    <cfRule type="expression" dxfId="71" priority="71">
      <formula>OR($E4="Yes",#REF!&lt;&gt;"% Bounds")</formula>
    </cfRule>
  </conditionalFormatting>
  <conditionalFormatting sqref="T4">
    <cfRule type="expression" dxfId="70" priority="70">
      <formula>OR($E4="Yes",#REF!&lt;&gt;"$ Bounds")</formula>
    </cfRule>
  </conditionalFormatting>
  <conditionalFormatting sqref="U4">
    <cfRule type="expression" dxfId="69" priority="69">
      <formula>OR($E4="Yes",#REF!&lt;&gt;"$ Bounds")</formula>
    </cfRule>
  </conditionalFormatting>
  <conditionalFormatting sqref="S5">
    <cfRule type="expression" dxfId="68" priority="68">
      <formula>OR($E5="Yes",#REF!&lt;&gt;"% Bounds")</formula>
    </cfRule>
  </conditionalFormatting>
  <conditionalFormatting sqref="T5:T8">
    <cfRule type="expression" dxfId="67" priority="67">
      <formula>OR($E5="Yes",#REF!&lt;&gt;"$ Bounds")</formula>
    </cfRule>
  </conditionalFormatting>
  <conditionalFormatting sqref="S6">
    <cfRule type="expression" dxfId="66" priority="66">
      <formula>OR($E6="Yes",#REF!&lt;&gt;"% Bounds")</formula>
    </cfRule>
  </conditionalFormatting>
  <conditionalFormatting sqref="S7">
    <cfRule type="expression" dxfId="65" priority="65">
      <formula>OR($E7="Yes",#REF!&lt;&gt;"% Bounds")</formula>
    </cfRule>
  </conditionalFormatting>
  <conditionalFormatting sqref="S8">
    <cfRule type="expression" dxfId="64" priority="64">
      <formula>OR($E8="Yes",#REF!&lt;&gt;"% Bounds")</formula>
    </cfRule>
  </conditionalFormatting>
  <conditionalFormatting sqref="S9">
    <cfRule type="expression" dxfId="63" priority="63">
      <formula>OR($E9="Yes",#REF!&lt;&gt;"% Bounds")</formula>
    </cfRule>
  </conditionalFormatting>
  <conditionalFormatting sqref="U9">
    <cfRule type="expression" dxfId="62" priority="62">
      <formula>OR($E9="Yes",#REF!&lt;&gt;"$ Bounds")</formula>
    </cfRule>
  </conditionalFormatting>
  <conditionalFormatting sqref="S10">
    <cfRule type="expression" dxfId="61" priority="61">
      <formula>OR($E10="Yes",#REF!&lt;&gt;"% Bounds")</formula>
    </cfRule>
  </conditionalFormatting>
  <conditionalFormatting sqref="U10">
    <cfRule type="expression" dxfId="60" priority="60">
      <formula>OR($E10="Yes",#REF!&lt;&gt;"$ Bounds")</formula>
    </cfRule>
  </conditionalFormatting>
  <conditionalFormatting sqref="S34">
    <cfRule type="expression" dxfId="59" priority="59">
      <formula>OR($E34="Yes",#REF!&lt;&gt;"% Bounds")</formula>
    </cfRule>
  </conditionalFormatting>
  <conditionalFormatting sqref="S19">
    <cfRule type="expression" dxfId="58" priority="58">
      <formula>OR($E19="Yes",#REF!&lt;&gt;"% Bounds")</formula>
    </cfRule>
  </conditionalFormatting>
  <conditionalFormatting sqref="S21">
    <cfRule type="expression" dxfId="57" priority="57">
      <formula>OR($E21="Yes",#REF!&lt;&gt;"% Bounds")</formula>
    </cfRule>
  </conditionalFormatting>
  <conditionalFormatting sqref="T26">
    <cfRule type="expression" dxfId="56" priority="56">
      <formula>OR($E26="Yes",#REF!&lt;&gt;"$ Bounds")</formula>
    </cfRule>
  </conditionalFormatting>
  <conditionalFormatting sqref="U26">
    <cfRule type="expression" dxfId="55" priority="55">
      <formula>OR($E26="Yes",#REF!&lt;&gt;"$ Bounds")</formula>
    </cfRule>
  </conditionalFormatting>
  <conditionalFormatting sqref="S27">
    <cfRule type="expression" dxfId="54" priority="54">
      <formula>OR($E27="Yes",#REF!&lt;&gt;"% Bounds")</formula>
    </cfRule>
  </conditionalFormatting>
  <conditionalFormatting sqref="T27">
    <cfRule type="expression" dxfId="53" priority="53">
      <formula>OR($E27="Yes",#REF!&lt;&gt;"$ Bounds")</formula>
    </cfRule>
  </conditionalFormatting>
  <conditionalFormatting sqref="U27">
    <cfRule type="expression" dxfId="52" priority="52">
      <formula>OR($E27="Yes",#REF!&lt;&gt;"$ Bounds")</formula>
    </cfRule>
  </conditionalFormatting>
  <conditionalFormatting sqref="T28">
    <cfRule type="expression" dxfId="51" priority="51">
      <formula>OR($E28="Yes",#REF!&lt;&gt;"$ Bounds")</formula>
    </cfRule>
  </conditionalFormatting>
  <conditionalFormatting sqref="U28">
    <cfRule type="expression" dxfId="50" priority="50">
      <formula>OR($E28="Yes",#REF!&lt;&gt;"$ Bounds")</formula>
    </cfRule>
  </conditionalFormatting>
  <conditionalFormatting sqref="T29">
    <cfRule type="expression" dxfId="49" priority="49">
      <formula>OR($E29="Yes",#REF!&lt;&gt;"$ Bounds")</formula>
    </cfRule>
  </conditionalFormatting>
  <conditionalFormatting sqref="U29">
    <cfRule type="expression" dxfId="48" priority="48">
      <formula>OR($E29="Yes",#REF!&lt;&gt;"$ Bounds")</formula>
    </cfRule>
  </conditionalFormatting>
  <conditionalFormatting sqref="S30">
    <cfRule type="expression" dxfId="47" priority="47">
      <formula>OR($E30="Yes",#REF!&lt;&gt;"% Bounds")</formula>
    </cfRule>
  </conditionalFormatting>
  <conditionalFormatting sqref="T30">
    <cfRule type="expression" dxfId="46" priority="46">
      <formula>OR($E30="Yes",#REF!&lt;&gt;"$ Bounds")</formula>
    </cfRule>
  </conditionalFormatting>
  <conditionalFormatting sqref="U30">
    <cfRule type="expression" dxfId="45" priority="45">
      <formula>OR($E30="Yes",#REF!&lt;&gt;"$ Bounds")</formula>
    </cfRule>
  </conditionalFormatting>
  <conditionalFormatting sqref="T31">
    <cfRule type="expression" dxfId="44" priority="44">
      <formula>OR($E31="Yes",#REF!&lt;&gt;"$ Bounds")</formula>
    </cfRule>
  </conditionalFormatting>
  <conditionalFormatting sqref="U31">
    <cfRule type="expression" dxfId="43" priority="43">
      <formula>OR($E31="Yes",#REF!&lt;&gt;"$ Bounds")</formula>
    </cfRule>
  </conditionalFormatting>
  <conditionalFormatting sqref="T32">
    <cfRule type="expression" dxfId="42" priority="42">
      <formula>OR($E32="Yes",#REF!&lt;&gt;"$ Bounds")</formula>
    </cfRule>
  </conditionalFormatting>
  <conditionalFormatting sqref="U32">
    <cfRule type="expression" dxfId="41" priority="41">
      <formula>OR($E32="Yes",#REF!&lt;&gt;"$ Bounds")</formula>
    </cfRule>
  </conditionalFormatting>
  <conditionalFormatting sqref="S33">
    <cfRule type="expression" dxfId="40" priority="40">
      <formula>OR($E33="Yes",#REF!&lt;&gt;"% Bounds")</formula>
    </cfRule>
  </conditionalFormatting>
  <conditionalFormatting sqref="T33">
    <cfRule type="expression" dxfId="39" priority="39">
      <formula>OR($E33="Yes",#REF!&lt;&gt;"$ Bounds")</formula>
    </cfRule>
  </conditionalFormatting>
  <conditionalFormatting sqref="U33">
    <cfRule type="expression" dxfId="38" priority="38">
      <formula>OR($E33="Yes",#REF!&lt;&gt;"$ Bounds")</formula>
    </cfRule>
  </conditionalFormatting>
  <conditionalFormatting sqref="T34">
    <cfRule type="expression" dxfId="37" priority="37">
      <formula>OR($E34="Yes",#REF!&lt;&gt;"$ Bounds")</formula>
    </cfRule>
  </conditionalFormatting>
  <conditionalFormatting sqref="U34">
    <cfRule type="expression" dxfId="36" priority="36">
      <formula>OR($E34="Yes",#REF!&lt;&gt;"$ Bounds")</formula>
    </cfRule>
  </conditionalFormatting>
  <conditionalFormatting sqref="T43">
    <cfRule type="expression" dxfId="35" priority="35">
      <formula>OR($E43="Yes",#REF!&lt;&gt;"$ Bounds")</formula>
    </cfRule>
  </conditionalFormatting>
  <conditionalFormatting sqref="U43:U45">
    <cfRule type="expression" dxfId="34" priority="34">
      <formula>OR($E43="Yes",#REF!&lt;&gt;"$ Bounds")</formula>
    </cfRule>
  </conditionalFormatting>
  <conditionalFormatting sqref="T44">
    <cfRule type="expression" dxfId="33" priority="33">
      <formula>OR($E44="Yes",#REF!&lt;&gt;"$ Bounds")</formula>
    </cfRule>
  </conditionalFormatting>
  <conditionalFormatting sqref="T46">
    <cfRule type="expression" dxfId="32" priority="32">
      <formula>OR($E46="Yes",#REF!&lt;&gt;"$ Bounds")</formula>
    </cfRule>
  </conditionalFormatting>
  <conditionalFormatting sqref="U46">
    <cfRule type="expression" dxfId="31" priority="31">
      <formula>OR($E46="Yes",#REF!&lt;&gt;"$ Bounds")</formula>
    </cfRule>
  </conditionalFormatting>
  <conditionalFormatting sqref="R23">
    <cfRule type="expression" dxfId="30" priority="30">
      <formula>OR($E23="Yes",#REF!&lt;&gt;"% Bounds")</formula>
    </cfRule>
  </conditionalFormatting>
  <conditionalFormatting sqref="S23">
    <cfRule type="expression" dxfId="29" priority="29">
      <formula>OR($E23="Yes",#REF!&lt;&gt;"% Bounds")</formula>
    </cfRule>
  </conditionalFormatting>
  <conditionalFormatting sqref="R28">
    <cfRule type="expression" dxfId="28" priority="28">
      <formula>OR($E28="Yes",#REF!&lt;&gt;"% Bounds")</formula>
    </cfRule>
  </conditionalFormatting>
  <conditionalFormatting sqref="S28">
    <cfRule type="expression" dxfId="27" priority="27">
      <formula>OR($E28="Yes",#REF!&lt;&gt;"% Bounds")</formula>
    </cfRule>
  </conditionalFormatting>
  <conditionalFormatting sqref="R29">
    <cfRule type="expression" dxfId="26" priority="26">
      <formula>OR($E29="Yes",#REF!&lt;&gt;"% Bounds")</formula>
    </cfRule>
  </conditionalFormatting>
  <conditionalFormatting sqref="S29">
    <cfRule type="expression" dxfId="25" priority="25">
      <formula>OR($E29="Yes",#REF!&lt;&gt;"% Bounds")</formula>
    </cfRule>
  </conditionalFormatting>
  <conditionalFormatting sqref="R43:R44">
    <cfRule type="expression" dxfId="24" priority="24">
      <formula>OR($E43="Yes",#REF!&lt;&gt;"% Bounds")</formula>
    </cfRule>
  </conditionalFormatting>
  <conditionalFormatting sqref="S43:S44">
    <cfRule type="expression" dxfId="23" priority="23">
      <formula>OR($E43="Yes",#REF!&lt;&gt;"% Bounds")</formula>
    </cfRule>
  </conditionalFormatting>
  <conditionalFormatting sqref="R35">
    <cfRule type="expression" dxfId="22" priority="22">
      <formula>OR($E35="Yes",#REF!&lt;&gt;"% Bounds")</formula>
    </cfRule>
  </conditionalFormatting>
  <conditionalFormatting sqref="S35">
    <cfRule type="expression" dxfId="21" priority="21">
      <formula>OR($E35="Yes",#REF!&lt;&gt;"% Bounds")</formula>
    </cfRule>
  </conditionalFormatting>
  <conditionalFormatting sqref="R31">
    <cfRule type="expression" dxfId="20" priority="20">
      <formula>OR($E31="Yes",#REF!&lt;&gt;"% Bounds")</formula>
    </cfRule>
  </conditionalFormatting>
  <conditionalFormatting sqref="S31">
    <cfRule type="expression" dxfId="19" priority="19">
      <formula>OR($E31="Yes",#REF!&lt;&gt;"% Bounds")</formula>
    </cfRule>
  </conditionalFormatting>
  <conditionalFormatting sqref="R32">
    <cfRule type="expression" dxfId="18" priority="18">
      <formula>OR($E32="Yes",#REF!&lt;&gt;"% Bounds")</formula>
    </cfRule>
  </conditionalFormatting>
  <conditionalFormatting sqref="S32">
    <cfRule type="expression" dxfId="17" priority="17">
      <formula>OR($E32="Yes",#REF!&lt;&gt;"% Bounds")</formula>
    </cfRule>
  </conditionalFormatting>
  <conditionalFormatting sqref="R45">
    <cfRule type="expression" dxfId="16" priority="16">
      <formula>OR($E45="Yes",#REF!&lt;&gt;"% Bounds")</formula>
    </cfRule>
  </conditionalFormatting>
  <conditionalFormatting sqref="S45">
    <cfRule type="expression" dxfId="15" priority="15">
      <formula>OR($E45="Yes",#REF!&lt;&gt;"% Bounds")</formula>
    </cfRule>
  </conditionalFormatting>
  <conditionalFormatting sqref="T45">
    <cfRule type="expression" dxfId="14" priority="14">
      <formula>OR($E45="Yes",#REF!&lt;&gt;"$ Bounds")</formula>
    </cfRule>
  </conditionalFormatting>
  <conditionalFormatting sqref="T9">
    <cfRule type="expression" dxfId="13" priority="13">
      <formula>OR($E9="Yes",#REF!&lt;&gt;"$ Bounds")</formula>
    </cfRule>
  </conditionalFormatting>
  <conditionalFormatting sqref="T10">
    <cfRule type="expression" dxfId="12" priority="12">
      <formula>OR($E10="Yes",#REF!&lt;&gt;"$ Bounds")</formula>
    </cfRule>
  </conditionalFormatting>
  <conditionalFormatting sqref="U5:U8">
    <cfRule type="expression" dxfId="11" priority="11">
      <formula>OR($E5="Yes",#REF!&lt;&gt;"$ Bounds")</formula>
    </cfRule>
  </conditionalFormatting>
  <conditionalFormatting sqref="T36:U36">
    <cfRule type="expression" dxfId="10" priority="10">
      <formula>OR($E36="Yes",#REF!&lt;&gt;"$ Bounds")</formula>
    </cfRule>
  </conditionalFormatting>
  <conditionalFormatting sqref="R36">
    <cfRule type="expression" dxfId="9" priority="9">
      <formula>OR($E36="Yes",#REF!&lt;&gt;"% Bounds")</formula>
    </cfRule>
  </conditionalFormatting>
  <conditionalFormatting sqref="S36">
    <cfRule type="expression" dxfId="8" priority="8">
      <formula>OR($E36="Yes",#REF!&lt;&gt;"% Bounds")</formula>
    </cfRule>
  </conditionalFormatting>
  <conditionalFormatting sqref="R3:U49">
    <cfRule type="expression" dxfId="7" priority="2">
      <formula>$P3="Yes"</formula>
    </cfRule>
    <cfRule type="expression" dxfId="6" priority="3">
      <formula>P3="Yes"</formula>
    </cfRule>
    <cfRule type="expression" dxfId="5" priority="7">
      <formula>$E3="Yes"</formula>
    </cfRule>
  </conditionalFormatting>
  <conditionalFormatting sqref="W3:W49">
    <cfRule type="expression" dxfId="4" priority="6">
      <formula>$E3="Yes"</formula>
    </cfRule>
  </conditionalFormatting>
  <conditionalFormatting sqref="F3:I49">
    <cfRule type="expression" dxfId="3" priority="5">
      <formula>$D3="Yes"</formula>
    </cfRule>
  </conditionalFormatting>
  <conditionalFormatting sqref="X3:AA49">
    <cfRule type="expression" dxfId="2" priority="1">
      <formula>$V3="Yes"</formula>
    </cfRule>
  </conditionalFormatting>
  <dataValidations count="1">
    <dataValidation type="list" allowBlank="1" showInputMessage="1" showErrorMessage="1" sqref="D3:D49 J3:J49 P3:P49 V3:V49" xr:uid="{00000000-0002-0000-0900-000000000000}">
      <formula1>"Yes, 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workbookViewId="0">
      <selection activeCell="B1" sqref="B1"/>
    </sheetView>
  </sheetViews>
  <sheetFormatPr defaultRowHeight="15" x14ac:dyDescent="0.25"/>
  <cols>
    <col min="1" max="1" width="17.42578125" bestFit="1" customWidth="1"/>
    <col min="2" max="2" width="15.28515625" bestFit="1" customWidth="1"/>
  </cols>
  <sheetData>
    <row r="1" spans="1:2" x14ac:dyDescent="0.25">
      <c r="A1" t="s">
        <v>98</v>
      </c>
      <c r="B1" t="str">
        <f>VLOOKUP('Main Input'!D5, Config!$B$3:$C$4, 2, 0)</f>
        <v>SIGNUPS</v>
      </c>
    </row>
    <row r="2" spans="1:2" x14ac:dyDescent="0.25">
      <c r="A2" t="s">
        <v>99</v>
      </c>
      <c r="B2" t="s">
        <v>100</v>
      </c>
    </row>
    <row r="3" spans="1:2" x14ac:dyDescent="0.25">
      <c r="A3" t="s">
        <v>256</v>
      </c>
      <c r="B3">
        <v>2024</v>
      </c>
    </row>
    <row r="4" spans="1:2" x14ac:dyDescent="0.25">
      <c r="A4" t="s">
        <v>101</v>
      </c>
      <c r="B4">
        <f>VLOOKUP('Main Input'!D6, Config!$E$3:$F$6, 2, 0)</f>
        <v>1</v>
      </c>
    </row>
    <row r="5" spans="1:2" x14ac:dyDescent="0.25">
      <c r="A5" t="s">
        <v>102</v>
      </c>
      <c r="B5">
        <f>VLOOKUP('Main Input'!D7, Config!$E$3:$F$6, 2, 0)</f>
        <v>4</v>
      </c>
    </row>
    <row r="6" spans="1:2" x14ac:dyDescent="0.25">
      <c r="A6" t="s">
        <v>122</v>
      </c>
      <c r="B6" t="str">
        <f>'Main Input'!D8</f>
        <v>Quarterly</v>
      </c>
    </row>
    <row r="7" spans="1:2" x14ac:dyDescent="0.25">
      <c r="A7" t="s">
        <v>105</v>
      </c>
      <c r="B7">
        <f>'Main Input'!D9</f>
        <v>108820476.32100001</v>
      </c>
    </row>
    <row r="8" spans="1:2" x14ac:dyDescent="0.25">
      <c r="A8" t="s">
        <v>106</v>
      </c>
      <c r="B8">
        <f>IF('Main Input'!D10=Config!L4, 'Main Input'!D11, 0)</f>
        <v>0</v>
      </c>
    </row>
    <row r="9" spans="1:2" x14ac:dyDescent="0.25">
      <c r="A9" t="s">
        <v>107</v>
      </c>
      <c r="B9">
        <f>'Main Input'!D12</f>
        <v>108820476.32100001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Q15"/>
  <sheetViews>
    <sheetView showGridLines="0" workbookViewId="0">
      <selection activeCell="B4" sqref="B4"/>
    </sheetView>
  </sheetViews>
  <sheetFormatPr defaultRowHeight="15" x14ac:dyDescent="0.25"/>
  <cols>
    <col min="1" max="1" width="2.7109375" customWidth="1"/>
    <col min="2" max="2" width="19.7109375" bestFit="1" customWidth="1"/>
    <col min="3" max="3" width="18.7109375" bestFit="1" customWidth="1"/>
    <col min="4" max="4" width="2.7109375" customWidth="1"/>
    <col min="5" max="5" width="7.42578125" bestFit="1" customWidth="1"/>
    <col min="6" max="6" width="12" bestFit="1" customWidth="1"/>
    <col min="7" max="7" width="2.7109375" customWidth="1"/>
    <col min="8" max="8" width="14.28515625" bestFit="1" customWidth="1"/>
    <col min="9" max="9" width="2.7109375" customWidth="1"/>
    <col min="10" max="10" width="19.42578125" bestFit="1" customWidth="1"/>
    <col min="11" max="11" width="2.7109375" customWidth="1"/>
    <col min="12" max="12" width="20.28515625" bestFit="1" customWidth="1"/>
    <col min="13" max="13" width="2.7109375" customWidth="1"/>
    <col min="14" max="14" width="10.7109375" bestFit="1" customWidth="1"/>
    <col min="15" max="15" width="2.7109375" customWidth="1"/>
    <col min="16" max="16" width="17.28515625" bestFit="1" customWidth="1"/>
  </cols>
  <sheetData>
    <row r="2" spans="2:17" x14ac:dyDescent="0.25">
      <c r="B2" s="2" t="s">
        <v>80</v>
      </c>
      <c r="C2" s="2" t="s">
        <v>81</v>
      </c>
      <c r="E2" s="2" t="s">
        <v>83</v>
      </c>
      <c r="F2" s="2" t="s">
        <v>84</v>
      </c>
      <c r="H2" s="2" t="s">
        <v>87</v>
      </c>
      <c r="J2" s="2" t="s">
        <v>96</v>
      </c>
      <c r="L2" s="2" t="s">
        <v>112</v>
      </c>
      <c r="N2" s="2" t="s">
        <v>108</v>
      </c>
      <c r="P2" s="2" t="s">
        <v>120</v>
      </c>
    </row>
    <row r="3" spans="2:17" x14ac:dyDescent="0.25">
      <c r="B3" s="3" t="s">
        <v>188</v>
      </c>
      <c r="C3" s="3" t="s">
        <v>254</v>
      </c>
      <c r="E3" s="3" t="s">
        <v>75</v>
      </c>
      <c r="F3" s="3">
        <v>1</v>
      </c>
      <c r="H3" s="3" t="s">
        <v>73</v>
      </c>
      <c r="J3" s="3" t="s">
        <v>95</v>
      </c>
      <c r="L3" s="3" t="s">
        <v>111</v>
      </c>
      <c r="N3" s="3" t="s">
        <v>109</v>
      </c>
      <c r="P3" s="3" t="s">
        <v>95</v>
      </c>
    </row>
    <row r="4" spans="2:17" x14ac:dyDescent="0.25">
      <c r="B4" s="3" t="s">
        <v>189</v>
      </c>
      <c r="C4" s="3" t="s">
        <v>255</v>
      </c>
      <c r="E4" s="3" t="s">
        <v>76</v>
      </c>
      <c r="F4" s="3">
        <v>2</v>
      </c>
      <c r="H4" s="3" t="s">
        <v>88</v>
      </c>
      <c r="J4" s="3" t="s">
        <v>75</v>
      </c>
      <c r="L4" s="3" t="s">
        <v>104</v>
      </c>
      <c r="N4" s="3" t="s">
        <v>110</v>
      </c>
      <c r="P4" s="3" t="s">
        <v>121</v>
      </c>
    </row>
    <row r="5" spans="2:17" x14ac:dyDescent="0.25">
      <c r="B5" s="3"/>
      <c r="C5" s="3"/>
      <c r="E5" s="3" t="s">
        <v>77</v>
      </c>
      <c r="F5" s="3">
        <v>3</v>
      </c>
      <c r="H5" s="3"/>
      <c r="J5" s="3" t="s">
        <v>76</v>
      </c>
      <c r="L5" s="3" t="s">
        <v>113</v>
      </c>
    </row>
    <row r="6" spans="2:17" x14ac:dyDescent="0.25">
      <c r="E6" s="3" t="s">
        <v>78</v>
      </c>
      <c r="F6" s="3">
        <v>4</v>
      </c>
      <c r="J6" s="3" t="s">
        <v>77</v>
      </c>
    </row>
    <row r="7" spans="2:17" x14ac:dyDescent="0.25">
      <c r="J7" s="3" t="s">
        <v>78</v>
      </c>
    </row>
    <row r="10" spans="2:17" x14ac:dyDescent="0.25">
      <c r="E10" s="33" t="s">
        <v>164</v>
      </c>
      <c r="P10" s="3" t="s">
        <v>171</v>
      </c>
      <c r="Q10" s="3">
        <f>IF('Optim Input'!B5 &gt;= 'Optim Input'!B4, 'Optim Input'!B5-'Optim Input'!B4+1, 0)</f>
        <v>4</v>
      </c>
    </row>
    <row r="11" spans="2:17" x14ac:dyDescent="0.25">
      <c r="E11" s="3" t="s">
        <v>75</v>
      </c>
      <c r="F11" s="3">
        <f>SUM('Base Scenario'!D2:D50)</f>
        <v>22587630.060000002</v>
      </c>
      <c r="P11" s="3" t="s">
        <v>172</v>
      </c>
      <c r="Q11" s="47">
        <f>IFERROR(1/Config!$Q$10, 0)</f>
        <v>0.25</v>
      </c>
    </row>
    <row r="12" spans="2:17" x14ac:dyDescent="0.25">
      <c r="E12" s="3" t="s">
        <v>76</v>
      </c>
      <c r="F12" s="3">
        <f>SUM('Base Scenario'!E2:E50)</f>
        <v>16209102.160999998</v>
      </c>
    </row>
    <row r="13" spans="2:17" x14ac:dyDescent="0.25">
      <c r="E13" s="3" t="s">
        <v>77</v>
      </c>
      <c r="F13" s="3">
        <f>SUM('Base Scenario'!F2:F50)</f>
        <v>12489286.85</v>
      </c>
    </row>
    <row r="14" spans="2:17" x14ac:dyDescent="0.25">
      <c r="E14" s="3" t="s">
        <v>78</v>
      </c>
      <c r="F14" s="3">
        <f>SUM('Base Scenario'!G2:G50)</f>
        <v>57534457.25</v>
      </c>
    </row>
    <row r="15" spans="2:17" x14ac:dyDescent="0.25">
      <c r="E15" s="3" t="s">
        <v>95</v>
      </c>
      <c r="F15" s="3">
        <f>SUMIFS(F11:F14, E11:E14, "&gt;=" &amp; 'Main Input'!$D$6, E11:E14, "&lt;=" &amp; 'Main Input'!$D$7)</f>
        <v>108820476.32100001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2"/>
  <sheetViews>
    <sheetView showGridLines="0" zoomScale="90" zoomScaleNormal="90" workbookViewId="0">
      <pane xSplit="3" ySplit="1" topLeftCell="D16" activePane="bottomRight" state="frozen"/>
      <selection activeCell="D1" sqref="D1"/>
      <selection pane="topRight" activeCell="D1" sqref="D1"/>
      <selection pane="bottomLeft" activeCell="D1" sqref="D1"/>
      <selection pane="bottomRight" activeCell="A31" sqref="A31"/>
    </sheetView>
  </sheetViews>
  <sheetFormatPr defaultRowHeight="15" x14ac:dyDescent="0.25"/>
  <cols>
    <col min="1" max="1" width="24.5703125" bestFit="1" customWidth="1"/>
    <col min="2" max="2" width="19.140625" bestFit="1" customWidth="1"/>
    <col min="3" max="3" width="50.7109375" bestFit="1" customWidth="1"/>
    <col min="4" max="8" width="12.85546875" customWidth="1"/>
    <col min="9" max="9" width="13.85546875" bestFit="1" customWidth="1"/>
  </cols>
  <sheetData>
    <row r="1" spans="1:9" x14ac:dyDescent="0.25">
      <c r="A1" s="6" t="s">
        <v>72</v>
      </c>
      <c r="B1" s="6" t="s">
        <v>56</v>
      </c>
      <c r="C1" s="6" t="s">
        <v>55</v>
      </c>
      <c r="D1" s="6" t="s">
        <v>75</v>
      </c>
      <c r="E1" s="6" t="s">
        <v>76</v>
      </c>
      <c r="F1" s="6" t="s">
        <v>77</v>
      </c>
      <c r="G1" s="6" t="s">
        <v>78</v>
      </c>
      <c r="H1" s="6" t="s">
        <v>95</v>
      </c>
      <c r="I1" s="6" t="s">
        <v>79</v>
      </c>
    </row>
    <row r="2" spans="1:9" x14ac:dyDescent="0.25">
      <c r="A2" s="3" t="s">
        <v>190</v>
      </c>
      <c r="B2" s="3" t="s">
        <v>191</v>
      </c>
      <c r="C2" s="3" t="s">
        <v>192</v>
      </c>
      <c r="D2" s="64">
        <v>408275</v>
      </c>
      <c r="E2" s="64">
        <v>595965.19999999995</v>
      </c>
      <c r="F2" s="64">
        <v>105525</v>
      </c>
      <c r="G2" s="64">
        <v>1241713</v>
      </c>
      <c r="H2" s="30"/>
      <c r="I2" s="50">
        <f t="shared" ref="I2:I29" si="0">SUM(D2:G2)</f>
        <v>2351478.2000000002</v>
      </c>
    </row>
    <row r="3" spans="1:9" x14ac:dyDescent="0.25">
      <c r="A3" s="3" t="s">
        <v>193</v>
      </c>
      <c r="B3" s="3" t="s">
        <v>194</v>
      </c>
      <c r="C3" s="3" t="s">
        <v>195</v>
      </c>
      <c r="D3" s="64">
        <v>314043.7</v>
      </c>
      <c r="E3" s="64">
        <v>202112</v>
      </c>
      <c r="F3" s="64">
        <v>108329.1</v>
      </c>
      <c r="G3" s="64">
        <v>649846.9</v>
      </c>
      <c r="H3" s="30"/>
      <c r="I3" s="50">
        <f t="shared" si="0"/>
        <v>1274331.7000000002</v>
      </c>
    </row>
    <row r="4" spans="1:9" x14ac:dyDescent="0.25">
      <c r="A4" s="3" t="s">
        <v>196</v>
      </c>
      <c r="B4" s="3" t="s">
        <v>197</v>
      </c>
      <c r="C4" s="3" t="s">
        <v>198</v>
      </c>
      <c r="D4" s="64">
        <v>1405365</v>
      </c>
      <c r="E4" s="64">
        <v>1127392</v>
      </c>
      <c r="F4" s="64">
        <v>1063249</v>
      </c>
      <c r="G4" s="64">
        <v>3287527</v>
      </c>
      <c r="H4" s="30"/>
      <c r="I4" s="50">
        <f t="shared" si="0"/>
        <v>6883533</v>
      </c>
    </row>
    <row r="5" spans="1:9" x14ac:dyDescent="0.25">
      <c r="A5" s="3" t="s">
        <v>199</v>
      </c>
      <c r="B5" s="3" t="s">
        <v>197</v>
      </c>
      <c r="C5" s="3" t="s">
        <v>200</v>
      </c>
      <c r="D5" s="64">
        <v>191798.7</v>
      </c>
      <c r="E5" s="64">
        <v>285027.09999999998</v>
      </c>
      <c r="F5" s="64">
        <v>229238.5</v>
      </c>
      <c r="G5" s="64">
        <v>625473.69999999995</v>
      </c>
      <c r="H5" s="30"/>
      <c r="I5" s="50">
        <f t="shared" si="0"/>
        <v>1331538</v>
      </c>
    </row>
    <row r="6" spans="1:9" x14ac:dyDescent="0.25">
      <c r="A6" s="3" t="s">
        <v>201</v>
      </c>
      <c r="B6" s="3" t="s">
        <v>202</v>
      </c>
      <c r="C6" s="3" t="s">
        <v>202</v>
      </c>
      <c r="D6" s="64">
        <v>2279359</v>
      </c>
      <c r="E6" s="64">
        <v>229999.5</v>
      </c>
      <c r="F6" s="64">
        <v>18960.84</v>
      </c>
      <c r="G6" s="64">
        <v>916241.7</v>
      </c>
      <c r="H6" s="30"/>
      <c r="I6" s="50">
        <f t="shared" si="0"/>
        <v>3444561.04</v>
      </c>
    </row>
    <row r="7" spans="1:9" x14ac:dyDescent="0.25">
      <c r="A7" s="3" t="s">
        <v>203</v>
      </c>
      <c r="B7" s="3" t="s">
        <v>204</v>
      </c>
      <c r="C7" s="3" t="s">
        <v>205</v>
      </c>
      <c r="D7" s="64">
        <v>1073766</v>
      </c>
      <c r="E7" s="64">
        <v>1354193</v>
      </c>
      <c r="F7" s="64">
        <v>1096247</v>
      </c>
      <c r="G7" s="64">
        <v>3931737</v>
      </c>
      <c r="H7" s="30"/>
      <c r="I7" s="50">
        <f t="shared" si="0"/>
        <v>7455943</v>
      </c>
    </row>
    <row r="8" spans="1:9" x14ac:dyDescent="0.25">
      <c r="A8" s="3" t="s">
        <v>206</v>
      </c>
      <c r="B8" s="3" t="s">
        <v>204</v>
      </c>
      <c r="C8" s="3" t="s">
        <v>207</v>
      </c>
      <c r="D8" s="64">
        <v>44858.41</v>
      </c>
      <c r="E8" s="64">
        <v>209687.9</v>
      </c>
      <c r="F8" s="64">
        <v>94852.3</v>
      </c>
      <c r="G8" s="64">
        <v>285620.09999999998</v>
      </c>
      <c r="H8" s="30"/>
      <c r="I8" s="50">
        <f t="shared" si="0"/>
        <v>635018.71</v>
      </c>
    </row>
    <row r="9" spans="1:9" x14ac:dyDescent="0.25">
      <c r="A9" s="3" t="s">
        <v>208</v>
      </c>
      <c r="B9" s="3" t="s">
        <v>209</v>
      </c>
      <c r="C9" s="3" t="s">
        <v>210</v>
      </c>
      <c r="D9" s="64">
        <v>568184.30000000005</v>
      </c>
      <c r="E9" s="64">
        <v>910579.1</v>
      </c>
      <c r="F9" s="64">
        <v>477851.9</v>
      </c>
      <c r="G9" s="64">
        <v>1515583</v>
      </c>
      <c r="H9" s="30"/>
      <c r="I9" s="50">
        <f t="shared" si="0"/>
        <v>3472198.3</v>
      </c>
    </row>
    <row r="10" spans="1:9" x14ac:dyDescent="0.25">
      <c r="A10" s="3" t="s">
        <v>211</v>
      </c>
      <c r="B10" s="3" t="s">
        <v>209</v>
      </c>
      <c r="C10" s="3" t="s">
        <v>212</v>
      </c>
      <c r="D10" s="64">
        <v>346345.9</v>
      </c>
      <c r="E10" s="64">
        <v>261171.7</v>
      </c>
      <c r="F10" s="64">
        <v>74456.36</v>
      </c>
      <c r="G10" s="64">
        <v>160394</v>
      </c>
      <c r="H10" s="30"/>
      <c r="I10" s="50">
        <f t="shared" si="0"/>
        <v>842367.96000000008</v>
      </c>
    </row>
    <row r="11" spans="1:9" x14ac:dyDescent="0.25">
      <c r="A11" s="3" t="s">
        <v>213</v>
      </c>
      <c r="B11" s="3" t="s">
        <v>209</v>
      </c>
      <c r="C11" s="3" t="s">
        <v>214</v>
      </c>
      <c r="D11" s="64">
        <v>120018.7</v>
      </c>
      <c r="E11" s="64">
        <v>123073.60000000001</v>
      </c>
      <c r="F11" s="64">
        <v>119436.4</v>
      </c>
      <c r="G11" s="64">
        <v>172083.7</v>
      </c>
      <c r="H11" s="30"/>
      <c r="I11" s="50">
        <f t="shared" si="0"/>
        <v>534612.39999999991</v>
      </c>
    </row>
    <row r="12" spans="1:9" x14ac:dyDescent="0.25">
      <c r="A12" s="3" t="s">
        <v>215</v>
      </c>
      <c r="B12" s="3" t="s">
        <v>209</v>
      </c>
      <c r="C12" s="3" t="s">
        <v>216</v>
      </c>
      <c r="D12" s="64">
        <v>30872.5</v>
      </c>
      <c r="E12" s="64">
        <v>9923.8109999999997</v>
      </c>
      <c r="F12" s="64">
        <v>0</v>
      </c>
      <c r="G12" s="64">
        <v>167636.5</v>
      </c>
      <c r="H12" s="30"/>
      <c r="I12" s="50">
        <f t="shared" si="0"/>
        <v>208432.81099999999</v>
      </c>
    </row>
    <row r="13" spans="1:9" x14ac:dyDescent="0.25">
      <c r="A13" s="3" t="s">
        <v>257</v>
      </c>
      <c r="B13" s="3" t="s">
        <v>218</v>
      </c>
      <c r="C13" s="3" t="s">
        <v>258</v>
      </c>
      <c r="D13" s="64">
        <v>80</v>
      </c>
      <c r="E13" s="64">
        <v>120</v>
      </c>
      <c r="F13" s="64">
        <v>40</v>
      </c>
      <c r="G13" s="64">
        <v>0</v>
      </c>
      <c r="H13" s="30"/>
      <c r="I13" s="50">
        <f t="shared" si="0"/>
        <v>240</v>
      </c>
    </row>
    <row r="14" spans="1:9" x14ac:dyDescent="0.25">
      <c r="A14" s="3" t="s">
        <v>259</v>
      </c>
      <c r="B14" s="3" t="s">
        <v>218</v>
      </c>
      <c r="C14" s="3" t="s">
        <v>260</v>
      </c>
      <c r="D14" s="64">
        <v>50</v>
      </c>
      <c r="E14" s="64">
        <v>0</v>
      </c>
      <c r="F14" s="64">
        <v>100</v>
      </c>
      <c r="G14" s="64">
        <v>200</v>
      </c>
      <c r="H14" s="30"/>
      <c r="I14" s="50">
        <f t="shared" si="0"/>
        <v>350</v>
      </c>
    </row>
    <row r="15" spans="1:9" x14ac:dyDescent="0.25">
      <c r="A15" s="3" t="s">
        <v>217</v>
      </c>
      <c r="B15" s="3" t="s">
        <v>218</v>
      </c>
      <c r="C15" s="3" t="s">
        <v>219</v>
      </c>
      <c r="D15" s="64">
        <v>3007800</v>
      </c>
      <c r="E15" s="64">
        <v>2548140</v>
      </c>
      <c r="F15" s="64">
        <v>3301440</v>
      </c>
      <c r="G15" s="64">
        <v>3682380</v>
      </c>
      <c r="H15" s="30"/>
      <c r="I15" s="50">
        <f t="shared" si="0"/>
        <v>12539760</v>
      </c>
    </row>
    <row r="16" spans="1:9" x14ac:dyDescent="0.25">
      <c r="A16" s="3" t="s">
        <v>220</v>
      </c>
      <c r="B16" s="3" t="s">
        <v>218</v>
      </c>
      <c r="C16" s="3" t="s">
        <v>221</v>
      </c>
      <c r="D16" s="64">
        <v>503680</v>
      </c>
      <c r="E16" s="64">
        <v>1126320</v>
      </c>
      <c r="F16" s="64">
        <v>70880</v>
      </c>
      <c r="G16" s="64">
        <v>11047680</v>
      </c>
      <c r="H16" s="30"/>
      <c r="I16" s="50">
        <f t="shared" si="0"/>
        <v>12748560</v>
      </c>
    </row>
    <row r="17" spans="1:9" x14ac:dyDescent="0.25">
      <c r="A17" s="3" t="s">
        <v>222</v>
      </c>
      <c r="B17" s="3" t="s">
        <v>223</v>
      </c>
      <c r="C17" s="3" t="s">
        <v>224</v>
      </c>
      <c r="D17" s="64">
        <v>1981241</v>
      </c>
      <c r="E17" s="64">
        <v>2042248</v>
      </c>
      <c r="F17" s="64">
        <v>2303235</v>
      </c>
      <c r="G17" s="64">
        <v>7604431</v>
      </c>
      <c r="H17" s="30"/>
      <c r="I17" s="50">
        <f t="shared" si="0"/>
        <v>13931155</v>
      </c>
    </row>
    <row r="18" spans="1:9" x14ac:dyDescent="0.25">
      <c r="A18" s="3" t="s">
        <v>225</v>
      </c>
      <c r="B18" s="3" t="s">
        <v>223</v>
      </c>
      <c r="C18" s="3" t="s">
        <v>226</v>
      </c>
      <c r="D18" s="64">
        <v>326564.7</v>
      </c>
      <c r="E18" s="64">
        <v>295276.90000000002</v>
      </c>
      <c r="F18" s="64">
        <v>249110.5</v>
      </c>
      <c r="G18" s="64">
        <v>1047382</v>
      </c>
      <c r="H18" s="30"/>
      <c r="I18" s="50">
        <f t="shared" si="0"/>
        <v>1918334.1</v>
      </c>
    </row>
    <row r="19" spans="1:9" x14ac:dyDescent="0.25">
      <c r="A19" s="3" t="s">
        <v>227</v>
      </c>
      <c r="B19" s="3" t="s">
        <v>223</v>
      </c>
      <c r="C19" s="3" t="s">
        <v>228</v>
      </c>
      <c r="D19" s="64">
        <v>209555.9</v>
      </c>
      <c r="E19" s="64">
        <v>182367.2</v>
      </c>
      <c r="F19" s="64">
        <v>129278.6</v>
      </c>
      <c r="G19" s="64">
        <v>289938.2</v>
      </c>
      <c r="H19" s="30"/>
      <c r="I19" s="50">
        <f t="shared" si="0"/>
        <v>811139.89999999991</v>
      </c>
    </row>
    <row r="20" spans="1:9" x14ac:dyDescent="0.25">
      <c r="A20" s="3" t="s">
        <v>229</v>
      </c>
      <c r="B20" s="3" t="s">
        <v>223</v>
      </c>
      <c r="C20" s="3" t="s">
        <v>230</v>
      </c>
      <c r="D20" s="64">
        <v>23682.27</v>
      </c>
      <c r="E20" s="64">
        <v>46452.1</v>
      </c>
      <c r="F20" s="64">
        <v>22952.14</v>
      </c>
      <c r="G20" s="64">
        <v>47220.15</v>
      </c>
      <c r="H20" s="30"/>
      <c r="I20" s="50">
        <f t="shared" si="0"/>
        <v>140306.66</v>
      </c>
    </row>
    <row r="21" spans="1:9" x14ac:dyDescent="0.25">
      <c r="A21" s="3" t="s">
        <v>231</v>
      </c>
      <c r="B21" s="3" t="s">
        <v>70</v>
      </c>
      <c r="C21" s="3" t="s">
        <v>232</v>
      </c>
      <c r="D21" s="64">
        <v>2605437</v>
      </c>
      <c r="E21" s="64">
        <v>2895054</v>
      </c>
      <c r="F21" s="64">
        <v>2023773</v>
      </c>
      <c r="G21" s="64">
        <v>9561477</v>
      </c>
      <c r="H21" s="30"/>
      <c r="I21" s="50">
        <f t="shared" si="0"/>
        <v>17085741</v>
      </c>
    </row>
    <row r="22" spans="1:9" x14ac:dyDescent="0.25">
      <c r="A22" s="3" t="s">
        <v>233</v>
      </c>
      <c r="B22" s="3" t="s">
        <v>70</v>
      </c>
      <c r="C22" s="3" t="s">
        <v>234</v>
      </c>
      <c r="D22" s="64">
        <v>6320311</v>
      </c>
      <c r="E22" s="64">
        <v>1015443</v>
      </c>
      <c r="F22" s="64">
        <v>304890</v>
      </c>
      <c r="G22" s="64">
        <v>7514630</v>
      </c>
      <c r="H22" s="30"/>
      <c r="I22" s="50">
        <f t="shared" si="0"/>
        <v>15155274</v>
      </c>
    </row>
    <row r="23" spans="1:9" x14ac:dyDescent="0.25">
      <c r="A23" s="3" t="s">
        <v>235</v>
      </c>
      <c r="B23" s="3" t="s">
        <v>70</v>
      </c>
      <c r="C23" s="3" t="s">
        <v>236</v>
      </c>
      <c r="D23" s="64">
        <v>102000</v>
      </c>
      <c r="E23" s="64">
        <v>68212.479999999996</v>
      </c>
      <c r="F23" s="64">
        <v>0</v>
      </c>
      <c r="G23" s="64">
        <v>246680</v>
      </c>
      <c r="H23" s="30"/>
      <c r="I23" s="50">
        <f t="shared" si="0"/>
        <v>416892.48</v>
      </c>
    </row>
    <row r="24" spans="1:9" x14ac:dyDescent="0.25">
      <c r="A24" s="3" t="s">
        <v>237</v>
      </c>
      <c r="B24" s="3" t="s">
        <v>238</v>
      </c>
      <c r="C24" s="3" t="s">
        <v>239</v>
      </c>
      <c r="D24" s="64">
        <v>4553</v>
      </c>
      <c r="E24" s="64">
        <v>205242.9</v>
      </c>
      <c r="F24" s="64">
        <v>0</v>
      </c>
      <c r="G24" s="64">
        <v>0</v>
      </c>
      <c r="H24" s="30"/>
      <c r="I24" s="50">
        <f t="shared" si="0"/>
        <v>209795.9</v>
      </c>
    </row>
    <row r="25" spans="1:9" x14ac:dyDescent="0.25">
      <c r="A25" s="3" t="s">
        <v>240</v>
      </c>
      <c r="B25" s="3" t="s">
        <v>238</v>
      </c>
      <c r="C25" s="3" t="s">
        <v>241</v>
      </c>
      <c r="D25" s="64">
        <v>0</v>
      </c>
      <c r="E25" s="64">
        <v>0</v>
      </c>
      <c r="F25" s="64">
        <v>0</v>
      </c>
      <c r="G25" s="64">
        <v>541</v>
      </c>
      <c r="H25" s="30"/>
      <c r="I25" s="50">
        <f t="shared" si="0"/>
        <v>541</v>
      </c>
    </row>
    <row r="26" spans="1:9" x14ac:dyDescent="0.25">
      <c r="A26" s="3" t="s">
        <v>242</v>
      </c>
      <c r="B26" s="3" t="s">
        <v>238</v>
      </c>
      <c r="C26" s="3" t="s">
        <v>243</v>
      </c>
      <c r="D26" s="64">
        <v>228003.1</v>
      </c>
      <c r="E26" s="64">
        <v>201245.1</v>
      </c>
      <c r="F26" s="64">
        <v>315953.5</v>
      </c>
      <c r="G26" s="64">
        <v>759111</v>
      </c>
      <c r="H26" s="30"/>
      <c r="I26" s="50">
        <f t="shared" si="0"/>
        <v>1504312.7</v>
      </c>
    </row>
    <row r="27" spans="1:9" x14ac:dyDescent="0.25">
      <c r="A27" s="3" t="s">
        <v>244</v>
      </c>
      <c r="B27" s="3" t="s">
        <v>238</v>
      </c>
      <c r="C27" s="3" t="s">
        <v>245</v>
      </c>
      <c r="D27" s="64">
        <v>50075.68</v>
      </c>
      <c r="E27" s="64">
        <v>94556.91</v>
      </c>
      <c r="F27" s="64">
        <v>155762</v>
      </c>
      <c r="G27" s="64">
        <v>662872.30000000005</v>
      </c>
      <c r="H27" s="30"/>
      <c r="I27" s="50">
        <f t="shared" si="0"/>
        <v>963266.89</v>
      </c>
    </row>
    <row r="28" spans="1:9" x14ac:dyDescent="0.25">
      <c r="A28" s="3" t="s">
        <v>246</v>
      </c>
      <c r="B28" s="3" t="s">
        <v>238</v>
      </c>
      <c r="C28" s="3" t="s">
        <v>247</v>
      </c>
      <c r="D28" s="64">
        <v>44924.44</v>
      </c>
      <c r="E28" s="64">
        <v>120700.8</v>
      </c>
      <c r="F28" s="64">
        <v>161348.1</v>
      </c>
      <c r="G28" s="64">
        <v>660565</v>
      </c>
      <c r="H28" s="30"/>
      <c r="I28" s="50">
        <f t="shared" si="0"/>
        <v>987538.34</v>
      </c>
    </row>
    <row r="29" spans="1:9" x14ac:dyDescent="0.25">
      <c r="A29" s="3" t="s">
        <v>248</v>
      </c>
      <c r="B29" s="3" t="s">
        <v>238</v>
      </c>
      <c r="C29" s="3" t="s">
        <v>249</v>
      </c>
      <c r="D29" s="64">
        <v>45279.66</v>
      </c>
      <c r="E29" s="64">
        <v>58597.86</v>
      </c>
      <c r="F29" s="64">
        <v>62377.61</v>
      </c>
      <c r="G29" s="64">
        <v>321232</v>
      </c>
      <c r="H29" s="30"/>
      <c r="I29" s="50">
        <f t="shared" si="0"/>
        <v>487487.13</v>
      </c>
    </row>
    <row r="30" spans="1:9" x14ac:dyDescent="0.25">
      <c r="A30" s="3" t="s">
        <v>250</v>
      </c>
      <c r="B30" s="3" t="s">
        <v>238</v>
      </c>
      <c r="C30" s="3" t="s">
        <v>251</v>
      </c>
      <c r="D30" s="64">
        <v>351505.1</v>
      </c>
      <c r="E30" s="64">
        <v>0</v>
      </c>
      <c r="F30" s="64">
        <v>0</v>
      </c>
      <c r="G30" s="64">
        <v>1134261</v>
      </c>
      <c r="H30" s="30"/>
      <c r="I30" s="50">
        <f>SUM(D30:G30)</f>
        <v>1485766.1</v>
      </c>
    </row>
    <row r="31" spans="1:9" x14ac:dyDescent="0.25">
      <c r="A31" s="3"/>
      <c r="B31" s="3"/>
      <c r="C31" s="3"/>
      <c r="D31" s="30"/>
      <c r="E31" s="30"/>
      <c r="F31" s="30"/>
      <c r="G31" s="30"/>
      <c r="H31" s="30"/>
      <c r="I31" s="50"/>
    </row>
    <row r="32" spans="1:9" x14ac:dyDescent="0.25">
      <c r="A32" s="3"/>
      <c r="B32" s="3"/>
      <c r="C32" s="3"/>
      <c r="D32" s="30"/>
      <c r="E32" s="30"/>
      <c r="F32" s="30"/>
      <c r="G32" s="30"/>
      <c r="H32" s="30"/>
      <c r="I32" s="50"/>
    </row>
    <row r="33" spans="1:9" x14ac:dyDescent="0.25">
      <c r="A33" s="3"/>
      <c r="B33" s="3"/>
      <c r="C33" s="3"/>
      <c r="D33" s="30"/>
      <c r="E33" s="30"/>
      <c r="F33" s="30"/>
      <c r="G33" s="30"/>
      <c r="H33" s="30"/>
      <c r="I33" s="50"/>
    </row>
    <row r="34" spans="1:9" x14ac:dyDescent="0.25">
      <c r="A34" s="3"/>
      <c r="B34" s="3"/>
      <c r="C34" s="3"/>
      <c r="D34" s="30"/>
      <c r="E34" s="30"/>
      <c r="F34" s="30"/>
      <c r="G34" s="30"/>
      <c r="H34" s="30"/>
      <c r="I34" s="50"/>
    </row>
    <row r="35" spans="1:9" x14ac:dyDescent="0.25">
      <c r="A35" s="3"/>
      <c r="B35" s="3"/>
      <c r="C35" s="3"/>
      <c r="D35" s="30"/>
      <c r="E35" s="30"/>
      <c r="F35" s="30"/>
      <c r="G35" s="30"/>
      <c r="H35" s="30"/>
      <c r="I35" s="50"/>
    </row>
    <row r="36" spans="1:9" x14ac:dyDescent="0.25">
      <c r="A36" s="3"/>
      <c r="B36" s="3"/>
      <c r="C36" s="3"/>
      <c r="D36" s="30"/>
      <c r="E36" s="30"/>
      <c r="F36" s="30"/>
      <c r="G36" s="30"/>
      <c r="H36" s="30"/>
      <c r="I36" s="50"/>
    </row>
    <row r="37" spans="1:9" x14ac:dyDescent="0.25">
      <c r="A37" s="3"/>
      <c r="B37" s="3"/>
      <c r="C37" s="3"/>
      <c r="D37" s="30"/>
      <c r="E37" s="30"/>
      <c r="F37" s="30"/>
      <c r="G37" s="30"/>
      <c r="H37" s="30"/>
      <c r="I37" s="50"/>
    </row>
    <row r="38" spans="1:9" x14ac:dyDescent="0.25">
      <c r="A38" s="3"/>
      <c r="B38" s="3"/>
      <c r="C38" s="3"/>
      <c r="D38" s="30"/>
      <c r="E38" s="30"/>
      <c r="F38" s="30"/>
      <c r="G38" s="30"/>
      <c r="H38" s="30"/>
      <c r="I38" s="50"/>
    </row>
    <row r="39" spans="1:9" x14ac:dyDescent="0.25">
      <c r="A39" s="3"/>
      <c r="B39" s="3"/>
      <c r="C39" s="3"/>
      <c r="D39" s="30"/>
      <c r="E39" s="30"/>
      <c r="F39" s="30"/>
      <c r="G39" s="30"/>
      <c r="H39" s="30"/>
      <c r="I39" s="50"/>
    </row>
    <row r="40" spans="1:9" x14ac:dyDescent="0.25">
      <c r="A40" s="3"/>
      <c r="B40" s="3"/>
      <c r="C40" s="3"/>
      <c r="D40" s="30"/>
      <c r="E40" s="30"/>
      <c r="F40" s="30"/>
      <c r="G40" s="30"/>
      <c r="H40" s="30"/>
      <c r="I40" s="50"/>
    </row>
    <row r="41" spans="1:9" x14ac:dyDescent="0.25">
      <c r="A41" s="3"/>
      <c r="B41" s="3"/>
      <c r="C41" s="3"/>
      <c r="D41" s="30"/>
      <c r="E41" s="30"/>
      <c r="F41" s="30"/>
      <c r="G41" s="30"/>
      <c r="H41" s="30"/>
      <c r="I41" s="50"/>
    </row>
    <row r="42" spans="1:9" x14ac:dyDescent="0.25">
      <c r="A42" s="3"/>
      <c r="B42" s="3"/>
      <c r="C42" s="3"/>
      <c r="D42" s="30"/>
      <c r="E42" s="30"/>
      <c r="F42" s="30"/>
      <c r="G42" s="30"/>
      <c r="H42" s="30"/>
      <c r="I42" s="50"/>
    </row>
    <row r="43" spans="1:9" x14ac:dyDescent="0.25">
      <c r="A43" s="3"/>
      <c r="B43" s="3"/>
      <c r="C43" s="3"/>
      <c r="D43" s="30"/>
      <c r="E43" s="30"/>
      <c r="F43" s="30"/>
      <c r="G43" s="30"/>
      <c r="H43" s="30"/>
      <c r="I43" s="50"/>
    </row>
    <row r="44" spans="1:9" x14ac:dyDescent="0.25">
      <c r="A44" s="3"/>
      <c r="B44" s="3"/>
      <c r="C44" s="3"/>
      <c r="D44" s="30"/>
      <c r="E44" s="30"/>
      <c r="F44" s="30"/>
      <c r="G44" s="30"/>
      <c r="H44" s="30"/>
      <c r="I44" s="50"/>
    </row>
    <row r="45" spans="1:9" x14ac:dyDescent="0.25">
      <c r="A45" s="3"/>
      <c r="B45" s="3"/>
      <c r="C45" s="3"/>
      <c r="D45" s="30"/>
      <c r="E45" s="30"/>
      <c r="F45" s="30"/>
      <c r="G45" s="30"/>
      <c r="H45" s="30"/>
      <c r="I45" s="50"/>
    </row>
    <row r="46" spans="1:9" x14ac:dyDescent="0.25">
      <c r="A46" s="3"/>
      <c r="B46" s="3"/>
      <c r="C46" s="3"/>
      <c r="D46" s="30"/>
      <c r="E46" s="30"/>
      <c r="F46" s="30"/>
      <c r="G46" s="30"/>
      <c r="H46" s="30"/>
      <c r="I46" s="50"/>
    </row>
    <row r="47" spans="1:9" x14ac:dyDescent="0.25">
      <c r="A47" s="3"/>
      <c r="B47" s="3"/>
      <c r="C47" s="3"/>
      <c r="D47" s="30"/>
      <c r="E47" s="30"/>
      <c r="F47" s="30"/>
      <c r="G47" s="30"/>
      <c r="H47" s="30"/>
      <c r="I47" s="50"/>
    </row>
    <row r="48" spans="1:9" x14ac:dyDescent="0.25">
      <c r="A48" s="3"/>
      <c r="B48" s="3"/>
      <c r="C48" s="3"/>
      <c r="D48" s="30"/>
      <c r="E48" s="30"/>
      <c r="F48" s="30"/>
      <c r="G48" s="30"/>
      <c r="H48" s="30"/>
      <c r="I48" s="50"/>
    </row>
    <row r="49" spans="1:10" x14ac:dyDescent="0.25">
      <c r="A49" s="3"/>
      <c r="B49" s="3"/>
      <c r="C49" s="3"/>
      <c r="D49" s="30"/>
      <c r="E49" s="30"/>
      <c r="F49" s="30"/>
      <c r="G49" s="30"/>
      <c r="H49" s="30"/>
      <c r="I49" s="50"/>
    </row>
    <row r="50" spans="1:10" x14ac:dyDescent="0.25">
      <c r="A50" s="3"/>
      <c r="B50" s="3"/>
      <c r="C50" s="3"/>
      <c r="D50" s="30"/>
      <c r="E50" s="30"/>
      <c r="F50" s="30"/>
      <c r="G50" s="30"/>
      <c r="H50" s="30"/>
      <c r="I50" s="50"/>
    </row>
    <row r="51" spans="1:10" x14ac:dyDescent="0.25">
      <c r="F51" s="28"/>
      <c r="G51" s="28"/>
      <c r="H51" s="28"/>
      <c r="I51" s="28"/>
      <c r="J51" s="29"/>
    </row>
    <row r="52" spans="1:10" x14ac:dyDescent="0.25">
      <c r="D52" s="31"/>
      <c r="E52" s="31"/>
      <c r="F52" s="31"/>
      <c r="G52" s="31"/>
      <c r="H52" s="31"/>
      <c r="I52" s="31"/>
    </row>
  </sheetData>
  <sortState xmlns:xlrd2="http://schemas.microsoft.com/office/spreadsheetml/2017/richdata2" ref="A2:I50">
    <sortCondition ref="C2:C50"/>
  </sortState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98"/>
  <sheetViews>
    <sheetView zoomScale="90" zoomScaleNormal="90" workbookViewId="0">
      <pane xSplit="4" ySplit="2" topLeftCell="H3" activePane="bottomRight" state="frozen"/>
      <selection pane="topRight" activeCell="E1" sqref="E1"/>
      <selection pane="bottomLeft" activeCell="A2" sqref="A2"/>
      <selection pane="bottomRight" activeCell="O3" sqref="O3"/>
    </sheetView>
  </sheetViews>
  <sheetFormatPr defaultRowHeight="15" x14ac:dyDescent="0.25"/>
  <cols>
    <col min="1" max="1" width="24.5703125" bestFit="1" customWidth="1"/>
    <col min="2" max="2" width="19.140625" bestFit="1" customWidth="1"/>
    <col min="3" max="3" width="50.7109375" customWidth="1"/>
    <col min="4" max="4" width="6.85546875" bestFit="1" customWidth="1"/>
    <col min="5" max="5" width="13.28515625" bestFit="1" customWidth="1"/>
    <col min="6" max="6" width="13.5703125" bestFit="1" customWidth="1"/>
    <col min="7" max="7" width="10" customWidth="1"/>
    <col min="8" max="8" width="9.5703125" bestFit="1" customWidth="1"/>
    <col min="9" max="9" width="13.28515625" bestFit="1" customWidth="1"/>
    <col min="10" max="10" width="12" bestFit="1" customWidth="1"/>
    <col min="11" max="11" width="12.140625" customWidth="1"/>
    <col min="12" max="12" width="13.5703125" bestFit="1" customWidth="1"/>
    <col min="13" max="13" width="10" customWidth="1"/>
    <col min="14" max="14" width="12.7109375" bestFit="1" customWidth="1"/>
    <col min="15" max="15" width="14.28515625" bestFit="1" customWidth="1"/>
  </cols>
  <sheetData>
    <row r="1" spans="1:15" x14ac:dyDescent="0.25">
      <c r="E1" s="66" t="s">
        <v>185</v>
      </c>
      <c r="F1" s="66"/>
      <c r="G1" s="66"/>
      <c r="H1" s="66"/>
      <c r="I1" s="67" t="s">
        <v>43</v>
      </c>
      <c r="J1" s="68"/>
      <c r="K1" s="68"/>
      <c r="L1" s="68"/>
      <c r="M1" s="68"/>
    </row>
    <row r="2" spans="1:15" ht="60" x14ac:dyDescent="0.25">
      <c r="A2" s="8" t="s">
        <v>72</v>
      </c>
      <c r="B2" s="8" t="s">
        <v>56</v>
      </c>
      <c r="C2" s="8" t="s">
        <v>55</v>
      </c>
      <c r="D2" s="8" t="s">
        <v>165</v>
      </c>
      <c r="E2" s="52" t="s">
        <v>176</v>
      </c>
      <c r="F2" s="52" t="s">
        <v>175</v>
      </c>
      <c r="G2" s="52" t="s">
        <v>177</v>
      </c>
      <c r="H2" s="52" t="s">
        <v>178</v>
      </c>
      <c r="I2" s="8" t="s">
        <v>181</v>
      </c>
      <c r="J2" s="8" t="s">
        <v>182</v>
      </c>
      <c r="K2" s="8" t="s">
        <v>183</v>
      </c>
      <c r="L2" s="8" t="s">
        <v>164</v>
      </c>
      <c r="M2" s="8" t="s">
        <v>184</v>
      </c>
      <c r="N2" s="8" t="s">
        <v>179</v>
      </c>
      <c r="O2" s="8" t="s">
        <v>180</v>
      </c>
    </row>
    <row r="3" spans="1:15" x14ac:dyDescent="0.25">
      <c r="A3" s="3" t="s">
        <v>190</v>
      </c>
      <c r="B3" s="3" t="s">
        <v>191</v>
      </c>
      <c r="C3" s="3" t="s">
        <v>192</v>
      </c>
      <c r="D3" s="3" t="s">
        <v>75</v>
      </c>
      <c r="E3" s="51">
        <v>0</v>
      </c>
      <c r="F3" s="51">
        <f>SUMIFS($E$3:$E$198,$A$3:$A$198,"=" &amp; A3,$D$3:$D$198,"&gt;=" &amp; 'Main Input'!$D$6,$D$3:$D$198,"&lt;=" &amp; 'Main Input'!$D$7)</f>
        <v>0</v>
      </c>
      <c r="G3" s="3">
        <f>IFERROR(IF((D3&gt;='Main Input'!$D$6)*(D3&lt;='Main Input'!$D$7),E3/F3,0),Config!$Q$11)</f>
        <v>0.25</v>
      </c>
      <c r="H3" s="3">
        <f>SUMIFS($G$3:$G$198, $A$3:$A$198, A3)</f>
        <v>1</v>
      </c>
      <c r="I3" s="51">
        <f>INDEX('Base Scenario'!$A$1:$I$50,MATCH(A3,'Base Scenario'!$A$1:$A$50,0),MATCH(D3,'Base Scenario'!$A$1:$I$1,0))</f>
        <v>408275</v>
      </c>
      <c r="J3" s="51">
        <f>VLOOKUP(A3,'Base Scenario'!$A$1:$I$50,9,0)*G3</f>
        <v>587869.55000000005</v>
      </c>
      <c r="K3" s="53">
        <f>IF(AND(D3&gt;='Main Input'!$D$6, D3&lt;='Main Input'!$D$7), IF('Optim Input'!$B$6="Quarterly", 'Quarterly Calculation'!I3, 'Quarterly Calculation'!J3), 0)</f>
        <v>408275</v>
      </c>
      <c r="L3" s="51">
        <f>SUMIFS($K$3:$K$198, $A$3:$A$198, $A3)</f>
        <v>2351478.2000000002</v>
      </c>
      <c r="M3" s="3">
        <f>IFERROR(IF(($D3&gt;='Main Input'!$D$6)*($D3&lt;='Main Input'!$D$7),K3/L3,0),Config!$Q$11)</f>
        <v>0.17362482884170474</v>
      </c>
      <c r="N3" s="53">
        <f>VLOOKUP(A3,'Individual Bounds - Overall'!$A$2:$L$50,11,0)*M3</f>
        <v>408275</v>
      </c>
      <c r="O3" s="53">
        <f>VLOOKUP(A3,'Individual Bounds - Overall'!$A$2:$L$50,12,0)*M3</f>
        <v>428688.75</v>
      </c>
    </row>
    <row r="4" spans="1:15" x14ac:dyDescent="0.25">
      <c r="A4" s="3" t="s">
        <v>190</v>
      </c>
      <c r="B4" s="3" t="s">
        <v>191</v>
      </c>
      <c r="C4" s="3" t="s">
        <v>192</v>
      </c>
      <c r="D4" s="3" t="s">
        <v>76</v>
      </c>
      <c r="E4" s="51">
        <v>0</v>
      </c>
      <c r="F4" s="51">
        <f>SUMIFS($E$3:$E$198,$A$3:$A$198,"=" &amp; A4,$D$3:$D$198,"&gt;=" &amp; 'Main Input'!$D$6,$D$3:$D$198,"&lt;=" &amp; 'Main Input'!$D$7)</f>
        <v>0</v>
      </c>
      <c r="G4" s="3">
        <f>IFERROR(IF((D4&gt;='Main Input'!$D$6)*(D4&lt;='Main Input'!$D$7),E4/F4,0),Config!$Q$11)</f>
        <v>0.25</v>
      </c>
      <c r="H4" s="3">
        <f t="shared" ref="H4:H75" si="0">SUMIFS($G$3:$G$198, $A$3:$A$198, A4)</f>
        <v>1</v>
      </c>
      <c r="I4" s="51">
        <f>INDEX('Base Scenario'!$A$1:$I$50,MATCH(A4,'Base Scenario'!$A$1:$A$50,0),MATCH(D4,'Base Scenario'!$A$1:$I$1,0))</f>
        <v>595965.19999999995</v>
      </c>
      <c r="J4" s="51">
        <f>VLOOKUP(A4,'Base Scenario'!$A$1:$I$50,9,0)*G4</f>
        <v>587869.55000000005</v>
      </c>
      <c r="K4" s="53">
        <f>IF(AND(D4&gt;='Main Input'!$D$6, D4&lt;='Main Input'!$D$7), IF('Optim Input'!$B$6="Quarterly", 'Quarterly Calculation'!I4, 'Quarterly Calculation'!J4), 0)</f>
        <v>595965.19999999995</v>
      </c>
      <c r="L4" s="51">
        <f t="shared" ref="L4:L75" si="1">SUMIFS($K$3:$K$198, $A$3:$A$198, $A4)</f>
        <v>2351478.2000000002</v>
      </c>
      <c r="M4" s="3">
        <f>IFERROR(IF(($D4&gt;='Main Input'!$D$6)*($D4&lt;='Main Input'!$D$7),K4/L4,0),Config!$Q$11)</f>
        <v>0.2534427918574792</v>
      </c>
      <c r="N4" s="53">
        <f>VLOOKUP(A4,'Individual Bounds - Overall'!$A$2:$L$50,11,0)*M4</f>
        <v>595965.19999999984</v>
      </c>
      <c r="O4" s="53">
        <f>VLOOKUP(A4,'Individual Bounds - Overall'!$A$2:$L$50,12,0)*M4</f>
        <v>625763.46</v>
      </c>
    </row>
    <row r="5" spans="1:15" x14ac:dyDescent="0.25">
      <c r="A5" s="3" t="s">
        <v>190</v>
      </c>
      <c r="B5" s="3" t="s">
        <v>191</v>
      </c>
      <c r="C5" s="3" t="s">
        <v>192</v>
      </c>
      <c r="D5" s="3" t="s">
        <v>77</v>
      </c>
      <c r="E5" s="51">
        <v>0</v>
      </c>
      <c r="F5" s="51">
        <f>SUMIFS($E$3:$E$198,$A$3:$A$198,"=" &amp; A5,$D$3:$D$198,"&gt;=" &amp; 'Main Input'!$D$6,$D$3:$D$198,"&lt;=" &amp; 'Main Input'!$D$7)</f>
        <v>0</v>
      </c>
      <c r="G5" s="3">
        <f>IFERROR(IF((D5&gt;='Main Input'!$D$6)*(D5&lt;='Main Input'!$D$7),E5/F5,0),Config!$Q$11)</f>
        <v>0.25</v>
      </c>
      <c r="H5" s="3">
        <f t="shared" si="0"/>
        <v>1</v>
      </c>
      <c r="I5" s="51">
        <f>INDEX('Base Scenario'!$A$1:$I$50,MATCH(A5,'Base Scenario'!$A$1:$A$50,0),MATCH(D5,'Base Scenario'!$A$1:$I$1,0))</f>
        <v>105525</v>
      </c>
      <c r="J5" s="51">
        <f>VLOOKUP(A5,'Base Scenario'!$A$1:$I$50,9,0)*G5</f>
        <v>587869.55000000005</v>
      </c>
      <c r="K5" s="53">
        <f>IF(AND(D5&gt;='Main Input'!$D$6, D5&lt;='Main Input'!$D$7), IF('Optim Input'!$B$6="Quarterly", 'Quarterly Calculation'!I5, 'Quarterly Calculation'!J5), 0)</f>
        <v>105525</v>
      </c>
      <c r="L5" s="51">
        <f t="shared" si="1"/>
        <v>2351478.2000000002</v>
      </c>
      <c r="M5" s="3">
        <f>IFERROR(IF(($D5&gt;='Main Input'!$D$6)*($D5&lt;='Main Input'!$D$7),K5/L5,0),Config!$Q$11)</f>
        <v>4.4876027343141008E-2</v>
      </c>
      <c r="N5" s="53">
        <f>VLOOKUP(A5,'Individual Bounds - Overall'!$A$2:$L$50,11,0)*M5</f>
        <v>105525</v>
      </c>
      <c r="O5" s="53">
        <f>VLOOKUP(A5,'Individual Bounds - Overall'!$A$2:$L$50,12,0)*M5</f>
        <v>110801.25000000001</v>
      </c>
    </row>
    <row r="6" spans="1:15" x14ac:dyDescent="0.25">
      <c r="A6" s="3" t="s">
        <v>190</v>
      </c>
      <c r="B6" s="3" t="s">
        <v>191</v>
      </c>
      <c r="C6" s="3" t="s">
        <v>192</v>
      </c>
      <c r="D6" s="3" t="s">
        <v>78</v>
      </c>
      <c r="E6" s="51">
        <v>0</v>
      </c>
      <c r="F6" s="51">
        <f>SUMIFS($E$3:$E$198,$A$3:$A$198,"=" &amp; A6,$D$3:$D$198,"&gt;=" &amp; 'Main Input'!$D$6,$D$3:$D$198,"&lt;=" &amp; 'Main Input'!$D$7)</f>
        <v>0</v>
      </c>
      <c r="G6" s="3">
        <f>IFERROR(IF((D6&gt;='Main Input'!$D$6)*(D6&lt;='Main Input'!$D$7),E6/F6,0),Config!$Q$11)</f>
        <v>0.25</v>
      </c>
      <c r="H6" s="3">
        <f t="shared" si="0"/>
        <v>1</v>
      </c>
      <c r="I6" s="51">
        <f>INDEX('Base Scenario'!$A$1:$I$50,MATCH(A6,'Base Scenario'!$A$1:$A$50,0),MATCH(D6,'Base Scenario'!$A$1:$I$1,0))</f>
        <v>1241713</v>
      </c>
      <c r="J6" s="51">
        <f>VLOOKUP(A6,'Base Scenario'!$A$1:$I$50,9,0)*G6</f>
        <v>587869.55000000005</v>
      </c>
      <c r="K6" s="53">
        <f>IF(AND(D6&gt;='Main Input'!$D$6, D6&lt;='Main Input'!$D$7), IF('Optim Input'!$B$6="Quarterly", 'Quarterly Calculation'!I6, 'Quarterly Calculation'!J6), 0)</f>
        <v>1241713</v>
      </c>
      <c r="L6" s="51">
        <f t="shared" si="1"/>
        <v>2351478.2000000002</v>
      </c>
      <c r="M6" s="3">
        <f>IFERROR(IF(($D6&gt;='Main Input'!$D$6)*($D6&lt;='Main Input'!$D$7),K6/L6,0),Config!$Q$11)</f>
        <v>0.52805635195767497</v>
      </c>
      <c r="N6" s="53">
        <f>VLOOKUP(A6,'Individual Bounds - Overall'!$A$2:$L$50,11,0)*M6</f>
        <v>1241713.0000000002</v>
      </c>
      <c r="O6" s="53">
        <f>VLOOKUP(A6,'Individual Bounds - Overall'!$A$2:$L$50,12,0)*M6</f>
        <v>1303798.6500000001</v>
      </c>
    </row>
    <row r="7" spans="1:15" x14ac:dyDescent="0.25">
      <c r="A7" s="3" t="s">
        <v>193</v>
      </c>
      <c r="B7" s="3" t="s">
        <v>194</v>
      </c>
      <c r="C7" s="3" t="s">
        <v>195</v>
      </c>
      <c r="D7" s="3" t="s">
        <v>75</v>
      </c>
      <c r="E7" s="51">
        <v>796901</v>
      </c>
      <c r="F7" s="51">
        <f>SUMIFS($E$3:$E$198,$A$3:$A$198,"=" &amp; A7,$D$3:$D$198,"&gt;=" &amp; 'Main Input'!$D$6,$D$3:$D$198,"&lt;=" &amp; 'Main Input'!$D$7)</f>
        <v>4854379</v>
      </c>
      <c r="G7" s="3">
        <f>IFERROR(IF((D7&gt;='Main Input'!$D$6)*(D7&lt;='Main Input'!$D$7),E7/F7,0),Config!$Q$11)</f>
        <v>0.16416126552953531</v>
      </c>
      <c r="H7" s="3">
        <f t="shared" si="0"/>
        <v>1</v>
      </c>
      <c r="I7" s="51">
        <f>INDEX('Base Scenario'!$A$1:$I$50,MATCH(A7,'Base Scenario'!$A$1:$A$50,0),MATCH(D7,'Base Scenario'!$A$1:$I$1,0))</f>
        <v>314043.7</v>
      </c>
      <c r="J7" s="51">
        <f>VLOOKUP(A7,'Base Scenario'!$A$1:$I$50,9,0)*G7</f>
        <v>209195.90457640417</v>
      </c>
      <c r="K7" s="53">
        <f>IF(AND(D7&gt;='Main Input'!$D$6, D7&lt;='Main Input'!$D$7), IF('Optim Input'!$B$6="Quarterly", 'Quarterly Calculation'!I7, 'Quarterly Calculation'!J7), 0)</f>
        <v>314043.7</v>
      </c>
      <c r="L7" s="51">
        <f t="shared" si="1"/>
        <v>1274331.7000000002</v>
      </c>
      <c r="M7" s="3">
        <f>IFERROR(IF(($D7&gt;='Main Input'!$D$6)*($D7&lt;='Main Input'!$D$7),K7/L7,0),Config!$Q$11)</f>
        <v>0.24643795645984476</v>
      </c>
      <c r="N7" s="53">
        <f>VLOOKUP(A7,'Individual Bounds - Overall'!$A$2:$L$50,11,0)*M7</f>
        <v>314043.7</v>
      </c>
      <c r="O7" s="53">
        <f>VLOOKUP(A7,'Individual Bounds - Overall'!$A$2:$L$50,12,0)*M7</f>
        <v>329745.88500000001</v>
      </c>
    </row>
    <row r="8" spans="1:15" x14ac:dyDescent="0.25">
      <c r="A8" s="3" t="s">
        <v>193</v>
      </c>
      <c r="B8" s="3" t="s">
        <v>194</v>
      </c>
      <c r="C8" s="3" t="s">
        <v>195</v>
      </c>
      <c r="D8" s="3" t="s">
        <v>76</v>
      </c>
      <c r="E8" s="51">
        <v>1401685</v>
      </c>
      <c r="F8" s="51">
        <f>SUMIFS($E$3:$E$198,$A$3:$A$198,"=" &amp; A8,$D$3:$D$198,"&gt;=" &amp; 'Main Input'!$D$6,$D$3:$D$198,"&lt;=" &amp; 'Main Input'!$D$7)</f>
        <v>4854379</v>
      </c>
      <c r="G8" s="3">
        <f>IFERROR(IF((D8&gt;='Main Input'!$D$6)*(D8&lt;='Main Input'!$D$7),E8/F8,0),Config!$Q$11)</f>
        <v>0.28874651113973587</v>
      </c>
      <c r="H8" s="3">
        <f t="shared" si="0"/>
        <v>1</v>
      </c>
      <c r="I8" s="51">
        <f>INDEX('Base Scenario'!$A$1:$I$50,MATCH(A8,'Base Scenario'!$A$1:$A$50,0),MATCH(D8,'Base Scenario'!$A$1:$I$1,0))</f>
        <v>202112</v>
      </c>
      <c r="J8" s="51">
        <f>VLOOKUP(A8,'Base Scenario'!$A$1:$I$50,9,0)*G8</f>
        <v>367958.8324097686</v>
      </c>
      <c r="K8" s="53">
        <f>IF(AND(D8&gt;='Main Input'!$D$6, D8&lt;='Main Input'!$D$7), IF('Optim Input'!$B$6="Quarterly", 'Quarterly Calculation'!I8, 'Quarterly Calculation'!J8), 0)</f>
        <v>202112</v>
      </c>
      <c r="L8" s="51">
        <f t="shared" si="1"/>
        <v>1274331.7000000002</v>
      </c>
      <c r="M8" s="3">
        <f>IFERROR(IF(($D8&gt;='Main Input'!$D$6)*($D8&lt;='Main Input'!$D$7),K8/L8,0),Config!$Q$11)</f>
        <v>0.15860234819552865</v>
      </c>
      <c r="N8" s="53">
        <f>VLOOKUP(A8,'Individual Bounds - Overall'!$A$2:$L$50,11,0)*M8</f>
        <v>202112</v>
      </c>
      <c r="O8" s="53">
        <f>VLOOKUP(A8,'Individual Bounds - Overall'!$A$2:$L$50,12,0)*M8</f>
        <v>212217.59999999998</v>
      </c>
    </row>
    <row r="9" spans="1:15" x14ac:dyDescent="0.25">
      <c r="A9" s="3" t="s">
        <v>193</v>
      </c>
      <c r="B9" s="3" t="s">
        <v>194</v>
      </c>
      <c r="C9" s="3" t="s">
        <v>195</v>
      </c>
      <c r="D9" s="3" t="s">
        <v>77</v>
      </c>
      <c r="E9" s="51">
        <v>1324364</v>
      </c>
      <c r="F9" s="51">
        <f>SUMIFS($E$3:$E$198,$A$3:$A$198,"=" &amp; A9,$D$3:$D$198,"&gt;=" &amp; 'Main Input'!$D$6,$D$3:$D$198,"&lt;=" &amp; 'Main Input'!$D$7)</f>
        <v>4854379</v>
      </c>
      <c r="G9" s="3">
        <f>IFERROR(IF((D9&gt;='Main Input'!$D$6)*(D9&lt;='Main Input'!$D$7),E9/F9,0),Config!$Q$11)</f>
        <v>0.27281841817460073</v>
      </c>
      <c r="H9" s="3">
        <f t="shared" si="0"/>
        <v>1</v>
      </c>
      <c r="I9" s="51">
        <f>INDEX('Base Scenario'!$A$1:$I$50,MATCH(A9,'Base Scenario'!$A$1:$A$50,0),MATCH(D9,'Base Scenario'!$A$1:$I$1,0))</f>
        <v>108329.1</v>
      </c>
      <c r="J9" s="51">
        <f>VLOOKUP(A9,'Base Scenario'!$A$1:$I$50,9,0)*G9</f>
        <v>347661.15862374991</v>
      </c>
      <c r="K9" s="53">
        <f>IF(AND(D9&gt;='Main Input'!$D$6, D9&lt;='Main Input'!$D$7), IF('Optim Input'!$B$6="Quarterly", 'Quarterly Calculation'!I9, 'Quarterly Calculation'!J9), 0)</f>
        <v>108329.1</v>
      </c>
      <c r="L9" s="51">
        <f t="shared" si="1"/>
        <v>1274331.7000000002</v>
      </c>
      <c r="M9" s="3">
        <f>IFERROR(IF(($D9&gt;='Main Input'!$D$6)*($D9&lt;='Main Input'!$D$7),K9/L9,0),Config!$Q$11)</f>
        <v>8.5008557818972874E-2</v>
      </c>
      <c r="N9" s="53">
        <f>VLOOKUP(A9,'Individual Bounds - Overall'!$A$2:$L$50,11,0)*M9</f>
        <v>108329.1</v>
      </c>
      <c r="O9" s="53">
        <f>VLOOKUP(A9,'Individual Bounds - Overall'!$A$2:$L$50,12,0)*M9</f>
        <v>113745.55500000001</v>
      </c>
    </row>
    <row r="10" spans="1:15" x14ac:dyDescent="0.25">
      <c r="A10" s="3" t="s">
        <v>193</v>
      </c>
      <c r="B10" s="3" t="s">
        <v>194</v>
      </c>
      <c r="C10" s="3" t="s">
        <v>195</v>
      </c>
      <c r="D10" s="3" t="s">
        <v>78</v>
      </c>
      <c r="E10" s="51">
        <v>1331429</v>
      </c>
      <c r="F10" s="51">
        <f>SUMIFS($E$3:$E$198,$A$3:$A$198,"=" &amp; A10,$D$3:$D$198,"&gt;=" &amp; 'Main Input'!$D$6,$D$3:$D$198,"&lt;=" &amp; 'Main Input'!$D$7)</f>
        <v>4854379</v>
      </c>
      <c r="G10" s="3">
        <f>IFERROR(IF((D10&gt;='Main Input'!$D$6)*(D10&lt;='Main Input'!$D$7),E10/F10,0),Config!$Q$11)</f>
        <v>0.27427380515612809</v>
      </c>
      <c r="H10" s="3">
        <f t="shared" si="0"/>
        <v>1</v>
      </c>
      <c r="I10" s="51">
        <f>INDEX('Base Scenario'!$A$1:$I$50,MATCH(A10,'Base Scenario'!$A$1:$A$50,0),MATCH(D10,'Base Scenario'!$A$1:$I$1,0))</f>
        <v>649846.9</v>
      </c>
      <c r="J10" s="51">
        <f>VLOOKUP(A10,'Base Scenario'!$A$1:$I$50,9,0)*G10</f>
        <v>349515.80439007754</v>
      </c>
      <c r="K10" s="53">
        <f>IF(AND(D10&gt;='Main Input'!$D$6, D10&lt;='Main Input'!$D$7), IF('Optim Input'!$B$6="Quarterly", 'Quarterly Calculation'!I10, 'Quarterly Calculation'!J10), 0)</f>
        <v>649846.9</v>
      </c>
      <c r="L10" s="51">
        <f t="shared" si="1"/>
        <v>1274331.7000000002</v>
      </c>
      <c r="M10" s="3">
        <f>IFERROR(IF(($D10&gt;='Main Input'!$D$6)*($D10&lt;='Main Input'!$D$7),K10/L10,0),Config!$Q$11)</f>
        <v>0.50995113752565358</v>
      </c>
      <c r="N10" s="53">
        <f>VLOOKUP(A10,'Individual Bounds - Overall'!$A$2:$L$50,11,0)*M10</f>
        <v>649846.9</v>
      </c>
      <c r="O10" s="53">
        <f>VLOOKUP(A10,'Individual Bounds - Overall'!$A$2:$L$50,12,0)*M10</f>
        <v>682339.245</v>
      </c>
    </row>
    <row r="11" spans="1:15" x14ac:dyDescent="0.25">
      <c r="A11" s="3" t="s">
        <v>199</v>
      </c>
      <c r="B11" s="3" t="s">
        <v>197</v>
      </c>
      <c r="C11" s="3" t="s">
        <v>200</v>
      </c>
      <c r="D11" s="3" t="s">
        <v>75</v>
      </c>
      <c r="E11" s="51">
        <v>0</v>
      </c>
      <c r="F11" s="51">
        <f>SUMIFS($E$3:$E$198,$A$3:$A$198,"=" &amp; A11,$D$3:$D$198,"&gt;=" &amp; 'Main Input'!$D$6,$D$3:$D$198,"&lt;=" &amp; 'Main Input'!$D$7)</f>
        <v>0</v>
      </c>
      <c r="G11" s="3">
        <f>IFERROR(IF((D11&gt;='Main Input'!$D$6)*(D11&lt;='Main Input'!$D$7),E11/F11,0),Config!$Q$11)</f>
        <v>0.25</v>
      </c>
      <c r="H11" s="3">
        <f t="shared" si="0"/>
        <v>1</v>
      </c>
      <c r="I11" s="51">
        <f>INDEX('Base Scenario'!$A$1:$I$50,MATCH(A11,'Base Scenario'!$A$1:$A$50,0),MATCH(D11,'Base Scenario'!$A$1:$I$1,0))</f>
        <v>191798.7</v>
      </c>
      <c r="J11" s="51">
        <f>VLOOKUP(A11,'Base Scenario'!$A$1:$I$50,9,0)*G11</f>
        <v>332884.5</v>
      </c>
      <c r="K11" s="53">
        <f>IF(AND(D11&gt;='Main Input'!$D$6, D11&lt;='Main Input'!$D$7), IF('Optim Input'!$B$6="Quarterly", 'Quarterly Calculation'!I11, 'Quarterly Calculation'!J11), 0)</f>
        <v>191798.7</v>
      </c>
      <c r="L11" s="51">
        <f t="shared" si="1"/>
        <v>1331538</v>
      </c>
      <c r="M11" s="3">
        <f>IFERROR(IF(($D11&gt;='Main Input'!$D$6)*($D11&lt;='Main Input'!$D$7),K11/L11,0),Config!$Q$11)</f>
        <v>0.14404297887104989</v>
      </c>
      <c r="N11" s="53">
        <f>VLOOKUP(A11,'Individual Bounds - Overall'!$A$2:$L$50,11,0)*M11</f>
        <v>191798.7</v>
      </c>
      <c r="O11" s="53">
        <f>VLOOKUP(A11,'Individual Bounds - Overall'!$A$2:$L$50,12,0)*M11</f>
        <v>201388.63500000004</v>
      </c>
    </row>
    <row r="12" spans="1:15" x14ac:dyDescent="0.25">
      <c r="A12" s="3" t="s">
        <v>199</v>
      </c>
      <c r="B12" s="3" t="s">
        <v>197</v>
      </c>
      <c r="C12" s="3" t="s">
        <v>200</v>
      </c>
      <c r="D12" s="3" t="s">
        <v>76</v>
      </c>
      <c r="E12" s="51">
        <v>0</v>
      </c>
      <c r="F12" s="51">
        <f>SUMIFS($E$3:$E$198,$A$3:$A$198,"=" &amp; A12,$D$3:$D$198,"&gt;=" &amp; 'Main Input'!$D$6,$D$3:$D$198,"&lt;=" &amp; 'Main Input'!$D$7)</f>
        <v>0</v>
      </c>
      <c r="G12" s="3">
        <f>IFERROR(IF((D12&gt;='Main Input'!$D$6)*(D12&lt;='Main Input'!$D$7),E12/F12,0),Config!$Q$11)</f>
        <v>0.25</v>
      </c>
      <c r="H12" s="3">
        <f t="shared" si="0"/>
        <v>1</v>
      </c>
      <c r="I12" s="51">
        <f>INDEX('Base Scenario'!$A$1:$I$50,MATCH(A12,'Base Scenario'!$A$1:$A$50,0),MATCH(D12,'Base Scenario'!$A$1:$I$1,0))</f>
        <v>285027.09999999998</v>
      </c>
      <c r="J12" s="51">
        <f>VLOOKUP(A12,'Base Scenario'!$A$1:$I$50,9,0)*G12</f>
        <v>332884.5</v>
      </c>
      <c r="K12" s="53">
        <f>IF(AND(D12&gt;='Main Input'!$D$6, D12&lt;='Main Input'!$D$7), IF('Optim Input'!$B$6="Quarterly", 'Quarterly Calculation'!I12, 'Quarterly Calculation'!J12), 0)</f>
        <v>285027.09999999998</v>
      </c>
      <c r="L12" s="51">
        <f t="shared" si="1"/>
        <v>1331538</v>
      </c>
      <c r="M12" s="3">
        <f>IFERROR(IF(($D12&gt;='Main Input'!$D$6)*($D12&lt;='Main Input'!$D$7),K12/L12,0),Config!$Q$11)</f>
        <v>0.21405855484409755</v>
      </c>
      <c r="N12" s="53">
        <f>VLOOKUP(A12,'Individual Bounds - Overall'!$A$2:$L$50,11,0)*M12</f>
        <v>285027.09999999998</v>
      </c>
      <c r="O12" s="53">
        <f>VLOOKUP(A12,'Individual Bounds - Overall'!$A$2:$L$50,12,0)*M12</f>
        <v>299278.45500000002</v>
      </c>
    </row>
    <row r="13" spans="1:15" x14ac:dyDescent="0.25">
      <c r="A13" s="3" t="s">
        <v>199</v>
      </c>
      <c r="B13" s="3" t="s">
        <v>197</v>
      </c>
      <c r="C13" s="3" t="s">
        <v>200</v>
      </c>
      <c r="D13" s="3" t="s">
        <v>77</v>
      </c>
      <c r="E13" s="51">
        <v>0</v>
      </c>
      <c r="F13" s="51">
        <f>SUMIFS($E$3:$E$198,$A$3:$A$198,"=" &amp; A13,$D$3:$D$198,"&gt;=" &amp; 'Main Input'!$D$6,$D$3:$D$198,"&lt;=" &amp; 'Main Input'!$D$7)</f>
        <v>0</v>
      </c>
      <c r="G13" s="3">
        <f>IFERROR(IF((D13&gt;='Main Input'!$D$6)*(D13&lt;='Main Input'!$D$7),E13/F13,0),Config!$Q$11)</f>
        <v>0.25</v>
      </c>
      <c r="H13" s="3">
        <f t="shared" si="0"/>
        <v>1</v>
      </c>
      <c r="I13" s="51">
        <f>INDEX('Base Scenario'!$A$1:$I$50,MATCH(A13,'Base Scenario'!$A$1:$A$50,0),MATCH(D13,'Base Scenario'!$A$1:$I$1,0))</f>
        <v>229238.5</v>
      </c>
      <c r="J13" s="51">
        <f>VLOOKUP(A13,'Base Scenario'!$A$1:$I$50,9,0)*G13</f>
        <v>332884.5</v>
      </c>
      <c r="K13" s="53">
        <f>IF(AND(D13&gt;='Main Input'!$D$6, D13&lt;='Main Input'!$D$7), IF('Optim Input'!$B$6="Quarterly", 'Quarterly Calculation'!I13, 'Quarterly Calculation'!J13), 0)</f>
        <v>229238.5</v>
      </c>
      <c r="L13" s="51">
        <f t="shared" si="1"/>
        <v>1331538</v>
      </c>
      <c r="M13" s="3">
        <f>IFERROR(IF(($D13&gt;='Main Input'!$D$6)*($D13&lt;='Main Input'!$D$7),K13/L13,0),Config!$Q$11)</f>
        <v>0.17216068936823434</v>
      </c>
      <c r="N13" s="53">
        <f>VLOOKUP(A13,'Individual Bounds - Overall'!$A$2:$L$50,11,0)*M13</f>
        <v>229238.5</v>
      </c>
      <c r="O13" s="53">
        <f>VLOOKUP(A13,'Individual Bounds - Overall'!$A$2:$L$50,12,0)*M13</f>
        <v>240700.42500000005</v>
      </c>
    </row>
    <row r="14" spans="1:15" x14ac:dyDescent="0.25">
      <c r="A14" s="3" t="s">
        <v>199</v>
      </c>
      <c r="B14" s="3" t="s">
        <v>197</v>
      </c>
      <c r="C14" s="3" t="s">
        <v>200</v>
      </c>
      <c r="D14" s="3" t="s">
        <v>78</v>
      </c>
      <c r="E14" s="51">
        <v>0</v>
      </c>
      <c r="F14" s="51">
        <f>SUMIFS($E$3:$E$198,$A$3:$A$198,"=" &amp; A14,$D$3:$D$198,"&gt;=" &amp; 'Main Input'!$D$6,$D$3:$D$198,"&lt;=" &amp; 'Main Input'!$D$7)</f>
        <v>0</v>
      </c>
      <c r="G14" s="3">
        <f>IFERROR(IF((D14&gt;='Main Input'!$D$6)*(D14&lt;='Main Input'!$D$7),E14/F14,0),Config!$Q$11)</f>
        <v>0.25</v>
      </c>
      <c r="H14" s="3">
        <f t="shared" si="0"/>
        <v>1</v>
      </c>
      <c r="I14" s="51">
        <f>INDEX('Base Scenario'!$A$1:$I$50,MATCH(A14,'Base Scenario'!$A$1:$A$50,0),MATCH(D14,'Base Scenario'!$A$1:$I$1,0))</f>
        <v>625473.69999999995</v>
      </c>
      <c r="J14" s="51">
        <f>VLOOKUP(A14,'Base Scenario'!$A$1:$I$50,9,0)*G14</f>
        <v>332884.5</v>
      </c>
      <c r="K14" s="53">
        <f>IF(AND(D14&gt;='Main Input'!$D$6, D14&lt;='Main Input'!$D$7), IF('Optim Input'!$B$6="Quarterly", 'Quarterly Calculation'!I14, 'Quarterly Calculation'!J14), 0)</f>
        <v>625473.69999999995</v>
      </c>
      <c r="L14" s="51">
        <f t="shared" si="1"/>
        <v>1331538</v>
      </c>
      <c r="M14" s="3">
        <f>IFERROR(IF(($D14&gt;='Main Input'!$D$6)*($D14&lt;='Main Input'!$D$7),K14/L14,0),Config!$Q$11)</f>
        <v>0.46973777691661817</v>
      </c>
      <c r="N14" s="53">
        <f>VLOOKUP(A14,'Individual Bounds - Overall'!$A$2:$L$50,11,0)*M14</f>
        <v>625473.69999999995</v>
      </c>
      <c r="O14" s="53">
        <f>VLOOKUP(A14,'Individual Bounds - Overall'!$A$2:$L$50,12,0)*M14</f>
        <v>656747.38500000001</v>
      </c>
    </row>
    <row r="15" spans="1:15" x14ac:dyDescent="0.25">
      <c r="A15" s="3" t="s">
        <v>196</v>
      </c>
      <c r="B15" s="3" t="s">
        <v>197</v>
      </c>
      <c r="C15" s="3" t="s">
        <v>198</v>
      </c>
      <c r="D15" s="3" t="s">
        <v>75</v>
      </c>
      <c r="E15" s="51">
        <v>0</v>
      </c>
      <c r="F15" s="51">
        <f>SUMIFS($E$3:$E$198,$A$3:$A$198,"=" &amp; A15,$D$3:$D$198,"&gt;=" &amp; 'Main Input'!$D$6,$D$3:$D$198,"&lt;=" &amp; 'Main Input'!$D$7)</f>
        <v>0</v>
      </c>
      <c r="G15" s="3">
        <f>IFERROR(IF((D15&gt;='Main Input'!$D$6)*(D15&lt;='Main Input'!$D$7),E15/F15,0),Config!$Q$11)</f>
        <v>0.25</v>
      </c>
      <c r="H15" s="3">
        <f t="shared" si="0"/>
        <v>1</v>
      </c>
      <c r="I15" s="51">
        <f>INDEX('Base Scenario'!$A$1:$I$50,MATCH(A15,'Base Scenario'!$A$1:$A$50,0),MATCH(D15,'Base Scenario'!$A$1:$I$1,0))</f>
        <v>1405365</v>
      </c>
      <c r="J15" s="51">
        <f>VLOOKUP(A15,'Base Scenario'!$A$1:$I$50,9,0)*G15</f>
        <v>1720883.25</v>
      </c>
      <c r="K15" s="53">
        <f>IF(AND(D15&gt;='Main Input'!$D$6, D15&lt;='Main Input'!$D$7), IF('Optim Input'!$B$6="Quarterly", 'Quarterly Calculation'!I15, 'Quarterly Calculation'!J15), 0)</f>
        <v>1405365</v>
      </c>
      <c r="L15" s="51">
        <f t="shared" si="1"/>
        <v>6883533</v>
      </c>
      <c r="M15" s="3">
        <f>IFERROR(IF(($D15&gt;='Main Input'!$D$6)*($D15&lt;='Main Input'!$D$7),K15/L15,0),Config!$Q$11)</f>
        <v>0.20416332717515845</v>
      </c>
      <c r="N15" s="53">
        <f>VLOOKUP(A15,'Individual Bounds - Overall'!$A$2:$L$50,11,0)*M15</f>
        <v>1405365</v>
      </c>
      <c r="O15" s="53">
        <f>VLOOKUP(A15,'Individual Bounds - Overall'!$A$2:$L$50,12,0)*M15</f>
        <v>1475633.25</v>
      </c>
    </row>
    <row r="16" spans="1:15" x14ac:dyDescent="0.25">
      <c r="A16" s="3" t="s">
        <v>196</v>
      </c>
      <c r="B16" s="3" t="s">
        <v>197</v>
      </c>
      <c r="C16" s="3" t="s">
        <v>198</v>
      </c>
      <c r="D16" s="3" t="s">
        <v>76</v>
      </c>
      <c r="E16" s="51">
        <v>0</v>
      </c>
      <c r="F16" s="51">
        <f>SUMIFS($E$3:$E$198,$A$3:$A$198,"=" &amp; A16,$D$3:$D$198,"&gt;=" &amp; 'Main Input'!$D$6,$D$3:$D$198,"&lt;=" &amp; 'Main Input'!$D$7)</f>
        <v>0</v>
      </c>
      <c r="G16" s="3">
        <f>IFERROR(IF((D16&gt;='Main Input'!$D$6)*(D16&lt;='Main Input'!$D$7),E16/F16,0),Config!$Q$11)</f>
        <v>0.25</v>
      </c>
      <c r="H16" s="3">
        <f t="shared" si="0"/>
        <v>1</v>
      </c>
      <c r="I16" s="51">
        <f>INDEX('Base Scenario'!$A$1:$I$50,MATCH(A16,'Base Scenario'!$A$1:$A$50,0),MATCH(D16,'Base Scenario'!$A$1:$I$1,0))</f>
        <v>1127392</v>
      </c>
      <c r="J16" s="51">
        <f>VLOOKUP(A16,'Base Scenario'!$A$1:$I$50,9,0)*G16</f>
        <v>1720883.25</v>
      </c>
      <c r="K16" s="53">
        <f>IF(AND(D16&gt;='Main Input'!$D$6, D16&lt;='Main Input'!$D$7), IF('Optim Input'!$B$6="Quarterly", 'Quarterly Calculation'!I16, 'Quarterly Calculation'!J16), 0)</f>
        <v>1127392</v>
      </c>
      <c r="L16" s="51">
        <f t="shared" si="1"/>
        <v>6883533</v>
      </c>
      <c r="M16" s="3">
        <f>IFERROR(IF(($D16&gt;='Main Input'!$D$6)*($D16&lt;='Main Input'!$D$7),K16/L16,0),Config!$Q$11)</f>
        <v>0.16378101187282751</v>
      </c>
      <c r="N16" s="53">
        <f>VLOOKUP(A16,'Individual Bounds - Overall'!$A$2:$L$50,11,0)*M16</f>
        <v>1127392</v>
      </c>
      <c r="O16" s="53">
        <f>VLOOKUP(A16,'Individual Bounds - Overall'!$A$2:$L$50,12,0)*M16</f>
        <v>1183761.6000000001</v>
      </c>
    </row>
    <row r="17" spans="1:15" x14ac:dyDescent="0.25">
      <c r="A17" s="3" t="s">
        <v>196</v>
      </c>
      <c r="B17" s="3" t="s">
        <v>197</v>
      </c>
      <c r="C17" s="3" t="s">
        <v>198</v>
      </c>
      <c r="D17" s="3" t="s">
        <v>77</v>
      </c>
      <c r="E17" s="51">
        <v>0</v>
      </c>
      <c r="F17" s="51">
        <f>SUMIFS($E$3:$E$198,$A$3:$A$198,"=" &amp; A17,$D$3:$D$198,"&gt;=" &amp; 'Main Input'!$D$6,$D$3:$D$198,"&lt;=" &amp; 'Main Input'!$D$7)</f>
        <v>0</v>
      </c>
      <c r="G17" s="3">
        <f>IFERROR(IF((D17&gt;='Main Input'!$D$6)*(D17&lt;='Main Input'!$D$7),E17/F17,0),Config!$Q$11)</f>
        <v>0.25</v>
      </c>
      <c r="H17" s="3">
        <f t="shared" si="0"/>
        <v>1</v>
      </c>
      <c r="I17" s="51">
        <f>INDEX('Base Scenario'!$A$1:$I$50,MATCH(A17,'Base Scenario'!$A$1:$A$50,0),MATCH(D17,'Base Scenario'!$A$1:$I$1,0))</f>
        <v>1063249</v>
      </c>
      <c r="J17" s="51">
        <f>VLOOKUP(A17,'Base Scenario'!$A$1:$I$50,9,0)*G17</f>
        <v>1720883.25</v>
      </c>
      <c r="K17" s="53">
        <f>IF(AND(D17&gt;='Main Input'!$D$6, D17&lt;='Main Input'!$D$7), IF('Optim Input'!$B$6="Quarterly", 'Quarterly Calculation'!I17, 'Quarterly Calculation'!J17), 0)</f>
        <v>1063249</v>
      </c>
      <c r="L17" s="51">
        <f t="shared" si="1"/>
        <v>6883533</v>
      </c>
      <c r="M17" s="3">
        <f>IFERROR(IF(($D17&gt;='Main Input'!$D$6)*($D17&lt;='Main Input'!$D$7),K17/L17,0),Config!$Q$11)</f>
        <v>0.15446268653030354</v>
      </c>
      <c r="N17" s="53">
        <f>VLOOKUP(A17,'Individual Bounds - Overall'!$A$2:$L$50,11,0)*M17</f>
        <v>1063249</v>
      </c>
      <c r="O17" s="53">
        <f>VLOOKUP(A17,'Individual Bounds - Overall'!$A$2:$L$50,12,0)*M17</f>
        <v>1116411.45</v>
      </c>
    </row>
    <row r="18" spans="1:15" x14ac:dyDescent="0.25">
      <c r="A18" s="3" t="s">
        <v>196</v>
      </c>
      <c r="B18" s="3" t="s">
        <v>197</v>
      </c>
      <c r="C18" s="3" t="s">
        <v>198</v>
      </c>
      <c r="D18" s="3" t="s">
        <v>78</v>
      </c>
      <c r="E18" s="51">
        <v>0</v>
      </c>
      <c r="F18" s="51">
        <f>SUMIFS($E$3:$E$198,$A$3:$A$198,"=" &amp; A18,$D$3:$D$198,"&gt;=" &amp; 'Main Input'!$D$6,$D$3:$D$198,"&lt;=" &amp; 'Main Input'!$D$7)</f>
        <v>0</v>
      </c>
      <c r="G18" s="3">
        <f>IFERROR(IF((D18&gt;='Main Input'!$D$6)*(D18&lt;='Main Input'!$D$7),E18/F18,0),Config!$Q$11)</f>
        <v>0.25</v>
      </c>
      <c r="H18" s="3">
        <f t="shared" si="0"/>
        <v>1</v>
      </c>
      <c r="I18" s="51">
        <f>INDEX('Base Scenario'!$A$1:$I$50,MATCH(A18,'Base Scenario'!$A$1:$A$50,0),MATCH(D18,'Base Scenario'!$A$1:$I$1,0))</f>
        <v>3287527</v>
      </c>
      <c r="J18" s="51">
        <f>VLOOKUP(A18,'Base Scenario'!$A$1:$I$50,9,0)*G18</f>
        <v>1720883.25</v>
      </c>
      <c r="K18" s="53">
        <f>IF(AND(D18&gt;='Main Input'!$D$6, D18&lt;='Main Input'!$D$7), IF('Optim Input'!$B$6="Quarterly", 'Quarterly Calculation'!I18, 'Quarterly Calculation'!J18), 0)</f>
        <v>3287527</v>
      </c>
      <c r="L18" s="51">
        <f t="shared" si="1"/>
        <v>6883533</v>
      </c>
      <c r="M18" s="3">
        <f>IFERROR(IF(($D18&gt;='Main Input'!$D$6)*($D18&lt;='Main Input'!$D$7),K18/L18,0),Config!$Q$11)</f>
        <v>0.4775929744217105</v>
      </c>
      <c r="N18" s="53">
        <f>VLOOKUP(A18,'Individual Bounds - Overall'!$A$2:$L$50,11,0)*M18</f>
        <v>3287527</v>
      </c>
      <c r="O18" s="53">
        <f>VLOOKUP(A18,'Individual Bounds - Overall'!$A$2:$L$50,12,0)*M18</f>
        <v>3451903.3500000006</v>
      </c>
    </row>
    <row r="19" spans="1:15" x14ac:dyDescent="0.25">
      <c r="A19" s="3" t="s">
        <v>201</v>
      </c>
      <c r="B19" s="3" t="s">
        <v>202</v>
      </c>
      <c r="C19" s="3" t="s">
        <v>202</v>
      </c>
      <c r="D19" s="3" t="s">
        <v>75</v>
      </c>
      <c r="E19" s="51">
        <v>158985</v>
      </c>
      <c r="F19" s="51">
        <f>SUMIFS($E$3:$E$198,$A$3:$A$198,"=" &amp; A19,$D$3:$D$198,"&gt;=" &amp; 'Main Input'!$D$6,$D$3:$D$198,"&lt;=" &amp; 'Main Input'!$D$7)</f>
        <v>541752</v>
      </c>
      <c r="G19" s="3">
        <f>IFERROR(IF((D19&gt;='Main Input'!$D$6)*(D19&lt;='Main Input'!$D$7),E19/F19,0),Config!$Q$11)</f>
        <v>0.2934645372790502</v>
      </c>
      <c r="H19" s="3">
        <f t="shared" si="0"/>
        <v>1</v>
      </c>
      <c r="I19" s="51">
        <f>INDEX('Base Scenario'!$A$1:$I$50,MATCH(A19,'Base Scenario'!$A$1:$A$50,0),MATCH(D19,'Base Scenario'!$A$1:$I$1,0))</f>
        <v>2279359</v>
      </c>
      <c r="J19" s="51">
        <f>VLOOKUP(A19,'Base Scenario'!$A$1:$I$50,9,0)*G19</f>
        <v>1010856.5117330439</v>
      </c>
      <c r="K19" s="53">
        <f>IF(AND(D19&gt;='Main Input'!$D$6, D19&lt;='Main Input'!$D$7), IF('Optim Input'!$B$6="Quarterly", 'Quarterly Calculation'!I19, 'Quarterly Calculation'!J19), 0)</f>
        <v>2279359</v>
      </c>
      <c r="L19" s="51">
        <f t="shared" si="1"/>
        <v>3444561.04</v>
      </c>
      <c r="M19" s="3">
        <f>IFERROR(IF(($D19&gt;='Main Input'!$D$6)*($D19&lt;='Main Input'!$D$7),K19/L19,0),Config!$Q$11)</f>
        <v>0.66172698742478953</v>
      </c>
      <c r="N19" s="53">
        <f>VLOOKUP(A19,'Individual Bounds - Overall'!$A$2:$L$50,11,0)*M19</f>
        <v>2279359</v>
      </c>
      <c r="O19" s="53">
        <f>VLOOKUP(A19,'Individual Bounds - Overall'!$A$2:$L$50,12,0)*M19</f>
        <v>2393326.9500000002</v>
      </c>
    </row>
    <row r="20" spans="1:15" x14ac:dyDescent="0.25">
      <c r="A20" s="3" t="s">
        <v>201</v>
      </c>
      <c r="B20" s="3" t="s">
        <v>202</v>
      </c>
      <c r="C20" s="3" t="s">
        <v>202</v>
      </c>
      <c r="D20" s="3" t="s">
        <v>76</v>
      </c>
      <c r="E20" s="51">
        <v>151559</v>
      </c>
      <c r="F20" s="51">
        <f>SUMIFS($E$3:$E$198,$A$3:$A$198,"=" &amp; A20,$D$3:$D$198,"&gt;=" &amp; 'Main Input'!$D$6,$D$3:$D$198,"&lt;=" &amp; 'Main Input'!$D$7)</f>
        <v>541752</v>
      </c>
      <c r="G20" s="3">
        <f>IFERROR(IF((D20&gt;='Main Input'!$D$6)*(D20&lt;='Main Input'!$D$7),E20/F20,0),Config!$Q$11)</f>
        <v>0.27975715825691461</v>
      </c>
      <c r="H20" s="3">
        <f t="shared" si="0"/>
        <v>1</v>
      </c>
      <c r="I20" s="51">
        <f>INDEX('Base Scenario'!$A$1:$I$50,MATCH(A20,'Base Scenario'!$A$1:$A$50,0),MATCH(D20,'Base Scenario'!$A$1:$I$1,0))</f>
        <v>229999.5</v>
      </c>
      <c r="J20" s="51">
        <f>VLOOKUP(A20,'Base Scenario'!$A$1:$I$50,9,0)*G20</f>
        <v>963640.60799288237</v>
      </c>
      <c r="K20" s="53">
        <f>IF(AND(D20&gt;='Main Input'!$D$6, D20&lt;='Main Input'!$D$7), IF('Optim Input'!$B$6="Quarterly", 'Quarterly Calculation'!I20, 'Quarterly Calculation'!J20), 0)</f>
        <v>229999.5</v>
      </c>
      <c r="L20" s="51">
        <f t="shared" si="1"/>
        <v>3444561.04</v>
      </c>
      <c r="M20" s="3">
        <f>IFERROR(IF(($D20&gt;='Main Input'!$D$6)*($D20&lt;='Main Input'!$D$7),K20/L20,0),Config!$Q$11)</f>
        <v>6.6771788140528934E-2</v>
      </c>
      <c r="N20" s="53">
        <f>VLOOKUP(A20,'Individual Bounds - Overall'!$A$2:$L$50,11,0)*M20</f>
        <v>229999.5</v>
      </c>
      <c r="O20" s="53">
        <f>VLOOKUP(A20,'Individual Bounds - Overall'!$A$2:$L$50,12,0)*M20</f>
        <v>241499.47500000003</v>
      </c>
    </row>
    <row r="21" spans="1:15" x14ac:dyDescent="0.25">
      <c r="A21" s="3" t="s">
        <v>201</v>
      </c>
      <c r="B21" s="3" t="s">
        <v>202</v>
      </c>
      <c r="C21" s="3" t="s">
        <v>202</v>
      </c>
      <c r="D21" s="3" t="s">
        <v>77</v>
      </c>
      <c r="E21" s="51">
        <v>129573</v>
      </c>
      <c r="F21" s="51">
        <f>SUMIFS($E$3:$E$198,$A$3:$A$198,"=" &amp; A21,$D$3:$D$198,"&gt;=" &amp; 'Main Input'!$D$6,$D$3:$D$198,"&lt;=" &amp; 'Main Input'!$D$7)</f>
        <v>541752</v>
      </c>
      <c r="G21" s="3">
        <f>IFERROR(IF((D21&gt;='Main Input'!$D$6)*(D21&lt;='Main Input'!$D$7),E21/F21,0),Config!$Q$11)</f>
        <v>0.23917401320161255</v>
      </c>
      <c r="H21" s="3">
        <f t="shared" si="0"/>
        <v>1</v>
      </c>
      <c r="I21" s="51">
        <f>INDEX('Base Scenario'!$A$1:$I$50,MATCH(A21,'Base Scenario'!$A$1:$A$50,0),MATCH(D21,'Base Scenario'!$A$1:$I$1,0))</f>
        <v>18960.84</v>
      </c>
      <c r="J21" s="51">
        <f>VLOOKUP(A21,'Base Scenario'!$A$1:$I$50,9,0)*G21</f>
        <v>823849.48765472032</v>
      </c>
      <c r="K21" s="53">
        <f>IF(AND(D21&gt;='Main Input'!$D$6, D21&lt;='Main Input'!$D$7), IF('Optim Input'!$B$6="Quarterly", 'Quarterly Calculation'!I21, 'Quarterly Calculation'!J21), 0)</f>
        <v>18960.84</v>
      </c>
      <c r="L21" s="51">
        <f t="shared" si="1"/>
        <v>3444561.04</v>
      </c>
      <c r="M21" s="3">
        <f>IFERROR(IF(($D21&gt;='Main Input'!$D$6)*($D21&lt;='Main Input'!$D$7),K21/L21,0),Config!$Q$11)</f>
        <v>5.5045736684056559E-3</v>
      </c>
      <c r="N21" s="53">
        <f>VLOOKUP(A21,'Individual Bounds - Overall'!$A$2:$L$50,11,0)*M21</f>
        <v>18960.84</v>
      </c>
      <c r="O21" s="53">
        <f>VLOOKUP(A21,'Individual Bounds - Overall'!$A$2:$L$50,12,0)*M21</f>
        <v>19908.882000000001</v>
      </c>
    </row>
    <row r="22" spans="1:15" x14ac:dyDescent="0.25">
      <c r="A22" s="3" t="s">
        <v>201</v>
      </c>
      <c r="B22" s="3" t="s">
        <v>202</v>
      </c>
      <c r="C22" s="3" t="s">
        <v>202</v>
      </c>
      <c r="D22" s="3" t="s">
        <v>78</v>
      </c>
      <c r="E22" s="51">
        <v>101635</v>
      </c>
      <c r="F22" s="51">
        <f>SUMIFS($E$3:$E$198,$A$3:$A$198,"=" &amp; A22,$D$3:$D$198,"&gt;=" &amp; 'Main Input'!$D$6,$D$3:$D$198,"&lt;=" &amp; 'Main Input'!$D$7)</f>
        <v>541752</v>
      </c>
      <c r="G22" s="3">
        <f>IFERROR(IF((D22&gt;='Main Input'!$D$6)*(D22&lt;='Main Input'!$D$7),E22/F22,0),Config!$Q$11)</f>
        <v>0.18760429126242265</v>
      </c>
      <c r="H22" s="3">
        <f t="shared" si="0"/>
        <v>1</v>
      </c>
      <c r="I22" s="51">
        <f>INDEX('Base Scenario'!$A$1:$I$50,MATCH(A22,'Base Scenario'!$A$1:$A$50,0),MATCH(D22,'Base Scenario'!$A$1:$I$1,0))</f>
        <v>916241.7</v>
      </c>
      <c r="J22" s="51">
        <f>VLOOKUP(A22,'Base Scenario'!$A$1:$I$50,9,0)*G22</f>
        <v>646214.43261935352</v>
      </c>
      <c r="K22" s="53">
        <f>IF(AND(D22&gt;='Main Input'!$D$6, D22&lt;='Main Input'!$D$7), IF('Optim Input'!$B$6="Quarterly", 'Quarterly Calculation'!I22, 'Quarterly Calculation'!J22), 0)</f>
        <v>916241.7</v>
      </c>
      <c r="L22" s="51">
        <f t="shared" si="1"/>
        <v>3444561.04</v>
      </c>
      <c r="M22" s="3">
        <f>IFERROR(IF(($D22&gt;='Main Input'!$D$6)*($D22&lt;='Main Input'!$D$7),K22/L22,0),Config!$Q$11)</f>
        <v>0.26599665076627588</v>
      </c>
      <c r="N22" s="53">
        <f>VLOOKUP(A22,'Individual Bounds - Overall'!$A$2:$L$50,11,0)*M22</f>
        <v>916241.70000000007</v>
      </c>
      <c r="O22" s="53">
        <f>VLOOKUP(A22,'Individual Bounds - Overall'!$A$2:$L$50,12,0)*M22</f>
        <v>962053.78500000003</v>
      </c>
    </row>
    <row r="23" spans="1:15" x14ac:dyDescent="0.25">
      <c r="A23" s="3" t="s">
        <v>203</v>
      </c>
      <c r="B23" s="3" t="s">
        <v>204</v>
      </c>
      <c r="C23" s="3" t="s">
        <v>205</v>
      </c>
      <c r="D23" s="3" t="s">
        <v>75</v>
      </c>
      <c r="E23" s="51">
        <v>34005</v>
      </c>
      <c r="F23" s="51">
        <f>SUMIFS($E$3:$E$198,$A$3:$A$198,"=" &amp; A23,$D$3:$D$198,"&gt;=" &amp; 'Main Input'!$D$6,$D$3:$D$198,"&lt;=" &amp; 'Main Input'!$D$7)</f>
        <v>104329</v>
      </c>
      <c r="G23" s="3">
        <f>IFERROR(IF((D23&gt;='Main Input'!$D$6)*(D23&lt;='Main Input'!$D$7),E23/F23,0),Config!$Q$11)</f>
        <v>0.32594005501825957</v>
      </c>
      <c r="H23" s="3">
        <f t="shared" si="0"/>
        <v>1</v>
      </c>
      <c r="I23" s="51">
        <f>INDEX('Base Scenario'!$A$1:$I$50,MATCH(A23,'Base Scenario'!$A$1:$A$50,0),MATCH(D23,'Base Scenario'!$A$1:$I$1,0))</f>
        <v>1073766</v>
      </c>
      <c r="J23" s="51">
        <f>VLOOKUP(A23,'Base Scenario'!$A$1:$I$50,9,0)*G23</f>
        <v>2430190.4716330073</v>
      </c>
      <c r="K23" s="53">
        <f>IF(AND(D23&gt;='Main Input'!$D$6, D23&lt;='Main Input'!$D$7), IF('Optim Input'!$B$6="Quarterly", 'Quarterly Calculation'!I23, 'Quarterly Calculation'!J23), 0)</f>
        <v>1073766</v>
      </c>
      <c r="L23" s="51">
        <f t="shared" si="1"/>
        <v>7455943</v>
      </c>
      <c r="M23" s="3">
        <f>IFERROR(IF(($D23&gt;='Main Input'!$D$6)*($D23&lt;='Main Input'!$D$7),K23/L23,0),Config!$Q$11)</f>
        <v>0.14401478122888009</v>
      </c>
      <c r="N23" s="53">
        <f>VLOOKUP(A23,'Individual Bounds - Overall'!$A$2:$L$50,11,0)*M23</f>
        <v>1073766</v>
      </c>
      <c r="O23" s="53">
        <f>VLOOKUP(A23,'Individual Bounds - Overall'!$A$2:$L$50,12,0)*M23</f>
        <v>1127454.3</v>
      </c>
    </row>
    <row r="24" spans="1:15" x14ac:dyDescent="0.25">
      <c r="A24" s="3" t="s">
        <v>203</v>
      </c>
      <c r="B24" s="3" t="s">
        <v>204</v>
      </c>
      <c r="C24" s="3" t="s">
        <v>205</v>
      </c>
      <c r="D24" s="3" t="s">
        <v>76</v>
      </c>
      <c r="E24" s="51">
        <v>17442</v>
      </c>
      <c r="F24" s="51">
        <f>SUMIFS($E$3:$E$198,$A$3:$A$198,"=" &amp; A24,$D$3:$D$198,"&gt;=" &amp; 'Main Input'!$D$6,$D$3:$D$198,"&lt;=" &amp; 'Main Input'!$D$7)</f>
        <v>104329</v>
      </c>
      <c r="G24" s="3">
        <f>IFERROR(IF((D24&gt;='Main Input'!$D$6)*(D24&lt;='Main Input'!$D$7),E24/F24,0),Config!$Q$11)</f>
        <v>0.16718266253869968</v>
      </c>
      <c r="H24" s="3">
        <f t="shared" si="0"/>
        <v>1</v>
      </c>
      <c r="I24" s="51">
        <f>INDEX('Base Scenario'!$A$1:$I$50,MATCH(A24,'Base Scenario'!$A$1:$A$50,0),MATCH(D24,'Base Scenario'!$A$1:$I$1,0))</f>
        <v>1354193</v>
      </c>
      <c r="J24" s="51">
        <f>VLOOKUP(A24,'Base Scenario'!$A$1:$I$50,9,0)*G24</f>
        <v>1246504.4024767801</v>
      </c>
      <c r="K24" s="53">
        <f>IF(AND(D24&gt;='Main Input'!$D$6, D24&lt;='Main Input'!$D$7), IF('Optim Input'!$B$6="Quarterly", 'Quarterly Calculation'!I24, 'Quarterly Calculation'!J24), 0)</f>
        <v>1354193</v>
      </c>
      <c r="L24" s="51">
        <f t="shared" si="1"/>
        <v>7455943</v>
      </c>
      <c r="M24" s="3">
        <f>IFERROR(IF(($D24&gt;='Main Input'!$D$6)*($D24&lt;='Main Input'!$D$7),K24/L24,0),Config!$Q$11)</f>
        <v>0.18162598614286618</v>
      </c>
      <c r="N24" s="53">
        <f>VLOOKUP(A24,'Individual Bounds - Overall'!$A$2:$L$50,11,0)*M24</f>
        <v>1354193</v>
      </c>
      <c r="O24" s="53">
        <f>VLOOKUP(A24,'Individual Bounds - Overall'!$A$2:$L$50,12,0)*M24</f>
        <v>1421902.6500000001</v>
      </c>
    </row>
    <row r="25" spans="1:15" x14ac:dyDescent="0.25">
      <c r="A25" s="3" t="s">
        <v>203</v>
      </c>
      <c r="B25" s="3" t="s">
        <v>204</v>
      </c>
      <c r="C25" s="3" t="s">
        <v>205</v>
      </c>
      <c r="D25" s="3" t="s">
        <v>77</v>
      </c>
      <c r="E25" s="51">
        <v>26582</v>
      </c>
      <c r="F25" s="51">
        <f>SUMIFS($E$3:$E$198,$A$3:$A$198,"=" &amp; A25,$D$3:$D$198,"&gt;=" &amp; 'Main Input'!$D$6,$D$3:$D$198,"&lt;=" &amp; 'Main Input'!$D$7)</f>
        <v>104329</v>
      </c>
      <c r="G25" s="3">
        <f>IFERROR(IF((D25&gt;='Main Input'!$D$6)*(D25&lt;='Main Input'!$D$7),E25/F25,0),Config!$Q$11)</f>
        <v>0.2547901350535326</v>
      </c>
      <c r="H25" s="3">
        <f t="shared" si="0"/>
        <v>1</v>
      </c>
      <c r="I25" s="51">
        <f>INDEX('Base Scenario'!$A$1:$I$50,MATCH(A25,'Base Scenario'!$A$1:$A$50,0),MATCH(D25,'Base Scenario'!$A$1:$I$1,0))</f>
        <v>1096247</v>
      </c>
      <c r="J25" s="51">
        <f>VLOOKUP(A25,'Base Scenario'!$A$1:$I$50,9,0)*G25</f>
        <v>1899700.723921441</v>
      </c>
      <c r="K25" s="53">
        <f>IF(AND(D25&gt;='Main Input'!$D$6, D25&lt;='Main Input'!$D$7), IF('Optim Input'!$B$6="Quarterly", 'Quarterly Calculation'!I25, 'Quarterly Calculation'!J25), 0)</f>
        <v>1096247</v>
      </c>
      <c r="L25" s="51">
        <f t="shared" si="1"/>
        <v>7455943</v>
      </c>
      <c r="M25" s="3">
        <f>IFERROR(IF(($D25&gt;='Main Input'!$D$6)*($D25&lt;='Main Input'!$D$7),K25/L25,0),Config!$Q$11)</f>
        <v>0.14702995985886694</v>
      </c>
      <c r="N25" s="53">
        <f>VLOOKUP(A25,'Individual Bounds - Overall'!$A$2:$L$50,11,0)*M25</f>
        <v>1096247</v>
      </c>
      <c r="O25" s="53">
        <f>VLOOKUP(A25,'Individual Bounds - Overall'!$A$2:$L$50,12,0)*M25</f>
        <v>1151059.3500000001</v>
      </c>
    </row>
    <row r="26" spans="1:15" x14ac:dyDescent="0.25">
      <c r="A26" s="3" t="s">
        <v>203</v>
      </c>
      <c r="B26" s="3" t="s">
        <v>204</v>
      </c>
      <c r="C26" s="3" t="s">
        <v>205</v>
      </c>
      <c r="D26" s="3" t="s">
        <v>78</v>
      </c>
      <c r="E26" s="51">
        <v>26300</v>
      </c>
      <c r="F26" s="51">
        <f>SUMIFS($E$3:$E$198,$A$3:$A$198,"=" &amp; A26,$D$3:$D$198,"&gt;=" &amp; 'Main Input'!$D$6,$D$3:$D$198,"&lt;=" &amp; 'Main Input'!$D$7)</f>
        <v>104329</v>
      </c>
      <c r="G26" s="3">
        <f>IFERROR(IF((D26&gt;='Main Input'!$D$6)*(D26&lt;='Main Input'!$D$7),E26/F26,0),Config!$Q$11)</f>
        <v>0.25208714738950821</v>
      </c>
      <c r="H26" s="3">
        <f t="shared" si="0"/>
        <v>1</v>
      </c>
      <c r="I26" s="51">
        <f>INDEX('Base Scenario'!$A$1:$I$50,MATCH(A26,'Base Scenario'!$A$1:$A$50,0),MATCH(D26,'Base Scenario'!$A$1:$I$1,0))</f>
        <v>3931737</v>
      </c>
      <c r="J26" s="51">
        <f>VLOOKUP(A26,'Base Scenario'!$A$1:$I$50,9,0)*G26</f>
        <v>1879547.4019687721</v>
      </c>
      <c r="K26" s="53">
        <f>IF(AND(D26&gt;='Main Input'!$D$6, D26&lt;='Main Input'!$D$7), IF('Optim Input'!$B$6="Quarterly", 'Quarterly Calculation'!I26, 'Quarterly Calculation'!J26), 0)</f>
        <v>3931737</v>
      </c>
      <c r="L26" s="51">
        <f t="shared" si="1"/>
        <v>7455943</v>
      </c>
      <c r="M26" s="3">
        <f>IFERROR(IF(($D26&gt;='Main Input'!$D$6)*($D26&lt;='Main Input'!$D$7),K26/L26,0),Config!$Q$11)</f>
        <v>0.52732927276938679</v>
      </c>
      <c r="N26" s="53">
        <f>VLOOKUP(A26,'Individual Bounds - Overall'!$A$2:$L$50,11,0)*M26</f>
        <v>3931737</v>
      </c>
      <c r="O26" s="53">
        <f>VLOOKUP(A26,'Individual Bounds - Overall'!$A$2:$L$50,12,0)*M26</f>
        <v>4128323.85</v>
      </c>
    </row>
    <row r="27" spans="1:15" x14ac:dyDescent="0.25">
      <c r="A27" s="3" t="s">
        <v>206</v>
      </c>
      <c r="B27" s="3" t="s">
        <v>204</v>
      </c>
      <c r="C27" s="3" t="s">
        <v>207</v>
      </c>
      <c r="D27" s="3" t="s">
        <v>75</v>
      </c>
      <c r="E27" s="51">
        <v>1584285</v>
      </c>
      <c r="F27" s="51">
        <f>SUMIFS($E$3:$E$198,$A$3:$A$198,"=" &amp; A27,$D$3:$D$198,"&gt;=" &amp; 'Main Input'!$D$6,$D$3:$D$198,"&lt;=" &amp; 'Main Input'!$D$7)</f>
        <v>8742285</v>
      </c>
      <c r="G27" s="3">
        <f>IFERROR(IF((D27&gt;='Main Input'!$D$6)*(D27&lt;='Main Input'!$D$7),E27/F27,0),Config!$Q$11)</f>
        <v>0.18122092793817635</v>
      </c>
      <c r="H27" s="3">
        <f t="shared" si="0"/>
        <v>1</v>
      </c>
      <c r="I27" s="51">
        <f>INDEX('Base Scenario'!$A$1:$I$50,MATCH(A27,'Base Scenario'!$A$1:$A$50,0),MATCH(D27,'Base Scenario'!$A$1:$I$1,0))</f>
        <v>44858.41</v>
      </c>
      <c r="J27" s="51">
        <f>VLOOKUP(A27,'Base Scenario'!$A$1:$I$50,9,0)*G27</f>
        <v>115078.6798843037</v>
      </c>
      <c r="K27" s="53">
        <f>IF(AND(D27&gt;='Main Input'!$D$6, D27&lt;='Main Input'!$D$7), IF('Optim Input'!$B$6="Quarterly", 'Quarterly Calculation'!I27, 'Quarterly Calculation'!J27), 0)</f>
        <v>44858.41</v>
      </c>
      <c r="L27" s="51">
        <f t="shared" si="1"/>
        <v>635018.71</v>
      </c>
      <c r="M27" s="3">
        <f>IFERROR(IF(($D27&gt;='Main Input'!$D$6)*($D27&lt;='Main Input'!$D$7),K27/L27,0),Config!$Q$11)</f>
        <v>7.0641083945384861E-2</v>
      </c>
      <c r="N27" s="53">
        <f>VLOOKUP(A27,'Individual Bounds - Overall'!$A$2:$L$50,11,0)*M27</f>
        <v>44858.41</v>
      </c>
      <c r="O27" s="53">
        <f>VLOOKUP(A27,'Individual Bounds - Overall'!$A$2:$L$50,12,0)*M27</f>
        <v>47101.330500000004</v>
      </c>
    </row>
    <row r="28" spans="1:15" x14ac:dyDescent="0.25">
      <c r="A28" s="3" t="s">
        <v>206</v>
      </c>
      <c r="B28" s="3" t="s">
        <v>204</v>
      </c>
      <c r="C28" s="3" t="s">
        <v>207</v>
      </c>
      <c r="D28" s="3" t="s">
        <v>76</v>
      </c>
      <c r="E28" s="51">
        <v>2546380</v>
      </c>
      <c r="F28" s="51">
        <f>SUMIFS($E$3:$E$198,$A$3:$A$198,"=" &amp; A28,$D$3:$D$198,"&gt;=" &amp; 'Main Input'!$D$6,$D$3:$D$198,"&lt;=" &amp; 'Main Input'!$D$7)</f>
        <v>8742285</v>
      </c>
      <c r="G28" s="3">
        <f>IFERROR(IF((D28&gt;='Main Input'!$D$6)*(D28&lt;='Main Input'!$D$7),E28/F28,0),Config!$Q$11)</f>
        <v>0.29127167554020489</v>
      </c>
      <c r="H28" s="3">
        <f t="shared" si="0"/>
        <v>1</v>
      </c>
      <c r="I28" s="51">
        <f>INDEX('Base Scenario'!$A$1:$I$50,MATCH(A28,'Base Scenario'!$A$1:$A$50,0),MATCH(D28,'Base Scenario'!$A$1:$I$1,0))</f>
        <v>209687.9</v>
      </c>
      <c r="J28" s="51">
        <f>VLOOKUP(A28,'Base Scenario'!$A$1:$I$50,9,0)*G28</f>
        <v>184962.96366107944</v>
      </c>
      <c r="K28" s="53">
        <f>IF(AND(D28&gt;='Main Input'!$D$6, D28&lt;='Main Input'!$D$7), IF('Optim Input'!$B$6="Quarterly", 'Quarterly Calculation'!I28, 'Quarterly Calculation'!J28), 0)</f>
        <v>209687.9</v>
      </c>
      <c r="L28" s="51">
        <f t="shared" si="1"/>
        <v>635018.71</v>
      </c>
      <c r="M28" s="3">
        <f>IFERROR(IF(($D28&gt;='Main Input'!$D$6)*($D28&lt;='Main Input'!$D$7),K28/L28,0),Config!$Q$11)</f>
        <v>0.33020743593523411</v>
      </c>
      <c r="N28" s="53">
        <f>VLOOKUP(A28,'Individual Bounds - Overall'!$A$2:$L$50,11,0)*M28</f>
        <v>209687.9</v>
      </c>
      <c r="O28" s="53">
        <f>VLOOKUP(A28,'Individual Bounds - Overall'!$A$2:$L$50,12,0)*M28</f>
        <v>220172.29500000001</v>
      </c>
    </row>
    <row r="29" spans="1:15" x14ac:dyDescent="0.25">
      <c r="A29" s="3" t="s">
        <v>206</v>
      </c>
      <c r="B29" s="3" t="s">
        <v>204</v>
      </c>
      <c r="C29" s="3" t="s">
        <v>207</v>
      </c>
      <c r="D29" s="3" t="s">
        <v>77</v>
      </c>
      <c r="E29" s="51">
        <v>2430653</v>
      </c>
      <c r="F29" s="51">
        <f>SUMIFS($E$3:$E$198,$A$3:$A$198,"=" &amp; A29,$D$3:$D$198,"&gt;=" &amp; 'Main Input'!$D$6,$D$3:$D$198,"&lt;=" &amp; 'Main Input'!$D$7)</f>
        <v>8742285</v>
      </c>
      <c r="G29" s="3">
        <f>IFERROR(IF((D29&gt;='Main Input'!$D$6)*(D29&lt;='Main Input'!$D$7),E29/F29,0),Config!$Q$11)</f>
        <v>0.27803406088911536</v>
      </c>
      <c r="H29" s="3">
        <f t="shared" si="0"/>
        <v>1</v>
      </c>
      <c r="I29" s="51">
        <f>INDEX('Base Scenario'!$A$1:$I$50,MATCH(A29,'Base Scenario'!$A$1:$A$50,0),MATCH(D29,'Base Scenario'!$A$1:$I$1,0))</f>
        <v>94852.3</v>
      </c>
      <c r="J29" s="51">
        <f>VLOOKUP(A29,'Base Scenario'!$A$1:$I$50,9,0)*G29</f>
        <v>176556.83068186749</v>
      </c>
      <c r="K29" s="53">
        <f>IF(AND(D29&gt;='Main Input'!$D$6, D29&lt;='Main Input'!$D$7), IF('Optim Input'!$B$6="Quarterly", 'Quarterly Calculation'!I29, 'Quarterly Calculation'!J29), 0)</f>
        <v>94852.3</v>
      </c>
      <c r="L29" s="51">
        <f t="shared" si="1"/>
        <v>635018.71</v>
      </c>
      <c r="M29" s="3">
        <f>IFERROR(IF(($D29&gt;='Main Input'!$D$6)*($D29&lt;='Main Input'!$D$7),K29/L29,0),Config!$Q$11)</f>
        <v>0.14936929968567383</v>
      </c>
      <c r="N29" s="53">
        <f>VLOOKUP(A29,'Individual Bounds - Overall'!$A$2:$L$50,11,0)*M29</f>
        <v>94852.3</v>
      </c>
      <c r="O29" s="53">
        <f>VLOOKUP(A29,'Individual Bounds - Overall'!$A$2:$L$50,12,0)*M29</f>
        <v>99594.915000000008</v>
      </c>
    </row>
    <row r="30" spans="1:15" x14ac:dyDescent="0.25">
      <c r="A30" s="3" t="s">
        <v>206</v>
      </c>
      <c r="B30" s="3" t="s">
        <v>204</v>
      </c>
      <c r="C30" s="3" t="s">
        <v>207</v>
      </c>
      <c r="D30" s="3" t="s">
        <v>78</v>
      </c>
      <c r="E30" s="51">
        <v>2180967</v>
      </c>
      <c r="F30" s="51">
        <f>SUMIFS($E$3:$E$198,$A$3:$A$198,"=" &amp; A30,$D$3:$D$198,"&gt;=" &amp; 'Main Input'!$D$6,$D$3:$D$198,"&lt;=" &amp; 'Main Input'!$D$7)</f>
        <v>8742285</v>
      </c>
      <c r="G30" s="3">
        <f>IFERROR(IF((D30&gt;='Main Input'!$D$6)*(D30&lt;='Main Input'!$D$7),E30/F30,0),Config!$Q$11)</f>
        <v>0.2494733356325034</v>
      </c>
      <c r="H30" s="3">
        <f t="shared" si="0"/>
        <v>1</v>
      </c>
      <c r="I30" s="51">
        <f>INDEX('Base Scenario'!$A$1:$I$50,MATCH(A30,'Base Scenario'!$A$1:$A$50,0),MATCH(D30,'Base Scenario'!$A$1:$I$1,0))</f>
        <v>285620.09999999998</v>
      </c>
      <c r="J30" s="51">
        <f>VLOOKUP(A30,'Base Scenario'!$A$1:$I$50,9,0)*G30</f>
        <v>158420.23577274932</v>
      </c>
      <c r="K30" s="53">
        <f>IF(AND(D30&gt;='Main Input'!$D$6, D30&lt;='Main Input'!$D$7), IF('Optim Input'!$B$6="Quarterly", 'Quarterly Calculation'!I30, 'Quarterly Calculation'!J30), 0)</f>
        <v>285620.09999999998</v>
      </c>
      <c r="L30" s="51">
        <f t="shared" si="1"/>
        <v>635018.71</v>
      </c>
      <c r="M30" s="3">
        <f>IFERROR(IF(($D30&gt;='Main Input'!$D$6)*($D30&lt;='Main Input'!$D$7),K30/L30,0),Config!$Q$11)</f>
        <v>0.44978218043370721</v>
      </c>
      <c r="N30" s="53">
        <f>VLOOKUP(A30,'Individual Bounds - Overall'!$A$2:$L$50,11,0)*M30</f>
        <v>285620.09999999998</v>
      </c>
      <c r="O30" s="53">
        <f>VLOOKUP(A30,'Individual Bounds - Overall'!$A$2:$L$50,12,0)*M30</f>
        <v>299901.10499999998</v>
      </c>
    </row>
    <row r="31" spans="1:15" x14ac:dyDescent="0.25">
      <c r="A31" s="3" t="s">
        <v>213</v>
      </c>
      <c r="B31" s="3" t="s">
        <v>209</v>
      </c>
      <c r="C31" s="3" t="s">
        <v>214</v>
      </c>
      <c r="D31" s="3" t="s">
        <v>75</v>
      </c>
      <c r="E31" s="51">
        <v>503110</v>
      </c>
      <c r="F31" s="51">
        <f>SUMIFS($E$3:$E$198,$A$3:$A$198,"=" &amp; A31,$D$3:$D$198,"&gt;=" &amp; 'Main Input'!$D$6,$D$3:$D$198,"&lt;=" &amp; 'Main Input'!$D$7)</f>
        <v>2557695</v>
      </c>
      <c r="G31" s="3">
        <f>IFERROR(IF((D31&gt;='Main Input'!$D$6)*(D31&lt;='Main Input'!$D$7),E31/F31,0),Config!$Q$11)</f>
        <v>0.19670445459681471</v>
      </c>
      <c r="H31" s="3">
        <f t="shared" si="0"/>
        <v>1</v>
      </c>
      <c r="I31" s="51">
        <f>INDEX('Base Scenario'!$A$1:$I$50,MATCH(A31,'Base Scenario'!$A$1:$A$50,0),MATCH(D31,'Base Scenario'!$A$1:$I$1,0))</f>
        <v>120018.7</v>
      </c>
      <c r="J31" s="51">
        <f>VLOOKUP(A31,'Base Scenario'!$A$1:$I$50,9,0)*G31</f>
        <v>105160.64056269413</v>
      </c>
      <c r="K31" s="53">
        <f>IF(AND(D31&gt;='Main Input'!$D$6, D31&lt;='Main Input'!$D$7), IF('Optim Input'!$B$6="Quarterly", 'Quarterly Calculation'!I31, 'Quarterly Calculation'!J31), 0)</f>
        <v>120018.7</v>
      </c>
      <c r="L31" s="51">
        <f t="shared" si="1"/>
        <v>534612.39999999991</v>
      </c>
      <c r="M31" s="3">
        <f>IFERROR(IF(($D31&gt;='Main Input'!$D$6)*($D31&lt;='Main Input'!$D$7),K31/L31,0),Config!$Q$11)</f>
        <v>0.22449666337705601</v>
      </c>
      <c r="N31" s="53">
        <f>VLOOKUP(A31,'Individual Bounds - Overall'!$A$2:$L$50,11,0)*M31</f>
        <v>120018.7</v>
      </c>
      <c r="O31" s="53">
        <f>VLOOKUP(A31,'Individual Bounds - Overall'!$A$2:$L$50,12,0)*M31</f>
        <v>126019.63499999999</v>
      </c>
    </row>
    <row r="32" spans="1:15" x14ac:dyDescent="0.25">
      <c r="A32" s="3" t="s">
        <v>213</v>
      </c>
      <c r="B32" s="3" t="s">
        <v>209</v>
      </c>
      <c r="C32" s="3" t="s">
        <v>214</v>
      </c>
      <c r="D32" s="3" t="s">
        <v>76</v>
      </c>
      <c r="E32" s="51">
        <v>628995</v>
      </c>
      <c r="F32" s="51">
        <f>SUMIFS($E$3:$E$198,$A$3:$A$198,"=" &amp; A32,$D$3:$D$198,"&gt;=" &amp; 'Main Input'!$D$6,$D$3:$D$198,"&lt;=" &amp; 'Main Input'!$D$7)</f>
        <v>2557695</v>
      </c>
      <c r="G32" s="3">
        <f>IFERROR(IF((D32&gt;='Main Input'!$D$6)*(D32&lt;='Main Input'!$D$7),E32/F32,0),Config!$Q$11)</f>
        <v>0.24592259827696422</v>
      </c>
      <c r="H32" s="3">
        <f t="shared" si="0"/>
        <v>1</v>
      </c>
      <c r="I32" s="51">
        <f>INDEX('Base Scenario'!$A$1:$I$50,MATCH(A32,'Base Scenario'!$A$1:$A$50,0),MATCH(D32,'Base Scenario'!$A$1:$I$1,0))</f>
        <v>123073.60000000001</v>
      </c>
      <c r="J32" s="51">
        <f>VLOOKUP(A32,'Base Scenario'!$A$1:$I$50,9,0)*G32</f>
        <v>131473.27047908367</v>
      </c>
      <c r="K32" s="53">
        <f>IF(AND(D32&gt;='Main Input'!$D$6, D32&lt;='Main Input'!$D$7), IF('Optim Input'!$B$6="Quarterly", 'Quarterly Calculation'!I32, 'Quarterly Calculation'!J32), 0)</f>
        <v>123073.60000000001</v>
      </c>
      <c r="L32" s="51">
        <f t="shared" si="1"/>
        <v>534612.39999999991</v>
      </c>
      <c r="M32" s="3">
        <f>IFERROR(IF(($D32&gt;='Main Input'!$D$6)*($D32&lt;='Main Input'!$D$7),K32/L32,0),Config!$Q$11)</f>
        <v>0.23021089671694864</v>
      </c>
      <c r="N32" s="53">
        <f>VLOOKUP(A32,'Individual Bounds - Overall'!$A$2:$L$50,11,0)*M32</f>
        <v>123073.60000000001</v>
      </c>
      <c r="O32" s="53">
        <f>VLOOKUP(A32,'Individual Bounds - Overall'!$A$2:$L$50,12,0)*M32</f>
        <v>129227.28000000001</v>
      </c>
    </row>
    <row r="33" spans="1:15" x14ac:dyDescent="0.25">
      <c r="A33" s="3" t="s">
        <v>213</v>
      </c>
      <c r="B33" s="3" t="s">
        <v>209</v>
      </c>
      <c r="C33" s="3" t="s">
        <v>214</v>
      </c>
      <c r="D33" s="3" t="s">
        <v>77</v>
      </c>
      <c r="E33" s="51">
        <v>689621</v>
      </c>
      <c r="F33" s="51">
        <f>SUMIFS($E$3:$E$198,$A$3:$A$198,"=" &amp; A33,$D$3:$D$198,"&gt;=" &amp; 'Main Input'!$D$6,$D$3:$D$198,"&lt;=" &amp; 'Main Input'!$D$7)</f>
        <v>2557695</v>
      </c>
      <c r="G33" s="3">
        <f>IFERROR(IF((D33&gt;='Main Input'!$D$6)*(D33&lt;='Main Input'!$D$7),E33/F33,0),Config!$Q$11)</f>
        <v>0.26962597182228532</v>
      </c>
      <c r="H33" s="3">
        <f t="shared" si="0"/>
        <v>1</v>
      </c>
      <c r="I33" s="51">
        <f>INDEX('Base Scenario'!$A$1:$I$50,MATCH(A33,'Base Scenario'!$A$1:$A$50,0),MATCH(D33,'Base Scenario'!$A$1:$I$1,0))</f>
        <v>119436.4</v>
      </c>
      <c r="J33" s="51">
        <f>VLOOKUP(A33,'Base Scenario'!$A$1:$I$50,9,0)*G33</f>
        <v>144145.38789824431</v>
      </c>
      <c r="K33" s="53">
        <f>IF(AND(D33&gt;='Main Input'!$D$6, D33&lt;='Main Input'!$D$7), IF('Optim Input'!$B$6="Quarterly", 'Quarterly Calculation'!I33, 'Quarterly Calculation'!J33), 0)</f>
        <v>119436.4</v>
      </c>
      <c r="L33" s="51">
        <f t="shared" si="1"/>
        <v>534612.39999999991</v>
      </c>
      <c r="M33" s="3">
        <f>IFERROR(IF(($D33&gt;='Main Input'!$D$6)*($D33&lt;='Main Input'!$D$7),K33/L33,0),Config!$Q$11)</f>
        <v>0.2234074630517362</v>
      </c>
      <c r="N33" s="53">
        <f>VLOOKUP(A33,'Individual Bounds - Overall'!$A$2:$L$50,11,0)*M33</f>
        <v>119436.4</v>
      </c>
      <c r="O33" s="53">
        <f>VLOOKUP(A33,'Individual Bounds - Overall'!$A$2:$L$50,12,0)*M33</f>
        <v>125408.21999999999</v>
      </c>
    </row>
    <row r="34" spans="1:15" x14ac:dyDescent="0.25">
      <c r="A34" s="3" t="s">
        <v>213</v>
      </c>
      <c r="B34" s="3" t="s">
        <v>209</v>
      </c>
      <c r="C34" s="3" t="s">
        <v>214</v>
      </c>
      <c r="D34" s="3" t="s">
        <v>78</v>
      </c>
      <c r="E34" s="51">
        <v>735969</v>
      </c>
      <c r="F34" s="51">
        <f>SUMIFS($E$3:$E$198,$A$3:$A$198,"=" &amp; A34,$D$3:$D$198,"&gt;=" &amp; 'Main Input'!$D$6,$D$3:$D$198,"&lt;=" &amp; 'Main Input'!$D$7)</f>
        <v>2557695</v>
      </c>
      <c r="G34" s="3">
        <f>IFERROR(IF((D34&gt;='Main Input'!$D$6)*(D34&lt;='Main Input'!$D$7),E34/F34,0),Config!$Q$11)</f>
        <v>0.28774697530393578</v>
      </c>
      <c r="H34" s="3">
        <f t="shared" si="0"/>
        <v>1</v>
      </c>
      <c r="I34" s="51">
        <f>INDEX('Base Scenario'!$A$1:$I$50,MATCH(A34,'Base Scenario'!$A$1:$A$50,0),MATCH(D34,'Base Scenario'!$A$1:$I$1,0))</f>
        <v>172083.7</v>
      </c>
      <c r="J34" s="51">
        <f>VLOOKUP(A34,'Base Scenario'!$A$1:$I$50,9,0)*G34</f>
        <v>153833.10105997781</v>
      </c>
      <c r="K34" s="53">
        <f>IF(AND(D34&gt;='Main Input'!$D$6, D34&lt;='Main Input'!$D$7), IF('Optim Input'!$B$6="Quarterly", 'Quarterly Calculation'!I34, 'Quarterly Calculation'!J34), 0)</f>
        <v>172083.7</v>
      </c>
      <c r="L34" s="51">
        <f t="shared" si="1"/>
        <v>534612.39999999991</v>
      </c>
      <c r="M34" s="3">
        <f>IFERROR(IF(($D34&gt;='Main Input'!$D$6)*($D34&lt;='Main Input'!$D$7),K34/L34,0),Config!$Q$11)</f>
        <v>0.32188497685425937</v>
      </c>
      <c r="N34" s="53">
        <f>VLOOKUP(A34,'Individual Bounds - Overall'!$A$2:$L$50,11,0)*M34</f>
        <v>172083.7</v>
      </c>
      <c r="O34" s="53">
        <f>VLOOKUP(A34,'Individual Bounds - Overall'!$A$2:$L$50,12,0)*M34</f>
        <v>180687.88500000004</v>
      </c>
    </row>
    <row r="35" spans="1:15" x14ac:dyDescent="0.25">
      <c r="A35" s="3" t="s">
        <v>215</v>
      </c>
      <c r="B35" s="3" t="s">
        <v>209</v>
      </c>
      <c r="C35" s="3" t="s">
        <v>216</v>
      </c>
      <c r="D35" s="3" t="s">
        <v>75</v>
      </c>
      <c r="E35" s="51">
        <v>1298218</v>
      </c>
      <c r="F35" s="51">
        <f>SUMIFS($E$3:$E$198,$A$3:$A$198,"=" &amp; A35,$D$3:$D$198,"&gt;=" &amp; 'Main Input'!$D$6,$D$3:$D$198,"&lt;=" &amp; 'Main Input'!$D$7)</f>
        <v>5606816</v>
      </c>
      <c r="G35" s="3">
        <f>IFERROR(IF((D35&gt;='Main Input'!$D$6)*(D35&lt;='Main Input'!$D$7),E35/F35,0),Config!$Q$11)</f>
        <v>0.23154282216502201</v>
      </c>
      <c r="H35" s="3">
        <f t="shared" si="0"/>
        <v>1</v>
      </c>
      <c r="I35" s="51">
        <f>INDEX('Base Scenario'!$A$1:$I$50,MATCH(A35,'Base Scenario'!$A$1:$A$50,0),MATCH(D35,'Base Scenario'!$A$1:$I$1,0))</f>
        <v>30872.5</v>
      </c>
      <c r="J35" s="51">
        <f>VLOOKUP(A35,'Base Scenario'!$A$1:$I$50,9,0)*G35</f>
        <v>48261.121290728639</v>
      </c>
      <c r="K35" s="53">
        <f>IF(AND(D35&gt;='Main Input'!$D$6, D35&lt;='Main Input'!$D$7), IF('Optim Input'!$B$6="Quarterly", 'Quarterly Calculation'!I35, 'Quarterly Calculation'!J35), 0)</f>
        <v>30872.5</v>
      </c>
      <c r="L35" s="51">
        <f t="shared" si="1"/>
        <v>208432.81099999999</v>
      </c>
      <c r="M35" s="3">
        <f>IFERROR(IF(($D35&gt;='Main Input'!$D$6)*($D35&lt;='Main Input'!$D$7),K35/L35,0),Config!$Q$11)</f>
        <v>0.14811727506759961</v>
      </c>
      <c r="N35" s="53">
        <f>VLOOKUP(A35,'Individual Bounds - Overall'!$A$2:$L$50,11,0)*M35</f>
        <v>30872.5</v>
      </c>
      <c r="O35" s="53">
        <f>VLOOKUP(A35,'Individual Bounds - Overall'!$A$2:$L$50,12,0)*M35</f>
        <v>32416.125000000004</v>
      </c>
    </row>
    <row r="36" spans="1:15" x14ac:dyDescent="0.25">
      <c r="A36" s="3" t="s">
        <v>215</v>
      </c>
      <c r="B36" s="3" t="s">
        <v>209</v>
      </c>
      <c r="C36" s="3" t="s">
        <v>216</v>
      </c>
      <c r="D36" s="3" t="s">
        <v>76</v>
      </c>
      <c r="E36" s="51">
        <v>1805499</v>
      </c>
      <c r="F36" s="51">
        <f>SUMIFS($E$3:$E$198,$A$3:$A$198,"=" &amp; A36,$D$3:$D$198,"&gt;=" &amp; 'Main Input'!$D$6,$D$3:$D$198,"&lt;=" &amp; 'Main Input'!$D$7)</f>
        <v>5606816</v>
      </c>
      <c r="G36" s="3">
        <f>IFERROR(IF((D36&gt;='Main Input'!$D$6)*(D36&lt;='Main Input'!$D$7),E36/F36,0),Config!$Q$11)</f>
        <v>0.3220185930838465</v>
      </c>
      <c r="H36" s="3">
        <f t="shared" si="0"/>
        <v>1</v>
      </c>
      <c r="I36" s="51">
        <f>INDEX('Base Scenario'!$A$1:$I$50,MATCH(A36,'Base Scenario'!$A$1:$A$50,0),MATCH(D36,'Base Scenario'!$A$1:$I$1,0))</f>
        <v>9923.8109999999997</v>
      </c>
      <c r="J36" s="51">
        <f>VLOOKUP(A36,'Base Scenario'!$A$1:$I$50,9,0)*G36</f>
        <v>67119.24055073128</v>
      </c>
      <c r="K36" s="53">
        <f>IF(AND(D36&gt;='Main Input'!$D$6, D36&lt;='Main Input'!$D$7), IF('Optim Input'!$B$6="Quarterly", 'Quarterly Calculation'!I36, 'Quarterly Calculation'!J36), 0)</f>
        <v>9923.8109999999997</v>
      </c>
      <c r="L36" s="51">
        <f t="shared" si="1"/>
        <v>208432.81099999999</v>
      </c>
      <c r="M36" s="3">
        <f>IFERROR(IF(($D36&gt;='Main Input'!$D$6)*($D36&lt;='Main Input'!$D$7),K36/L36,0),Config!$Q$11)</f>
        <v>4.7611558623560472E-2</v>
      </c>
      <c r="N36" s="53">
        <f>VLOOKUP(A36,'Individual Bounds - Overall'!$A$2:$L$50,11,0)*M36</f>
        <v>9923.8109999999997</v>
      </c>
      <c r="O36" s="53">
        <f>VLOOKUP(A36,'Individual Bounds - Overall'!$A$2:$L$50,12,0)*M36</f>
        <v>10420.001550000001</v>
      </c>
    </row>
    <row r="37" spans="1:15" x14ac:dyDescent="0.25">
      <c r="A37" s="3" t="s">
        <v>215</v>
      </c>
      <c r="B37" s="3" t="s">
        <v>209</v>
      </c>
      <c r="C37" s="3" t="s">
        <v>216</v>
      </c>
      <c r="D37" s="3" t="s">
        <v>77</v>
      </c>
      <c r="E37" s="51">
        <v>1547448</v>
      </c>
      <c r="F37" s="51">
        <f>SUMIFS($E$3:$E$198,$A$3:$A$198,"=" &amp; A37,$D$3:$D$198,"&gt;=" &amp; 'Main Input'!$D$6,$D$3:$D$198,"&lt;=" &amp; 'Main Input'!$D$7)</f>
        <v>5606816</v>
      </c>
      <c r="G37" s="3">
        <f>IFERROR(IF((D37&gt;='Main Input'!$D$6)*(D37&lt;='Main Input'!$D$7),E37/F37,0),Config!$Q$11)</f>
        <v>0.27599407578204815</v>
      </c>
      <c r="H37" s="3">
        <f t="shared" si="0"/>
        <v>1</v>
      </c>
      <c r="I37" s="51">
        <f>INDEX('Base Scenario'!$A$1:$I$50,MATCH(A37,'Base Scenario'!$A$1:$A$50,0),MATCH(D37,'Base Scenario'!$A$1:$I$1,0))</f>
        <v>0</v>
      </c>
      <c r="J37" s="51">
        <f>VLOOKUP(A37,'Base Scenario'!$A$1:$I$50,9,0)*G37</f>
        <v>57526.221034599315</v>
      </c>
      <c r="K37" s="53">
        <f>IF(AND(D37&gt;='Main Input'!$D$6, D37&lt;='Main Input'!$D$7), IF('Optim Input'!$B$6="Quarterly", 'Quarterly Calculation'!I37, 'Quarterly Calculation'!J37), 0)</f>
        <v>0</v>
      </c>
      <c r="L37" s="51">
        <f t="shared" si="1"/>
        <v>208432.81099999999</v>
      </c>
      <c r="M37" s="3">
        <f>IFERROR(IF(($D37&gt;='Main Input'!$D$6)*($D37&lt;='Main Input'!$D$7),K37/L37,0),Config!$Q$11)</f>
        <v>0</v>
      </c>
      <c r="N37" s="53">
        <f>VLOOKUP(A37,'Individual Bounds - Overall'!$A$2:$L$50,11,0)*M37</f>
        <v>0</v>
      </c>
      <c r="O37" s="53">
        <f>VLOOKUP(A37,'Individual Bounds - Overall'!$A$2:$L$50,12,0)*M37</f>
        <v>0</v>
      </c>
    </row>
    <row r="38" spans="1:15" x14ac:dyDescent="0.25">
      <c r="A38" s="3" t="s">
        <v>215</v>
      </c>
      <c r="B38" s="3" t="s">
        <v>209</v>
      </c>
      <c r="C38" s="3" t="s">
        <v>216</v>
      </c>
      <c r="D38" s="3" t="s">
        <v>78</v>
      </c>
      <c r="E38" s="51">
        <v>955651</v>
      </c>
      <c r="F38" s="51">
        <f>SUMIFS($E$3:$E$198,$A$3:$A$198,"=" &amp; A38,$D$3:$D$198,"&gt;=" &amp; 'Main Input'!$D$6,$D$3:$D$198,"&lt;=" &amp; 'Main Input'!$D$7)</f>
        <v>5606816</v>
      </c>
      <c r="G38" s="3">
        <f>IFERROR(IF((D38&gt;='Main Input'!$D$6)*(D38&lt;='Main Input'!$D$7),E38/F38,0),Config!$Q$11)</f>
        <v>0.17044450896908334</v>
      </c>
      <c r="H38" s="3">
        <f t="shared" si="0"/>
        <v>1</v>
      </c>
      <c r="I38" s="51">
        <f>INDEX('Base Scenario'!$A$1:$I$50,MATCH(A38,'Base Scenario'!$A$1:$A$50,0),MATCH(D38,'Base Scenario'!$A$1:$I$1,0))</f>
        <v>167636.5</v>
      </c>
      <c r="J38" s="51">
        <f>VLOOKUP(A38,'Base Scenario'!$A$1:$I$50,9,0)*G38</f>
        <v>35526.228123940753</v>
      </c>
      <c r="K38" s="53">
        <f>IF(AND(D38&gt;='Main Input'!$D$6, D38&lt;='Main Input'!$D$7), IF('Optim Input'!$B$6="Quarterly", 'Quarterly Calculation'!I38, 'Quarterly Calculation'!J38), 0)</f>
        <v>167636.5</v>
      </c>
      <c r="L38" s="51">
        <f t="shared" si="1"/>
        <v>208432.81099999999</v>
      </c>
      <c r="M38" s="3">
        <f>IFERROR(IF(($D38&gt;='Main Input'!$D$6)*($D38&lt;='Main Input'!$D$7),K38/L38,0),Config!$Q$11)</f>
        <v>0.80427116630883999</v>
      </c>
      <c r="N38" s="53">
        <f>VLOOKUP(A38,'Individual Bounds - Overall'!$A$2:$L$50,11,0)*M38</f>
        <v>167636.5</v>
      </c>
      <c r="O38" s="53">
        <f>VLOOKUP(A38,'Individual Bounds - Overall'!$A$2:$L$50,12,0)*M38</f>
        <v>176018.32500000001</v>
      </c>
    </row>
    <row r="39" spans="1:15" x14ac:dyDescent="0.25">
      <c r="A39" s="3" t="s">
        <v>208</v>
      </c>
      <c r="B39" s="3" t="s">
        <v>209</v>
      </c>
      <c r="C39" s="3" t="s">
        <v>210</v>
      </c>
      <c r="D39" s="3" t="s">
        <v>75</v>
      </c>
      <c r="E39" s="51">
        <v>0</v>
      </c>
      <c r="F39" s="51">
        <f>SUMIFS($E$3:$E$198,$A$3:$A$198,"=" &amp; A39,$D$3:$D$198,"&gt;=" &amp; 'Main Input'!$D$6,$D$3:$D$198,"&lt;=" &amp; 'Main Input'!$D$7)</f>
        <v>2100003</v>
      </c>
      <c r="G39" s="3">
        <f>IFERROR(IF((D39&gt;='Main Input'!$D$6)*(D39&lt;='Main Input'!$D$7),E39/F39,0),Config!$Q$11)</f>
        <v>0</v>
      </c>
      <c r="H39" s="3">
        <f t="shared" si="0"/>
        <v>1</v>
      </c>
      <c r="I39" s="51">
        <f>INDEX('Base Scenario'!$A$1:$I$50,MATCH(A39,'Base Scenario'!$A$1:$A$50,0),MATCH(D39,'Base Scenario'!$A$1:$I$1,0))</f>
        <v>568184.30000000005</v>
      </c>
      <c r="J39" s="51">
        <f>VLOOKUP(A39,'Base Scenario'!$A$1:$I$50,9,0)*G39</f>
        <v>0</v>
      </c>
      <c r="K39" s="53">
        <f>IF(AND(D39&gt;='Main Input'!$D$6, D39&lt;='Main Input'!$D$7), IF('Optim Input'!$B$6="Quarterly", 'Quarterly Calculation'!I39, 'Quarterly Calculation'!J39), 0)</f>
        <v>568184.30000000005</v>
      </c>
      <c r="L39" s="51">
        <f t="shared" si="1"/>
        <v>3472198.3</v>
      </c>
      <c r="M39" s="3">
        <f>IFERROR(IF(($D39&gt;='Main Input'!$D$6)*($D39&lt;='Main Input'!$D$7),K39/L39,0),Config!$Q$11)</f>
        <v>0.1636382058017827</v>
      </c>
      <c r="N39" s="53">
        <f>VLOOKUP(A39,'Individual Bounds - Overall'!$A$2:$L$50,11,0)*M39</f>
        <v>568184.30000000005</v>
      </c>
      <c r="O39" s="53">
        <f>VLOOKUP(A39,'Individual Bounds - Overall'!$A$2:$L$50,12,0)*M39</f>
        <v>596593.51500000001</v>
      </c>
    </row>
    <row r="40" spans="1:15" x14ac:dyDescent="0.25">
      <c r="A40" s="3" t="s">
        <v>208</v>
      </c>
      <c r="B40" s="3" t="s">
        <v>209</v>
      </c>
      <c r="C40" s="3" t="s">
        <v>210</v>
      </c>
      <c r="D40" s="3" t="s">
        <v>76</v>
      </c>
      <c r="E40" s="51">
        <v>704916</v>
      </c>
      <c r="F40" s="51">
        <f>SUMIFS($E$3:$E$198,$A$3:$A$198,"=" &amp; A40,$D$3:$D$198,"&gt;=" &amp; 'Main Input'!$D$6,$D$3:$D$198,"&lt;=" &amp; 'Main Input'!$D$7)</f>
        <v>2100003</v>
      </c>
      <c r="G40" s="3">
        <f>IFERROR(IF((D40&gt;='Main Input'!$D$6)*(D40&lt;='Main Input'!$D$7),E40/F40,0),Config!$Q$11)</f>
        <v>0.33567380618027687</v>
      </c>
      <c r="H40" s="3">
        <f t="shared" si="0"/>
        <v>1</v>
      </c>
      <c r="I40" s="51">
        <f>INDEX('Base Scenario'!$A$1:$I$50,MATCH(A40,'Base Scenario'!$A$1:$A$50,0),MATCH(D40,'Base Scenario'!$A$1:$I$1,0))</f>
        <v>910579.1</v>
      </c>
      <c r="J40" s="51">
        <f>VLOOKUP(A40,'Base Scenario'!$A$1:$I$50,9,0)*G40</f>
        <v>1165526.0191736869</v>
      </c>
      <c r="K40" s="53">
        <f>IF(AND(D40&gt;='Main Input'!$D$6, D40&lt;='Main Input'!$D$7), IF('Optim Input'!$B$6="Quarterly", 'Quarterly Calculation'!I40, 'Quarterly Calculation'!J40), 0)</f>
        <v>910579.1</v>
      </c>
      <c r="L40" s="51">
        <f t="shared" si="1"/>
        <v>3472198.3</v>
      </c>
      <c r="M40" s="3">
        <f>IFERROR(IF(($D40&gt;='Main Input'!$D$6)*($D40&lt;='Main Input'!$D$7),K40/L40,0),Config!$Q$11)</f>
        <v>0.26224858758786906</v>
      </c>
      <c r="N40" s="53">
        <f>VLOOKUP(A40,'Individual Bounds - Overall'!$A$2:$L$50,11,0)*M40</f>
        <v>910579.1</v>
      </c>
      <c r="O40" s="53">
        <f>VLOOKUP(A40,'Individual Bounds - Overall'!$A$2:$L$50,12,0)*M40</f>
        <v>956108.05500000005</v>
      </c>
    </row>
    <row r="41" spans="1:15" x14ac:dyDescent="0.25">
      <c r="A41" s="3" t="s">
        <v>208</v>
      </c>
      <c r="B41" s="3" t="s">
        <v>209</v>
      </c>
      <c r="C41" s="3" t="s">
        <v>210</v>
      </c>
      <c r="D41" s="3" t="s">
        <v>77</v>
      </c>
      <c r="E41" s="51">
        <v>697544</v>
      </c>
      <c r="F41" s="51">
        <f>SUMIFS($E$3:$E$198,$A$3:$A$198,"=" &amp; A41,$D$3:$D$198,"&gt;=" &amp; 'Main Input'!$D$6,$D$3:$D$198,"&lt;=" &amp; 'Main Input'!$D$7)</f>
        <v>2100003</v>
      </c>
      <c r="G41" s="3">
        <f>IFERROR(IF((D41&gt;='Main Input'!$D$6)*(D41&lt;='Main Input'!$D$7),E41/F41,0),Config!$Q$11)</f>
        <v>0.33216333500475953</v>
      </c>
      <c r="H41" s="3">
        <f t="shared" si="0"/>
        <v>1</v>
      </c>
      <c r="I41" s="51">
        <f>INDEX('Base Scenario'!$A$1:$I$50,MATCH(A41,'Base Scenario'!$A$1:$A$50,0),MATCH(D41,'Base Scenario'!$A$1:$I$1,0))</f>
        <v>477851.9</v>
      </c>
      <c r="J41" s="51">
        <f>VLOOKUP(A41,'Base Scenario'!$A$1:$I$50,9,0)*G41</f>
        <v>1153336.9671258566</v>
      </c>
      <c r="K41" s="53">
        <f>IF(AND(D41&gt;='Main Input'!$D$6, D41&lt;='Main Input'!$D$7), IF('Optim Input'!$B$6="Quarterly", 'Quarterly Calculation'!I41, 'Quarterly Calculation'!J41), 0)</f>
        <v>477851.9</v>
      </c>
      <c r="L41" s="51">
        <f t="shared" si="1"/>
        <v>3472198.3</v>
      </c>
      <c r="M41" s="3">
        <f>IFERROR(IF(($D41&gt;='Main Input'!$D$6)*($D41&lt;='Main Input'!$D$7),K41/L41,0),Config!$Q$11)</f>
        <v>0.13762229536256615</v>
      </c>
      <c r="N41" s="53">
        <f>VLOOKUP(A41,'Individual Bounds - Overall'!$A$2:$L$50,11,0)*M41</f>
        <v>477851.9</v>
      </c>
      <c r="O41" s="53">
        <f>VLOOKUP(A41,'Individual Bounds - Overall'!$A$2:$L$50,12,0)*M41</f>
        <v>501744.49500000005</v>
      </c>
    </row>
    <row r="42" spans="1:15" x14ac:dyDescent="0.25">
      <c r="A42" s="3" t="s">
        <v>208</v>
      </c>
      <c r="B42" s="3" t="s">
        <v>209</v>
      </c>
      <c r="C42" s="3" t="s">
        <v>210</v>
      </c>
      <c r="D42" s="3" t="s">
        <v>78</v>
      </c>
      <c r="E42" s="51">
        <v>697543</v>
      </c>
      <c r="F42" s="51">
        <f>SUMIFS($E$3:$E$198,$A$3:$A$198,"=" &amp; A42,$D$3:$D$198,"&gt;=" &amp; 'Main Input'!$D$6,$D$3:$D$198,"&lt;=" &amp; 'Main Input'!$D$7)</f>
        <v>2100003</v>
      </c>
      <c r="G42" s="3">
        <f>IFERROR(IF((D42&gt;='Main Input'!$D$6)*(D42&lt;='Main Input'!$D$7),E42/F42,0),Config!$Q$11)</f>
        <v>0.3321628588149636</v>
      </c>
      <c r="H42" s="3">
        <f t="shared" si="0"/>
        <v>1</v>
      </c>
      <c r="I42" s="51">
        <f>INDEX('Base Scenario'!$A$1:$I$50,MATCH(A42,'Base Scenario'!$A$1:$A$50,0),MATCH(D42,'Base Scenario'!$A$1:$I$1,0))</f>
        <v>1515583</v>
      </c>
      <c r="J42" s="51">
        <f>VLOOKUP(A42,'Base Scenario'!$A$1:$I$50,9,0)*G42</f>
        <v>1153335.3137004566</v>
      </c>
      <c r="K42" s="53">
        <f>IF(AND(D42&gt;='Main Input'!$D$6, D42&lt;='Main Input'!$D$7), IF('Optim Input'!$B$6="Quarterly", 'Quarterly Calculation'!I42, 'Quarterly Calculation'!J42), 0)</f>
        <v>1515583</v>
      </c>
      <c r="L42" s="51">
        <f t="shared" si="1"/>
        <v>3472198.3</v>
      </c>
      <c r="M42" s="3">
        <f>IFERROR(IF(($D42&gt;='Main Input'!$D$6)*($D42&lt;='Main Input'!$D$7),K42/L42,0),Config!$Q$11)</f>
        <v>0.43649091124778217</v>
      </c>
      <c r="N42" s="53">
        <f>VLOOKUP(A42,'Individual Bounds - Overall'!$A$2:$L$50,11,0)*M42</f>
        <v>1515583</v>
      </c>
      <c r="O42" s="53">
        <f>VLOOKUP(A42,'Individual Bounds - Overall'!$A$2:$L$50,12,0)*M42</f>
        <v>1591362.1500000001</v>
      </c>
    </row>
    <row r="43" spans="1:15" x14ac:dyDescent="0.25">
      <c r="A43" s="3" t="s">
        <v>211</v>
      </c>
      <c r="B43" s="3" t="s">
        <v>209</v>
      </c>
      <c r="C43" s="3" t="s">
        <v>212</v>
      </c>
      <c r="D43" s="3" t="s">
        <v>75</v>
      </c>
      <c r="E43" s="51">
        <v>0</v>
      </c>
      <c r="F43" s="51">
        <f>SUMIFS($E$3:$E$198,$A$3:$A$198,"=" &amp; A43,$D$3:$D$198,"&gt;=" &amp; 'Main Input'!$D$6,$D$3:$D$198,"&lt;=" &amp; 'Main Input'!$D$7)</f>
        <v>0</v>
      </c>
      <c r="G43" s="3">
        <f>IFERROR(IF((D43&gt;='Main Input'!$D$6)*(D43&lt;='Main Input'!$D$7),E43/F43,0),Config!$Q$11)</f>
        <v>0.25</v>
      </c>
      <c r="H43" s="3">
        <f t="shared" si="0"/>
        <v>1</v>
      </c>
      <c r="I43" s="51">
        <f>INDEX('Base Scenario'!$A$1:$I$50,MATCH(A43,'Base Scenario'!$A$1:$A$50,0),MATCH(D43,'Base Scenario'!$A$1:$I$1,0))</f>
        <v>346345.9</v>
      </c>
      <c r="J43" s="51">
        <f>VLOOKUP(A43,'Base Scenario'!$A$1:$I$50,9,0)*G43</f>
        <v>210591.99000000002</v>
      </c>
      <c r="K43" s="53">
        <f>IF(AND(D43&gt;='Main Input'!$D$6, D43&lt;='Main Input'!$D$7), IF('Optim Input'!$B$6="Quarterly", 'Quarterly Calculation'!I43, 'Quarterly Calculation'!J43), 0)</f>
        <v>346345.9</v>
      </c>
      <c r="L43" s="51">
        <f t="shared" si="1"/>
        <v>842367.96000000008</v>
      </c>
      <c r="M43" s="3">
        <f>IFERROR(IF(($D43&gt;='Main Input'!$D$6)*($D43&lt;='Main Input'!$D$7),K43/L43,0),Config!$Q$11)</f>
        <v>0.4111574946416528</v>
      </c>
      <c r="N43" s="53">
        <f>VLOOKUP(A43,'Individual Bounds - Overall'!$A$2:$L$50,11,0)*M43</f>
        <v>346345.9</v>
      </c>
      <c r="O43" s="53">
        <f>VLOOKUP(A43,'Individual Bounds - Overall'!$A$2:$L$50,12,0)*M43</f>
        <v>363663.19500000007</v>
      </c>
    </row>
    <row r="44" spans="1:15" x14ac:dyDescent="0.25">
      <c r="A44" s="3" t="s">
        <v>211</v>
      </c>
      <c r="B44" s="3" t="s">
        <v>209</v>
      </c>
      <c r="C44" s="3" t="s">
        <v>212</v>
      </c>
      <c r="D44" s="3" t="s">
        <v>76</v>
      </c>
      <c r="E44" s="51">
        <v>0</v>
      </c>
      <c r="F44" s="51">
        <f>SUMIFS($E$3:$E$198,$A$3:$A$198,"=" &amp; A44,$D$3:$D$198,"&gt;=" &amp; 'Main Input'!$D$6,$D$3:$D$198,"&lt;=" &amp; 'Main Input'!$D$7)</f>
        <v>0</v>
      </c>
      <c r="G44" s="3">
        <f>IFERROR(IF((D44&gt;='Main Input'!$D$6)*(D44&lt;='Main Input'!$D$7),E44/F44,0),Config!$Q$11)</f>
        <v>0.25</v>
      </c>
      <c r="H44" s="3">
        <f t="shared" si="0"/>
        <v>1</v>
      </c>
      <c r="I44" s="51">
        <f>INDEX('Base Scenario'!$A$1:$I$50,MATCH(A44,'Base Scenario'!$A$1:$A$50,0),MATCH(D44,'Base Scenario'!$A$1:$I$1,0))</f>
        <v>261171.7</v>
      </c>
      <c r="J44" s="51">
        <f>VLOOKUP(A44,'Base Scenario'!$A$1:$I$50,9,0)*G44</f>
        <v>210591.99000000002</v>
      </c>
      <c r="K44" s="53">
        <f>IF(AND(D44&gt;='Main Input'!$D$6, D44&lt;='Main Input'!$D$7), IF('Optim Input'!$B$6="Quarterly", 'Quarterly Calculation'!I44, 'Quarterly Calculation'!J44), 0)</f>
        <v>261171.7</v>
      </c>
      <c r="L44" s="51">
        <f t="shared" si="1"/>
        <v>842367.96000000008</v>
      </c>
      <c r="M44" s="3">
        <f>IFERROR(IF(($D44&gt;='Main Input'!$D$6)*($D44&lt;='Main Input'!$D$7),K44/L44,0),Config!$Q$11)</f>
        <v>0.31004467453866597</v>
      </c>
      <c r="N44" s="53">
        <f>VLOOKUP(A44,'Individual Bounds - Overall'!$A$2:$L$50,11,0)*M44</f>
        <v>261171.7</v>
      </c>
      <c r="O44" s="53">
        <f>VLOOKUP(A44,'Individual Bounds - Overall'!$A$2:$L$50,12,0)*M44</f>
        <v>274230.28500000003</v>
      </c>
    </row>
    <row r="45" spans="1:15" x14ac:dyDescent="0.25">
      <c r="A45" s="3" t="s">
        <v>211</v>
      </c>
      <c r="B45" s="3" t="s">
        <v>209</v>
      </c>
      <c r="C45" s="3" t="s">
        <v>212</v>
      </c>
      <c r="D45" s="3" t="s">
        <v>77</v>
      </c>
      <c r="E45" s="51">
        <v>0</v>
      </c>
      <c r="F45" s="51">
        <f>SUMIFS($E$3:$E$198,$A$3:$A$198,"=" &amp; A45,$D$3:$D$198,"&gt;=" &amp; 'Main Input'!$D$6,$D$3:$D$198,"&lt;=" &amp; 'Main Input'!$D$7)</f>
        <v>0</v>
      </c>
      <c r="G45" s="3">
        <f>IFERROR(IF((D45&gt;='Main Input'!$D$6)*(D45&lt;='Main Input'!$D$7),E45/F45,0),Config!$Q$11)</f>
        <v>0.25</v>
      </c>
      <c r="H45" s="3">
        <f t="shared" si="0"/>
        <v>1</v>
      </c>
      <c r="I45" s="51">
        <f>INDEX('Base Scenario'!$A$1:$I$50,MATCH(A45,'Base Scenario'!$A$1:$A$50,0),MATCH(D45,'Base Scenario'!$A$1:$I$1,0))</f>
        <v>74456.36</v>
      </c>
      <c r="J45" s="51">
        <f>VLOOKUP(A45,'Base Scenario'!$A$1:$I$50,9,0)*G45</f>
        <v>210591.99000000002</v>
      </c>
      <c r="K45" s="53">
        <f>IF(AND(D45&gt;='Main Input'!$D$6, D45&lt;='Main Input'!$D$7), IF('Optim Input'!$B$6="Quarterly", 'Quarterly Calculation'!I45, 'Quarterly Calculation'!J45), 0)</f>
        <v>74456.36</v>
      </c>
      <c r="L45" s="51">
        <f t="shared" si="1"/>
        <v>842367.96000000008</v>
      </c>
      <c r="M45" s="3">
        <f>IFERROR(IF(($D45&gt;='Main Input'!$D$6)*($D45&lt;='Main Input'!$D$7),K45/L45,0),Config!$Q$11)</f>
        <v>8.8389354219977678E-2</v>
      </c>
      <c r="N45" s="53">
        <f>VLOOKUP(A45,'Individual Bounds - Overall'!$A$2:$L$50,11,0)*M45</f>
        <v>74456.36</v>
      </c>
      <c r="O45" s="53">
        <f>VLOOKUP(A45,'Individual Bounds - Overall'!$A$2:$L$50,12,0)*M45</f>
        <v>78179.178</v>
      </c>
    </row>
    <row r="46" spans="1:15" x14ac:dyDescent="0.25">
      <c r="A46" s="3" t="s">
        <v>211</v>
      </c>
      <c r="B46" s="3" t="s">
        <v>209</v>
      </c>
      <c r="C46" s="3" t="s">
        <v>212</v>
      </c>
      <c r="D46" s="3" t="s">
        <v>78</v>
      </c>
      <c r="E46" s="51">
        <v>0</v>
      </c>
      <c r="F46" s="51">
        <f>SUMIFS($E$3:$E$198,$A$3:$A$198,"=" &amp; A46,$D$3:$D$198,"&gt;=" &amp; 'Main Input'!$D$6,$D$3:$D$198,"&lt;=" &amp; 'Main Input'!$D$7)</f>
        <v>0</v>
      </c>
      <c r="G46" s="3">
        <f>IFERROR(IF((D46&gt;='Main Input'!$D$6)*(D46&lt;='Main Input'!$D$7),E46/F46,0),Config!$Q$11)</f>
        <v>0.25</v>
      </c>
      <c r="H46" s="3">
        <f t="shared" si="0"/>
        <v>1</v>
      </c>
      <c r="I46" s="51">
        <f>INDEX('Base Scenario'!$A$1:$I$50,MATCH(A46,'Base Scenario'!$A$1:$A$50,0),MATCH(D46,'Base Scenario'!$A$1:$I$1,0))</f>
        <v>160394</v>
      </c>
      <c r="J46" s="51">
        <f>VLOOKUP(A46,'Base Scenario'!$A$1:$I$50,9,0)*G46</f>
        <v>210591.99000000002</v>
      </c>
      <c r="K46" s="53">
        <f>IF(AND(D46&gt;='Main Input'!$D$6, D46&lt;='Main Input'!$D$7), IF('Optim Input'!$B$6="Quarterly", 'Quarterly Calculation'!I46, 'Quarterly Calculation'!J46), 0)</f>
        <v>160394</v>
      </c>
      <c r="L46" s="51">
        <f t="shared" si="1"/>
        <v>842367.96000000008</v>
      </c>
      <c r="M46" s="3">
        <f>IFERROR(IF(($D46&gt;='Main Input'!$D$6)*($D46&lt;='Main Input'!$D$7),K46/L46,0),Config!$Q$11)</f>
        <v>0.1904084765997035</v>
      </c>
      <c r="N46" s="53">
        <f>VLOOKUP(A46,'Individual Bounds - Overall'!$A$2:$L$50,11,0)*M46</f>
        <v>160394</v>
      </c>
      <c r="O46" s="53">
        <f>VLOOKUP(A46,'Individual Bounds - Overall'!$A$2:$L$50,12,0)*M46</f>
        <v>168413.7</v>
      </c>
    </row>
    <row r="47" spans="1:15" x14ac:dyDescent="0.25">
      <c r="A47" s="3" t="s">
        <v>257</v>
      </c>
      <c r="B47" s="3" t="s">
        <v>218</v>
      </c>
      <c r="C47" s="3" t="s">
        <v>258</v>
      </c>
      <c r="D47" s="3" t="s">
        <v>75</v>
      </c>
      <c r="E47" s="51">
        <v>0</v>
      </c>
      <c r="F47" s="51">
        <f>SUMIFS($E$3:$E$198,$A$3:$A$198,"=" &amp; A47,$D$3:$D$198,"&gt;=" &amp; 'Main Input'!$D$6,$D$3:$D$198,"&lt;=" &amp; 'Main Input'!$D$7)</f>
        <v>0</v>
      </c>
      <c r="G47" s="3">
        <f>IFERROR(IF((D47&gt;='Main Input'!$D$6)*(D47&lt;='Main Input'!$D$7),E47/F47,0),Config!$Q$11)</f>
        <v>0.25</v>
      </c>
      <c r="H47" s="3">
        <f t="shared" ref="H47:H54" si="2">SUMIFS($G$3:$G$198, $A$3:$A$198, A47)</f>
        <v>1</v>
      </c>
      <c r="I47" s="51">
        <f>INDEX('Base Scenario'!$A$1:$I$50,MATCH(A47,'Base Scenario'!$A$1:$A$50,0),MATCH(D47,'Base Scenario'!$A$1:$I$1,0))</f>
        <v>80</v>
      </c>
      <c r="J47" s="51">
        <f>VLOOKUP(A47,'Base Scenario'!$A$1:$I$50,9,0)*G47</f>
        <v>60</v>
      </c>
      <c r="K47" s="53">
        <f>IF(AND(D47&gt;='Main Input'!$D$6, D47&lt;='Main Input'!$D$7), IF('Optim Input'!$B$6="Quarterly", 'Quarterly Calculation'!I47, 'Quarterly Calculation'!J47), 0)</f>
        <v>80</v>
      </c>
      <c r="L47" s="51">
        <f t="shared" si="1"/>
        <v>240</v>
      </c>
      <c r="M47" s="3">
        <f>IFERROR(IF(($D47&gt;='Main Input'!$D$6)*($D47&lt;='Main Input'!$D$7),K47/L47,0),Config!$Q$11)</f>
        <v>0.33333333333333331</v>
      </c>
      <c r="N47" s="53">
        <f>VLOOKUP(A47,'Individual Bounds - Overall'!$A$2:$L$50,11,0)*M47</f>
        <v>80</v>
      </c>
      <c r="O47" s="53">
        <f>VLOOKUP(A47,'Individual Bounds - Overall'!$A$2:$L$50,12,0)*M47</f>
        <v>84</v>
      </c>
    </row>
    <row r="48" spans="1:15" x14ac:dyDescent="0.25">
      <c r="A48" s="3" t="s">
        <v>257</v>
      </c>
      <c r="B48" s="3" t="s">
        <v>218</v>
      </c>
      <c r="C48" s="3" t="s">
        <v>258</v>
      </c>
      <c r="D48" s="3" t="s">
        <v>76</v>
      </c>
      <c r="E48" s="51">
        <v>0</v>
      </c>
      <c r="F48" s="51">
        <f>SUMIFS($E$3:$E$198,$A$3:$A$198,"=" &amp; A48,$D$3:$D$198,"&gt;=" &amp; 'Main Input'!$D$6,$D$3:$D$198,"&lt;=" &amp; 'Main Input'!$D$7)</f>
        <v>0</v>
      </c>
      <c r="G48" s="3">
        <f>IFERROR(IF((D48&gt;='Main Input'!$D$6)*(D48&lt;='Main Input'!$D$7),E48/F48,0),Config!$Q$11)</f>
        <v>0.25</v>
      </c>
      <c r="H48" s="3">
        <f t="shared" si="2"/>
        <v>1</v>
      </c>
      <c r="I48" s="51">
        <f>INDEX('Base Scenario'!$A$1:$I$50,MATCH(A48,'Base Scenario'!$A$1:$A$50,0),MATCH(D48,'Base Scenario'!$A$1:$I$1,0))</f>
        <v>120</v>
      </c>
      <c r="J48" s="51">
        <f>VLOOKUP(A48,'Base Scenario'!$A$1:$I$50,9,0)*G48</f>
        <v>60</v>
      </c>
      <c r="K48" s="53">
        <f>IF(AND(D48&gt;='Main Input'!$D$6, D48&lt;='Main Input'!$D$7), IF('Optim Input'!$B$6="Quarterly", 'Quarterly Calculation'!I48, 'Quarterly Calculation'!J48), 0)</f>
        <v>120</v>
      </c>
      <c r="L48" s="51">
        <f t="shared" si="1"/>
        <v>240</v>
      </c>
      <c r="M48" s="3">
        <f>IFERROR(IF(($D48&gt;='Main Input'!$D$6)*($D48&lt;='Main Input'!$D$7),K48/L48,0),Config!$Q$11)</f>
        <v>0.5</v>
      </c>
      <c r="N48" s="53">
        <f>VLOOKUP(A48,'Individual Bounds - Overall'!$A$2:$L$50,11,0)*M48</f>
        <v>120</v>
      </c>
      <c r="O48" s="53">
        <f>VLOOKUP(A48,'Individual Bounds - Overall'!$A$2:$L$50,12,0)*M48</f>
        <v>126</v>
      </c>
    </row>
    <row r="49" spans="1:15" x14ac:dyDescent="0.25">
      <c r="A49" s="3" t="s">
        <v>257</v>
      </c>
      <c r="B49" s="3" t="s">
        <v>218</v>
      </c>
      <c r="C49" s="3" t="s">
        <v>258</v>
      </c>
      <c r="D49" s="3" t="s">
        <v>77</v>
      </c>
      <c r="E49" s="51">
        <v>0</v>
      </c>
      <c r="F49" s="51">
        <f>SUMIFS($E$3:$E$198,$A$3:$A$198,"=" &amp; A49,$D$3:$D$198,"&gt;=" &amp; 'Main Input'!$D$6,$D$3:$D$198,"&lt;=" &amp; 'Main Input'!$D$7)</f>
        <v>0</v>
      </c>
      <c r="G49" s="3">
        <f>IFERROR(IF((D49&gt;='Main Input'!$D$6)*(D49&lt;='Main Input'!$D$7),E49/F49,0),Config!$Q$11)</f>
        <v>0.25</v>
      </c>
      <c r="H49" s="3">
        <f t="shared" si="2"/>
        <v>1</v>
      </c>
      <c r="I49" s="51">
        <f>INDEX('Base Scenario'!$A$1:$I$50,MATCH(A49,'Base Scenario'!$A$1:$A$50,0),MATCH(D49,'Base Scenario'!$A$1:$I$1,0))</f>
        <v>40</v>
      </c>
      <c r="J49" s="51">
        <f>VLOOKUP(A49,'Base Scenario'!$A$1:$I$50,9,0)*G49</f>
        <v>60</v>
      </c>
      <c r="K49" s="53">
        <f>IF(AND(D49&gt;='Main Input'!$D$6, D49&lt;='Main Input'!$D$7), IF('Optim Input'!$B$6="Quarterly", 'Quarterly Calculation'!I49, 'Quarterly Calculation'!J49), 0)</f>
        <v>40</v>
      </c>
      <c r="L49" s="51">
        <f t="shared" si="1"/>
        <v>240</v>
      </c>
      <c r="M49" s="3">
        <f>IFERROR(IF(($D49&gt;='Main Input'!$D$6)*($D49&lt;='Main Input'!$D$7),K49/L49,0),Config!$Q$11)</f>
        <v>0.16666666666666666</v>
      </c>
      <c r="N49" s="53">
        <f>VLOOKUP(A49,'Individual Bounds - Overall'!$A$2:$L$50,11,0)*M49</f>
        <v>40</v>
      </c>
      <c r="O49" s="53">
        <f>VLOOKUP(A49,'Individual Bounds - Overall'!$A$2:$L$50,12,0)*M49</f>
        <v>42</v>
      </c>
    </row>
    <row r="50" spans="1:15" x14ac:dyDescent="0.25">
      <c r="A50" s="3" t="s">
        <v>257</v>
      </c>
      <c r="B50" s="3" t="s">
        <v>218</v>
      </c>
      <c r="C50" s="3" t="s">
        <v>258</v>
      </c>
      <c r="D50" s="3" t="s">
        <v>78</v>
      </c>
      <c r="E50" s="51">
        <v>0</v>
      </c>
      <c r="F50" s="51">
        <f>SUMIFS($E$3:$E$198,$A$3:$A$198,"=" &amp; A50,$D$3:$D$198,"&gt;=" &amp; 'Main Input'!$D$6,$D$3:$D$198,"&lt;=" &amp; 'Main Input'!$D$7)</f>
        <v>0</v>
      </c>
      <c r="G50" s="3">
        <f>IFERROR(IF((D50&gt;='Main Input'!$D$6)*(D50&lt;='Main Input'!$D$7),E50/F50,0),Config!$Q$11)</f>
        <v>0.25</v>
      </c>
      <c r="H50" s="3">
        <f t="shared" si="2"/>
        <v>1</v>
      </c>
      <c r="I50" s="51">
        <f>INDEX('Base Scenario'!$A$1:$I$50,MATCH(A50,'Base Scenario'!$A$1:$A$50,0),MATCH(D50,'Base Scenario'!$A$1:$I$1,0))</f>
        <v>0</v>
      </c>
      <c r="J50" s="51">
        <f>VLOOKUP(A50,'Base Scenario'!$A$1:$I$50,9,0)*G50</f>
        <v>60</v>
      </c>
      <c r="K50" s="53">
        <f>IF(AND(D50&gt;='Main Input'!$D$6, D50&lt;='Main Input'!$D$7), IF('Optim Input'!$B$6="Quarterly", 'Quarterly Calculation'!I50, 'Quarterly Calculation'!J50), 0)</f>
        <v>0</v>
      </c>
      <c r="L50" s="51">
        <f t="shared" si="1"/>
        <v>240</v>
      </c>
      <c r="M50" s="3">
        <f>IFERROR(IF(($D50&gt;='Main Input'!$D$6)*($D50&lt;='Main Input'!$D$7),K50/L50,0),Config!$Q$11)</f>
        <v>0</v>
      </c>
      <c r="N50" s="53">
        <f>VLOOKUP(A50,'Individual Bounds - Overall'!$A$2:$L$50,11,0)*M50</f>
        <v>0</v>
      </c>
      <c r="O50" s="53">
        <f>VLOOKUP(A50,'Individual Bounds - Overall'!$A$2:$L$50,12,0)*M50</f>
        <v>0</v>
      </c>
    </row>
    <row r="51" spans="1:15" x14ac:dyDescent="0.25">
      <c r="A51" s="3" t="s">
        <v>259</v>
      </c>
      <c r="B51" s="3" t="s">
        <v>218</v>
      </c>
      <c r="C51" s="3" t="s">
        <v>260</v>
      </c>
      <c r="D51" s="3" t="s">
        <v>75</v>
      </c>
      <c r="E51" s="51">
        <v>0</v>
      </c>
      <c r="F51" s="51">
        <f>SUMIFS($E$3:$E$198,$A$3:$A$198,"=" &amp; A51,$D$3:$D$198,"&gt;=" &amp; 'Main Input'!$D$6,$D$3:$D$198,"&lt;=" &amp; 'Main Input'!$D$7)</f>
        <v>0</v>
      </c>
      <c r="G51" s="3">
        <f>IFERROR(IF((D51&gt;='Main Input'!$D$6)*(D51&lt;='Main Input'!$D$7),E51/F51,0),Config!$Q$11)</f>
        <v>0.25</v>
      </c>
      <c r="H51" s="3">
        <f t="shared" si="2"/>
        <v>1</v>
      </c>
      <c r="I51" s="51">
        <f>INDEX('Base Scenario'!$A$1:$I$50,MATCH(A51,'Base Scenario'!$A$1:$A$50,0),MATCH(D51,'Base Scenario'!$A$1:$I$1,0))</f>
        <v>50</v>
      </c>
      <c r="J51" s="51">
        <f>VLOOKUP(A51,'Base Scenario'!$A$1:$I$50,9,0)*G51</f>
        <v>87.5</v>
      </c>
      <c r="K51" s="53">
        <f>IF(AND(D51&gt;='Main Input'!$D$6, D51&lt;='Main Input'!$D$7), IF('Optim Input'!$B$6="Quarterly", 'Quarterly Calculation'!I51, 'Quarterly Calculation'!J51), 0)</f>
        <v>50</v>
      </c>
      <c r="L51" s="51">
        <f t="shared" si="1"/>
        <v>350</v>
      </c>
      <c r="M51" s="3">
        <f>IFERROR(IF(($D51&gt;='Main Input'!$D$6)*($D51&lt;='Main Input'!$D$7),K51/L51,0),Config!$Q$11)</f>
        <v>0.14285714285714285</v>
      </c>
      <c r="N51" s="53">
        <f>VLOOKUP(A51,'Individual Bounds - Overall'!$A$2:$L$50,11,0)*M51</f>
        <v>50</v>
      </c>
      <c r="O51" s="53">
        <f>VLOOKUP(A51,'Individual Bounds - Overall'!$A$2:$L$50,12,0)*M51</f>
        <v>52.5</v>
      </c>
    </row>
    <row r="52" spans="1:15" x14ac:dyDescent="0.25">
      <c r="A52" s="3" t="s">
        <v>259</v>
      </c>
      <c r="B52" s="3" t="s">
        <v>218</v>
      </c>
      <c r="C52" s="3" t="s">
        <v>260</v>
      </c>
      <c r="D52" s="3" t="s">
        <v>76</v>
      </c>
      <c r="E52" s="51">
        <v>0</v>
      </c>
      <c r="F52" s="51">
        <f>SUMIFS($E$3:$E$198,$A$3:$A$198,"=" &amp; A52,$D$3:$D$198,"&gt;=" &amp; 'Main Input'!$D$6,$D$3:$D$198,"&lt;=" &amp; 'Main Input'!$D$7)</f>
        <v>0</v>
      </c>
      <c r="G52" s="3">
        <f>IFERROR(IF((D52&gt;='Main Input'!$D$6)*(D52&lt;='Main Input'!$D$7),E52/F52,0),Config!$Q$11)</f>
        <v>0.25</v>
      </c>
      <c r="H52" s="3">
        <f t="shared" si="2"/>
        <v>1</v>
      </c>
      <c r="I52" s="51">
        <f>INDEX('Base Scenario'!$A$1:$I$50,MATCH(A52,'Base Scenario'!$A$1:$A$50,0),MATCH(D52,'Base Scenario'!$A$1:$I$1,0))</f>
        <v>0</v>
      </c>
      <c r="J52" s="51">
        <f>VLOOKUP(A52,'Base Scenario'!$A$1:$I$50,9,0)*G52</f>
        <v>87.5</v>
      </c>
      <c r="K52" s="53">
        <f>IF(AND(D52&gt;='Main Input'!$D$6, D52&lt;='Main Input'!$D$7), IF('Optim Input'!$B$6="Quarterly", 'Quarterly Calculation'!I52, 'Quarterly Calculation'!J52), 0)</f>
        <v>0</v>
      </c>
      <c r="L52" s="51">
        <f t="shared" si="1"/>
        <v>350</v>
      </c>
      <c r="M52" s="3">
        <f>IFERROR(IF(($D52&gt;='Main Input'!$D$6)*($D52&lt;='Main Input'!$D$7),K52/L52,0),Config!$Q$11)</f>
        <v>0</v>
      </c>
      <c r="N52" s="53">
        <f>VLOOKUP(A52,'Individual Bounds - Overall'!$A$2:$L$50,11,0)*M52</f>
        <v>0</v>
      </c>
      <c r="O52" s="53">
        <f>VLOOKUP(A52,'Individual Bounds - Overall'!$A$2:$L$50,12,0)*M52</f>
        <v>0</v>
      </c>
    </row>
    <row r="53" spans="1:15" x14ac:dyDescent="0.25">
      <c r="A53" s="3" t="s">
        <v>259</v>
      </c>
      <c r="B53" s="3" t="s">
        <v>218</v>
      </c>
      <c r="C53" s="3" t="s">
        <v>260</v>
      </c>
      <c r="D53" s="3" t="s">
        <v>77</v>
      </c>
      <c r="E53" s="51">
        <v>0</v>
      </c>
      <c r="F53" s="51">
        <f>SUMIFS($E$3:$E$198,$A$3:$A$198,"=" &amp; A53,$D$3:$D$198,"&gt;=" &amp; 'Main Input'!$D$6,$D$3:$D$198,"&lt;=" &amp; 'Main Input'!$D$7)</f>
        <v>0</v>
      </c>
      <c r="G53" s="3">
        <f>IFERROR(IF((D53&gt;='Main Input'!$D$6)*(D53&lt;='Main Input'!$D$7),E53/F53,0),Config!$Q$11)</f>
        <v>0.25</v>
      </c>
      <c r="H53" s="3">
        <f t="shared" si="2"/>
        <v>1</v>
      </c>
      <c r="I53" s="51">
        <f>INDEX('Base Scenario'!$A$1:$I$50,MATCH(A53,'Base Scenario'!$A$1:$A$50,0),MATCH(D53,'Base Scenario'!$A$1:$I$1,0))</f>
        <v>100</v>
      </c>
      <c r="J53" s="51">
        <f>VLOOKUP(A53,'Base Scenario'!$A$1:$I$50,9,0)*G53</f>
        <v>87.5</v>
      </c>
      <c r="K53" s="53">
        <f>IF(AND(D53&gt;='Main Input'!$D$6, D53&lt;='Main Input'!$D$7), IF('Optim Input'!$B$6="Quarterly", 'Quarterly Calculation'!I53, 'Quarterly Calculation'!J53), 0)</f>
        <v>100</v>
      </c>
      <c r="L53" s="51">
        <f t="shared" si="1"/>
        <v>350</v>
      </c>
      <c r="M53" s="3">
        <f>IFERROR(IF(($D53&gt;='Main Input'!$D$6)*($D53&lt;='Main Input'!$D$7),K53/L53,0),Config!$Q$11)</f>
        <v>0.2857142857142857</v>
      </c>
      <c r="N53" s="53">
        <f>VLOOKUP(A53,'Individual Bounds - Overall'!$A$2:$L$50,11,0)*M53</f>
        <v>100</v>
      </c>
      <c r="O53" s="53">
        <f>VLOOKUP(A53,'Individual Bounds - Overall'!$A$2:$L$50,12,0)*M53</f>
        <v>105</v>
      </c>
    </row>
    <row r="54" spans="1:15" x14ac:dyDescent="0.25">
      <c r="A54" s="3" t="s">
        <v>259</v>
      </c>
      <c r="B54" s="3" t="s">
        <v>218</v>
      </c>
      <c r="C54" s="3" t="s">
        <v>260</v>
      </c>
      <c r="D54" s="3" t="s">
        <v>78</v>
      </c>
      <c r="E54" s="51">
        <v>0</v>
      </c>
      <c r="F54" s="51">
        <f>SUMIFS($E$3:$E$198,$A$3:$A$198,"=" &amp; A54,$D$3:$D$198,"&gt;=" &amp; 'Main Input'!$D$6,$D$3:$D$198,"&lt;=" &amp; 'Main Input'!$D$7)</f>
        <v>0</v>
      </c>
      <c r="G54" s="3">
        <f>IFERROR(IF((D54&gt;='Main Input'!$D$6)*(D54&lt;='Main Input'!$D$7),E54/F54,0),Config!$Q$11)</f>
        <v>0.25</v>
      </c>
      <c r="H54" s="3">
        <f t="shared" si="2"/>
        <v>1</v>
      </c>
      <c r="I54" s="51">
        <f>INDEX('Base Scenario'!$A$1:$I$50,MATCH(A54,'Base Scenario'!$A$1:$A$50,0),MATCH(D54,'Base Scenario'!$A$1:$I$1,0))</f>
        <v>200</v>
      </c>
      <c r="J54" s="51">
        <f>VLOOKUP(A54,'Base Scenario'!$A$1:$I$50,9,0)*G54</f>
        <v>87.5</v>
      </c>
      <c r="K54" s="53">
        <f>IF(AND(D54&gt;='Main Input'!$D$6, D54&lt;='Main Input'!$D$7), IF('Optim Input'!$B$6="Quarterly", 'Quarterly Calculation'!I54, 'Quarterly Calculation'!J54), 0)</f>
        <v>200</v>
      </c>
      <c r="L54" s="51">
        <f t="shared" si="1"/>
        <v>350</v>
      </c>
      <c r="M54" s="3">
        <f>IFERROR(IF(($D54&gt;='Main Input'!$D$6)*($D54&lt;='Main Input'!$D$7),K54/L54,0),Config!$Q$11)</f>
        <v>0.5714285714285714</v>
      </c>
      <c r="N54" s="53">
        <f>VLOOKUP(A54,'Individual Bounds - Overall'!$A$2:$L$50,11,0)*M54</f>
        <v>200</v>
      </c>
      <c r="O54" s="53">
        <f>VLOOKUP(A54,'Individual Bounds - Overall'!$A$2:$L$50,12,0)*M54</f>
        <v>210</v>
      </c>
    </row>
    <row r="55" spans="1:15" x14ac:dyDescent="0.25">
      <c r="A55" s="3" t="s">
        <v>217</v>
      </c>
      <c r="B55" s="3" t="s">
        <v>218</v>
      </c>
      <c r="C55" s="3" t="s">
        <v>219</v>
      </c>
      <c r="D55" s="3" t="s">
        <v>75</v>
      </c>
      <c r="E55" s="51">
        <v>0</v>
      </c>
      <c r="F55" s="51">
        <f>SUMIFS($E$3:$E$198,$A$3:$A$198,"=" &amp; A55,$D$3:$D$198,"&gt;=" &amp; 'Main Input'!$D$6,$D$3:$D$198,"&lt;=" &amp; 'Main Input'!$D$7)</f>
        <v>0</v>
      </c>
      <c r="G55" s="3">
        <f>IFERROR(IF((D55&gt;='Main Input'!$D$6)*(D55&lt;='Main Input'!$D$7),E55/F55,0),Config!$Q$11)</f>
        <v>0.25</v>
      </c>
      <c r="H55" s="3">
        <f t="shared" si="0"/>
        <v>1</v>
      </c>
      <c r="I55" s="51">
        <f>INDEX('Base Scenario'!$A$1:$I$50,MATCH(A55,'Base Scenario'!$A$1:$A$50,0),MATCH(D55,'Base Scenario'!$A$1:$I$1,0))</f>
        <v>3007800</v>
      </c>
      <c r="J55" s="51">
        <f>VLOOKUP(A55,'Base Scenario'!$A$1:$I$50,9,0)*G55</f>
        <v>3134940</v>
      </c>
      <c r="K55" s="53">
        <f>IF(AND(D55&gt;='Main Input'!$D$6, D55&lt;='Main Input'!$D$7), IF('Optim Input'!$B$6="Quarterly", 'Quarterly Calculation'!I55, 'Quarterly Calculation'!J55), 0)</f>
        <v>3007800</v>
      </c>
      <c r="L55" s="51">
        <f t="shared" si="1"/>
        <v>12539760</v>
      </c>
      <c r="M55" s="3">
        <f>IFERROR(IF(($D55&gt;='Main Input'!$D$6)*($D55&lt;='Main Input'!$D$7),K55/L55,0),Config!$Q$11)</f>
        <v>0.23986104997224827</v>
      </c>
      <c r="N55" s="53">
        <f>VLOOKUP(A55,'Individual Bounds - Overall'!$A$2:$L$50,11,0)*M55</f>
        <v>3007800</v>
      </c>
      <c r="O55" s="53">
        <f>VLOOKUP(A55,'Individual Bounds - Overall'!$A$2:$L$50,12,0)*M55</f>
        <v>3158190</v>
      </c>
    </row>
    <row r="56" spans="1:15" x14ac:dyDescent="0.25">
      <c r="A56" s="3" t="s">
        <v>217</v>
      </c>
      <c r="B56" s="3" t="s">
        <v>218</v>
      </c>
      <c r="C56" s="3" t="s">
        <v>219</v>
      </c>
      <c r="D56" s="3" t="s">
        <v>76</v>
      </c>
      <c r="E56" s="51">
        <v>0</v>
      </c>
      <c r="F56" s="51">
        <f>SUMIFS($E$3:$E$198,$A$3:$A$198,"=" &amp; A56,$D$3:$D$198,"&gt;=" &amp; 'Main Input'!$D$6,$D$3:$D$198,"&lt;=" &amp; 'Main Input'!$D$7)</f>
        <v>0</v>
      </c>
      <c r="G56" s="3">
        <f>IFERROR(IF((D56&gt;='Main Input'!$D$6)*(D56&lt;='Main Input'!$D$7),E56/F56,0),Config!$Q$11)</f>
        <v>0.25</v>
      </c>
      <c r="H56" s="3">
        <f t="shared" si="0"/>
        <v>1</v>
      </c>
      <c r="I56" s="51">
        <f>INDEX('Base Scenario'!$A$1:$I$50,MATCH(A56,'Base Scenario'!$A$1:$A$50,0),MATCH(D56,'Base Scenario'!$A$1:$I$1,0))</f>
        <v>2548140</v>
      </c>
      <c r="J56" s="51">
        <f>VLOOKUP(A56,'Base Scenario'!$A$1:$I$50,9,0)*G56</f>
        <v>3134940</v>
      </c>
      <c r="K56" s="53">
        <f>IF(AND(D56&gt;='Main Input'!$D$6, D56&lt;='Main Input'!$D$7), IF('Optim Input'!$B$6="Quarterly", 'Quarterly Calculation'!I56, 'Quarterly Calculation'!J56), 0)</f>
        <v>2548140</v>
      </c>
      <c r="L56" s="51">
        <f t="shared" si="1"/>
        <v>12539760</v>
      </c>
      <c r="M56" s="3">
        <f>IFERROR(IF(($D56&gt;='Main Input'!$D$6)*($D56&lt;='Main Input'!$D$7),K56/L56,0),Config!$Q$11)</f>
        <v>0.20320484602576125</v>
      </c>
      <c r="N56" s="53">
        <f>VLOOKUP(A56,'Individual Bounds - Overall'!$A$2:$L$50,11,0)*M56</f>
        <v>2548140</v>
      </c>
      <c r="O56" s="53">
        <f>VLOOKUP(A56,'Individual Bounds - Overall'!$A$2:$L$50,12,0)*M56</f>
        <v>2675547</v>
      </c>
    </row>
    <row r="57" spans="1:15" x14ac:dyDescent="0.25">
      <c r="A57" s="3" t="s">
        <v>217</v>
      </c>
      <c r="B57" s="3" t="s">
        <v>218</v>
      </c>
      <c r="C57" s="3" t="s">
        <v>219</v>
      </c>
      <c r="D57" s="3" t="s">
        <v>77</v>
      </c>
      <c r="E57" s="51">
        <v>0</v>
      </c>
      <c r="F57" s="51">
        <f>SUMIFS($E$3:$E$198,$A$3:$A$198,"=" &amp; A57,$D$3:$D$198,"&gt;=" &amp; 'Main Input'!$D$6,$D$3:$D$198,"&lt;=" &amp; 'Main Input'!$D$7)</f>
        <v>0</v>
      </c>
      <c r="G57" s="3">
        <f>IFERROR(IF((D57&gt;='Main Input'!$D$6)*(D57&lt;='Main Input'!$D$7),E57/F57,0),Config!$Q$11)</f>
        <v>0.25</v>
      </c>
      <c r="H57" s="3">
        <f t="shared" si="0"/>
        <v>1</v>
      </c>
      <c r="I57" s="51">
        <f>INDEX('Base Scenario'!$A$1:$I$50,MATCH(A57,'Base Scenario'!$A$1:$A$50,0),MATCH(D57,'Base Scenario'!$A$1:$I$1,0))</f>
        <v>3301440</v>
      </c>
      <c r="J57" s="51">
        <f>VLOOKUP(A57,'Base Scenario'!$A$1:$I$50,9,0)*G57</f>
        <v>3134940</v>
      </c>
      <c r="K57" s="53">
        <f>IF(AND(D57&gt;='Main Input'!$D$6, D57&lt;='Main Input'!$D$7), IF('Optim Input'!$B$6="Quarterly", 'Quarterly Calculation'!I57, 'Quarterly Calculation'!J57), 0)</f>
        <v>3301440</v>
      </c>
      <c r="L57" s="51">
        <f t="shared" si="1"/>
        <v>12539760</v>
      </c>
      <c r="M57" s="3">
        <f>IFERROR(IF(($D57&gt;='Main Input'!$D$6)*($D57&lt;='Main Input'!$D$7),K57/L57,0),Config!$Q$11)</f>
        <v>0.26327776608164749</v>
      </c>
      <c r="N57" s="53">
        <f>VLOOKUP(A57,'Individual Bounds - Overall'!$A$2:$L$50,11,0)*M57</f>
        <v>3301440</v>
      </c>
      <c r="O57" s="53">
        <f>VLOOKUP(A57,'Individual Bounds - Overall'!$A$2:$L$50,12,0)*M57</f>
        <v>3466512</v>
      </c>
    </row>
    <row r="58" spans="1:15" x14ac:dyDescent="0.25">
      <c r="A58" s="3" t="s">
        <v>217</v>
      </c>
      <c r="B58" s="3" t="s">
        <v>218</v>
      </c>
      <c r="C58" s="3" t="s">
        <v>219</v>
      </c>
      <c r="D58" s="3" t="s">
        <v>78</v>
      </c>
      <c r="E58" s="51">
        <v>0</v>
      </c>
      <c r="F58" s="51">
        <f>SUMIFS($E$3:$E$198,$A$3:$A$198,"=" &amp; A58,$D$3:$D$198,"&gt;=" &amp; 'Main Input'!$D$6,$D$3:$D$198,"&lt;=" &amp; 'Main Input'!$D$7)</f>
        <v>0</v>
      </c>
      <c r="G58" s="3">
        <f>IFERROR(IF((D58&gt;='Main Input'!$D$6)*(D58&lt;='Main Input'!$D$7),E58/F58,0),Config!$Q$11)</f>
        <v>0.25</v>
      </c>
      <c r="H58" s="3">
        <f t="shared" si="0"/>
        <v>1</v>
      </c>
      <c r="I58" s="51">
        <f>INDEX('Base Scenario'!$A$1:$I$50,MATCH(A58,'Base Scenario'!$A$1:$A$50,0),MATCH(D58,'Base Scenario'!$A$1:$I$1,0))</f>
        <v>3682380</v>
      </c>
      <c r="J58" s="51">
        <f>VLOOKUP(A58,'Base Scenario'!$A$1:$I$50,9,0)*G58</f>
        <v>3134940</v>
      </c>
      <c r="K58" s="53">
        <f>IF(AND(D58&gt;='Main Input'!$D$6, D58&lt;='Main Input'!$D$7), IF('Optim Input'!$B$6="Quarterly", 'Quarterly Calculation'!I58, 'Quarterly Calculation'!J58), 0)</f>
        <v>3682380</v>
      </c>
      <c r="L58" s="51">
        <f t="shared" si="1"/>
        <v>12539760</v>
      </c>
      <c r="M58" s="3">
        <f>IFERROR(IF(($D58&gt;='Main Input'!$D$6)*($D58&lt;='Main Input'!$D$7),K58/L58,0),Config!$Q$11)</f>
        <v>0.29365633792034296</v>
      </c>
      <c r="N58" s="53">
        <f>VLOOKUP(A58,'Individual Bounds - Overall'!$A$2:$L$50,11,0)*M58</f>
        <v>3682380</v>
      </c>
      <c r="O58" s="53">
        <f>VLOOKUP(A58,'Individual Bounds - Overall'!$A$2:$L$50,12,0)*M58</f>
        <v>3866499</v>
      </c>
    </row>
    <row r="59" spans="1:15" x14ac:dyDescent="0.25">
      <c r="A59" s="3" t="s">
        <v>220</v>
      </c>
      <c r="B59" s="3" t="s">
        <v>218</v>
      </c>
      <c r="C59" s="3" t="s">
        <v>221</v>
      </c>
      <c r="D59" s="3" t="s">
        <v>75</v>
      </c>
      <c r="E59" s="51">
        <v>0</v>
      </c>
      <c r="F59" s="51">
        <f>SUMIFS($E$3:$E$198,$A$3:$A$198,"=" &amp; A59,$D$3:$D$198,"&gt;=" &amp; 'Main Input'!$D$6,$D$3:$D$198,"&lt;=" &amp; 'Main Input'!$D$7)</f>
        <v>1436729</v>
      </c>
      <c r="G59" s="3">
        <f>IFERROR(IF((D59&gt;='Main Input'!$D$6)*(D59&lt;='Main Input'!$D$7),E59/F59,0),Config!$Q$11)</f>
        <v>0</v>
      </c>
      <c r="H59" s="3">
        <f t="shared" si="0"/>
        <v>1</v>
      </c>
      <c r="I59" s="51">
        <f>INDEX('Base Scenario'!$A$1:$I$50,MATCH(A59,'Base Scenario'!$A$1:$A$50,0),MATCH(D59,'Base Scenario'!$A$1:$I$1,0))</f>
        <v>503680</v>
      </c>
      <c r="J59" s="51">
        <f>VLOOKUP(A59,'Base Scenario'!$A$1:$I$50,9,0)*G59</f>
        <v>0</v>
      </c>
      <c r="K59" s="53">
        <f>IF(AND(D59&gt;='Main Input'!$D$6, D59&lt;='Main Input'!$D$7), IF('Optim Input'!$B$6="Quarterly", 'Quarterly Calculation'!I59, 'Quarterly Calculation'!J59), 0)</f>
        <v>503680</v>
      </c>
      <c r="L59" s="51">
        <f t="shared" si="1"/>
        <v>12748560</v>
      </c>
      <c r="M59" s="3">
        <f>IFERROR(IF(($D59&gt;='Main Input'!$D$6)*($D59&lt;='Main Input'!$D$7),K59/L59,0),Config!$Q$11)</f>
        <v>3.9508775893120476E-2</v>
      </c>
      <c r="N59" s="53">
        <f>VLOOKUP(A59,'Individual Bounds - Overall'!$A$2:$L$50,11,0)*M59</f>
        <v>503680</v>
      </c>
      <c r="O59" s="53">
        <f>VLOOKUP(A59,'Individual Bounds - Overall'!$A$2:$L$50,12,0)*M59</f>
        <v>528864</v>
      </c>
    </row>
    <row r="60" spans="1:15" x14ac:dyDescent="0.25">
      <c r="A60" s="3" t="s">
        <v>220</v>
      </c>
      <c r="B60" s="3" t="s">
        <v>218</v>
      </c>
      <c r="C60" s="3" t="s">
        <v>221</v>
      </c>
      <c r="D60" s="3" t="s">
        <v>76</v>
      </c>
      <c r="E60" s="51">
        <v>785184</v>
      </c>
      <c r="F60" s="51">
        <f>SUMIFS($E$3:$E$198,$A$3:$A$198,"=" &amp; A60,$D$3:$D$198,"&gt;=" &amp; 'Main Input'!$D$6,$D$3:$D$198,"&lt;=" &amp; 'Main Input'!$D$7)</f>
        <v>1436729</v>
      </c>
      <c r="G60" s="3">
        <f>IFERROR(IF((D60&gt;='Main Input'!$D$6)*(D60&lt;='Main Input'!$D$7),E60/F60,0),Config!$Q$11)</f>
        <v>0.54650807493967202</v>
      </c>
      <c r="H60" s="3">
        <f t="shared" si="0"/>
        <v>1</v>
      </c>
      <c r="I60" s="51">
        <f>INDEX('Base Scenario'!$A$1:$I$50,MATCH(A60,'Base Scenario'!$A$1:$A$50,0),MATCH(D60,'Base Scenario'!$A$1:$I$1,0))</f>
        <v>1126320</v>
      </c>
      <c r="J60" s="51">
        <f>VLOOKUP(A60,'Base Scenario'!$A$1:$I$50,9,0)*G60</f>
        <v>6967190.9838529052</v>
      </c>
      <c r="K60" s="53">
        <f>IF(AND(D60&gt;='Main Input'!$D$6, D60&lt;='Main Input'!$D$7), IF('Optim Input'!$B$6="Quarterly", 'Quarterly Calculation'!I60, 'Quarterly Calculation'!J60), 0)</f>
        <v>1126320</v>
      </c>
      <c r="L60" s="51">
        <f t="shared" si="1"/>
        <v>12748560</v>
      </c>
      <c r="M60" s="3">
        <f>IFERROR(IF(($D60&gt;='Main Input'!$D$6)*($D60&lt;='Main Input'!$D$7),K60/L60,0),Config!$Q$11)</f>
        <v>8.8348801747020839E-2</v>
      </c>
      <c r="N60" s="53">
        <f>VLOOKUP(A60,'Individual Bounds - Overall'!$A$2:$L$50,11,0)*M60</f>
        <v>1126320</v>
      </c>
      <c r="O60" s="53">
        <f>VLOOKUP(A60,'Individual Bounds - Overall'!$A$2:$L$50,12,0)*M60</f>
        <v>1182636</v>
      </c>
    </row>
    <row r="61" spans="1:15" x14ac:dyDescent="0.25">
      <c r="A61" s="3" t="s">
        <v>220</v>
      </c>
      <c r="B61" s="3" t="s">
        <v>218</v>
      </c>
      <c r="C61" s="3" t="s">
        <v>221</v>
      </c>
      <c r="D61" s="3" t="s">
        <v>77</v>
      </c>
      <c r="E61" s="51">
        <v>651545</v>
      </c>
      <c r="F61" s="51">
        <f>SUMIFS($E$3:$E$198,$A$3:$A$198,"=" &amp; A61,$D$3:$D$198,"&gt;=" &amp; 'Main Input'!$D$6,$D$3:$D$198,"&lt;=" &amp; 'Main Input'!$D$7)</f>
        <v>1436729</v>
      </c>
      <c r="G61" s="3">
        <f>IFERROR(IF((D61&gt;='Main Input'!$D$6)*(D61&lt;='Main Input'!$D$7),E61/F61,0),Config!$Q$11)</f>
        <v>0.45349192506032798</v>
      </c>
      <c r="H61" s="3">
        <f t="shared" si="0"/>
        <v>1</v>
      </c>
      <c r="I61" s="51">
        <f>INDEX('Base Scenario'!$A$1:$I$50,MATCH(A61,'Base Scenario'!$A$1:$A$50,0),MATCH(D61,'Base Scenario'!$A$1:$I$1,0))</f>
        <v>70880</v>
      </c>
      <c r="J61" s="51">
        <f>VLOOKUP(A61,'Base Scenario'!$A$1:$I$50,9,0)*G61</f>
        <v>5781369.0161470948</v>
      </c>
      <c r="K61" s="53">
        <f>IF(AND(D61&gt;='Main Input'!$D$6, D61&lt;='Main Input'!$D$7), IF('Optim Input'!$B$6="Quarterly", 'Quarterly Calculation'!I61, 'Quarterly Calculation'!J61), 0)</f>
        <v>70880</v>
      </c>
      <c r="L61" s="51">
        <f t="shared" si="1"/>
        <v>12748560</v>
      </c>
      <c r="M61" s="3">
        <f>IFERROR(IF(($D61&gt;='Main Input'!$D$6)*($D61&lt;='Main Input'!$D$7),K61/L61,0),Config!$Q$11)</f>
        <v>5.5598436215541207E-3</v>
      </c>
      <c r="N61" s="53">
        <f>VLOOKUP(A61,'Individual Bounds - Overall'!$A$2:$L$50,11,0)*M61</f>
        <v>70880</v>
      </c>
      <c r="O61" s="53">
        <f>VLOOKUP(A61,'Individual Bounds - Overall'!$A$2:$L$50,12,0)*M61</f>
        <v>74424</v>
      </c>
    </row>
    <row r="62" spans="1:15" x14ac:dyDescent="0.25">
      <c r="A62" s="3" t="s">
        <v>220</v>
      </c>
      <c r="B62" s="3" t="s">
        <v>218</v>
      </c>
      <c r="C62" s="3" t="s">
        <v>221</v>
      </c>
      <c r="D62" s="3" t="s">
        <v>78</v>
      </c>
      <c r="E62" s="51">
        <v>0</v>
      </c>
      <c r="F62" s="51">
        <f>SUMIFS($E$3:$E$198,$A$3:$A$198,"=" &amp; A62,$D$3:$D$198,"&gt;=" &amp; 'Main Input'!$D$6,$D$3:$D$198,"&lt;=" &amp; 'Main Input'!$D$7)</f>
        <v>1436729</v>
      </c>
      <c r="G62" s="3">
        <f>IFERROR(IF((D62&gt;='Main Input'!$D$6)*(D62&lt;='Main Input'!$D$7),E62/F62,0),Config!$Q$11)</f>
        <v>0</v>
      </c>
      <c r="H62" s="3">
        <f t="shared" si="0"/>
        <v>1</v>
      </c>
      <c r="I62" s="51">
        <f>INDEX('Base Scenario'!$A$1:$I$50,MATCH(A62,'Base Scenario'!$A$1:$A$50,0),MATCH(D62,'Base Scenario'!$A$1:$I$1,0))</f>
        <v>11047680</v>
      </c>
      <c r="J62" s="51">
        <f>VLOOKUP(A62,'Base Scenario'!$A$1:$I$50,9,0)*G62</f>
        <v>0</v>
      </c>
      <c r="K62" s="53">
        <f>IF(AND(D62&gt;='Main Input'!$D$6, D62&lt;='Main Input'!$D$7), IF('Optim Input'!$B$6="Quarterly", 'Quarterly Calculation'!I62, 'Quarterly Calculation'!J62), 0)</f>
        <v>11047680</v>
      </c>
      <c r="L62" s="51">
        <f t="shared" si="1"/>
        <v>12748560</v>
      </c>
      <c r="M62" s="3">
        <f>IFERROR(IF(($D62&gt;='Main Input'!$D$6)*($D62&lt;='Main Input'!$D$7),K62/L62,0),Config!$Q$11)</f>
        <v>0.86658257873830458</v>
      </c>
      <c r="N62" s="53">
        <f>VLOOKUP(A62,'Individual Bounds - Overall'!$A$2:$L$50,11,0)*M62</f>
        <v>11047680</v>
      </c>
      <c r="O62" s="53">
        <f>VLOOKUP(A62,'Individual Bounds - Overall'!$A$2:$L$50,12,0)*M62</f>
        <v>11600064</v>
      </c>
    </row>
    <row r="63" spans="1:15" x14ac:dyDescent="0.25">
      <c r="A63" s="3" t="s">
        <v>225</v>
      </c>
      <c r="B63" s="3" t="s">
        <v>223</v>
      </c>
      <c r="C63" s="3" t="s">
        <v>226</v>
      </c>
      <c r="D63" s="3" t="s">
        <v>75</v>
      </c>
      <c r="E63" s="51">
        <v>0</v>
      </c>
      <c r="F63" s="51">
        <f>SUMIFS($E$3:$E$198,$A$3:$A$198,"=" &amp; A63,$D$3:$D$198,"&gt;=" &amp; 'Main Input'!$D$6,$D$3:$D$198,"&lt;=" &amp; 'Main Input'!$D$7)</f>
        <v>1363274</v>
      </c>
      <c r="G63" s="3">
        <f>IFERROR(IF((D63&gt;='Main Input'!$D$6)*(D63&lt;='Main Input'!$D$7),E63/F63,0),Config!$Q$11)</f>
        <v>0</v>
      </c>
      <c r="H63" s="3">
        <f t="shared" si="0"/>
        <v>1</v>
      </c>
      <c r="I63" s="51">
        <f>INDEX('Base Scenario'!$A$1:$I$50,MATCH(A63,'Base Scenario'!$A$1:$A$50,0),MATCH(D63,'Base Scenario'!$A$1:$I$1,0))</f>
        <v>326564.7</v>
      </c>
      <c r="J63" s="51">
        <f>VLOOKUP(A63,'Base Scenario'!$A$1:$I$50,9,0)*G63</f>
        <v>0</v>
      </c>
      <c r="K63" s="53">
        <f>IF(AND(D63&gt;='Main Input'!$D$6, D63&lt;='Main Input'!$D$7), IF('Optim Input'!$B$6="Quarterly", 'Quarterly Calculation'!I63, 'Quarterly Calculation'!J63), 0)</f>
        <v>326564.7</v>
      </c>
      <c r="L63" s="51">
        <f t="shared" si="1"/>
        <v>1918334.1</v>
      </c>
      <c r="M63" s="3">
        <f>IFERROR(IF(($D63&gt;='Main Input'!$D$6)*($D63&lt;='Main Input'!$D$7),K63/L63,0),Config!$Q$11)</f>
        <v>0.17023348539756447</v>
      </c>
      <c r="N63" s="53">
        <f>VLOOKUP(A63,'Individual Bounds - Overall'!$A$2:$L$50,11,0)*M63</f>
        <v>326564.7</v>
      </c>
      <c r="O63" s="53">
        <f>VLOOKUP(A63,'Individual Bounds - Overall'!$A$2:$L$50,12,0)*M63</f>
        <v>342892.935</v>
      </c>
    </row>
    <row r="64" spans="1:15" x14ac:dyDescent="0.25">
      <c r="A64" s="3" t="s">
        <v>225</v>
      </c>
      <c r="B64" s="3" t="s">
        <v>223</v>
      </c>
      <c r="C64" s="3" t="s">
        <v>226</v>
      </c>
      <c r="D64" s="3" t="s">
        <v>76</v>
      </c>
      <c r="E64" s="51">
        <v>310259</v>
      </c>
      <c r="F64" s="51">
        <f>SUMIFS($E$3:$E$198,$A$3:$A$198,"=" &amp; A64,$D$3:$D$198,"&gt;=" &amp; 'Main Input'!$D$6,$D$3:$D$198,"&lt;=" &amp; 'Main Input'!$D$7)</f>
        <v>1363274</v>
      </c>
      <c r="G64" s="3">
        <f>IFERROR(IF((D64&gt;='Main Input'!$D$6)*(D64&lt;='Main Input'!$D$7),E64/F64,0),Config!$Q$11)</f>
        <v>0.22758374325337385</v>
      </c>
      <c r="H64" s="3">
        <f t="shared" si="0"/>
        <v>1</v>
      </c>
      <c r="I64" s="51">
        <f>INDEX('Base Scenario'!$A$1:$I$50,MATCH(A64,'Base Scenario'!$A$1:$A$50,0),MATCH(D64,'Base Scenario'!$A$1:$I$1,0))</f>
        <v>295276.90000000002</v>
      </c>
      <c r="J64" s="51">
        <f>VLOOKUP(A64,'Base Scenario'!$A$1:$I$50,9,0)*G64</f>
        <v>436581.65528859204</v>
      </c>
      <c r="K64" s="53">
        <f>IF(AND(D64&gt;='Main Input'!$D$6, D64&lt;='Main Input'!$D$7), IF('Optim Input'!$B$6="Quarterly", 'Quarterly Calculation'!I64, 'Quarterly Calculation'!J64), 0)</f>
        <v>295276.90000000002</v>
      </c>
      <c r="L64" s="51">
        <f t="shared" si="1"/>
        <v>1918334.1</v>
      </c>
      <c r="M64" s="3">
        <f>IFERROR(IF(($D64&gt;='Main Input'!$D$6)*($D64&lt;='Main Input'!$D$7),K64/L64,0),Config!$Q$11)</f>
        <v>0.15392360486111362</v>
      </c>
      <c r="N64" s="53">
        <f>VLOOKUP(A64,'Individual Bounds - Overall'!$A$2:$L$50,11,0)*M64</f>
        <v>295276.90000000002</v>
      </c>
      <c r="O64" s="53">
        <f>VLOOKUP(A64,'Individual Bounds - Overall'!$A$2:$L$50,12,0)*M64</f>
        <v>310040.74500000005</v>
      </c>
    </row>
    <row r="65" spans="1:15" x14ac:dyDescent="0.25">
      <c r="A65" s="3" t="s">
        <v>225</v>
      </c>
      <c r="B65" s="3" t="s">
        <v>223</v>
      </c>
      <c r="C65" s="3" t="s">
        <v>226</v>
      </c>
      <c r="D65" s="3" t="s">
        <v>77</v>
      </c>
      <c r="E65" s="51">
        <v>1053015</v>
      </c>
      <c r="F65" s="51">
        <f>SUMIFS($E$3:$E$198,$A$3:$A$198,"=" &amp; A65,$D$3:$D$198,"&gt;=" &amp; 'Main Input'!$D$6,$D$3:$D$198,"&lt;=" &amp; 'Main Input'!$D$7)</f>
        <v>1363274</v>
      </c>
      <c r="G65" s="3">
        <f>IFERROR(IF((D65&gt;='Main Input'!$D$6)*(D65&lt;='Main Input'!$D$7),E65/F65,0),Config!$Q$11)</f>
        <v>0.77241625674662617</v>
      </c>
      <c r="H65" s="3">
        <f t="shared" si="0"/>
        <v>1</v>
      </c>
      <c r="I65" s="51">
        <f>INDEX('Base Scenario'!$A$1:$I$50,MATCH(A65,'Base Scenario'!$A$1:$A$50,0),MATCH(D65,'Base Scenario'!$A$1:$I$1,0))</f>
        <v>249110.5</v>
      </c>
      <c r="J65" s="51">
        <f>VLOOKUP(A65,'Base Scenario'!$A$1:$I$50,9,0)*G65</f>
        <v>1481752.4447114081</v>
      </c>
      <c r="K65" s="53">
        <f>IF(AND(D65&gt;='Main Input'!$D$6, D65&lt;='Main Input'!$D$7), IF('Optim Input'!$B$6="Quarterly", 'Quarterly Calculation'!I65, 'Quarterly Calculation'!J65), 0)</f>
        <v>249110.5</v>
      </c>
      <c r="L65" s="51">
        <f t="shared" si="1"/>
        <v>1918334.1</v>
      </c>
      <c r="M65" s="3">
        <f>IFERROR(IF(($D65&gt;='Main Input'!$D$6)*($D65&lt;='Main Input'!$D$7),K65/L65,0),Config!$Q$11)</f>
        <v>0.12985772394912856</v>
      </c>
      <c r="N65" s="53">
        <f>VLOOKUP(A65,'Individual Bounds - Overall'!$A$2:$L$50,11,0)*M65</f>
        <v>249110.5</v>
      </c>
      <c r="O65" s="53">
        <f>VLOOKUP(A65,'Individual Bounds - Overall'!$A$2:$L$50,12,0)*M65</f>
        <v>261566.02499999999</v>
      </c>
    </row>
    <row r="66" spans="1:15" x14ac:dyDescent="0.25">
      <c r="A66" s="3" t="s">
        <v>225</v>
      </c>
      <c r="B66" s="3" t="s">
        <v>223</v>
      </c>
      <c r="C66" s="3" t="s">
        <v>226</v>
      </c>
      <c r="D66" s="3" t="s">
        <v>78</v>
      </c>
      <c r="E66" s="51">
        <v>0</v>
      </c>
      <c r="F66" s="51">
        <f>SUMIFS($E$3:$E$198,$A$3:$A$198,"=" &amp; A66,$D$3:$D$198,"&gt;=" &amp; 'Main Input'!$D$6,$D$3:$D$198,"&lt;=" &amp; 'Main Input'!$D$7)</f>
        <v>1363274</v>
      </c>
      <c r="G66" s="3">
        <f>IFERROR(IF((D66&gt;='Main Input'!$D$6)*(D66&lt;='Main Input'!$D$7),E66/F66,0),Config!$Q$11)</f>
        <v>0</v>
      </c>
      <c r="H66" s="3">
        <f t="shared" si="0"/>
        <v>1</v>
      </c>
      <c r="I66" s="51">
        <f>INDEX('Base Scenario'!$A$1:$I$50,MATCH(A66,'Base Scenario'!$A$1:$A$50,0),MATCH(D66,'Base Scenario'!$A$1:$I$1,0))</f>
        <v>1047382</v>
      </c>
      <c r="J66" s="51">
        <f>VLOOKUP(A66,'Base Scenario'!$A$1:$I$50,9,0)*G66</f>
        <v>0</v>
      </c>
      <c r="K66" s="53">
        <f>IF(AND(D66&gt;='Main Input'!$D$6, D66&lt;='Main Input'!$D$7), IF('Optim Input'!$B$6="Quarterly", 'Quarterly Calculation'!I66, 'Quarterly Calculation'!J66), 0)</f>
        <v>1047382</v>
      </c>
      <c r="L66" s="51">
        <f t="shared" si="1"/>
        <v>1918334.1</v>
      </c>
      <c r="M66" s="3">
        <f>IFERROR(IF(($D66&gt;='Main Input'!$D$6)*($D66&lt;='Main Input'!$D$7),K66/L66,0),Config!$Q$11)</f>
        <v>0.54598518579219335</v>
      </c>
      <c r="N66" s="53">
        <f>VLOOKUP(A66,'Individual Bounds - Overall'!$A$2:$L$50,11,0)*M66</f>
        <v>1047382.0000000001</v>
      </c>
      <c r="O66" s="53">
        <f>VLOOKUP(A66,'Individual Bounds - Overall'!$A$2:$L$50,12,0)*M66</f>
        <v>1099751.1000000001</v>
      </c>
    </row>
    <row r="67" spans="1:15" x14ac:dyDescent="0.25">
      <c r="A67" s="3" t="s">
        <v>227</v>
      </c>
      <c r="B67" s="3" t="s">
        <v>223</v>
      </c>
      <c r="C67" s="3" t="s">
        <v>228</v>
      </c>
      <c r="D67" s="3" t="s">
        <v>75</v>
      </c>
      <c r="E67" s="51">
        <v>424020</v>
      </c>
      <c r="F67" s="51">
        <f>SUMIFS($E$3:$E$198,$A$3:$A$198,"=" &amp; A67,$D$3:$D$198,"&gt;=" &amp; 'Main Input'!$D$6,$D$3:$D$198,"&lt;=" &amp; 'Main Input'!$D$7)</f>
        <v>3206680</v>
      </c>
      <c r="G67" s="3">
        <f>IFERROR(IF((D67&gt;='Main Input'!$D$6)*(D67&lt;='Main Input'!$D$7),E67/F67,0),Config!$Q$11)</f>
        <v>0.13223021941696708</v>
      </c>
      <c r="H67" s="3">
        <f t="shared" si="0"/>
        <v>1</v>
      </c>
      <c r="I67" s="51">
        <f>INDEX('Base Scenario'!$A$1:$I$50,MATCH(A67,'Base Scenario'!$A$1:$A$50,0),MATCH(D67,'Base Scenario'!$A$1:$I$1,0))</f>
        <v>209555.9</v>
      </c>
      <c r="J67" s="51">
        <f>VLOOKUP(A67,'Base Scenario'!$A$1:$I$50,9,0)*G67</f>
        <v>107257.20695485672</v>
      </c>
      <c r="K67" s="53">
        <f>IF(AND(D67&gt;='Main Input'!$D$6, D67&lt;='Main Input'!$D$7), IF('Optim Input'!$B$6="Quarterly", 'Quarterly Calculation'!I67, 'Quarterly Calculation'!J67), 0)</f>
        <v>209555.9</v>
      </c>
      <c r="L67" s="51">
        <f t="shared" si="1"/>
        <v>811139.89999999991</v>
      </c>
      <c r="M67" s="3">
        <f>IFERROR(IF(($D67&gt;='Main Input'!$D$6)*($D67&lt;='Main Input'!$D$7),K67/L67,0),Config!$Q$11)</f>
        <v>0.25834741947720735</v>
      </c>
      <c r="N67" s="53">
        <f>VLOOKUP(A67,'Individual Bounds - Overall'!$A$2:$L$50,11,0)*M67</f>
        <v>209555.9</v>
      </c>
      <c r="O67" s="53">
        <f>VLOOKUP(A67,'Individual Bounds - Overall'!$A$2:$L$50,12,0)*M67</f>
        <v>220033.69500000001</v>
      </c>
    </row>
    <row r="68" spans="1:15" x14ac:dyDescent="0.25">
      <c r="A68" s="3" t="s">
        <v>227</v>
      </c>
      <c r="B68" s="3" t="s">
        <v>223</v>
      </c>
      <c r="C68" s="3" t="s">
        <v>228</v>
      </c>
      <c r="D68" s="3" t="s">
        <v>76</v>
      </c>
      <c r="E68" s="51">
        <v>1216399</v>
      </c>
      <c r="F68" s="51">
        <f>SUMIFS($E$3:$E$198,$A$3:$A$198,"=" &amp; A68,$D$3:$D$198,"&gt;=" &amp; 'Main Input'!$D$6,$D$3:$D$198,"&lt;=" &amp; 'Main Input'!$D$7)</f>
        <v>3206680</v>
      </c>
      <c r="G68" s="3">
        <f>IFERROR(IF((D68&gt;='Main Input'!$D$6)*(D68&lt;='Main Input'!$D$7),E68/F68,0),Config!$Q$11)</f>
        <v>0.37933283021692216</v>
      </c>
      <c r="H68" s="3">
        <f t="shared" si="0"/>
        <v>1</v>
      </c>
      <c r="I68" s="51">
        <f>INDEX('Base Scenario'!$A$1:$I$50,MATCH(A68,'Base Scenario'!$A$1:$A$50,0),MATCH(D68,'Base Scenario'!$A$1:$I$1,0))</f>
        <v>182367.2</v>
      </c>
      <c r="J68" s="51">
        <f>VLOOKUP(A68,'Base Scenario'!$A$1:$I$50,9,0)*G68</f>
        <v>307691.99396887119</v>
      </c>
      <c r="K68" s="53">
        <f>IF(AND(D68&gt;='Main Input'!$D$6, D68&lt;='Main Input'!$D$7), IF('Optim Input'!$B$6="Quarterly", 'Quarterly Calculation'!I68, 'Quarterly Calculation'!J68), 0)</f>
        <v>182367.2</v>
      </c>
      <c r="L68" s="51">
        <f t="shared" si="1"/>
        <v>811139.89999999991</v>
      </c>
      <c r="M68" s="3">
        <f>IFERROR(IF(($D68&gt;='Main Input'!$D$6)*($D68&lt;='Main Input'!$D$7),K68/L68,0),Config!$Q$11)</f>
        <v>0.22482829410808178</v>
      </c>
      <c r="N68" s="53">
        <f>VLOOKUP(A68,'Individual Bounds - Overall'!$A$2:$L$50,11,0)*M68</f>
        <v>182367.2</v>
      </c>
      <c r="O68" s="53">
        <f>VLOOKUP(A68,'Individual Bounds - Overall'!$A$2:$L$50,12,0)*M68</f>
        <v>191485.56000000003</v>
      </c>
    </row>
    <row r="69" spans="1:15" x14ac:dyDescent="0.25">
      <c r="A69" s="3" t="s">
        <v>227</v>
      </c>
      <c r="B69" s="3" t="s">
        <v>223</v>
      </c>
      <c r="C69" s="3" t="s">
        <v>228</v>
      </c>
      <c r="D69" s="3" t="s">
        <v>77</v>
      </c>
      <c r="E69" s="51">
        <v>602041</v>
      </c>
      <c r="F69" s="51">
        <f>SUMIFS($E$3:$E$198,$A$3:$A$198,"=" &amp; A69,$D$3:$D$198,"&gt;=" &amp; 'Main Input'!$D$6,$D$3:$D$198,"&lt;=" &amp; 'Main Input'!$D$7)</f>
        <v>3206680</v>
      </c>
      <c r="G69" s="3">
        <f>IFERROR(IF((D69&gt;='Main Input'!$D$6)*(D69&lt;='Main Input'!$D$7),E69/F69,0),Config!$Q$11)</f>
        <v>0.18774589294847008</v>
      </c>
      <c r="H69" s="3">
        <f t="shared" si="0"/>
        <v>1</v>
      </c>
      <c r="I69" s="51">
        <f>INDEX('Base Scenario'!$A$1:$I$50,MATCH(A69,'Base Scenario'!$A$1:$A$50,0),MATCH(D69,'Base Scenario'!$A$1:$I$1,0))</f>
        <v>129278.6</v>
      </c>
      <c r="J69" s="51">
        <f>VLOOKUP(A69,'Base Scenario'!$A$1:$I$50,9,0)*G69</f>
        <v>152288.18483163271</v>
      </c>
      <c r="K69" s="53">
        <f>IF(AND(D69&gt;='Main Input'!$D$6, D69&lt;='Main Input'!$D$7), IF('Optim Input'!$B$6="Quarterly", 'Quarterly Calculation'!I69, 'Quarterly Calculation'!J69), 0)</f>
        <v>129278.6</v>
      </c>
      <c r="L69" s="51">
        <f t="shared" si="1"/>
        <v>811139.89999999991</v>
      </c>
      <c r="M69" s="3">
        <f>IFERROR(IF(($D69&gt;='Main Input'!$D$6)*($D69&lt;='Main Input'!$D$7),K69/L69,0),Config!$Q$11)</f>
        <v>0.15937891848249608</v>
      </c>
      <c r="N69" s="53">
        <f>VLOOKUP(A69,'Individual Bounds - Overall'!$A$2:$L$50,11,0)*M69</f>
        <v>129278.6</v>
      </c>
      <c r="O69" s="53">
        <f>VLOOKUP(A69,'Individual Bounds - Overall'!$A$2:$L$50,12,0)*M69</f>
        <v>135742.53</v>
      </c>
    </row>
    <row r="70" spans="1:15" x14ac:dyDescent="0.25">
      <c r="A70" s="3" t="s">
        <v>227</v>
      </c>
      <c r="B70" s="3" t="s">
        <v>223</v>
      </c>
      <c r="C70" s="3" t="s">
        <v>228</v>
      </c>
      <c r="D70" s="3" t="s">
        <v>78</v>
      </c>
      <c r="E70" s="51">
        <v>964220</v>
      </c>
      <c r="F70" s="51">
        <f>SUMIFS($E$3:$E$198,$A$3:$A$198,"=" &amp; A70,$D$3:$D$198,"&gt;=" &amp; 'Main Input'!$D$6,$D$3:$D$198,"&lt;=" &amp; 'Main Input'!$D$7)</f>
        <v>3206680</v>
      </c>
      <c r="G70" s="3">
        <f>IFERROR(IF((D70&gt;='Main Input'!$D$6)*(D70&lt;='Main Input'!$D$7),E70/F70,0),Config!$Q$11)</f>
        <v>0.30069105741764068</v>
      </c>
      <c r="H70" s="3">
        <f t="shared" si="0"/>
        <v>1</v>
      </c>
      <c r="I70" s="51">
        <f>INDEX('Base Scenario'!$A$1:$I$50,MATCH(A70,'Base Scenario'!$A$1:$A$50,0),MATCH(D70,'Base Scenario'!$A$1:$I$1,0))</f>
        <v>289938.2</v>
      </c>
      <c r="J70" s="51">
        <f>VLOOKUP(A70,'Base Scenario'!$A$1:$I$50,9,0)*G70</f>
        <v>243902.51424463929</v>
      </c>
      <c r="K70" s="53">
        <f>IF(AND(D70&gt;='Main Input'!$D$6, D70&lt;='Main Input'!$D$7), IF('Optim Input'!$B$6="Quarterly", 'Quarterly Calculation'!I70, 'Quarterly Calculation'!J70), 0)</f>
        <v>289938.2</v>
      </c>
      <c r="L70" s="51">
        <f t="shared" si="1"/>
        <v>811139.89999999991</v>
      </c>
      <c r="M70" s="3">
        <f>IFERROR(IF(($D70&gt;='Main Input'!$D$6)*($D70&lt;='Main Input'!$D$7),K70/L70,0),Config!$Q$11)</f>
        <v>0.35744536793221493</v>
      </c>
      <c r="N70" s="53">
        <f>VLOOKUP(A70,'Individual Bounds - Overall'!$A$2:$L$50,11,0)*M70</f>
        <v>289938.2</v>
      </c>
      <c r="O70" s="53">
        <f>VLOOKUP(A70,'Individual Bounds - Overall'!$A$2:$L$50,12,0)*M70</f>
        <v>304435.11</v>
      </c>
    </row>
    <row r="71" spans="1:15" x14ac:dyDescent="0.25">
      <c r="A71" s="3" t="s">
        <v>222</v>
      </c>
      <c r="B71" s="3" t="s">
        <v>223</v>
      </c>
      <c r="C71" s="3" t="s">
        <v>224</v>
      </c>
      <c r="D71" s="3" t="s">
        <v>75</v>
      </c>
      <c r="E71" s="51">
        <v>275382</v>
      </c>
      <c r="F71" s="51">
        <f>SUMIFS($E$3:$E$198,$A$3:$A$198,"=" &amp; A71,$D$3:$D$198,"&gt;=" &amp; 'Main Input'!$D$6,$D$3:$D$198,"&lt;=" &amp; 'Main Input'!$D$7)</f>
        <v>1670432</v>
      </c>
      <c r="G71" s="3">
        <f>IFERROR(IF((D71&gt;='Main Input'!$D$6)*(D71&lt;='Main Input'!$D$7),E71/F71,0),Config!$Q$11)</f>
        <v>0.16485675561770846</v>
      </c>
      <c r="H71" s="3">
        <f t="shared" si="0"/>
        <v>0.99999999999999989</v>
      </c>
      <c r="I71" s="51">
        <f>INDEX('Base Scenario'!$A$1:$I$50,MATCH(A71,'Base Scenario'!$A$1:$A$50,0),MATCH(D71,'Base Scenario'!$A$1:$I$1,0))</f>
        <v>1981241</v>
      </c>
      <c r="J71" s="51">
        <f>VLOOKUP(A71,'Base Scenario'!$A$1:$I$50,9,0)*G71</f>
        <v>2296645.0153074171</v>
      </c>
      <c r="K71" s="53">
        <f>IF(AND(D71&gt;='Main Input'!$D$6, D71&lt;='Main Input'!$D$7), IF('Optim Input'!$B$6="Quarterly", 'Quarterly Calculation'!I71, 'Quarterly Calculation'!J71), 0)</f>
        <v>1981241</v>
      </c>
      <c r="L71" s="51">
        <f t="shared" si="1"/>
        <v>13931155</v>
      </c>
      <c r="M71" s="3">
        <f>IFERROR(IF(($D71&gt;='Main Input'!$D$6)*($D71&lt;='Main Input'!$D$7),K71/L71,0),Config!$Q$11)</f>
        <v>0.1422165642403663</v>
      </c>
      <c r="N71" s="53">
        <f>VLOOKUP(A71,'Individual Bounds - Overall'!$A$2:$L$50,11,0)*M71</f>
        <v>1981241.0000000002</v>
      </c>
      <c r="O71" s="53">
        <f>VLOOKUP(A71,'Individual Bounds - Overall'!$A$2:$L$50,12,0)*M71</f>
        <v>2080303.0500000003</v>
      </c>
    </row>
    <row r="72" spans="1:15" x14ac:dyDescent="0.25">
      <c r="A72" s="3" t="s">
        <v>222</v>
      </c>
      <c r="B72" s="3" t="s">
        <v>223</v>
      </c>
      <c r="C72" s="3" t="s">
        <v>224</v>
      </c>
      <c r="D72" s="3" t="s">
        <v>76</v>
      </c>
      <c r="E72" s="51">
        <v>597111</v>
      </c>
      <c r="F72" s="51">
        <f>SUMIFS($E$3:$E$198,$A$3:$A$198,"=" &amp; A72,$D$3:$D$198,"&gt;=" &amp; 'Main Input'!$D$6,$D$3:$D$198,"&lt;=" &amp; 'Main Input'!$D$7)</f>
        <v>1670432</v>
      </c>
      <c r="G72" s="3">
        <f>IFERROR(IF((D72&gt;='Main Input'!$D$6)*(D72&lt;='Main Input'!$D$7),E72/F72,0),Config!$Q$11)</f>
        <v>0.3574590285626712</v>
      </c>
      <c r="H72" s="3">
        <f t="shared" si="0"/>
        <v>0.99999999999999989</v>
      </c>
      <c r="I72" s="51">
        <f>INDEX('Base Scenario'!$A$1:$I$50,MATCH(A72,'Base Scenario'!$A$1:$A$50,0),MATCH(D72,'Base Scenario'!$A$1:$I$1,0))</f>
        <v>2042248</v>
      </c>
      <c r="J72" s="51">
        <f>VLOOKUP(A72,'Base Scenario'!$A$1:$I$50,9,0)*G72</f>
        <v>4979817.1330559999</v>
      </c>
      <c r="K72" s="53">
        <f>IF(AND(D72&gt;='Main Input'!$D$6, D72&lt;='Main Input'!$D$7), IF('Optim Input'!$B$6="Quarterly", 'Quarterly Calculation'!I72, 'Quarterly Calculation'!J72), 0)</f>
        <v>2042248</v>
      </c>
      <c r="L72" s="51">
        <f t="shared" si="1"/>
        <v>13931155</v>
      </c>
      <c r="M72" s="3">
        <f>IFERROR(IF(($D72&gt;='Main Input'!$D$6)*($D72&lt;='Main Input'!$D$7),K72/L72,0),Config!$Q$11)</f>
        <v>0.14659574170268008</v>
      </c>
      <c r="N72" s="53">
        <f>VLOOKUP(A72,'Individual Bounds - Overall'!$A$2:$L$50,11,0)*M72</f>
        <v>2042248.0000000002</v>
      </c>
      <c r="O72" s="53">
        <f>VLOOKUP(A72,'Individual Bounds - Overall'!$A$2:$L$50,12,0)*M72</f>
        <v>2144360.4000000004</v>
      </c>
    </row>
    <row r="73" spans="1:15" x14ac:dyDescent="0.25">
      <c r="A73" s="3" t="s">
        <v>222</v>
      </c>
      <c r="B73" s="3" t="s">
        <v>223</v>
      </c>
      <c r="C73" s="3" t="s">
        <v>224</v>
      </c>
      <c r="D73" s="3" t="s">
        <v>77</v>
      </c>
      <c r="E73" s="51">
        <v>427759</v>
      </c>
      <c r="F73" s="51">
        <f>SUMIFS($E$3:$E$198,$A$3:$A$198,"=" &amp; A73,$D$3:$D$198,"&gt;=" &amp; 'Main Input'!$D$6,$D$3:$D$198,"&lt;=" &amp; 'Main Input'!$D$7)</f>
        <v>1670432</v>
      </c>
      <c r="G73" s="3">
        <f>IFERROR(IF((D73&gt;='Main Input'!$D$6)*(D73&lt;='Main Input'!$D$7),E73/F73,0),Config!$Q$11)</f>
        <v>0.25607687113273692</v>
      </c>
      <c r="H73" s="3">
        <f t="shared" si="0"/>
        <v>0.99999999999999989</v>
      </c>
      <c r="I73" s="51">
        <f>INDEX('Base Scenario'!$A$1:$I$50,MATCH(A73,'Base Scenario'!$A$1:$A$50,0),MATCH(D73,'Base Scenario'!$A$1:$I$1,0))</f>
        <v>2303235</v>
      </c>
      <c r="J73" s="51">
        <f>VLOOKUP(A73,'Base Scenario'!$A$1:$I$50,9,0)*G73</f>
        <v>3567446.5836651837</v>
      </c>
      <c r="K73" s="53">
        <f>IF(AND(D73&gt;='Main Input'!$D$6, D73&lt;='Main Input'!$D$7), IF('Optim Input'!$B$6="Quarterly", 'Quarterly Calculation'!I73, 'Quarterly Calculation'!J73), 0)</f>
        <v>2303235</v>
      </c>
      <c r="L73" s="51">
        <f t="shared" si="1"/>
        <v>13931155</v>
      </c>
      <c r="M73" s="3">
        <f>IFERROR(IF(($D73&gt;='Main Input'!$D$6)*($D73&lt;='Main Input'!$D$7),K73/L73,0),Config!$Q$11)</f>
        <v>0.16532979498110531</v>
      </c>
      <c r="N73" s="53">
        <f>VLOOKUP(A73,'Individual Bounds - Overall'!$A$2:$L$50,11,0)*M73</f>
        <v>2303235</v>
      </c>
      <c r="O73" s="53">
        <f>VLOOKUP(A73,'Individual Bounds - Overall'!$A$2:$L$50,12,0)*M73</f>
        <v>2418396.75</v>
      </c>
    </row>
    <row r="74" spans="1:15" x14ac:dyDescent="0.25">
      <c r="A74" s="3" t="s">
        <v>222</v>
      </c>
      <c r="B74" s="3" t="s">
        <v>223</v>
      </c>
      <c r="C74" s="3" t="s">
        <v>224</v>
      </c>
      <c r="D74" s="3" t="s">
        <v>78</v>
      </c>
      <c r="E74" s="51">
        <v>370180</v>
      </c>
      <c r="F74" s="51">
        <f>SUMIFS($E$3:$E$198,$A$3:$A$198,"=" &amp; A74,$D$3:$D$198,"&gt;=" &amp; 'Main Input'!$D$6,$D$3:$D$198,"&lt;=" &amp; 'Main Input'!$D$7)</f>
        <v>1670432</v>
      </c>
      <c r="G74" s="3">
        <f>IFERROR(IF((D74&gt;='Main Input'!$D$6)*(D74&lt;='Main Input'!$D$7),E74/F74,0),Config!$Q$11)</f>
        <v>0.2216073446868834</v>
      </c>
      <c r="H74" s="3">
        <f t="shared" si="0"/>
        <v>0.99999999999999989</v>
      </c>
      <c r="I74" s="51">
        <f>INDEX('Base Scenario'!$A$1:$I$50,MATCH(A74,'Base Scenario'!$A$1:$A$50,0),MATCH(D74,'Base Scenario'!$A$1:$I$1,0))</f>
        <v>7604431</v>
      </c>
      <c r="J74" s="51">
        <f>VLOOKUP(A74,'Base Scenario'!$A$1:$I$50,9,0)*G74</f>
        <v>3087246.2679713992</v>
      </c>
      <c r="K74" s="53">
        <f>IF(AND(D74&gt;='Main Input'!$D$6, D74&lt;='Main Input'!$D$7), IF('Optim Input'!$B$6="Quarterly", 'Quarterly Calculation'!I74, 'Quarterly Calculation'!J74), 0)</f>
        <v>7604431</v>
      </c>
      <c r="L74" s="51">
        <f t="shared" si="1"/>
        <v>13931155</v>
      </c>
      <c r="M74" s="3">
        <f>IFERROR(IF(($D74&gt;='Main Input'!$D$6)*($D74&lt;='Main Input'!$D$7),K74/L74,0),Config!$Q$11)</f>
        <v>0.54585789907584836</v>
      </c>
      <c r="N74" s="53">
        <f>VLOOKUP(A74,'Individual Bounds - Overall'!$A$2:$L$50,11,0)*M74</f>
        <v>7604431</v>
      </c>
      <c r="O74" s="53">
        <f>VLOOKUP(A74,'Individual Bounds - Overall'!$A$2:$L$50,12,0)*M74</f>
        <v>7984652.5500000007</v>
      </c>
    </row>
    <row r="75" spans="1:15" x14ac:dyDescent="0.25">
      <c r="A75" s="3" t="s">
        <v>229</v>
      </c>
      <c r="B75" s="3" t="s">
        <v>223</v>
      </c>
      <c r="C75" s="3" t="s">
        <v>230</v>
      </c>
      <c r="D75" s="3" t="s">
        <v>75</v>
      </c>
      <c r="E75" s="51">
        <v>2466</v>
      </c>
      <c r="F75" s="51">
        <f>SUMIFS($E$3:$E$198,$A$3:$A$198,"=" &amp; A75,$D$3:$D$198,"&gt;=" &amp; 'Main Input'!$D$6,$D$3:$D$198,"&lt;=" &amp; 'Main Input'!$D$7)</f>
        <v>9864</v>
      </c>
      <c r="G75" s="3">
        <f>IFERROR(IF((D75&gt;='Main Input'!$D$6)*(D75&lt;='Main Input'!$D$7),E75/F75,0),Config!$Q$11)</f>
        <v>0.25</v>
      </c>
      <c r="H75" s="3">
        <f t="shared" si="0"/>
        <v>1</v>
      </c>
      <c r="I75" s="51">
        <f>INDEX('Base Scenario'!$A$1:$I$50,MATCH(A75,'Base Scenario'!$A$1:$A$50,0),MATCH(D75,'Base Scenario'!$A$1:$I$1,0))</f>
        <v>23682.27</v>
      </c>
      <c r="J75" s="51">
        <f>VLOOKUP(A75,'Base Scenario'!$A$1:$I$50,9,0)*G75</f>
        <v>35076.665000000001</v>
      </c>
      <c r="K75" s="53">
        <f>IF(AND(D75&gt;='Main Input'!$D$6, D75&lt;='Main Input'!$D$7), IF('Optim Input'!$B$6="Quarterly", 'Quarterly Calculation'!I75, 'Quarterly Calculation'!J75), 0)</f>
        <v>23682.27</v>
      </c>
      <c r="L75" s="51">
        <f t="shared" si="1"/>
        <v>140306.66</v>
      </c>
      <c r="M75" s="3">
        <f>IFERROR(IF(($D75&gt;='Main Input'!$D$6)*($D75&lt;='Main Input'!$D$7),K75/L75,0),Config!$Q$11)</f>
        <v>0.16878935041287421</v>
      </c>
      <c r="N75" s="53">
        <f>VLOOKUP(A75,'Individual Bounds - Overall'!$A$2:$L$50,11,0)*M75</f>
        <v>23682.27</v>
      </c>
      <c r="O75" s="53">
        <f>VLOOKUP(A75,'Individual Bounds - Overall'!$A$2:$L$50,12,0)*M75</f>
        <v>24866.383500000004</v>
      </c>
    </row>
    <row r="76" spans="1:15" x14ac:dyDescent="0.25">
      <c r="A76" s="3" t="s">
        <v>229</v>
      </c>
      <c r="B76" s="3" t="s">
        <v>223</v>
      </c>
      <c r="C76" s="3" t="s">
        <v>230</v>
      </c>
      <c r="D76" s="3" t="s">
        <v>76</v>
      </c>
      <c r="E76" s="51">
        <v>2466</v>
      </c>
      <c r="F76" s="51">
        <f>SUMIFS($E$3:$E$198,$A$3:$A$198,"=" &amp; A76,$D$3:$D$198,"&gt;=" &amp; 'Main Input'!$D$6,$D$3:$D$198,"&lt;=" &amp; 'Main Input'!$D$7)</f>
        <v>9864</v>
      </c>
      <c r="G76" s="3">
        <f>IFERROR(IF((D76&gt;='Main Input'!$D$6)*(D76&lt;='Main Input'!$D$7),E76/F76,0),Config!$Q$11)</f>
        <v>0.25</v>
      </c>
      <c r="H76" s="3">
        <f>SUMIFS($G$3:$G$198, $A$3:$A$198, A76)</f>
        <v>1</v>
      </c>
      <c r="I76" s="51">
        <f>INDEX('Base Scenario'!$A$1:$I$50,MATCH(A76,'Base Scenario'!$A$1:$A$50,0),MATCH(D76,'Base Scenario'!$A$1:$I$1,0))</f>
        <v>46452.1</v>
      </c>
      <c r="J76" s="51">
        <f>VLOOKUP(A76,'Base Scenario'!$A$1:$I$50,9,0)*G76</f>
        <v>35076.665000000001</v>
      </c>
      <c r="K76" s="53">
        <f>IF(AND(D76&gt;='Main Input'!$D$6, D76&lt;='Main Input'!$D$7), IF('Optim Input'!$B$6="Quarterly", 'Quarterly Calculation'!I76, 'Quarterly Calculation'!J76), 0)</f>
        <v>46452.1</v>
      </c>
      <c r="L76" s="51">
        <f>SUMIFS($K$3:$K$198, $A$3:$A$198, $A76)</f>
        <v>140306.66</v>
      </c>
      <c r="M76" s="3">
        <f>IFERROR(IF(($D76&gt;='Main Input'!$D$6)*($D76&lt;='Main Input'!$D$7),K76/L76,0),Config!$Q$11)</f>
        <v>0.33107551701394644</v>
      </c>
      <c r="N76" s="53">
        <f>VLOOKUP(A76,'Individual Bounds - Overall'!$A$2:$L$50,11,0)*M76</f>
        <v>46452.1</v>
      </c>
      <c r="O76" s="53">
        <f>VLOOKUP(A76,'Individual Bounds - Overall'!$A$2:$L$50,12,0)*M76</f>
        <v>48774.705000000002</v>
      </c>
    </row>
    <row r="77" spans="1:15" x14ac:dyDescent="0.25">
      <c r="A77" s="3" t="s">
        <v>229</v>
      </c>
      <c r="B77" s="3" t="s">
        <v>223</v>
      </c>
      <c r="C77" s="3" t="s">
        <v>230</v>
      </c>
      <c r="D77" s="3" t="s">
        <v>77</v>
      </c>
      <c r="E77" s="51">
        <v>2466</v>
      </c>
      <c r="F77" s="51">
        <f>SUMIFS($E$3:$E$198,$A$3:$A$198,"=" &amp; A77,$D$3:$D$198,"&gt;=" &amp; 'Main Input'!$D$6,$D$3:$D$198,"&lt;=" &amp; 'Main Input'!$D$7)</f>
        <v>9864</v>
      </c>
      <c r="G77" s="3">
        <f>IFERROR(IF((D77&gt;='Main Input'!$D$6)*(D77&lt;='Main Input'!$D$7),E77/F77,0),Config!$Q$11)</f>
        <v>0.25</v>
      </c>
      <c r="H77" s="3">
        <f>SUMIFS($G$3:$G$198, $A$3:$A$198, A77)</f>
        <v>1</v>
      </c>
      <c r="I77" s="51">
        <f>INDEX('Base Scenario'!$A$1:$I$50,MATCH(A77,'Base Scenario'!$A$1:$A$50,0),MATCH(D77,'Base Scenario'!$A$1:$I$1,0))</f>
        <v>22952.14</v>
      </c>
      <c r="J77" s="51">
        <f>VLOOKUP(A77,'Base Scenario'!$A$1:$I$50,9,0)*G77</f>
        <v>35076.665000000001</v>
      </c>
      <c r="K77" s="53">
        <f>IF(AND(D77&gt;='Main Input'!$D$6, D77&lt;='Main Input'!$D$7), IF('Optim Input'!$B$6="Quarterly", 'Quarterly Calculation'!I77, 'Quarterly Calculation'!J77), 0)</f>
        <v>22952.14</v>
      </c>
      <c r="L77" s="51">
        <f>SUMIFS($K$3:$K$198, $A$3:$A$198, $A77)</f>
        <v>140306.66</v>
      </c>
      <c r="M77" s="3">
        <f>IFERROR(IF(($D77&gt;='Main Input'!$D$6)*($D77&lt;='Main Input'!$D$7),K77/L77,0),Config!$Q$11)</f>
        <v>0.16358553471374773</v>
      </c>
      <c r="N77" s="53">
        <f>VLOOKUP(A77,'Individual Bounds - Overall'!$A$2:$L$50,11,0)*M77</f>
        <v>22952.14</v>
      </c>
      <c r="O77" s="53">
        <f>VLOOKUP(A77,'Individual Bounds - Overall'!$A$2:$L$50,12,0)*M77</f>
        <v>24099.747000000003</v>
      </c>
    </row>
    <row r="78" spans="1:15" x14ac:dyDescent="0.25">
      <c r="A78" s="3" t="s">
        <v>229</v>
      </c>
      <c r="B78" s="3" t="s">
        <v>223</v>
      </c>
      <c r="C78" s="3" t="s">
        <v>230</v>
      </c>
      <c r="D78" s="3" t="s">
        <v>78</v>
      </c>
      <c r="E78" s="51">
        <v>2466</v>
      </c>
      <c r="F78" s="51">
        <f>SUMIFS($E$3:$E$198,$A$3:$A$198,"=" &amp; A78,$D$3:$D$198,"&gt;=" &amp; 'Main Input'!$D$6,$D$3:$D$198,"&lt;=" &amp; 'Main Input'!$D$7)</f>
        <v>9864</v>
      </c>
      <c r="G78" s="3">
        <f>IFERROR(IF((D78&gt;='Main Input'!$D$6)*(D78&lt;='Main Input'!$D$7),E78/F78,0),Config!$Q$11)</f>
        <v>0.25</v>
      </c>
      <c r="H78" s="3">
        <f>SUMIFS($G$3:$G$198, $A$3:$A$198, A78)</f>
        <v>1</v>
      </c>
      <c r="I78" s="51">
        <f>INDEX('Base Scenario'!$A$1:$I$50,MATCH(A78,'Base Scenario'!$A$1:$A$50,0),MATCH(D78,'Base Scenario'!$A$1:$I$1,0))</f>
        <v>47220.15</v>
      </c>
      <c r="J78" s="51">
        <f>VLOOKUP(A78,'Base Scenario'!$A$1:$I$50,9,0)*G78</f>
        <v>35076.665000000001</v>
      </c>
      <c r="K78" s="53">
        <f>IF(AND(D78&gt;='Main Input'!$D$6, D78&lt;='Main Input'!$D$7), IF('Optim Input'!$B$6="Quarterly", 'Quarterly Calculation'!I78, 'Quarterly Calculation'!J78), 0)</f>
        <v>47220.15</v>
      </c>
      <c r="L78" s="51">
        <f>SUMIFS($K$3:$K$198, $A$3:$A$198, $A78)</f>
        <v>140306.66</v>
      </c>
      <c r="M78" s="3">
        <f>IFERROR(IF(($D78&gt;='Main Input'!$D$6)*($D78&lt;='Main Input'!$D$7),K78/L78,0),Config!$Q$11)</f>
        <v>0.33654959785943162</v>
      </c>
      <c r="N78" s="53">
        <f>VLOOKUP(A78,'Individual Bounds - Overall'!$A$2:$L$50,11,0)*M78</f>
        <v>47220.15</v>
      </c>
      <c r="O78" s="53">
        <f>VLOOKUP(A78,'Individual Bounds - Overall'!$A$2:$L$50,12,0)*M78</f>
        <v>49581.157500000008</v>
      </c>
    </row>
    <row r="79" spans="1:15" x14ac:dyDescent="0.25">
      <c r="A79" s="3" t="s">
        <v>233</v>
      </c>
      <c r="B79" s="3" t="s">
        <v>70</v>
      </c>
      <c r="C79" s="3" t="s">
        <v>234</v>
      </c>
      <c r="D79" s="3" t="s">
        <v>75</v>
      </c>
      <c r="E79" s="51">
        <v>811339</v>
      </c>
      <c r="F79" s="51">
        <f>SUMIFS($E$3:$E$198,$A$3:$A$198,"=" &amp; A79,$D$3:$D$198,"&gt;=" &amp; 'Main Input'!$D$6,$D$3:$D$198,"&lt;=" &amp; 'Main Input'!$D$7)</f>
        <v>3302301</v>
      </c>
      <c r="G79" s="3">
        <f>IFERROR(IF((D79&gt;='Main Input'!$D$6)*(D79&lt;='Main Input'!$D$7),E79/F79,0),Config!$Q$11)</f>
        <v>0.24568899079762868</v>
      </c>
      <c r="H79" s="3">
        <f>SUMIFS($G$3:$G$198, $A$3:$A$198, A79)</f>
        <v>1</v>
      </c>
      <c r="I79" s="51">
        <f>INDEX('Base Scenario'!$A$1:$I$50,MATCH(A79,'Base Scenario'!$A$1:$A$50,0),MATCH(D79,'Base Scenario'!$A$1:$I$1,0))</f>
        <v>6320311</v>
      </c>
      <c r="J79" s="51">
        <f>VLOOKUP(A79,'Base Scenario'!$A$1:$I$50,9,0)*G79</f>
        <v>3723483.9743215414</v>
      </c>
      <c r="K79" s="53">
        <f>IF(AND(D79&gt;='Main Input'!$D$6, D79&lt;='Main Input'!$D$7), IF('Optim Input'!$B$6="Quarterly", 'Quarterly Calculation'!I79, 'Quarterly Calculation'!J79), 0)</f>
        <v>6320311</v>
      </c>
      <c r="L79" s="51">
        <f>SUMIFS($K$3:$K$198, $A$3:$A$198, $A79)</f>
        <v>15155274</v>
      </c>
      <c r="M79" s="3">
        <f>IFERROR(IF(($D79&gt;='Main Input'!$D$6)*($D79&lt;='Main Input'!$D$7),K79/L79,0),Config!$Q$11)</f>
        <v>0.4170370657765739</v>
      </c>
      <c r="N79" s="53">
        <f>VLOOKUP(A79,'Individual Bounds - Overall'!$A$2:$L$50,11,0)*M79</f>
        <v>6320311</v>
      </c>
      <c r="O79" s="53">
        <f>VLOOKUP(A79,'Individual Bounds - Overall'!$A$2:$L$50,12,0)*M79</f>
        <v>6636326.5500000007</v>
      </c>
    </row>
    <row r="80" spans="1:15" x14ac:dyDescent="0.25">
      <c r="A80" s="3" t="s">
        <v>233</v>
      </c>
      <c r="B80" s="3" t="s">
        <v>70</v>
      </c>
      <c r="C80" s="3" t="s">
        <v>234</v>
      </c>
      <c r="D80" s="3" t="s">
        <v>76</v>
      </c>
      <c r="E80" s="51">
        <v>1121519</v>
      </c>
      <c r="F80" s="51">
        <f>SUMIFS($E$3:$E$198,$A$3:$A$198,"=" &amp; A80,$D$3:$D$198,"&gt;=" &amp; 'Main Input'!$D$6,$D$3:$D$198,"&lt;=" &amp; 'Main Input'!$D$7)</f>
        <v>3302301</v>
      </c>
      <c r="G80" s="3">
        <f>IFERROR(IF((D80&gt;='Main Input'!$D$6)*(D80&lt;='Main Input'!$D$7),E80/F80,0),Config!$Q$11)</f>
        <v>0.33961743644810088</v>
      </c>
      <c r="H80" s="3">
        <f>SUMIFS($G$3:$G$198, $A$3:$A$198, A80)</f>
        <v>1</v>
      </c>
      <c r="I80" s="51">
        <f>INDEX('Base Scenario'!$A$1:$I$50,MATCH(A80,'Base Scenario'!$A$1:$A$50,0),MATCH(D80,'Base Scenario'!$A$1:$I$1,0))</f>
        <v>1015443</v>
      </c>
      <c r="J80" s="51">
        <f>VLOOKUP(A80,'Base Scenario'!$A$1:$I$50,9,0)*G80</f>
        <v>5146995.304548556</v>
      </c>
      <c r="K80" s="53">
        <f>IF(AND(D80&gt;='Main Input'!$D$6, D80&lt;='Main Input'!$D$7), IF('Optim Input'!$B$6="Quarterly", 'Quarterly Calculation'!I80, 'Quarterly Calculation'!J80), 0)</f>
        <v>1015443</v>
      </c>
      <c r="L80" s="51">
        <f>SUMIFS($K$3:$K$198, $A$3:$A$198, $A80)</f>
        <v>15155274</v>
      </c>
      <c r="M80" s="3">
        <f>IFERROR(IF(($D80&gt;='Main Input'!$D$6)*($D80&lt;='Main Input'!$D$7),K80/L80,0),Config!$Q$11)</f>
        <v>6.7002615723080958E-2</v>
      </c>
      <c r="N80" s="53">
        <f>VLOOKUP(A80,'Individual Bounds - Overall'!$A$2:$L$50,11,0)*M80</f>
        <v>1015443</v>
      </c>
      <c r="O80" s="53">
        <f>VLOOKUP(A80,'Individual Bounds - Overall'!$A$2:$L$50,12,0)*M80</f>
        <v>1066215.1500000001</v>
      </c>
    </row>
    <row r="81" spans="1:15" x14ac:dyDescent="0.25">
      <c r="A81" s="3" t="s">
        <v>233</v>
      </c>
      <c r="B81" s="3" t="s">
        <v>70</v>
      </c>
      <c r="C81" s="3" t="s">
        <v>234</v>
      </c>
      <c r="D81" s="3" t="s">
        <v>77</v>
      </c>
      <c r="E81" s="51">
        <v>884830</v>
      </c>
      <c r="F81" s="51">
        <f>SUMIFS($E$3:$E$198,$A$3:$A$198,"=" &amp; A81,$D$3:$D$198,"&gt;=" &amp; 'Main Input'!$D$6,$D$3:$D$198,"&lt;=" &amp; 'Main Input'!$D$7)</f>
        <v>3302301</v>
      </c>
      <c r="G81" s="3">
        <f>IFERROR(IF((D81&gt;='Main Input'!$D$6)*(D81&lt;='Main Input'!$D$7),E81/F81,0),Config!$Q$11)</f>
        <v>0.26794347335388263</v>
      </c>
      <c r="H81" s="3">
        <f>SUMIFS($G$3:$G$198, $A$3:$A$198, A81)</f>
        <v>1</v>
      </c>
      <c r="I81" s="51">
        <f>INDEX('Base Scenario'!$A$1:$I$50,MATCH(A81,'Base Scenario'!$A$1:$A$50,0),MATCH(D81,'Base Scenario'!$A$1:$I$1,0))</f>
        <v>304890</v>
      </c>
      <c r="J81" s="51">
        <f>VLOOKUP(A81,'Base Scenario'!$A$1:$I$50,9,0)*G81</f>
        <v>4060756.7551897904</v>
      </c>
      <c r="K81" s="53">
        <f>IF(AND(D81&gt;='Main Input'!$D$6, D81&lt;='Main Input'!$D$7), IF('Optim Input'!$B$6="Quarterly", 'Quarterly Calculation'!I81, 'Quarterly Calculation'!J81), 0)</f>
        <v>304890</v>
      </c>
      <c r="L81" s="51">
        <f>SUMIFS($K$3:$K$198, $A$3:$A$198, $A81)</f>
        <v>15155274</v>
      </c>
      <c r="M81" s="3">
        <f>IFERROR(IF(($D81&gt;='Main Input'!$D$6)*($D81&lt;='Main Input'!$D$7),K81/L81,0),Config!$Q$11)</f>
        <v>2.011774910833021E-2</v>
      </c>
      <c r="N81" s="53">
        <f>VLOOKUP(A81,'Individual Bounds - Overall'!$A$2:$L$50,11,0)*M81</f>
        <v>304890</v>
      </c>
      <c r="O81" s="53">
        <f>VLOOKUP(A81,'Individual Bounds - Overall'!$A$2:$L$50,12,0)*M81</f>
        <v>320134.50000000006</v>
      </c>
    </row>
    <row r="82" spans="1:15" x14ac:dyDescent="0.25">
      <c r="A82" s="3" t="s">
        <v>233</v>
      </c>
      <c r="B82" s="3" t="s">
        <v>70</v>
      </c>
      <c r="C82" s="3" t="s">
        <v>234</v>
      </c>
      <c r="D82" s="3" t="s">
        <v>78</v>
      </c>
      <c r="E82" s="51">
        <v>484613</v>
      </c>
      <c r="F82" s="51">
        <f>SUMIFS($E$3:$E$198,$A$3:$A$198,"=" &amp; A82,$D$3:$D$198,"&gt;=" &amp; 'Main Input'!$D$6,$D$3:$D$198,"&lt;=" &amp; 'Main Input'!$D$7)</f>
        <v>3302301</v>
      </c>
      <c r="G82" s="3">
        <f>IFERROR(IF((D82&gt;='Main Input'!$D$6)*(D82&lt;='Main Input'!$D$7),E82/F82,0),Config!$Q$11)</f>
        <v>0.1467500994003878</v>
      </c>
      <c r="H82" s="3">
        <f>SUMIFS($G$3:$G$198, $A$3:$A$198, A82)</f>
        <v>1</v>
      </c>
      <c r="I82" s="51">
        <f>INDEX('Base Scenario'!$A$1:$I$50,MATCH(A82,'Base Scenario'!$A$1:$A$50,0),MATCH(D82,'Base Scenario'!$A$1:$I$1,0))</f>
        <v>7514630</v>
      </c>
      <c r="J82" s="51">
        <f>VLOOKUP(A82,'Base Scenario'!$A$1:$I$50,9,0)*G82</f>
        <v>2224037.9659401127</v>
      </c>
      <c r="K82" s="53">
        <f>IF(AND(D82&gt;='Main Input'!$D$6, D82&lt;='Main Input'!$D$7), IF('Optim Input'!$B$6="Quarterly", 'Quarterly Calculation'!I82, 'Quarterly Calculation'!J82), 0)</f>
        <v>7514630</v>
      </c>
      <c r="L82" s="51">
        <f>SUMIFS($K$3:$K$198, $A$3:$A$198, $A82)</f>
        <v>15155274</v>
      </c>
      <c r="M82" s="3">
        <f>IFERROR(IF(($D82&gt;='Main Input'!$D$6)*($D82&lt;='Main Input'!$D$7),K82/L82,0),Config!$Q$11)</f>
        <v>0.49584256939201493</v>
      </c>
      <c r="N82" s="53">
        <f>VLOOKUP(A82,'Individual Bounds - Overall'!$A$2:$L$50,11,0)*M82</f>
        <v>7514630</v>
      </c>
      <c r="O82" s="53">
        <f>VLOOKUP(A82,'Individual Bounds - Overall'!$A$2:$L$50,12,0)*M82</f>
        <v>7890361.5</v>
      </c>
    </row>
    <row r="83" spans="1:15" x14ac:dyDescent="0.25">
      <c r="A83" s="3" t="s">
        <v>231</v>
      </c>
      <c r="B83" s="3" t="s">
        <v>70</v>
      </c>
      <c r="C83" s="3" t="s">
        <v>232</v>
      </c>
      <c r="D83" s="3" t="s">
        <v>75</v>
      </c>
      <c r="E83" s="51">
        <v>4241</v>
      </c>
      <c r="F83" s="51">
        <f>SUMIFS($E$3:$E$198,$A$3:$A$198,"=" &amp; A83,$D$3:$D$198,"&gt;=" &amp; 'Main Input'!$D$6,$D$3:$D$198,"&lt;=" &amp; 'Main Input'!$D$7)</f>
        <v>16962</v>
      </c>
      <c r="G83" s="3">
        <f>IFERROR(IF((D83&gt;='Main Input'!$D$6)*(D83&lt;='Main Input'!$D$7),E83/F83,0),Config!$Q$11)</f>
        <v>0.2500294776559368</v>
      </c>
      <c r="H83" s="3">
        <f>SUMIFS($G$3:$G$198, $A$3:$A$198, A83)</f>
        <v>1</v>
      </c>
      <c r="I83" s="51">
        <f>INDEX('Base Scenario'!$A$1:$I$50,MATCH(A83,'Base Scenario'!$A$1:$A$50,0),MATCH(D83,'Base Scenario'!$A$1:$I$1,0))</f>
        <v>2605437</v>
      </c>
      <c r="J83" s="51">
        <f>VLOOKUP(A83,'Base Scenario'!$A$1:$I$50,9,0)*G83</f>
        <v>4271938.8975946233</v>
      </c>
      <c r="K83" s="53">
        <f>IF(AND(D83&gt;='Main Input'!$D$6, D83&lt;='Main Input'!$D$7), IF('Optim Input'!$B$6="Quarterly", 'Quarterly Calculation'!I83, 'Quarterly Calculation'!J83), 0)</f>
        <v>2605437</v>
      </c>
      <c r="L83" s="51">
        <f>SUMIFS($K$3:$K$198, $A$3:$A$198, $A83)</f>
        <v>17085741</v>
      </c>
      <c r="M83" s="3">
        <f>IFERROR(IF(($D83&gt;='Main Input'!$D$6)*($D83&lt;='Main Input'!$D$7),K83/L83,0),Config!$Q$11)</f>
        <v>0.15249189367906255</v>
      </c>
      <c r="N83" s="53">
        <f>VLOOKUP(A83,'Individual Bounds - Overall'!$A$2:$L$50,11,0)*M83</f>
        <v>2605437</v>
      </c>
      <c r="O83" s="53">
        <f>VLOOKUP(A83,'Individual Bounds - Overall'!$A$2:$L$50,12,0)*M83</f>
        <v>2735708.85</v>
      </c>
    </row>
    <row r="84" spans="1:15" x14ac:dyDescent="0.25">
      <c r="A84" s="3" t="s">
        <v>231</v>
      </c>
      <c r="B84" s="3" t="s">
        <v>70</v>
      </c>
      <c r="C84" s="3" t="s">
        <v>232</v>
      </c>
      <c r="D84" s="3" t="s">
        <v>76</v>
      </c>
      <c r="E84" s="51">
        <v>4241</v>
      </c>
      <c r="F84" s="51">
        <f>SUMIFS($E$3:$E$198,$A$3:$A$198,"=" &amp; A84,$D$3:$D$198,"&gt;=" &amp; 'Main Input'!$D$6,$D$3:$D$198,"&lt;=" &amp; 'Main Input'!$D$7)</f>
        <v>16962</v>
      </c>
      <c r="G84" s="3">
        <f>IFERROR(IF((D84&gt;='Main Input'!$D$6)*(D84&lt;='Main Input'!$D$7),E84/F84,0),Config!$Q$11)</f>
        <v>0.2500294776559368</v>
      </c>
      <c r="H84" s="3">
        <f>SUMIFS($G$3:$G$198, $A$3:$A$198, A84)</f>
        <v>1</v>
      </c>
      <c r="I84" s="51">
        <f>INDEX('Base Scenario'!$A$1:$I$50,MATCH(A84,'Base Scenario'!$A$1:$A$50,0),MATCH(D84,'Base Scenario'!$A$1:$I$1,0))</f>
        <v>2895054</v>
      </c>
      <c r="J84" s="51">
        <f>VLOOKUP(A84,'Base Scenario'!$A$1:$I$50,9,0)*G84</f>
        <v>4271938.8975946233</v>
      </c>
      <c r="K84" s="53">
        <f>IF(AND(D84&gt;='Main Input'!$D$6, D84&lt;='Main Input'!$D$7), IF('Optim Input'!$B$6="Quarterly", 'Quarterly Calculation'!I84, 'Quarterly Calculation'!J84), 0)</f>
        <v>2895054</v>
      </c>
      <c r="L84" s="51">
        <f>SUMIFS($K$3:$K$198, $A$3:$A$198, $A84)</f>
        <v>17085741</v>
      </c>
      <c r="M84" s="3">
        <f>IFERROR(IF(($D84&gt;='Main Input'!$D$6)*($D84&lt;='Main Input'!$D$7),K84/L84,0),Config!$Q$11)</f>
        <v>0.16944269493491679</v>
      </c>
      <c r="N84" s="53">
        <f>VLOOKUP(A84,'Individual Bounds - Overall'!$A$2:$L$50,11,0)*M84</f>
        <v>2895054</v>
      </c>
      <c r="O84" s="53">
        <f>VLOOKUP(A84,'Individual Bounds - Overall'!$A$2:$L$50,12,0)*M84</f>
        <v>3039806.7</v>
      </c>
    </row>
    <row r="85" spans="1:15" x14ac:dyDescent="0.25">
      <c r="A85" s="3" t="s">
        <v>231</v>
      </c>
      <c r="B85" s="3" t="s">
        <v>70</v>
      </c>
      <c r="C85" s="3" t="s">
        <v>232</v>
      </c>
      <c r="D85" s="3" t="s">
        <v>77</v>
      </c>
      <c r="E85" s="51">
        <v>4240</v>
      </c>
      <c r="F85" s="51">
        <f>SUMIFS($E$3:$E$198,$A$3:$A$198,"=" &amp; A85,$D$3:$D$198,"&gt;=" &amp; 'Main Input'!$D$6,$D$3:$D$198,"&lt;=" &amp; 'Main Input'!$D$7)</f>
        <v>16962</v>
      </c>
      <c r="G85" s="3">
        <f>IFERROR(IF((D85&gt;='Main Input'!$D$6)*(D85&lt;='Main Input'!$D$7),E85/F85,0),Config!$Q$11)</f>
        <v>0.2499705223440632</v>
      </c>
      <c r="H85" s="3">
        <f>SUMIFS($G$3:$G$198, $A$3:$A$198, A85)</f>
        <v>1</v>
      </c>
      <c r="I85" s="51">
        <f>INDEX('Base Scenario'!$A$1:$I$50,MATCH(A85,'Base Scenario'!$A$1:$A$50,0),MATCH(D85,'Base Scenario'!$A$1:$I$1,0))</f>
        <v>2023773</v>
      </c>
      <c r="J85" s="51">
        <f>VLOOKUP(A85,'Base Scenario'!$A$1:$I$50,9,0)*G85</f>
        <v>4270931.6024053767</v>
      </c>
      <c r="K85" s="53">
        <f>IF(AND(D85&gt;='Main Input'!$D$6, D85&lt;='Main Input'!$D$7), IF('Optim Input'!$B$6="Quarterly", 'Quarterly Calculation'!I85, 'Quarterly Calculation'!J85), 0)</f>
        <v>2023773</v>
      </c>
      <c r="L85" s="51">
        <f>SUMIFS($K$3:$K$198, $A$3:$A$198, $A85)</f>
        <v>17085741</v>
      </c>
      <c r="M85" s="3">
        <f>IFERROR(IF(($D85&gt;='Main Input'!$D$6)*($D85&lt;='Main Input'!$D$7),K85/L85,0),Config!$Q$11)</f>
        <v>0.11844806730945998</v>
      </c>
      <c r="N85" s="53">
        <f>VLOOKUP(A85,'Individual Bounds - Overall'!$A$2:$L$50,11,0)*M85</f>
        <v>2023773</v>
      </c>
      <c r="O85" s="53">
        <f>VLOOKUP(A85,'Individual Bounds - Overall'!$A$2:$L$50,12,0)*M85</f>
        <v>2124961.65</v>
      </c>
    </row>
    <row r="86" spans="1:15" x14ac:dyDescent="0.25">
      <c r="A86" s="3" t="s">
        <v>231</v>
      </c>
      <c r="B86" s="3" t="s">
        <v>70</v>
      </c>
      <c r="C86" s="3" t="s">
        <v>232</v>
      </c>
      <c r="D86" s="3" t="s">
        <v>78</v>
      </c>
      <c r="E86" s="51">
        <v>4240</v>
      </c>
      <c r="F86" s="51">
        <f>SUMIFS($E$3:$E$198,$A$3:$A$198,"=" &amp; A86,$D$3:$D$198,"&gt;=" &amp; 'Main Input'!$D$6,$D$3:$D$198,"&lt;=" &amp; 'Main Input'!$D$7)</f>
        <v>16962</v>
      </c>
      <c r="G86" s="3">
        <f>IFERROR(IF((D86&gt;='Main Input'!$D$6)*(D86&lt;='Main Input'!$D$7),E86/F86,0),Config!$Q$11)</f>
        <v>0.2499705223440632</v>
      </c>
      <c r="H86" s="3">
        <f>SUMIFS($G$3:$G$198, $A$3:$A$198, A86)</f>
        <v>1</v>
      </c>
      <c r="I86" s="51">
        <f>INDEX('Base Scenario'!$A$1:$I$50,MATCH(A86,'Base Scenario'!$A$1:$A$50,0),MATCH(D86,'Base Scenario'!$A$1:$I$1,0))</f>
        <v>9561477</v>
      </c>
      <c r="J86" s="51">
        <f>VLOOKUP(A86,'Base Scenario'!$A$1:$I$50,9,0)*G86</f>
        <v>4270931.6024053767</v>
      </c>
      <c r="K86" s="53">
        <f>IF(AND(D86&gt;='Main Input'!$D$6, D86&lt;='Main Input'!$D$7), IF('Optim Input'!$B$6="Quarterly", 'Quarterly Calculation'!I86, 'Quarterly Calculation'!J86), 0)</f>
        <v>9561477</v>
      </c>
      <c r="L86" s="51">
        <f>SUMIFS($K$3:$K$198, $A$3:$A$198, $A86)</f>
        <v>17085741</v>
      </c>
      <c r="M86" s="3">
        <f>IFERROR(IF(($D86&gt;='Main Input'!$D$6)*($D86&lt;='Main Input'!$D$7),K86/L86,0),Config!$Q$11)</f>
        <v>0.55961734407656072</v>
      </c>
      <c r="N86" s="53">
        <f>VLOOKUP(A86,'Individual Bounds - Overall'!$A$2:$L$50,11,0)*M86</f>
        <v>9561477</v>
      </c>
      <c r="O86" s="53">
        <f>VLOOKUP(A86,'Individual Bounds - Overall'!$A$2:$L$50,12,0)*M86</f>
        <v>10039550.850000001</v>
      </c>
    </row>
    <row r="87" spans="1:15" x14ac:dyDescent="0.25">
      <c r="A87" s="3" t="s">
        <v>235</v>
      </c>
      <c r="B87" s="3" t="s">
        <v>70</v>
      </c>
      <c r="C87" s="3" t="s">
        <v>236</v>
      </c>
      <c r="D87" s="3" t="s">
        <v>75</v>
      </c>
      <c r="E87" s="51">
        <v>1024459</v>
      </c>
      <c r="F87" s="51">
        <f>SUMIFS($E$3:$E$198,$A$3:$A$198,"=" &amp; A87,$D$3:$D$198,"&gt;=" &amp; 'Main Input'!$D$6,$D$3:$D$198,"&lt;=" &amp; 'Main Input'!$D$7)</f>
        <v>3156933</v>
      </c>
      <c r="G87" s="3">
        <f>IFERROR(IF((D87&gt;='Main Input'!$D$6)*(D87&lt;='Main Input'!$D$7),E87/F87,0),Config!$Q$11)</f>
        <v>0.32451084644495148</v>
      </c>
      <c r="H87" s="3">
        <f>SUMIFS($G$3:$G$198, $A$3:$A$198, A87)</f>
        <v>1</v>
      </c>
      <c r="I87" s="51">
        <f>INDEX('Base Scenario'!$A$1:$I$50,MATCH(A87,'Base Scenario'!$A$1:$A$50,0),MATCH(D87,'Base Scenario'!$A$1:$I$1,0))</f>
        <v>102000</v>
      </c>
      <c r="J87" s="51">
        <f>VLOOKUP(A87,'Base Scenario'!$A$1:$I$50,9,0)*G87</f>
        <v>135286.131561335</v>
      </c>
      <c r="K87" s="53">
        <f>IF(AND(D87&gt;='Main Input'!$D$6, D87&lt;='Main Input'!$D$7), IF('Optim Input'!$B$6="Quarterly", 'Quarterly Calculation'!I87, 'Quarterly Calculation'!J87), 0)</f>
        <v>102000</v>
      </c>
      <c r="L87" s="51">
        <f>SUMIFS($K$3:$K$198, $A$3:$A$198, $A87)</f>
        <v>416892.48</v>
      </c>
      <c r="M87" s="3">
        <f>IFERROR(IF(($D87&gt;='Main Input'!$D$6)*($D87&lt;='Main Input'!$D$7),K87/L87,0),Config!$Q$11)</f>
        <v>0.24466740201214474</v>
      </c>
      <c r="N87" s="53">
        <f>VLOOKUP(A87,'Individual Bounds - Overall'!$A$2:$L$50,11,0)*M87</f>
        <v>102000</v>
      </c>
      <c r="O87" s="53">
        <f>VLOOKUP(A87,'Individual Bounds - Overall'!$A$2:$L$50,12,0)*M87</f>
        <v>107100.00000000001</v>
      </c>
    </row>
    <row r="88" spans="1:15" x14ac:dyDescent="0.25">
      <c r="A88" s="3" t="s">
        <v>235</v>
      </c>
      <c r="B88" s="3" t="s">
        <v>70</v>
      </c>
      <c r="C88" s="3" t="s">
        <v>236</v>
      </c>
      <c r="D88" s="3" t="s">
        <v>76</v>
      </c>
      <c r="E88" s="51">
        <v>788366</v>
      </c>
      <c r="F88" s="51">
        <f>SUMIFS($E$3:$E$198,$A$3:$A$198,"=" &amp; A88,$D$3:$D$198,"&gt;=" &amp; 'Main Input'!$D$6,$D$3:$D$198,"&lt;=" &amp; 'Main Input'!$D$7)</f>
        <v>3156933</v>
      </c>
      <c r="G88" s="3">
        <f>IFERROR(IF((D88&gt;='Main Input'!$D$6)*(D88&lt;='Main Input'!$D$7),E88/F88,0),Config!$Q$11)</f>
        <v>0.24972528716954082</v>
      </c>
      <c r="H88" s="3">
        <f>SUMIFS($G$3:$G$198, $A$3:$A$198, A88)</f>
        <v>1</v>
      </c>
      <c r="I88" s="51">
        <f>INDEX('Base Scenario'!$A$1:$I$50,MATCH(A88,'Base Scenario'!$A$1:$A$50,0),MATCH(D88,'Base Scenario'!$A$1:$I$1,0))</f>
        <v>68212.479999999996</v>
      </c>
      <c r="J88" s="51">
        <f>VLOOKUP(A88,'Base Scenario'!$A$1:$I$50,9,0)*G88</f>
        <v>104108.59428682204</v>
      </c>
      <c r="K88" s="53">
        <f>IF(AND(D88&gt;='Main Input'!$D$6, D88&lt;='Main Input'!$D$7), IF('Optim Input'!$B$6="Quarterly", 'Quarterly Calculation'!I88, 'Quarterly Calculation'!J88), 0)</f>
        <v>68212.479999999996</v>
      </c>
      <c r="L88" s="51">
        <f>SUMIFS($K$3:$K$198, $A$3:$A$198, $A88)</f>
        <v>416892.48</v>
      </c>
      <c r="M88" s="3">
        <f>IFERROR(IF(($D88&gt;='Main Input'!$D$6)*($D88&lt;='Main Input'!$D$7),K88/L88,0),Config!$Q$11)</f>
        <v>0.16362127712162139</v>
      </c>
      <c r="N88" s="53">
        <f>VLOOKUP(A88,'Individual Bounds - Overall'!$A$2:$L$50,11,0)*M88</f>
        <v>68212.479999999996</v>
      </c>
      <c r="O88" s="53">
        <f>VLOOKUP(A88,'Individual Bounds - Overall'!$A$2:$L$50,12,0)*M88</f>
        <v>71623.104000000007</v>
      </c>
    </row>
    <row r="89" spans="1:15" x14ac:dyDescent="0.25">
      <c r="A89" s="3" t="s">
        <v>235</v>
      </c>
      <c r="B89" s="3" t="s">
        <v>70</v>
      </c>
      <c r="C89" s="3" t="s">
        <v>236</v>
      </c>
      <c r="D89" s="3" t="s">
        <v>77</v>
      </c>
      <c r="E89" s="51">
        <v>802910</v>
      </c>
      <c r="F89" s="51">
        <f>SUMIFS($E$3:$E$198,$A$3:$A$198,"=" &amp; A89,$D$3:$D$198,"&gt;=" &amp; 'Main Input'!$D$6,$D$3:$D$198,"&lt;=" &amp; 'Main Input'!$D$7)</f>
        <v>3156933</v>
      </c>
      <c r="G89" s="3">
        <f>IFERROR(IF((D89&gt;='Main Input'!$D$6)*(D89&lt;='Main Input'!$D$7),E89/F89,0),Config!$Q$11)</f>
        <v>0.25433229023232357</v>
      </c>
      <c r="H89" s="3">
        <f>SUMIFS($G$3:$G$198, $A$3:$A$198, A89)</f>
        <v>1</v>
      </c>
      <c r="I89" s="51">
        <f>INDEX('Base Scenario'!$A$1:$I$50,MATCH(A89,'Base Scenario'!$A$1:$A$50,0),MATCH(D89,'Base Scenario'!$A$1:$I$1,0))</f>
        <v>0</v>
      </c>
      <c r="J89" s="51">
        <f>VLOOKUP(A89,'Base Scenario'!$A$1:$I$50,9,0)*G89</f>
        <v>106029.21921903314</v>
      </c>
      <c r="K89" s="53">
        <f>IF(AND(D89&gt;='Main Input'!$D$6, D89&lt;='Main Input'!$D$7), IF('Optim Input'!$B$6="Quarterly", 'Quarterly Calculation'!I89, 'Quarterly Calculation'!J89), 0)</f>
        <v>0</v>
      </c>
      <c r="L89" s="51">
        <f>SUMIFS($K$3:$K$198, $A$3:$A$198, $A89)</f>
        <v>416892.48</v>
      </c>
      <c r="M89" s="3">
        <f>IFERROR(IF(($D89&gt;='Main Input'!$D$6)*($D89&lt;='Main Input'!$D$7),K89/L89,0),Config!$Q$11)</f>
        <v>0</v>
      </c>
      <c r="N89" s="53">
        <f>VLOOKUP(A89,'Individual Bounds - Overall'!$A$2:$L$50,11,0)*M89</f>
        <v>0</v>
      </c>
      <c r="O89" s="53">
        <f>VLOOKUP(A89,'Individual Bounds - Overall'!$A$2:$L$50,12,0)*M89</f>
        <v>0</v>
      </c>
    </row>
    <row r="90" spans="1:15" x14ac:dyDescent="0.25">
      <c r="A90" s="3" t="s">
        <v>235</v>
      </c>
      <c r="B90" s="3" t="s">
        <v>70</v>
      </c>
      <c r="C90" s="3" t="s">
        <v>236</v>
      </c>
      <c r="D90" s="3" t="s">
        <v>78</v>
      </c>
      <c r="E90" s="51">
        <v>541198</v>
      </c>
      <c r="F90" s="51">
        <f>SUMIFS($E$3:$E$198,$A$3:$A$198,"=" &amp; A90,$D$3:$D$198,"&gt;=" &amp; 'Main Input'!$D$6,$D$3:$D$198,"&lt;=" &amp; 'Main Input'!$D$7)</f>
        <v>3156933</v>
      </c>
      <c r="G90" s="3">
        <f>IFERROR(IF((D90&gt;='Main Input'!$D$6)*(D90&lt;='Main Input'!$D$7),E90/F90,0),Config!$Q$11)</f>
        <v>0.17143157615318411</v>
      </c>
      <c r="H90" s="3">
        <f>SUMIFS($G$3:$G$198, $A$3:$A$198, A90)</f>
        <v>1</v>
      </c>
      <c r="I90" s="51">
        <f>INDEX('Base Scenario'!$A$1:$I$50,MATCH(A90,'Base Scenario'!$A$1:$A$50,0),MATCH(D90,'Base Scenario'!$A$1:$I$1,0))</f>
        <v>246680</v>
      </c>
      <c r="J90" s="51">
        <f>VLOOKUP(A90,'Base Scenario'!$A$1:$I$50,9,0)*G90</f>
        <v>71468.53493280978</v>
      </c>
      <c r="K90" s="53">
        <f>IF(AND(D90&gt;='Main Input'!$D$6, D90&lt;='Main Input'!$D$7), IF('Optim Input'!$B$6="Quarterly", 'Quarterly Calculation'!I90, 'Quarterly Calculation'!J90), 0)</f>
        <v>246680</v>
      </c>
      <c r="L90" s="51">
        <f>SUMIFS($K$3:$K$198, $A$3:$A$198, $A90)</f>
        <v>416892.48</v>
      </c>
      <c r="M90" s="3">
        <f>IFERROR(IF(($D90&gt;='Main Input'!$D$6)*($D90&lt;='Main Input'!$D$7),K90/L90,0),Config!$Q$11)</f>
        <v>0.5917113208662339</v>
      </c>
      <c r="N90" s="53">
        <f>VLOOKUP(A90,'Individual Bounds - Overall'!$A$2:$L$50,11,0)*M90</f>
        <v>246680</v>
      </c>
      <c r="O90" s="53">
        <f>VLOOKUP(A90,'Individual Bounds - Overall'!$A$2:$L$50,12,0)*M90</f>
        <v>259014</v>
      </c>
    </row>
    <row r="91" spans="1:15" x14ac:dyDescent="0.25">
      <c r="A91" s="3" t="s">
        <v>248</v>
      </c>
      <c r="B91" s="3" t="s">
        <v>238</v>
      </c>
      <c r="C91" s="3" t="s">
        <v>249</v>
      </c>
      <c r="D91" s="3" t="s">
        <v>75</v>
      </c>
      <c r="E91" s="51">
        <v>108711</v>
      </c>
      <c r="F91" s="51">
        <f>SUMIFS($E$3:$E$198,$A$3:$A$198,"=" &amp; A91,$D$3:$D$198,"&gt;=" &amp; 'Main Input'!$D$6,$D$3:$D$198,"&lt;=" &amp; 'Main Input'!$D$7)</f>
        <v>950009</v>
      </c>
      <c r="G91" s="3">
        <f>IFERROR(IF((D91&gt;='Main Input'!$D$6)*(D91&lt;='Main Input'!$D$7),E91/F91,0),Config!$Q$11)</f>
        <v>0.11443154749060272</v>
      </c>
      <c r="H91" s="3">
        <f>SUMIFS($G$3:$G$198, $A$3:$A$198, A91)</f>
        <v>1</v>
      </c>
      <c r="I91" s="51">
        <f>INDEX('Base Scenario'!$A$1:$I$50,MATCH(A91,'Base Scenario'!$A$1:$A$50,0),MATCH(D91,'Base Scenario'!$A$1:$I$1,0))</f>
        <v>45279.66</v>
      </c>
      <c r="J91" s="51">
        <f>VLOOKUP(A91,'Base Scenario'!$A$1:$I$50,9,0)*G91</f>
        <v>55783.90666765262</v>
      </c>
      <c r="K91" s="53">
        <f>IF(AND(D91&gt;='Main Input'!$D$6, D91&lt;='Main Input'!$D$7), IF('Optim Input'!$B$6="Quarterly", 'Quarterly Calculation'!I91, 'Quarterly Calculation'!J91), 0)</f>
        <v>45279.66</v>
      </c>
      <c r="L91" s="51">
        <f>SUMIFS($K$3:$K$198, $A$3:$A$198, $A91)</f>
        <v>487487.13</v>
      </c>
      <c r="M91" s="3">
        <f>IFERROR(IF(($D91&gt;='Main Input'!$D$6)*($D91&lt;='Main Input'!$D$7),K91/L91,0),Config!$Q$11)</f>
        <v>9.2883805978631689E-2</v>
      </c>
      <c r="N91" s="53">
        <f>VLOOKUP(A91,'Individual Bounds - Overall'!$A$2:$L$50,11,0)*M91</f>
        <v>45279.66</v>
      </c>
      <c r="O91" s="53">
        <f>VLOOKUP(A91,'Individual Bounds - Overall'!$A$2:$L$50,12,0)*M91</f>
        <v>47543.643000000004</v>
      </c>
    </row>
    <row r="92" spans="1:15" x14ac:dyDescent="0.25">
      <c r="A92" s="3" t="s">
        <v>248</v>
      </c>
      <c r="B92" s="3" t="s">
        <v>238</v>
      </c>
      <c r="C92" s="3" t="s">
        <v>249</v>
      </c>
      <c r="D92" s="3" t="s">
        <v>76</v>
      </c>
      <c r="E92" s="51">
        <v>304329</v>
      </c>
      <c r="F92" s="51">
        <f>SUMIFS($E$3:$E$198,$A$3:$A$198,"=" &amp; A92,$D$3:$D$198,"&gt;=" &amp; 'Main Input'!$D$6,$D$3:$D$198,"&lt;=" &amp; 'Main Input'!$D$7)</f>
        <v>950009</v>
      </c>
      <c r="G92" s="3">
        <f>IFERROR(IF((D92&gt;='Main Input'!$D$6)*(D92&lt;='Main Input'!$D$7),E92/F92,0),Config!$Q$11)</f>
        <v>0.32034328095839093</v>
      </c>
      <c r="H92" s="3">
        <f>SUMIFS($G$3:$G$198, $A$3:$A$198, A92)</f>
        <v>1</v>
      </c>
      <c r="I92" s="51">
        <f>INDEX('Base Scenario'!$A$1:$I$50,MATCH(A92,'Base Scenario'!$A$1:$A$50,0),MATCH(D92,'Base Scenario'!$A$1:$I$1,0))</f>
        <v>58597.86</v>
      </c>
      <c r="J92" s="51">
        <f>VLOOKUP(A92,'Base Scenario'!$A$1:$I$50,9,0)*G92</f>
        <v>156163.22664918966</v>
      </c>
      <c r="K92" s="53">
        <f>IF(AND(D92&gt;='Main Input'!$D$6, D92&lt;='Main Input'!$D$7), IF('Optim Input'!$B$6="Quarterly", 'Quarterly Calculation'!I92, 'Quarterly Calculation'!J92), 0)</f>
        <v>58597.86</v>
      </c>
      <c r="L92" s="51">
        <f>SUMIFS($K$3:$K$198, $A$3:$A$198, $A92)</f>
        <v>487487.13</v>
      </c>
      <c r="M92" s="3">
        <f>IFERROR(IF(($D92&gt;='Main Input'!$D$6)*($D92&lt;='Main Input'!$D$7),K92/L92,0),Config!$Q$11)</f>
        <v>0.12020391184481116</v>
      </c>
      <c r="N92" s="53">
        <f>VLOOKUP(A92,'Individual Bounds - Overall'!$A$2:$L$50,11,0)*M92</f>
        <v>58597.86</v>
      </c>
      <c r="O92" s="53">
        <f>VLOOKUP(A92,'Individual Bounds - Overall'!$A$2:$L$50,12,0)*M92</f>
        <v>61527.752999999997</v>
      </c>
    </row>
    <row r="93" spans="1:15" x14ac:dyDescent="0.25">
      <c r="A93" s="3" t="s">
        <v>248</v>
      </c>
      <c r="B93" s="3" t="s">
        <v>238</v>
      </c>
      <c r="C93" s="3" t="s">
        <v>249</v>
      </c>
      <c r="D93" s="3" t="s">
        <v>77</v>
      </c>
      <c r="E93" s="51">
        <v>300138</v>
      </c>
      <c r="F93" s="51">
        <f>SUMIFS($E$3:$E$198,$A$3:$A$198,"=" &amp; A93,$D$3:$D$198,"&gt;=" &amp; 'Main Input'!$D$6,$D$3:$D$198,"&lt;=" &amp; 'Main Input'!$D$7)</f>
        <v>950009</v>
      </c>
      <c r="G93" s="3">
        <f>IFERROR(IF((D93&gt;='Main Input'!$D$6)*(D93&lt;='Main Input'!$D$7),E93/F93,0),Config!$Q$11)</f>
        <v>0.31593174380453237</v>
      </c>
      <c r="H93" s="3">
        <f>SUMIFS($G$3:$G$198, $A$3:$A$198, A93)</f>
        <v>1</v>
      </c>
      <c r="I93" s="51">
        <f>INDEX('Base Scenario'!$A$1:$I$50,MATCH(A93,'Base Scenario'!$A$1:$A$50,0),MATCH(D93,'Base Scenario'!$A$1:$I$1,0))</f>
        <v>62377.61</v>
      </c>
      <c r="J93" s="51">
        <f>VLOOKUP(A93,'Base Scenario'!$A$1:$I$50,9,0)*G93</f>
        <v>154012.65906316676</v>
      </c>
      <c r="K93" s="53">
        <f>IF(AND(D93&gt;='Main Input'!$D$6, D93&lt;='Main Input'!$D$7), IF('Optim Input'!$B$6="Quarterly", 'Quarterly Calculation'!I93, 'Quarterly Calculation'!J93), 0)</f>
        <v>62377.61</v>
      </c>
      <c r="L93" s="51">
        <f>SUMIFS($K$3:$K$198, $A$3:$A$198, $A93)</f>
        <v>487487.13</v>
      </c>
      <c r="M93" s="3">
        <f>IFERROR(IF(($D93&gt;='Main Input'!$D$6)*($D93&lt;='Main Input'!$D$7),K93/L93,0),Config!$Q$11)</f>
        <v>0.12795744987154839</v>
      </c>
      <c r="N93" s="53">
        <f>VLOOKUP(A93,'Individual Bounds - Overall'!$A$2:$L$50,11,0)*M93</f>
        <v>62377.609999999993</v>
      </c>
      <c r="O93" s="53">
        <f>VLOOKUP(A93,'Individual Bounds - Overall'!$A$2:$L$50,12,0)*M93</f>
        <v>65496.490499999993</v>
      </c>
    </row>
    <row r="94" spans="1:15" x14ac:dyDescent="0.25">
      <c r="A94" s="3" t="s">
        <v>248</v>
      </c>
      <c r="B94" s="3" t="s">
        <v>238</v>
      </c>
      <c r="C94" s="3" t="s">
        <v>249</v>
      </c>
      <c r="D94" s="3" t="s">
        <v>78</v>
      </c>
      <c r="E94" s="51">
        <v>236831</v>
      </c>
      <c r="F94" s="51">
        <f>SUMIFS($E$3:$E$198,$A$3:$A$198,"=" &amp; A94,$D$3:$D$198,"&gt;=" &amp; 'Main Input'!$D$6,$D$3:$D$198,"&lt;=" &amp; 'Main Input'!$D$7)</f>
        <v>950009</v>
      </c>
      <c r="G94" s="3">
        <f>IFERROR(IF((D94&gt;='Main Input'!$D$6)*(D94&lt;='Main Input'!$D$7),E94/F94,0),Config!$Q$11)</f>
        <v>0.24929342774647398</v>
      </c>
      <c r="H94" s="3">
        <f>SUMIFS($G$3:$G$198, $A$3:$A$198, A94)</f>
        <v>1</v>
      </c>
      <c r="I94" s="51">
        <f>INDEX('Base Scenario'!$A$1:$I$50,MATCH(A94,'Base Scenario'!$A$1:$A$50,0),MATCH(D94,'Base Scenario'!$A$1:$I$1,0))</f>
        <v>321232</v>
      </c>
      <c r="J94" s="51">
        <f>VLOOKUP(A94,'Base Scenario'!$A$1:$I$50,9,0)*G94</f>
        <v>121527.33761999097</v>
      </c>
      <c r="K94" s="53">
        <f>IF(AND(D94&gt;='Main Input'!$D$6, D94&lt;='Main Input'!$D$7), IF('Optim Input'!$B$6="Quarterly", 'Quarterly Calculation'!I94, 'Quarterly Calculation'!J94), 0)</f>
        <v>321232</v>
      </c>
      <c r="L94" s="51">
        <f>SUMIFS($K$3:$K$198, $A$3:$A$198, $A94)</f>
        <v>487487.13</v>
      </c>
      <c r="M94" s="3">
        <f>IFERROR(IF(($D94&gt;='Main Input'!$D$6)*($D94&lt;='Main Input'!$D$7),K94/L94,0),Config!$Q$11)</f>
        <v>0.65895483230500873</v>
      </c>
      <c r="N94" s="53">
        <f>VLOOKUP(A94,'Individual Bounds - Overall'!$A$2:$L$50,11,0)*M94</f>
        <v>321232</v>
      </c>
      <c r="O94" s="53">
        <f>VLOOKUP(A94,'Individual Bounds - Overall'!$A$2:$L$50,12,0)*M94</f>
        <v>337293.6</v>
      </c>
    </row>
    <row r="95" spans="1:15" x14ac:dyDescent="0.25">
      <c r="A95" s="3" t="s">
        <v>244</v>
      </c>
      <c r="B95" s="3" t="s">
        <v>238</v>
      </c>
      <c r="C95" s="3" t="s">
        <v>245</v>
      </c>
      <c r="D95" s="3" t="s">
        <v>75</v>
      </c>
      <c r="E95" s="51">
        <v>2988501</v>
      </c>
      <c r="F95" s="51">
        <f>SUMIFS($E$3:$E$198,$A$3:$A$198,"=" &amp; A95,$D$3:$D$198,"&gt;=" &amp; 'Main Input'!$D$6,$D$3:$D$198,"&lt;=" &amp; 'Main Input'!$D$7)</f>
        <v>11019887</v>
      </c>
      <c r="G95" s="3">
        <f>IFERROR(IF((D95&gt;='Main Input'!$D$6)*(D95&lt;='Main Input'!$D$7),E95/F95,0),Config!$Q$11)</f>
        <v>0.27119161929700369</v>
      </c>
      <c r="H95" s="3">
        <f>SUMIFS($G$3:$G$198, $A$3:$A$198, A95)</f>
        <v>0.99999999999999989</v>
      </c>
      <c r="I95" s="51">
        <f>INDEX('Base Scenario'!$A$1:$I$50,MATCH(A95,'Base Scenario'!$A$1:$A$50,0),MATCH(D95,'Base Scenario'!$A$1:$I$1,0))</f>
        <v>50075.68</v>
      </c>
      <c r="J95" s="51">
        <f>VLOOKUP(A95,'Base Scenario'!$A$1:$I$50,9,0)*G95</f>
        <v>261229.90771428874</v>
      </c>
      <c r="K95" s="53">
        <f>IF(AND(D95&gt;='Main Input'!$D$6, D95&lt;='Main Input'!$D$7), IF('Optim Input'!$B$6="Quarterly", 'Quarterly Calculation'!I95, 'Quarterly Calculation'!J95), 0)</f>
        <v>50075.68</v>
      </c>
      <c r="L95" s="51">
        <f>SUMIFS($K$3:$K$198, $A$3:$A$198, $A95)</f>
        <v>963266.89</v>
      </c>
      <c r="M95" s="3">
        <f>IFERROR(IF(($D95&gt;='Main Input'!$D$6)*($D95&lt;='Main Input'!$D$7),K95/L95,0),Config!$Q$11)</f>
        <v>5.1985260284405706E-2</v>
      </c>
      <c r="N95" s="53">
        <f>VLOOKUP(A95,'Individual Bounds - Overall'!$A$2:$L$50,11,0)*M95</f>
        <v>50075.68</v>
      </c>
      <c r="O95" s="53">
        <f>VLOOKUP(A95,'Individual Bounds - Overall'!$A$2:$L$50,12,0)*M95</f>
        <v>52579.464</v>
      </c>
    </row>
    <row r="96" spans="1:15" x14ac:dyDescent="0.25">
      <c r="A96" s="3" t="s">
        <v>244</v>
      </c>
      <c r="B96" s="3" t="s">
        <v>238</v>
      </c>
      <c r="C96" s="3" t="s">
        <v>245</v>
      </c>
      <c r="D96" s="3" t="s">
        <v>76</v>
      </c>
      <c r="E96" s="51">
        <v>3222243</v>
      </c>
      <c r="F96" s="51">
        <f>SUMIFS($E$3:$E$198,$A$3:$A$198,"=" &amp; A96,$D$3:$D$198,"&gt;=" &amp; 'Main Input'!$D$6,$D$3:$D$198,"&lt;=" &amp; 'Main Input'!$D$7)</f>
        <v>11019887</v>
      </c>
      <c r="G96" s="3">
        <f>IFERROR(IF((D96&gt;='Main Input'!$D$6)*(D96&lt;='Main Input'!$D$7),E96/F96,0),Config!$Q$11)</f>
        <v>0.29240254459959525</v>
      </c>
      <c r="H96" s="3">
        <f>SUMIFS($G$3:$G$198, $A$3:$A$198, A96)</f>
        <v>0.99999999999999989</v>
      </c>
      <c r="I96" s="51">
        <f>INDEX('Base Scenario'!$A$1:$I$50,MATCH(A96,'Base Scenario'!$A$1:$A$50,0),MATCH(D96,'Base Scenario'!$A$1:$I$1,0))</f>
        <v>94556.91</v>
      </c>
      <c r="J96" s="51">
        <f>VLOOKUP(A96,'Base Scenario'!$A$1:$I$50,9,0)*G96</f>
        <v>281661.68976453843</v>
      </c>
      <c r="K96" s="53">
        <f>IF(AND(D96&gt;='Main Input'!$D$6, D96&lt;='Main Input'!$D$7), IF('Optim Input'!$B$6="Quarterly", 'Quarterly Calculation'!I96, 'Quarterly Calculation'!J96), 0)</f>
        <v>94556.91</v>
      </c>
      <c r="L96" s="51">
        <f>SUMIFS($K$3:$K$198, $A$3:$A$198, $A96)</f>
        <v>963266.89</v>
      </c>
      <c r="M96" s="3">
        <f>IFERROR(IF(($D96&gt;='Main Input'!$D$6)*($D96&lt;='Main Input'!$D$7),K96/L96,0),Config!$Q$11)</f>
        <v>9.816273244894777E-2</v>
      </c>
      <c r="N96" s="53">
        <f>VLOOKUP(A96,'Individual Bounds - Overall'!$A$2:$L$50,11,0)*M96</f>
        <v>94556.91</v>
      </c>
      <c r="O96" s="53">
        <f>VLOOKUP(A96,'Individual Bounds - Overall'!$A$2:$L$50,12,0)*M96</f>
        <v>99284.755499999999</v>
      </c>
    </row>
    <row r="97" spans="1:15" x14ac:dyDescent="0.25">
      <c r="A97" s="3" t="s">
        <v>244</v>
      </c>
      <c r="B97" s="3" t="s">
        <v>238</v>
      </c>
      <c r="C97" s="3" t="s">
        <v>245</v>
      </c>
      <c r="D97" s="3" t="s">
        <v>77</v>
      </c>
      <c r="E97" s="51">
        <v>2903984</v>
      </c>
      <c r="F97" s="51">
        <f>SUMIFS($E$3:$E$198,$A$3:$A$198,"=" &amp; A97,$D$3:$D$198,"&gt;=" &amp; 'Main Input'!$D$6,$D$3:$D$198,"&lt;=" &amp; 'Main Input'!$D$7)</f>
        <v>11019887</v>
      </c>
      <c r="G97" s="3">
        <f>IFERROR(IF((D97&gt;='Main Input'!$D$6)*(D97&lt;='Main Input'!$D$7),E97/F97,0),Config!$Q$11)</f>
        <v>0.26352212141558257</v>
      </c>
      <c r="H97" s="3">
        <f>SUMIFS($G$3:$G$198, $A$3:$A$198, A97)</f>
        <v>0.99999999999999989</v>
      </c>
      <c r="I97" s="51">
        <f>INDEX('Base Scenario'!$A$1:$I$50,MATCH(A97,'Base Scenario'!$A$1:$A$50,0),MATCH(D97,'Base Scenario'!$A$1:$I$1,0))</f>
        <v>155762</v>
      </c>
      <c r="J97" s="51">
        <f>VLOOKUP(A97,'Base Scenario'!$A$1:$I$50,9,0)*G97</f>
        <v>253842.13434219061</v>
      </c>
      <c r="K97" s="53">
        <f>IF(AND(D97&gt;='Main Input'!$D$6, D97&lt;='Main Input'!$D$7), IF('Optim Input'!$B$6="Quarterly", 'Quarterly Calculation'!I97, 'Quarterly Calculation'!J97), 0)</f>
        <v>155762</v>
      </c>
      <c r="L97" s="51">
        <f>SUMIFS($K$3:$K$198, $A$3:$A$198, $A97)</f>
        <v>963266.89</v>
      </c>
      <c r="M97" s="3">
        <f>IFERROR(IF(($D97&gt;='Main Input'!$D$6)*($D97&lt;='Main Input'!$D$7),K97/L97,0),Config!$Q$11)</f>
        <v>0.16170181038818845</v>
      </c>
      <c r="N97" s="53">
        <f>VLOOKUP(A97,'Individual Bounds - Overall'!$A$2:$L$50,11,0)*M97</f>
        <v>155762</v>
      </c>
      <c r="O97" s="53">
        <f>VLOOKUP(A97,'Individual Bounds - Overall'!$A$2:$L$50,12,0)*M97</f>
        <v>163550.09999999998</v>
      </c>
    </row>
    <row r="98" spans="1:15" x14ac:dyDescent="0.25">
      <c r="A98" s="3" t="s">
        <v>244</v>
      </c>
      <c r="B98" s="3" t="s">
        <v>238</v>
      </c>
      <c r="C98" s="3" t="s">
        <v>245</v>
      </c>
      <c r="D98" s="3" t="s">
        <v>78</v>
      </c>
      <c r="E98" s="51">
        <v>1905159</v>
      </c>
      <c r="F98" s="51">
        <f>SUMIFS($E$3:$E$198,$A$3:$A$198,"=" &amp; A98,$D$3:$D$198,"&gt;=" &amp; 'Main Input'!$D$6,$D$3:$D$198,"&lt;=" &amp; 'Main Input'!$D$7)</f>
        <v>11019887</v>
      </c>
      <c r="G98" s="3">
        <f>IFERROR(IF((D98&gt;='Main Input'!$D$6)*(D98&lt;='Main Input'!$D$7),E98/F98,0),Config!$Q$11)</f>
        <v>0.17288371468781849</v>
      </c>
      <c r="H98" s="3">
        <f>SUMIFS($G$3:$G$198, $A$3:$A$198, A98)</f>
        <v>0.99999999999999989</v>
      </c>
      <c r="I98" s="51">
        <f>INDEX('Base Scenario'!$A$1:$I$50,MATCH(A98,'Base Scenario'!$A$1:$A$50,0),MATCH(D98,'Base Scenario'!$A$1:$I$1,0))</f>
        <v>662872.30000000005</v>
      </c>
      <c r="J98" s="51">
        <f>VLOOKUP(A98,'Base Scenario'!$A$1:$I$50,9,0)*G98</f>
        <v>166533.15817898224</v>
      </c>
      <c r="K98" s="53">
        <f>IF(AND(D98&gt;='Main Input'!$D$6, D98&lt;='Main Input'!$D$7), IF('Optim Input'!$B$6="Quarterly", 'Quarterly Calculation'!I98, 'Quarterly Calculation'!J98), 0)</f>
        <v>662872.30000000005</v>
      </c>
      <c r="L98" s="51">
        <f>SUMIFS($K$3:$K$198, $A$3:$A$198, $A98)</f>
        <v>963266.89</v>
      </c>
      <c r="M98" s="3">
        <f>IFERROR(IF(($D98&gt;='Main Input'!$D$6)*($D98&lt;='Main Input'!$D$7),K98/L98,0),Config!$Q$11)</f>
        <v>0.68815019687845813</v>
      </c>
      <c r="N98" s="53">
        <f>VLOOKUP(A98,'Individual Bounds - Overall'!$A$2:$L$50,11,0)*M98</f>
        <v>662872.30000000005</v>
      </c>
      <c r="O98" s="53">
        <f>VLOOKUP(A98,'Individual Bounds - Overall'!$A$2:$L$50,12,0)*M98</f>
        <v>696015.91500000004</v>
      </c>
    </row>
    <row r="99" spans="1:15" x14ac:dyDescent="0.25">
      <c r="A99" s="3" t="s">
        <v>240</v>
      </c>
      <c r="B99" s="3" t="s">
        <v>238</v>
      </c>
      <c r="C99" s="3" t="s">
        <v>241</v>
      </c>
      <c r="D99" s="3" t="s">
        <v>75</v>
      </c>
      <c r="E99" s="51">
        <v>902091</v>
      </c>
      <c r="F99" s="51">
        <f>SUMIFS($E$3:$E$198,$A$3:$A$198,"=" &amp; A99,$D$3:$D$198,"&gt;=" &amp; 'Main Input'!$D$6,$D$3:$D$198,"&lt;=" &amp; 'Main Input'!$D$7)</f>
        <v>4467580</v>
      </c>
      <c r="G99" s="3">
        <f>IFERROR(IF((D99&gt;='Main Input'!$D$6)*(D99&lt;='Main Input'!$D$7),E99/F99,0),Config!$Q$11)</f>
        <v>0.20191938364841816</v>
      </c>
      <c r="H99" s="3">
        <f>SUMIFS($G$3:$G$198, $A$3:$A$198, A99)</f>
        <v>1</v>
      </c>
      <c r="I99" s="51">
        <f>INDEX('Base Scenario'!$A$1:$I$50,MATCH(A99,'Base Scenario'!$A$1:$A$50,0),MATCH(D99,'Base Scenario'!$A$1:$I$1,0))</f>
        <v>0</v>
      </c>
      <c r="J99" s="51">
        <f>VLOOKUP(A99,'Base Scenario'!$A$1:$I$50,9,0)*G99</f>
        <v>109.23838655379423</v>
      </c>
      <c r="K99" s="53">
        <f>IF(AND(D99&gt;='Main Input'!$D$6, D99&lt;='Main Input'!$D$7), IF('Optim Input'!$B$6="Quarterly", 'Quarterly Calculation'!I99, 'Quarterly Calculation'!J99), 0)</f>
        <v>0</v>
      </c>
      <c r="L99" s="51">
        <f>SUMIFS($K$3:$K$198, $A$3:$A$198, $A99)</f>
        <v>541</v>
      </c>
      <c r="M99" s="3">
        <f>IFERROR(IF(($D99&gt;='Main Input'!$D$6)*($D99&lt;='Main Input'!$D$7),K99/L99,0),Config!$Q$11)</f>
        <v>0</v>
      </c>
      <c r="N99" s="53">
        <f>VLOOKUP(A99,'Individual Bounds - Overall'!$A$2:$L$50,11,0)*M99</f>
        <v>0</v>
      </c>
      <c r="O99" s="53">
        <f>VLOOKUP(A99,'Individual Bounds - Overall'!$A$2:$L$50,12,0)*M99</f>
        <v>0</v>
      </c>
    </row>
    <row r="100" spans="1:15" x14ac:dyDescent="0.25">
      <c r="A100" s="3" t="s">
        <v>240</v>
      </c>
      <c r="B100" s="3" t="s">
        <v>238</v>
      </c>
      <c r="C100" s="3" t="s">
        <v>241</v>
      </c>
      <c r="D100" s="3" t="s">
        <v>76</v>
      </c>
      <c r="E100" s="51">
        <v>1101747</v>
      </c>
      <c r="F100" s="51">
        <f>SUMIFS($E$3:$E$198,$A$3:$A$198,"=" &amp; A100,$D$3:$D$198,"&gt;=" &amp; 'Main Input'!$D$6,$D$3:$D$198,"&lt;=" &amp; 'Main Input'!$D$7)</f>
        <v>4467580</v>
      </c>
      <c r="G100" s="3">
        <f>IFERROR(IF((D100&gt;='Main Input'!$D$6)*(D100&lt;='Main Input'!$D$7),E100/F100,0),Config!$Q$11)</f>
        <v>0.24660935002842702</v>
      </c>
      <c r="H100" s="3">
        <f>SUMIFS($G$3:$G$198, $A$3:$A$198, A100)</f>
        <v>1</v>
      </c>
      <c r="I100" s="51">
        <f>INDEX('Base Scenario'!$A$1:$I$50,MATCH(A100,'Base Scenario'!$A$1:$A$50,0),MATCH(D100,'Base Scenario'!$A$1:$I$1,0))</f>
        <v>0</v>
      </c>
      <c r="J100" s="51">
        <f>VLOOKUP(A100,'Base Scenario'!$A$1:$I$50,9,0)*G100</f>
        <v>133.41565836537902</v>
      </c>
      <c r="K100" s="53">
        <f>IF(AND(D100&gt;='Main Input'!$D$6, D100&lt;='Main Input'!$D$7), IF('Optim Input'!$B$6="Quarterly", 'Quarterly Calculation'!I100, 'Quarterly Calculation'!J100), 0)</f>
        <v>0</v>
      </c>
      <c r="L100" s="51">
        <f>SUMIFS($K$3:$K$198, $A$3:$A$198, $A100)</f>
        <v>541</v>
      </c>
      <c r="M100" s="3">
        <f>IFERROR(IF(($D100&gt;='Main Input'!$D$6)*($D100&lt;='Main Input'!$D$7),K100/L100,0),Config!$Q$11)</f>
        <v>0</v>
      </c>
      <c r="N100" s="53">
        <f>VLOOKUP(A100,'Individual Bounds - Overall'!$A$2:$L$50,11,0)*M100</f>
        <v>0</v>
      </c>
      <c r="O100" s="53">
        <f>VLOOKUP(A100,'Individual Bounds - Overall'!$A$2:$L$50,12,0)*M100</f>
        <v>0</v>
      </c>
    </row>
    <row r="101" spans="1:15" x14ac:dyDescent="0.25">
      <c r="A101" s="3" t="s">
        <v>240</v>
      </c>
      <c r="B101" s="3" t="s">
        <v>238</v>
      </c>
      <c r="C101" s="3" t="s">
        <v>241</v>
      </c>
      <c r="D101" s="3" t="s">
        <v>77</v>
      </c>
      <c r="E101" s="51">
        <v>1471507</v>
      </c>
      <c r="F101" s="51">
        <f>SUMIFS($E$3:$E$198,$A$3:$A$198,"=" &amp; A101,$D$3:$D$198,"&gt;=" &amp; 'Main Input'!$D$6,$D$3:$D$198,"&lt;=" &amp; 'Main Input'!$D$7)</f>
        <v>4467580</v>
      </c>
      <c r="G101" s="3">
        <f>IFERROR(IF((D101&gt;='Main Input'!$D$6)*(D101&lt;='Main Input'!$D$7),E101/F101,0),Config!$Q$11)</f>
        <v>0.32937451595718487</v>
      </c>
      <c r="H101" s="3">
        <f>SUMIFS($G$3:$G$198, $A$3:$A$198, A101)</f>
        <v>1</v>
      </c>
      <c r="I101" s="51">
        <f>INDEX('Base Scenario'!$A$1:$I$50,MATCH(A101,'Base Scenario'!$A$1:$A$50,0),MATCH(D101,'Base Scenario'!$A$1:$I$1,0))</f>
        <v>0</v>
      </c>
      <c r="J101" s="51">
        <f>VLOOKUP(A101,'Base Scenario'!$A$1:$I$50,9,0)*G101</f>
        <v>178.19161313283701</v>
      </c>
      <c r="K101" s="53">
        <f>IF(AND(D101&gt;='Main Input'!$D$6, D101&lt;='Main Input'!$D$7), IF('Optim Input'!$B$6="Quarterly", 'Quarterly Calculation'!I101, 'Quarterly Calculation'!J101), 0)</f>
        <v>0</v>
      </c>
      <c r="L101" s="51">
        <f>SUMIFS($K$3:$K$198, $A$3:$A$198, $A101)</f>
        <v>541</v>
      </c>
      <c r="M101" s="3">
        <f>IFERROR(IF(($D101&gt;='Main Input'!$D$6)*($D101&lt;='Main Input'!$D$7),K101/L101,0),Config!$Q$11)</f>
        <v>0</v>
      </c>
      <c r="N101" s="53">
        <f>VLOOKUP(A101,'Individual Bounds - Overall'!$A$2:$L$50,11,0)*M101</f>
        <v>0</v>
      </c>
      <c r="O101" s="53">
        <f>VLOOKUP(A101,'Individual Bounds - Overall'!$A$2:$L$50,12,0)*M101</f>
        <v>0</v>
      </c>
    </row>
    <row r="102" spans="1:15" x14ac:dyDescent="0.25">
      <c r="A102" s="3" t="s">
        <v>240</v>
      </c>
      <c r="B102" s="3" t="s">
        <v>238</v>
      </c>
      <c r="C102" s="3" t="s">
        <v>241</v>
      </c>
      <c r="D102" s="3" t="s">
        <v>78</v>
      </c>
      <c r="E102" s="51">
        <v>992235</v>
      </c>
      <c r="F102" s="51">
        <f>SUMIFS($E$3:$E$198,$A$3:$A$198,"=" &amp; A102,$D$3:$D$198,"&gt;=" &amp; 'Main Input'!$D$6,$D$3:$D$198,"&lt;=" &amp; 'Main Input'!$D$7)</f>
        <v>4467580</v>
      </c>
      <c r="G102" s="3">
        <f>IFERROR(IF((D102&gt;='Main Input'!$D$6)*(D102&lt;='Main Input'!$D$7),E102/F102,0),Config!$Q$11)</f>
        <v>0.22209675036596993</v>
      </c>
      <c r="H102" s="3">
        <f>SUMIFS($G$3:$G$198, $A$3:$A$198, A102)</f>
        <v>1</v>
      </c>
      <c r="I102" s="51">
        <f>INDEX('Base Scenario'!$A$1:$I$50,MATCH(A102,'Base Scenario'!$A$1:$A$50,0),MATCH(D102,'Base Scenario'!$A$1:$I$1,0))</f>
        <v>541</v>
      </c>
      <c r="J102" s="51">
        <f>VLOOKUP(A102,'Base Scenario'!$A$1:$I$50,9,0)*G102</f>
        <v>120.15434194798974</v>
      </c>
      <c r="K102" s="53">
        <f>IF(AND(D102&gt;='Main Input'!$D$6, D102&lt;='Main Input'!$D$7), IF('Optim Input'!$B$6="Quarterly", 'Quarterly Calculation'!I102, 'Quarterly Calculation'!J102), 0)</f>
        <v>541</v>
      </c>
      <c r="L102" s="51">
        <f>SUMIFS($K$3:$K$198, $A$3:$A$198, $A102)</f>
        <v>541</v>
      </c>
      <c r="M102" s="3">
        <f>IFERROR(IF(($D102&gt;='Main Input'!$D$6)*($D102&lt;='Main Input'!$D$7),K102/L102,0),Config!$Q$11)</f>
        <v>1</v>
      </c>
      <c r="N102" s="53">
        <f>VLOOKUP(A102,'Individual Bounds - Overall'!$A$2:$L$50,11,0)*M102</f>
        <v>541</v>
      </c>
      <c r="O102" s="53">
        <f>VLOOKUP(A102,'Individual Bounds - Overall'!$A$2:$L$50,12,0)*M102</f>
        <v>568.05000000000007</v>
      </c>
    </row>
    <row r="103" spans="1:15" x14ac:dyDescent="0.25">
      <c r="A103" s="3" t="s">
        <v>242</v>
      </c>
      <c r="B103" s="3" t="s">
        <v>238</v>
      </c>
      <c r="C103" s="3" t="s">
        <v>243</v>
      </c>
      <c r="D103" s="3" t="s">
        <v>75</v>
      </c>
      <c r="E103" s="51">
        <v>677430</v>
      </c>
      <c r="F103" s="51">
        <f>SUMIFS($E$3:$E$198,$A$3:$A$198,"=" &amp; A103,$D$3:$D$198,"&gt;=" &amp; 'Main Input'!$D$6,$D$3:$D$198,"&lt;=" &amp; 'Main Input'!$D$7)</f>
        <v>2737833</v>
      </c>
      <c r="G103" s="3">
        <f>IFERROR(IF((D103&gt;='Main Input'!$D$6)*(D103&lt;='Main Input'!$D$7),E103/F103,0),Config!$Q$11)</f>
        <v>0.24743291500979059</v>
      </c>
      <c r="H103" s="3">
        <f>SUMIFS($G$3:$G$198, $A$3:$A$198, A103)</f>
        <v>1</v>
      </c>
      <c r="I103" s="51">
        <f>INDEX('Base Scenario'!$A$1:$I$50,MATCH(A103,'Base Scenario'!$A$1:$A$50,0),MATCH(D103,'Base Scenario'!$A$1:$I$1,0))</f>
        <v>228003.1</v>
      </c>
      <c r="J103" s="51">
        <f>VLOOKUP(A103,'Base Scenario'!$A$1:$I$50,9,0)*G103</f>
        <v>372216.4764472486</v>
      </c>
      <c r="K103" s="53">
        <f>IF(AND(D103&gt;='Main Input'!$D$6, D103&lt;='Main Input'!$D$7), IF('Optim Input'!$B$6="Quarterly", 'Quarterly Calculation'!I103, 'Quarterly Calculation'!J103), 0)</f>
        <v>228003.1</v>
      </c>
      <c r="L103" s="51">
        <f>SUMIFS($K$3:$K$198, $A$3:$A$198, $A103)</f>
        <v>1504312.7</v>
      </c>
      <c r="M103" s="3">
        <f>IFERROR(IF(($D103&gt;='Main Input'!$D$6)*($D103&lt;='Main Input'!$D$7),K103/L103,0),Config!$Q$11)</f>
        <v>0.15156629336440489</v>
      </c>
      <c r="N103" s="53">
        <f>VLOOKUP(A103,'Individual Bounds - Overall'!$A$2:$L$50,11,0)*M103</f>
        <v>228003.09999999998</v>
      </c>
      <c r="O103" s="53">
        <f>VLOOKUP(A103,'Individual Bounds - Overall'!$A$2:$L$50,12,0)*M103</f>
        <v>239403.255</v>
      </c>
    </row>
    <row r="104" spans="1:15" x14ac:dyDescent="0.25">
      <c r="A104" s="3" t="s">
        <v>242</v>
      </c>
      <c r="B104" s="3" t="s">
        <v>238</v>
      </c>
      <c r="C104" s="3" t="s">
        <v>243</v>
      </c>
      <c r="D104" s="3" t="s">
        <v>76</v>
      </c>
      <c r="E104" s="51">
        <v>785742</v>
      </c>
      <c r="F104" s="51">
        <f>SUMIFS($E$3:$E$198,$A$3:$A$198,"=" &amp; A104,$D$3:$D$198,"&gt;=" &amp; 'Main Input'!$D$6,$D$3:$D$198,"&lt;=" &amp; 'Main Input'!$D$7)</f>
        <v>2737833</v>
      </c>
      <c r="G104" s="3">
        <f>IFERROR(IF((D104&gt;='Main Input'!$D$6)*(D104&lt;='Main Input'!$D$7),E104/F104,0),Config!$Q$11)</f>
        <v>0.28699413002911428</v>
      </c>
      <c r="H104" s="3">
        <f>SUMIFS($G$3:$G$198, $A$3:$A$198, A104)</f>
        <v>1</v>
      </c>
      <c r="I104" s="51">
        <f>INDEX('Base Scenario'!$A$1:$I$50,MATCH(A104,'Base Scenario'!$A$1:$A$50,0),MATCH(D104,'Base Scenario'!$A$1:$I$1,0))</f>
        <v>201245.1</v>
      </c>
      <c r="J104" s="51">
        <f>VLOOKUP(A104,'Base Scenario'!$A$1:$I$50,9,0)*G104</f>
        <v>431728.91462824796</v>
      </c>
      <c r="K104" s="53">
        <f>IF(AND(D104&gt;='Main Input'!$D$6, D104&lt;='Main Input'!$D$7), IF('Optim Input'!$B$6="Quarterly", 'Quarterly Calculation'!I104, 'Quarterly Calculation'!J104), 0)</f>
        <v>201245.1</v>
      </c>
      <c r="L104" s="51">
        <f>SUMIFS($K$3:$K$198, $A$3:$A$198, $A104)</f>
        <v>1504312.7</v>
      </c>
      <c r="M104" s="3">
        <f>IFERROR(IF(($D104&gt;='Main Input'!$D$6)*($D104&lt;='Main Input'!$D$7),K104/L104,0),Config!$Q$11)</f>
        <v>0.13377876820424373</v>
      </c>
      <c r="N104" s="53">
        <f>VLOOKUP(A104,'Individual Bounds - Overall'!$A$2:$L$50,11,0)*M104</f>
        <v>201245.10000000003</v>
      </c>
      <c r="O104" s="53">
        <f>VLOOKUP(A104,'Individual Bounds - Overall'!$A$2:$L$50,12,0)*M104</f>
        <v>211307.35500000004</v>
      </c>
    </row>
    <row r="105" spans="1:15" x14ac:dyDescent="0.25">
      <c r="A105" s="3" t="s">
        <v>242</v>
      </c>
      <c r="B105" s="3" t="s">
        <v>238</v>
      </c>
      <c r="C105" s="3" t="s">
        <v>243</v>
      </c>
      <c r="D105" s="3" t="s">
        <v>77</v>
      </c>
      <c r="E105" s="51">
        <v>721355</v>
      </c>
      <c r="F105" s="51">
        <f>SUMIFS($E$3:$E$198,$A$3:$A$198,"=" &amp; A105,$D$3:$D$198,"&gt;=" &amp; 'Main Input'!$D$6,$D$3:$D$198,"&lt;=" &amp; 'Main Input'!$D$7)</f>
        <v>2737833</v>
      </c>
      <c r="G105" s="3">
        <f>IFERROR(IF((D105&gt;='Main Input'!$D$6)*(D105&lt;='Main Input'!$D$7),E105/F105,0),Config!$Q$11)</f>
        <v>0.26347662549176665</v>
      </c>
      <c r="H105" s="3">
        <f>SUMIFS($G$3:$G$198, $A$3:$A$198, A105)</f>
        <v>1</v>
      </c>
      <c r="I105" s="51">
        <f>INDEX('Base Scenario'!$A$1:$I$50,MATCH(A105,'Base Scenario'!$A$1:$A$50,0),MATCH(D105,'Base Scenario'!$A$1:$I$1,0))</f>
        <v>315953.5</v>
      </c>
      <c r="J105" s="51">
        <f>VLOOKUP(A105,'Base Scenario'!$A$1:$I$50,9,0)*G105</f>
        <v>396351.23388040828</v>
      </c>
      <c r="K105" s="53">
        <f>IF(AND(D105&gt;='Main Input'!$D$6, D105&lt;='Main Input'!$D$7), IF('Optim Input'!$B$6="Quarterly", 'Quarterly Calculation'!I105, 'Quarterly Calculation'!J105), 0)</f>
        <v>315953.5</v>
      </c>
      <c r="L105" s="51">
        <f>SUMIFS($K$3:$K$198, $A$3:$A$198, $A105)</f>
        <v>1504312.7</v>
      </c>
      <c r="M105" s="3">
        <f>IFERROR(IF(($D105&gt;='Main Input'!$D$6)*($D105&lt;='Main Input'!$D$7),K105/L105,0),Config!$Q$11)</f>
        <v>0.21003179724534668</v>
      </c>
      <c r="N105" s="53">
        <f>VLOOKUP(A105,'Individual Bounds - Overall'!$A$2:$L$50,11,0)*M105</f>
        <v>315953.5</v>
      </c>
      <c r="O105" s="53">
        <f>VLOOKUP(A105,'Individual Bounds - Overall'!$A$2:$L$50,12,0)*M105</f>
        <v>331751.17500000005</v>
      </c>
    </row>
    <row r="106" spans="1:15" x14ac:dyDescent="0.25">
      <c r="A106" s="3" t="s">
        <v>242</v>
      </c>
      <c r="B106" s="3" t="s">
        <v>238</v>
      </c>
      <c r="C106" s="3" t="s">
        <v>243</v>
      </c>
      <c r="D106" s="3" t="s">
        <v>78</v>
      </c>
      <c r="E106" s="51">
        <v>553306</v>
      </c>
      <c r="F106" s="51">
        <f>SUMIFS($E$3:$E$198,$A$3:$A$198,"=" &amp; A106,$D$3:$D$198,"&gt;=" &amp; 'Main Input'!$D$6,$D$3:$D$198,"&lt;=" &amp; 'Main Input'!$D$7)</f>
        <v>2737833</v>
      </c>
      <c r="G106" s="3">
        <f>IFERROR(IF((D106&gt;='Main Input'!$D$6)*(D106&lt;='Main Input'!$D$7),E106/F106,0),Config!$Q$11)</f>
        <v>0.20209632946932848</v>
      </c>
      <c r="H106" s="3">
        <f>SUMIFS($G$3:$G$198, $A$3:$A$198, A106)</f>
        <v>1</v>
      </c>
      <c r="I106" s="51">
        <f>INDEX('Base Scenario'!$A$1:$I$50,MATCH(A106,'Base Scenario'!$A$1:$A$50,0),MATCH(D106,'Base Scenario'!$A$1:$I$1,0))</f>
        <v>759111</v>
      </c>
      <c r="J106" s="51">
        <f>VLOOKUP(A106,'Base Scenario'!$A$1:$I$50,9,0)*G106</f>
        <v>304016.07504409511</v>
      </c>
      <c r="K106" s="53">
        <f>IF(AND(D106&gt;='Main Input'!$D$6, D106&lt;='Main Input'!$D$7), IF('Optim Input'!$B$6="Quarterly", 'Quarterly Calculation'!I106, 'Quarterly Calculation'!J106), 0)</f>
        <v>759111</v>
      </c>
      <c r="L106" s="51">
        <f>SUMIFS($K$3:$K$198, $A$3:$A$198, $A106)</f>
        <v>1504312.7</v>
      </c>
      <c r="M106" s="3">
        <f>IFERROR(IF(($D106&gt;='Main Input'!$D$6)*($D106&lt;='Main Input'!$D$7),K106/L106,0),Config!$Q$11)</f>
        <v>0.50462314118600471</v>
      </c>
      <c r="N106" s="53">
        <f>VLOOKUP(A106,'Individual Bounds - Overall'!$A$2:$L$50,11,0)*M106</f>
        <v>759110.99999999988</v>
      </c>
      <c r="O106" s="53">
        <f>VLOOKUP(A106,'Individual Bounds - Overall'!$A$2:$L$50,12,0)*M106</f>
        <v>797066.54999999993</v>
      </c>
    </row>
    <row r="107" spans="1:15" x14ac:dyDescent="0.25">
      <c r="A107" s="3" t="s">
        <v>250</v>
      </c>
      <c r="B107" s="3" t="s">
        <v>238</v>
      </c>
      <c r="C107" s="3" t="s">
        <v>251</v>
      </c>
      <c r="D107" s="3" t="s">
        <v>75</v>
      </c>
      <c r="E107" s="51">
        <v>25000</v>
      </c>
      <c r="F107" s="51">
        <f>SUMIFS($E$3:$E$198,$A$3:$A$198,"=" &amp; A107,$D$3:$D$198,"&gt;=" &amp; 'Main Input'!$D$6,$D$3:$D$198,"&lt;=" &amp; 'Main Input'!$D$7)</f>
        <v>180000</v>
      </c>
      <c r="G107" s="3">
        <f>IFERROR(IF((D107&gt;='Main Input'!$D$6)*(D107&lt;='Main Input'!$D$7),E107/F107,0),Config!$Q$11)</f>
        <v>0.1388888888888889</v>
      </c>
      <c r="H107" s="3">
        <f>SUMIFS($G$3:$G$198, $A$3:$A$198, A107)</f>
        <v>1</v>
      </c>
      <c r="I107" s="51">
        <f>INDEX('Base Scenario'!$A$1:$I$50,MATCH(A107,'Base Scenario'!$A$1:$A$50,0),MATCH(D107,'Base Scenario'!$A$1:$I$1,0))</f>
        <v>351505.1</v>
      </c>
      <c r="J107" s="51">
        <f>VLOOKUP(A107,'Base Scenario'!$A$1:$I$50,9,0)*G107</f>
        <v>206356.40277777781</v>
      </c>
      <c r="K107" s="53">
        <f>IF(AND(D107&gt;='Main Input'!$D$6, D107&lt;='Main Input'!$D$7), IF('Optim Input'!$B$6="Quarterly", 'Quarterly Calculation'!I107, 'Quarterly Calculation'!J107), 0)</f>
        <v>351505.1</v>
      </c>
      <c r="L107" s="51">
        <f>SUMIFS($K$3:$K$198, $A$3:$A$198, $A107)</f>
        <v>1485766.1</v>
      </c>
      <c r="M107" s="3">
        <f>IFERROR(IF(($D107&gt;='Main Input'!$D$6)*($D107&lt;='Main Input'!$D$7),K107/L107,0),Config!$Q$11)</f>
        <v>0.23658172036634834</v>
      </c>
      <c r="N107" s="53">
        <f>VLOOKUP(A107,'Individual Bounds - Overall'!$A$2:$L$50,11,0)*M107</f>
        <v>351505.1</v>
      </c>
      <c r="O107" s="53">
        <f>VLOOKUP(A107,'Individual Bounds - Overall'!$A$2:$L$50,12,0)*M107</f>
        <v>369080.35499999998</v>
      </c>
    </row>
    <row r="108" spans="1:15" x14ac:dyDescent="0.25">
      <c r="A108" s="3" t="s">
        <v>250</v>
      </c>
      <c r="B108" s="3" t="s">
        <v>238</v>
      </c>
      <c r="C108" s="3" t="s">
        <v>251</v>
      </c>
      <c r="D108" s="3" t="s">
        <v>76</v>
      </c>
      <c r="E108" s="51">
        <v>65000</v>
      </c>
      <c r="F108" s="51">
        <f>SUMIFS($E$3:$E$198,$A$3:$A$198,"=" &amp; A108,$D$3:$D$198,"&gt;=" &amp; 'Main Input'!$D$6,$D$3:$D$198,"&lt;=" &amp; 'Main Input'!$D$7)</f>
        <v>180000</v>
      </c>
      <c r="G108" s="3">
        <f>IFERROR(IF((D108&gt;='Main Input'!$D$6)*(D108&lt;='Main Input'!$D$7),E108/F108,0),Config!$Q$11)</f>
        <v>0.3611111111111111</v>
      </c>
      <c r="H108" s="3">
        <f>SUMIFS($G$3:$G$198, $A$3:$A$198, A108)</f>
        <v>1</v>
      </c>
      <c r="I108" s="51">
        <f>INDEX('Base Scenario'!$A$1:$I$50,MATCH(A108,'Base Scenario'!$A$1:$A$50,0),MATCH(D108,'Base Scenario'!$A$1:$I$1,0))</f>
        <v>0</v>
      </c>
      <c r="J108" s="51">
        <f>VLOOKUP(A108,'Base Scenario'!$A$1:$I$50,9,0)*G108</f>
        <v>536526.64722222229</v>
      </c>
      <c r="K108" s="53">
        <f>IF(AND(D108&gt;='Main Input'!$D$6, D108&lt;='Main Input'!$D$7), IF('Optim Input'!$B$6="Quarterly", 'Quarterly Calculation'!I108, 'Quarterly Calculation'!J108), 0)</f>
        <v>0</v>
      </c>
      <c r="L108" s="51">
        <f>SUMIFS($K$3:$K$198, $A$3:$A$198, $A108)</f>
        <v>1485766.1</v>
      </c>
      <c r="M108" s="3">
        <f>IFERROR(IF(($D108&gt;='Main Input'!$D$6)*($D108&lt;='Main Input'!$D$7),K108/L108,0),Config!$Q$11)</f>
        <v>0</v>
      </c>
      <c r="N108" s="53">
        <f>VLOOKUP(A108,'Individual Bounds - Overall'!$A$2:$L$50,11,0)*M108</f>
        <v>0</v>
      </c>
      <c r="O108" s="53">
        <f>VLOOKUP(A108,'Individual Bounds - Overall'!$A$2:$L$50,12,0)*M108</f>
        <v>0</v>
      </c>
    </row>
    <row r="109" spans="1:15" x14ac:dyDescent="0.25">
      <c r="A109" s="3" t="s">
        <v>250</v>
      </c>
      <c r="B109" s="3" t="s">
        <v>238</v>
      </c>
      <c r="C109" s="3" t="s">
        <v>251</v>
      </c>
      <c r="D109" s="3" t="s">
        <v>77</v>
      </c>
      <c r="E109" s="51">
        <v>65000</v>
      </c>
      <c r="F109" s="51">
        <f>SUMIFS($E$3:$E$198,$A$3:$A$198,"=" &amp; A109,$D$3:$D$198,"&gt;=" &amp; 'Main Input'!$D$6,$D$3:$D$198,"&lt;=" &amp; 'Main Input'!$D$7)</f>
        <v>180000</v>
      </c>
      <c r="G109" s="3">
        <f>IFERROR(IF((D109&gt;='Main Input'!$D$6)*(D109&lt;='Main Input'!$D$7),E109/F109,0),Config!$Q$11)</f>
        <v>0.3611111111111111</v>
      </c>
      <c r="H109" s="3">
        <f>SUMIFS($G$3:$G$198, $A$3:$A$198, A109)</f>
        <v>1</v>
      </c>
      <c r="I109" s="51">
        <f>INDEX('Base Scenario'!$A$1:$I$50,MATCH(A109,'Base Scenario'!$A$1:$A$50,0),MATCH(D109,'Base Scenario'!$A$1:$I$1,0))</f>
        <v>0</v>
      </c>
      <c r="J109" s="51">
        <f>VLOOKUP(A109,'Base Scenario'!$A$1:$I$50,9,0)*G109</f>
        <v>536526.64722222229</v>
      </c>
      <c r="K109" s="53">
        <f>IF(AND(D109&gt;='Main Input'!$D$6, D109&lt;='Main Input'!$D$7), IF('Optim Input'!$B$6="Quarterly", 'Quarterly Calculation'!I109, 'Quarterly Calculation'!J109), 0)</f>
        <v>0</v>
      </c>
      <c r="L109" s="51">
        <f>SUMIFS($K$3:$K$198, $A$3:$A$198, $A109)</f>
        <v>1485766.1</v>
      </c>
      <c r="M109" s="3">
        <f>IFERROR(IF(($D109&gt;='Main Input'!$D$6)*($D109&lt;='Main Input'!$D$7),K109/L109,0),Config!$Q$11)</f>
        <v>0</v>
      </c>
      <c r="N109" s="53">
        <f>VLOOKUP(A109,'Individual Bounds - Overall'!$A$2:$L$50,11,0)*M109</f>
        <v>0</v>
      </c>
      <c r="O109" s="53">
        <f>VLOOKUP(A109,'Individual Bounds - Overall'!$A$2:$L$50,12,0)*M109</f>
        <v>0</v>
      </c>
    </row>
    <row r="110" spans="1:15" x14ac:dyDescent="0.25">
      <c r="A110" s="3" t="s">
        <v>250</v>
      </c>
      <c r="B110" s="3" t="s">
        <v>238</v>
      </c>
      <c r="C110" s="3" t="s">
        <v>251</v>
      </c>
      <c r="D110" s="3" t="s">
        <v>78</v>
      </c>
      <c r="E110" s="51">
        <v>25000</v>
      </c>
      <c r="F110" s="51">
        <f>SUMIFS($E$3:$E$198,$A$3:$A$198,"=" &amp; A110,$D$3:$D$198,"&gt;=" &amp; 'Main Input'!$D$6,$D$3:$D$198,"&lt;=" &amp; 'Main Input'!$D$7)</f>
        <v>180000</v>
      </c>
      <c r="G110" s="3">
        <f>IFERROR(IF((D110&gt;='Main Input'!$D$6)*(D110&lt;='Main Input'!$D$7),E110/F110,0),Config!$Q$11)</f>
        <v>0.1388888888888889</v>
      </c>
      <c r="H110" s="3">
        <f>SUMIFS($G$3:$G$198, $A$3:$A$198, A110)</f>
        <v>1</v>
      </c>
      <c r="I110" s="51">
        <f>INDEX('Base Scenario'!$A$1:$I$50,MATCH(A110,'Base Scenario'!$A$1:$A$50,0),MATCH(D110,'Base Scenario'!$A$1:$I$1,0))</f>
        <v>1134261</v>
      </c>
      <c r="J110" s="51">
        <f>VLOOKUP(A110,'Base Scenario'!$A$1:$I$50,9,0)*G110</f>
        <v>206356.40277777781</v>
      </c>
      <c r="K110" s="53">
        <f>IF(AND(D110&gt;='Main Input'!$D$6, D110&lt;='Main Input'!$D$7), IF('Optim Input'!$B$6="Quarterly", 'Quarterly Calculation'!I110, 'Quarterly Calculation'!J110), 0)</f>
        <v>1134261</v>
      </c>
      <c r="L110" s="51">
        <f>SUMIFS($K$3:$K$198, $A$3:$A$198, $A110)</f>
        <v>1485766.1</v>
      </c>
      <c r="M110" s="3">
        <f>IFERROR(IF(($D110&gt;='Main Input'!$D$6)*($D110&lt;='Main Input'!$D$7),K110/L110,0),Config!$Q$11)</f>
        <v>0.76341827963365161</v>
      </c>
      <c r="N110" s="53">
        <f>VLOOKUP(A110,'Individual Bounds - Overall'!$A$2:$L$50,11,0)*M110</f>
        <v>1134261</v>
      </c>
      <c r="O110" s="53">
        <f>VLOOKUP(A110,'Individual Bounds - Overall'!$A$2:$L$50,12,0)*M110</f>
        <v>1190974.0500000003</v>
      </c>
    </row>
    <row r="111" spans="1:15" x14ac:dyDescent="0.25">
      <c r="A111" s="3" t="s">
        <v>237</v>
      </c>
      <c r="B111" s="3" t="s">
        <v>238</v>
      </c>
      <c r="C111" s="3" t="s">
        <v>239</v>
      </c>
      <c r="D111" s="3" t="s">
        <v>75</v>
      </c>
      <c r="E111" s="51">
        <v>857860</v>
      </c>
      <c r="F111" s="51">
        <f>SUMIFS($E$3:$E$198,$A$3:$A$198,"=" &amp; A111,$D$3:$D$198,"&gt;=" &amp; 'Main Input'!$D$6,$D$3:$D$198,"&lt;=" &amp; 'Main Input'!$D$7)</f>
        <v>3112224</v>
      </c>
      <c r="G111" s="3">
        <f>IFERROR(IF((D111&gt;='Main Input'!$D$6)*(D111&lt;='Main Input'!$D$7),E111/F111,0),Config!$Q$11)</f>
        <v>0.27564211316409104</v>
      </c>
      <c r="H111" s="3">
        <f>SUMIFS($G$3:$G$198, $A$3:$A$198, A111)</f>
        <v>1</v>
      </c>
      <c r="I111" s="51">
        <f>INDEX('Base Scenario'!$A$1:$I$50,MATCH(A111,'Base Scenario'!$A$1:$A$50,0),MATCH(D111,'Base Scenario'!$A$1:$I$1,0))</f>
        <v>4553</v>
      </c>
      <c r="J111" s="51">
        <f>VLOOKUP(A111,'Base Scenario'!$A$1:$I$50,9,0)*G111</f>
        <v>57828.585209162324</v>
      </c>
      <c r="K111" s="53">
        <f>IF(AND(D111&gt;='Main Input'!$D$6, D111&lt;='Main Input'!$D$7), IF('Optim Input'!$B$6="Quarterly", 'Quarterly Calculation'!I111, 'Quarterly Calculation'!J111), 0)</f>
        <v>4553</v>
      </c>
      <c r="L111" s="51">
        <f>SUMIFS($K$3:$K$198, $A$3:$A$198, $A111)</f>
        <v>209795.9</v>
      </c>
      <c r="M111" s="3">
        <f>IFERROR(IF(($D111&gt;='Main Input'!$D$6)*($D111&lt;='Main Input'!$D$7),K111/L111,0),Config!$Q$11)</f>
        <v>2.1702044701540878E-2</v>
      </c>
      <c r="N111" s="53">
        <f>VLOOKUP(A111,'Individual Bounds - Overall'!$A$2:$L$50,11,0)*M111</f>
        <v>4553</v>
      </c>
      <c r="O111" s="53">
        <f>VLOOKUP(A111,'Individual Bounds - Overall'!$A$2:$L$50,12,0)*M111</f>
        <v>4780.6499999999996</v>
      </c>
    </row>
    <row r="112" spans="1:15" x14ac:dyDescent="0.25">
      <c r="A112" s="3" t="s">
        <v>237</v>
      </c>
      <c r="B112" s="3" t="s">
        <v>238</v>
      </c>
      <c r="C112" s="3" t="s">
        <v>239</v>
      </c>
      <c r="D112" s="3" t="s">
        <v>76</v>
      </c>
      <c r="E112" s="51">
        <v>914949</v>
      </c>
      <c r="F112" s="51">
        <f>SUMIFS($E$3:$E$198,$A$3:$A$198,"=" &amp; A112,$D$3:$D$198,"&gt;=" &amp; 'Main Input'!$D$6,$D$3:$D$198,"&lt;=" &amp; 'Main Input'!$D$7)</f>
        <v>3112224</v>
      </c>
      <c r="G112" s="3">
        <f>IFERROR(IF((D112&gt;='Main Input'!$D$6)*(D112&lt;='Main Input'!$D$7),E112/F112,0),Config!$Q$11)</f>
        <v>0.29398558715568029</v>
      </c>
      <c r="H112" s="3">
        <f>SUMIFS($G$3:$G$198, $A$3:$A$198, A112)</f>
        <v>1</v>
      </c>
      <c r="I112" s="51">
        <f>INDEX('Base Scenario'!$A$1:$I$50,MATCH(A112,'Base Scenario'!$A$1:$A$50,0),MATCH(D112,'Base Scenario'!$A$1:$I$1,0))</f>
        <v>205242.9</v>
      </c>
      <c r="J112" s="51">
        <f>VLOOKUP(A112,'Base Scenario'!$A$1:$I$50,9,0)*G112</f>
        <v>61676.970844354386</v>
      </c>
      <c r="K112" s="53">
        <f>IF(AND(D112&gt;='Main Input'!$D$6, D112&lt;='Main Input'!$D$7), IF('Optim Input'!$B$6="Quarterly", 'Quarterly Calculation'!I112, 'Quarterly Calculation'!J112), 0)</f>
        <v>205242.9</v>
      </c>
      <c r="L112" s="51">
        <f>SUMIFS($K$3:$K$198, $A$3:$A$198, $A112)</f>
        <v>209795.9</v>
      </c>
      <c r="M112" s="3">
        <f>IFERROR(IF(($D112&gt;='Main Input'!$D$6)*($D112&lt;='Main Input'!$D$7),K112/L112,0),Config!$Q$11)</f>
        <v>0.97829795529845909</v>
      </c>
      <c r="N112" s="53">
        <f>VLOOKUP(A112,'Individual Bounds - Overall'!$A$2:$L$50,11,0)*M112</f>
        <v>205242.9</v>
      </c>
      <c r="O112" s="53">
        <f>VLOOKUP(A112,'Individual Bounds - Overall'!$A$2:$L$50,12,0)*M112</f>
        <v>215505.04500000001</v>
      </c>
    </row>
    <row r="113" spans="1:15" x14ac:dyDescent="0.25">
      <c r="A113" s="3" t="s">
        <v>237</v>
      </c>
      <c r="B113" s="3" t="s">
        <v>238</v>
      </c>
      <c r="C113" s="3" t="s">
        <v>239</v>
      </c>
      <c r="D113" s="3" t="s">
        <v>77</v>
      </c>
      <c r="E113" s="51">
        <v>789333</v>
      </c>
      <c r="F113" s="51">
        <f>SUMIFS($E$3:$E$198,$A$3:$A$198,"=" &amp; A113,$D$3:$D$198,"&gt;=" &amp; 'Main Input'!$D$6,$D$3:$D$198,"&lt;=" &amp; 'Main Input'!$D$7)</f>
        <v>3112224</v>
      </c>
      <c r="G113" s="3">
        <f>IFERROR(IF((D113&gt;='Main Input'!$D$6)*(D113&lt;='Main Input'!$D$7),E113/F113,0),Config!$Q$11)</f>
        <v>0.25362345383879825</v>
      </c>
      <c r="H113" s="3">
        <f>SUMIFS($G$3:$G$198, $A$3:$A$198, A113)</f>
        <v>1</v>
      </c>
      <c r="I113" s="51">
        <f>INDEX('Base Scenario'!$A$1:$I$50,MATCH(A113,'Base Scenario'!$A$1:$A$50,0),MATCH(D113,'Base Scenario'!$A$1:$I$1,0))</f>
        <v>0</v>
      </c>
      <c r="J113" s="51">
        <f>VLOOKUP(A113,'Base Scenario'!$A$1:$I$50,9,0)*G113</f>
        <v>53209.160759219136</v>
      </c>
      <c r="K113" s="53">
        <f>IF(AND(D113&gt;='Main Input'!$D$6, D113&lt;='Main Input'!$D$7), IF('Optim Input'!$B$6="Quarterly", 'Quarterly Calculation'!I113, 'Quarterly Calculation'!J113), 0)</f>
        <v>0</v>
      </c>
      <c r="L113" s="51">
        <f>SUMIFS($K$3:$K$198, $A$3:$A$198, $A113)</f>
        <v>209795.9</v>
      </c>
      <c r="M113" s="3">
        <f>IFERROR(IF(($D113&gt;='Main Input'!$D$6)*($D113&lt;='Main Input'!$D$7),K113/L113,0),Config!$Q$11)</f>
        <v>0</v>
      </c>
      <c r="N113" s="53">
        <f>VLOOKUP(A113,'Individual Bounds - Overall'!$A$2:$L$50,11,0)*M113</f>
        <v>0</v>
      </c>
      <c r="O113" s="53">
        <f>VLOOKUP(A113,'Individual Bounds - Overall'!$A$2:$L$50,12,0)*M113</f>
        <v>0</v>
      </c>
    </row>
    <row r="114" spans="1:15" x14ac:dyDescent="0.25">
      <c r="A114" s="3" t="s">
        <v>237</v>
      </c>
      <c r="B114" s="3" t="s">
        <v>238</v>
      </c>
      <c r="C114" s="3" t="s">
        <v>239</v>
      </c>
      <c r="D114" s="3" t="s">
        <v>78</v>
      </c>
      <c r="E114" s="51">
        <v>550082</v>
      </c>
      <c r="F114" s="51">
        <f>SUMIFS($E$3:$E$198,$A$3:$A$198,"=" &amp; A114,$D$3:$D$198,"&gt;=" &amp; 'Main Input'!$D$6,$D$3:$D$198,"&lt;=" &amp; 'Main Input'!$D$7)</f>
        <v>3112224</v>
      </c>
      <c r="G114" s="3">
        <f>IFERROR(IF((D114&gt;='Main Input'!$D$6)*(D114&lt;='Main Input'!$D$7),E114/F114,0),Config!$Q$11)</f>
        <v>0.17674884584143044</v>
      </c>
      <c r="H114" s="3">
        <f>SUMIFS($G$3:$G$198, $A$3:$A$198, A114)</f>
        <v>1</v>
      </c>
      <c r="I114" s="51">
        <f>INDEX('Base Scenario'!$A$1:$I$50,MATCH(A114,'Base Scenario'!$A$1:$A$50,0),MATCH(D114,'Base Scenario'!$A$1:$I$1,0))</f>
        <v>0</v>
      </c>
      <c r="J114" s="51">
        <f>VLOOKUP(A114,'Base Scenario'!$A$1:$I$50,9,0)*G114</f>
        <v>37081.183187264156</v>
      </c>
      <c r="K114" s="53">
        <f>IF(AND(D114&gt;='Main Input'!$D$6, D114&lt;='Main Input'!$D$7), IF('Optim Input'!$B$6="Quarterly", 'Quarterly Calculation'!I114, 'Quarterly Calculation'!J114), 0)</f>
        <v>0</v>
      </c>
      <c r="L114" s="51">
        <f>SUMIFS($K$3:$K$198, $A$3:$A$198, $A114)</f>
        <v>209795.9</v>
      </c>
      <c r="M114" s="3">
        <f>IFERROR(IF(($D114&gt;='Main Input'!$D$6)*($D114&lt;='Main Input'!$D$7),K114/L114,0),Config!$Q$11)</f>
        <v>0</v>
      </c>
      <c r="N114" s="53">
        <f>VLOOKUP(A114,'Individual Bounds - Overall'!$A$2:$L$50,11,0)*M114</f>
        <v>0</v>
      </c>
      <c r="O114" s="53">
        <f>VLOOKUP(A114,'Individual Bounds - Overall'!$A$2:$L$50,12,0)*M114</f>
        <v>0</v>
      </c>
    </row>
    <row r="115" spans="1:15" x14ac:dyDescent="0.25">
      <c r="A115" s="3" t="s">
        <v>246</v>
      </c>
      <c r="B115" s="3" t="s">
        <v>238</v>
      </c>
      <c r="C115" s="3" t="s">
        <v>247</v>
      </c>
      <c r="D115" s="3" t="s">
        <v>75</v>
      </c>
      <c r="E115" s="51">
        <v>0</v>
      </c>
      <c r="F115" s="51">
        <f>SUMIFS($E$3:$E$198,$A$3:$A$198,"=" &amp; A115,$D$3:$D$198,"&gt;=" &amp; 'Main Input'!$D$6,$D$3:$D$198,"&lt;=" &amp; 'Main Input'!$D$7)</f>
        <v>1022568</v>
      </c>
      <c r="G115" s="3">
        <f>IFERROR(IF((D115&gt;='Main Input'!$D$6)*(D115&lt;='Main Input'!$D$7),E115/F115,0),Config!$Q$11)</f>
        <v>0</v>
      </c>
      <c r="H115" s="3">
        <f>SUMIFS($G$3:$G$198, $A$3:$A$198, A115)</f>
        <v>1</v>
      </c>
      <c r="I115" s="51">
        <f>INDEX('Base Scenario'!$A$1:$I$50,MATCH(A115,'Base Scenario'!$A$1:$A$50,0),MATCH(D115,'Base Scenario'!$A$1:$I$1,0))</f>
        <v>44924.44</v>
      </c>
      <c r="J115" s="51">
        <f>VLOOKUP(A115,'Base Scenario'!$A$1:$I$50,9,0)*G115</f>
        <v>0</v>
      </c>
      <c r="K115" s="53">
        <f>IF(AND(D115&gt;='Main Input'!$D$6, D115&lt;='Main Input'!$D$7), IF('Optim Input'!$B$6="Quarterly", 'Quarterly Calculation'!I115, 'Quarterly Calculation'!J115), 0)</f>
        <v>44924.44</v>
      </c>
      <c r="L115" s="51">
        <f>SUMIFS($K$3:$K$198, $A$3:$A$198, $A115)</f>
        <v>987538.34</v>
      </c>
      <c r="M115" s="3">
        <f>IFERROR(IF(($D115&gt;='Main Input'!$D$6)*($D115&lt;='Main Input'!$D$7),K115/L115,0),Config!$Q$11)</f>
        <v>4.5491337581890751E-2</v>
      </c>
      <c r="N115" s="53">
        <f>VLOOKUP(A115,'Individual Bounds - Overall'!$A$2:$L$50,11,0)*M115</f>
        <v>44924.44</v>
      </c>
      <c r="O115" s="53">
        <f>VLOOKUP(A115,'Individual Bounds - Overall'!$A$2:$L$50,12,0)*M115</f>
        <v>47170.662000000004</v>
      </c>
    </row>
    <row r="116" spans="1:15" x14ac:dyDescent="0.25">
      <c r="A116" s="3" t="s">
        <v>246</v>
      </c>
      <c r="B116" s="3" t="s">
        <v>238</v>
      </c>
      <c r="C116" s="3" t="s">
        <v>247</v>
      </c>
      <c r="D116" s="3" t="s">
        <v>76</v>
      </c>
      <c r="E116" s="51">
        <v>0</v>
      </c>
      <c r="F116" s="51">
        <f>SUMIFS($E$3:$E$198,$A$3:$A$198,"=" &amp; A116,$D$3:$D$198,"&gt;=" &amp; 'Main Input'!$D$6,$D$3:$D$198,"&lt;=" &amp; 'Main Input'!$D$7)</f>
        <v>1022568</v>
      </c>
      <c r="G116" s="3">
        <f>IFERROR(IF((D116&gt;='Main Input'!$D$6)*(D116&lt;='Main Input'!$D$7),E116/F116,0),Config!$Q$11)</f>
        <v>0</v>
      </c>
      <c r="H116" s="3">
        <f>SUMIFS($G$3:$G$198, $A$3:$A$198, A116)</f>
        <v>1</v>
      </c>
      <c r="I116" s="51">
        <f>INDEX('Base Scenario'!$A$1:$I$50,MATCH(A116,'Base Scenario'!$A$1:$A$50,0),MATCH(D116,'Base Scenario'!$A$1:$I$1,0))</f>
        <v>120700.8</v>
      </c>
      <c r="J116" s="51">
        <f>VLOOKUP(A116,'Base Scenario'!$A$1:$I$50,9,0)*G116</f>
        <v>0</v>
      </c>
      <c r="K116" s="53">
        <f>IF(AND(D116&gt;='Main Input'!$D$6, D116&lt;='Main Input'!$D$7), IF('Optim Input'!$B$6="Quarterly", 'Quarterly Calculation'!I116, 'Quarterly Calculation'!J116), 0)</f>
        <v>120700.8</v>
      </c>
      <c r="L116" s="51">
        <f>SUMIFS($K$3:$K$198, $A$3:$A$198, $A116)</f>
        <v>987538.34</v>
      </c>
      <c r="M116" s="3">
        <f>IFERROR(IF(($D116&gt;='Main Input'!$D$6)*($D116&lt;='Main Input'!$D$7),K116/L116,0),Config!$Q$11)</f>
        <v>0.12222391284575342</v>
      </c>
      <c r="N116" s="53">
        <f>VLOOKUP(A116,'Individual Bounds - Overall'!$A$2:$L$50,11,0)*M116</f>
        <v>120700.8</v>
      </c>
      <c r="O116" s="53">
        <f>VLOOKUP(A116,'Individual Bounds - Overall'!$A$2:$L$50,12,0)*M116</f>
        <v>126735.84</v>
      </c>
    </row>
    <row r="117" spans="1:15" x14ac:dyDescent="0.25">
      <c r="A117" s="3" t="s">
        <v>246</v>
      </c>
      <c r="B117" s="3" t="s">
        <v>238</v>
      </c>
      <c r="C117" s="3" t="s">
        <v>247</v>
      </c>
      <c r="D117" s="3" t="s">
        <v>77</v>
      </c>
      <c r="E117" s="51">
        <v>541360</v>
      </c>
      <c r="F117" s="51">
        <f>SUMIFS($E$3:$E$198,$A$3:$A$198,"=" &amp; A117,$D$3:$D$198,"&gt;=" &amp; 'Main Input'!$D$6,$D$3:$D$198,"&lt;=" &amp; 'Main Input'!$D$7)</f>
        <v>1022568</v>
      </c>
      <c r="G117" s="3">
        <f>IFERROR(IF((D117&gt;='Main Input'!$D$6)*(D117&lt;='Main Input'!$D$7),E117/F117,0),Config!$Q$11)</f>
        <v>0.52941222490827011</v>
      </c>
      <c r="H117" s="3">
        <f>SUMIFS($G$3:$G$198, $A$3:$A$198, A117)</f>
        <v>1</v>
      </c>
      <c r="I117" s="51">
        <f>INDEX('Base Scenario'!$A$1:$I$50,MATCH(A117,'Base Scenario'!$A$1:$A$50,0),MATCH(D117,'Base Scenario'!$A$1:$I$1,0))</f>
        <v>161348.1</v>
      </c>
      <c r="J117" s="51">
        <f>VLOOKUP(A117,'Base Scenario'!$A$1:$I$50,9,0)*G117</f>
        <v>522814.86976161972</v>
      </c>
      <c r="K117" s="53">
        <f>IF(AND(D117&gt;='Main Input'!$D$6, D117&lt;='Main Input'!$D$7), IF('Optim Input'!$B$6="Quarterly", 'Quarterly Calculation'!I117, 'Quarterly Calculation'!J117), 0)</f>
        <v>161348.1</v>
      </c>
      <c r="L117" s="51">
        <f>SUMIFS($K$3:$K$198, $A$3:$A$198, $A117)</f>
        <v>987538.34</v>
      </c>
      <c r="M117" s="3">
        <f>IFERROR(IF(($D117&gt;='Main Input'!$D$6)*($D117&lt;='Main Input'!$D$7),K117/L117,0),Config!$Q$11)</f>
        <v>0.16338413757181316</v>
      </c>
      <c r="N117" s="53">
        <f>VLOOKUP(A117,'Individual Bounds - Overall'!$A$2:$L$50,11,0)*M117</f>
        <v>161348.1</v>
      </c>
      <c r="O117" s="53">
        <f>VLOOKUP(A117,'Individual Bounds - Overall'!$A$2:$L$50,12,0)*M117</f>
        <v>169415.505</v>
      </c>
    </row>
    <row r="118" spans="1:15" x14ac:dyDescent="0.25">
      <c r="A118" s="3" t="s">
        <v>246</v>
      </c>
      <c r="B118" s="3" t="s">
        <v>238</v>
      </c>
      <c r="C118" s="3" t="s">
        <v>247</v>
      </c>
      <c r="D118" s="3" t="s">
        <v>78</v>
      </c>
      <c r="E118" s="51">
        <v>481208</v>
      </c>
      <c r="F118" s="51">
        <f>SUMIFS($E$3:$E$198,$A$3:$A$198,"=" &amp; A118,$D$3:$D$198,"&gt;=" &amp; 'Main Input'!$D$6,$D$3:$D$198,"&lt;=" &amp; 'Main Input'!$D$7)</f>
        <v>1022568</v>
      </c>
      <c r="G118" s="3">
        <f>IFERROR(IF((D118&gt;='Main Input'!$D$6)*(D118&lt;='Main Input'!$D$7),E118/F118,0),Config!$Q$11)</f>
        <v>0.47058777509172983</v>
      </c>
      <c r="H118" s="3">
        <f>SUMIFS($G$3:$G$198, $A$3:$A$198, A118)</f>
        <v>1</v>
      </c>
      <c r="I118" s="51">
        <f>INDEX('Base Scenario'!$A$1:$I$50,MATCH(A118,'Base Scenario'!$A$1:$A$50,0),MATCH(D118,'Base Scenario'!$A$1:$I$1,0))</f>
        <v>660565</v>
      </c>
      <c r="J118" s="51">
        <f>VLOOKUP(A118,'Base Scenario'!$A$1:$I$50,9,0)*G118</f>
        <v>464723.47023838019</v>
      </c>
      <c r="K118" s="53">
        <f>IF(AND(D118&gt;='Main Input'!$D$6, D118&lt;='Main Input'!$D$7), IF('Optim Input'!$B$6="Quarterly", 'Quarterly Calculation'!I118, 'Quarterly Calculation'!J118), 0)</f>
        <v>660565</v>
      </c>
      <c r="L118" s="51">
        <f>SUMIFS($K$3:$K$198, $A$3:$A$198, $A118)</f>
        <v>987538.34</v>
      </c>
      <c r="M118" s="3">
        <f>IFERROR(IF(($D118&gt;='Main Input'!$D$6)*($D118&lt;='Main Input'!$D$7),K118/L118,0),Config!$Q$11)</f>
        <v>0.66890061200054274</v>
      </c>
      <c r="N118" s="53">
        <f>VLOOKUP(A118,'Individual Bounds - Overall'!$A$2:$L$50,11,0)*M118</f>
        <v>660565</v>
      </c>
      <c r="O118" s="53">
        <f>VLOOKUP(A118,'Individual Bounds - Overall'!$A$2:$L$50,12,0)*M118</f>
        <v>693593.25</v>
      </c>
    </row>
    <row r="119" spans="1:15" x14ac:dyDescent="0.25">
      <c r="A119" s="3"/>
      <c r="B119" s="3"/>
      <c r="C119" s="3"/>
      <c r="D119" s="3"/>
      <c r="E119" s="51"/>
      <c r="F119" s="51"/>
      <c r="G119" s="3"/>
      <c r="H119" s="3"/>
      <c r="I119" s="51"/>
      <c r="J119" s="51"/>
      <c r="K119" s="53"/>
      <c r="L119" s="51"/>
      <c r="M119" s="3"/>
      <c r="N119" s="53"/>
      <c r="O119" s="53"/>
    </row>
    <row r="120" spans="1:15" x14ac:dyDescent="0.25">
      <c r="A120" s="3"/>
      <c r="B120" s="3"/>
      <c r="C120" s="3"/>
      <c r="D120" s="3"/>
      <c r="E120" s="51"/>
      <c r="F120" s="51"/>
      <c r="G120" s="3"/>
      <c r="H120" s="3"/>
      <c r="I120" s="51"/>
      <c r="J120" s="51"/>
      <c r="K120" s="53"/>
      <c r="L120" s="51"/>
      <c r="M120" s="3"/>
      <c r="N120" s="53"/>
      <c r="O120" s="53"/>
    </row>
    <row r="121" spans="1:15" x14ac:dyDescent="0.25">
      <c r="A121" s="3"/>
      <c r="B121" s="3"/>
      <c r="C121" s="3"/>
      <c r="D121" s="3"/>
      <c r="E121" s="51"/>
      <c r="F121" s="51"/>
      <c r="G121" s="3"/>
      <c r="H121" s="3"/>
      <c r="I121" s="51"/>
      <c r="J121" s="51"/>
      <c r="K121" s="53"/>
      <c r="L121" s="51"/>
      <c r="M121" s="3"/>
      <c r="N121" s="53"/>
      <c r="O121" s="53"/>
    </row>
    <row r="122" spans="1:15" x14ac:dyDescent="0.25">
      <c r="A122" s="3"/>
      <c r="B122" s="3"/>
      <c r="C122" s="3"/>
      <c r="D122" s="3"/>
      <c r="E122" s="51"/>
      <c r="F122" s="51"/>
      <c r="G122" s="3"/>
      <c r="H122" s="3"/>
      <c r="I122" s="51"/>
      <c r="J122" s="51"/>
      <c r="K122" s="53"/>
      <c r="L122" s="51"/>
      <c r="M122" s="3"/>
      <c r="N122" s="53"/>
      <c r="O122" s="53"/>
    </row>
    <row r="123" spans="1:15" x14ac:dyDescent="0.25">
      <c r="A123" s="3"/>
      <c r="B123" s="3"/>
      <c r="C123" s="3"/>
      <c r="D123" s="3"/>
      <c r="E123" s="51"/>
      <c r="F123" s="51"/>
      <c r="G123" s="3"/>
      <c r="H123" s="3"/>
      <c r="I123" s="51"/>
      <c r="J123" s="51"/>
      <c r="K123" s="53"/>
      <c r="L123" s="51"/>
      <c r="M123" s="3"/>
      <c r="N123" s="53"/>
      <c r="O123" s="53"/>
    </row>
    <row r="124" spans="1:15" x14ac:dyDescent="0.25">
      <c r="A124" s="3"/>
      <c r="B124" s="3"/>
      <c r="C124" s="3"/>
      <c r="D124" s="3"/>
      <c r="E124" s="51"/>
      <c r="F124" s="51"/>
      <c r="G124" s="3"/>
      <c r="H124" s="3"/>
      <c r="I124" s="51"/>
      <c r="J124" s="51"/>
      <c r="K124" s="53"/>
      <c r="L124" s="51"/>
      <c r="M124" s="3"/>
      <c r="N124" s="53"/>
      <c r="O124" s="53"/>
    </row>
    <row r="125" spans="1:15" x14ac:dyDescent="0.25">
      <c r="A125" s="3"/>
      <c r="B125" s="3"/>
      <c r="C125" s="3"/>
      <c r="D125" s="3"/>
      <c r="E125" s="51"/>
      <c r="F125" s="51"/>
      <c r="G125" s="3"/>
      <c r="H125" s="3"/>
      <c r="I125" s="51"/>
      <c r="J125" s="51"/>
      <c r="K125" s="53"/>
      <c r="L125" s="51"/>
      <c r="M125" s="3"/>
      <c r="N125" s="53"/>
      <c r="O125" s="53"/>
    </row>
    <row r="126" spans="1:15" x14ac:dyDescent="0.25">
      <c r="A126" s="3"/>
      <c r="B126" s="3"/>
      <c r="C126" s="3"/>
      <c r="D126" s="3"/>
      <c r="E126" s="51"/>
      <c r="F126" s="51"/>
      <c r="G126" s="3"/>
      <c r="H126" s="3"/>
      <c r="I126" s="51"/>
      <c r="J126" s="51"/>
      <c r="K126" s="53"/>
      <c r="L126" s="51"/>
      <c r="M126" s="3"/>
      <c r="N126" s="53"/>
      <c r="O126" s="53"/>
    </row>
    <row r="127" spans="1:15" x14ac:dyDescent="0.25">
      <c r="A127" s="3"/>
      <c r="B127" s="3"/>
      <c r="C127" s="3"/>
      <c r="D127" s="3"/>
      <c r="E127" s="51"/>
      <c r="F127" s="51"/>
      <c r="G127" s="3"/>
      <c r="H127" s="3"/>
      <c r="I127" s="51"/>
      <c r="J127" s="51"/>
      <c r="K127" s="53"/>
      <c r="L127" s="51"/>
      <c r="M127" s="3"/>
      <c r="N127" s="53"/>
      <c r="O127" s="53"/>
    </row>
    <row r="128" spans="1:15" x14ac:dyDescent="0.25">
      <c r="A128" s="3"/>
      <c r="B128" s="3"/>
      <c r="C128" s="3"/>
      <c r="D128" s="3"/>
      <c r="E128" s="51"/>
      <c r="F128" s="51"/>
      <c r="G128" s="3"/>
      <c r="H128" s="3"/>
      <c r="I128" s="51"/>
      <c r="J128" s="51"/>
      <c r="K128" s="53"/>
      <c r="L128" s="51"/>
      <c r="M128" s="3"/>
      <c r="N128" s="53"/>
      <c r="O128" s="53"/>
    </row>
    <row r="129" spans="1:15" x14ac:dyDescent="0.25">
      <c r="A129" s="3"/>
      <c r="B129" s="3"/>
      <c r="C129" s="3"/>
      <c r="D129" s="3"/>
      <c r="E129" s="51"/>
      <c r="F129" s="51"/>
      <c r="G129" s="3"/>
      <c r="H129" s="3"/>
      <c r="I129" s="51"/>
      <c r="J129" s="51"/>
      <c r="K129" s="53"/>
      <c r="L129" s="51"/>
      <c r="M129" s="3"/>
      <c r="N129" s="53"/>
      <c r="O129" s="53"/>
    </row>
    <row r="130" spans="1:15" x14ac:dyDescent="0.25">
      <c r="A130" s="3"/>
      <c r="B130" s="3"/>
      <c r="C130" s="3"/>
      <c r="D130" s="3"/>
      <c r="E130" s="51"/>
      <c r="F130" s="51"/>
      <c r="G130" s="3"/>
      <c r="H130" s="3"/>
      <c r="I130" s="51"/>
      <c r="J130" s="51"/>
      <c r="K130" s="53"/>
      <c r="L130" s="51"/>
      <c r="M130" s="3"/>
      <c r="N130" s="53"/>
      <c r="O130" s="53"/>
    </row>
    <row r="131" spans="1:15" x14ac:dyDescent="0.25">
      <c r="A131" s="3"/>
      <c r="B131" s="3"/>
      <c r="C131" s="3"/>
      <c r="D131" s="3"/>
      <c r="E131" s="51"/>
      <c r="F131" s="51"/>
      <c r="G131" s="3"/>
      <c r="H131" s="3"/>
      <c r="I131" s="51"/>
      <c r="J131" s="51"/>
      <c r="K131" s="53"/>
      <c r="L131" s="51"/>
      <c r="M131" s="3"/>
      <c r="N131" s="53"/>
      <c r="O131" s="53"/>
    </row>
    <row r="132" spans="1:15" x14ac:dyDescent="0.25">
      <c r="A132" s="3"/>
      <c r="B132" s="3"/>
      <c r="C132" s="3"/>
      <c r="D132" s="3"/>
      <c r="E132" s="51"/>
      <c r="F132" s="51"/>
      <c r="G132" s="3"/>
      <c r="H132" s="3"/>
      <c r="I132" s="51"/>
      <c r="J132" s="51"/>
      <c r="K132" s="53"/>
      <c r="L132" s="51"/>
      <c r="M132" s="3"/>
      <c r="N132" s="53"/>
      <c r="O132" s="53"/>
    </row>
    <row r="133" spans="1:15" x14ac:dyDescent="0.25">
      <c r="A133" s="3"/>
      <c r="B133" s="3"/>
      <c r="C133" s="3"/>
      <c r="D133" s="3"/>
      <c r="E133" s="51"/>
      <c r="F133" s="51"/>
      <c r="G133" s="3"/>
      <c r="H133" s="3"/>
      <c r="I133" s="51"/>
      <c r="J133" s="51"/>
      <c r="K133" s="53"/>
      <c r="L133" s="51"/>
      <c r="M133" s="3"/>
      <c r="N133" s="53"/>
      <c r="O133" s="53"/>
    </row>
    <row r="134" spans="1:15" x14ac:dyDescent="0.25">
      <c r="A134" s="3"/>
      <c r="B134" s="3"/>
      <c r="C134" s="3"/>
      <c r="D134" s="3"/>
      <c r="E134" s="51"/>
      <c r="F134" s="51"/>
      <c r="G134" s="3"/>
      <c r="H134" s="3"/>
      <c r="I134" s="51"/>
      <c r="J134" s="51"/>
      <c r="K134" s="53"/>
      <c r="L134" s="51"/>
      <c r="M134" s="3"/>
      <c r="N134" s="53"/>
      <c r="O134" s="53"/>
    </row>
    <row r="135" spans="1:15" x14ac:dyDescent="0.25">
      <c r="A135" s="3"/>
      <c r="B135" s="3"/>
      <c r="C135" s="3"/>
      <c r="D135" s="3"/>
      <c r="E135" s="51"/>
      <c r="F135" s="51"/>
      <c r="G135" s="3"/>
      <c r="H135" s="3"/>
      <c r="I135" s="51"/>
      <c r="J135" s="51"/>
      <c r="K135" s="53"/>
      <c r="L135" s="51"/>
      <c r="M135" s="3"/>
      <c r="N135" s="53"/>
      <c r="O135" s="53"/>
    </row>
    <row r="136" spans="1:15" x14ac:dyDescent="0.25">
      <c r="A136" s="3"/>
      <c r="B136" s="3"/>
      <c r="C136" s="3"/>
      <c r="D136" s="3"/>
      <c r="E136" s="51"/>
      <c r="F136" s="51"/>
      <c r="G136" s="3"/>
      <c r="H136" s="3"/>
      <c r="I136" s="51"/>
      <c r="J136" s="51"/>
      <c r="K136" s="53"/>
      <c r="L136" s="51"/>
      <c r="M136" s="3"/>
      <c r="N136" s="53"/>
      <c r="O136" s="53"/>
    </row>
    <row r="137" spans="1:15" x14ac:dyDescent="0.25">
      <c r="A137" s="3"/>
      <c r="B137" s="3"/>
      <c r="C137" s="3"/>
      <c r="D137" s="3"/>
      <c r="E137" s="51"/>
      <c r="F137" s="51"/>
      <c r="G137" s="3"/>
      <c r="H137" s="3"/>
      <c r="I137" s="51"/>
      <c r="J137" s="51"/>
      <c r="K137" s="53"/>
      <c r="L137" s="51"/>
      <c r="M137" s="3"/>
      <c r="N137" s="53"/>
      <c r="O137" s="53"/>
    </row>
    <row r="138" spans="1:15" x14ac:dyDescent="0.25">
      <c r="A138" s="3"/>
      <c r="B138" s="3"/>
      <c r="C138" s="3"/>
      <c r="D138" s="3"/>
      <c r="E138" s="51"/>
      <c r="F138" s="51"/>
      <c r="G138" s="3"/>
      <c r="H138" s="3"/>
      <c r="I138" s="51"/>
      <c r="J138" s="51"/>
      <c r="K138" s="53"/>
      <c r="L138" s="51"/>
      <c r="M138" s="3"/>
      <c r="N138" s="53"/>
      <c r="O138" s="53"/>
    </row>
    <row r="139" spans="1:15" x14ac:dyDescent="0.25">
      <c r="A139" s="3"/>
      <c r="B139" s="3"/>
      <c r="C139" s="3"/>
      <c r="D139" s="3"/>
      <c r="E139" s="51"/>
      <c r="F139" s="51"/>
      <c r="G139" s="3"/>
      <c r="H139" s="3"/>
      <c r="I139" s="51"/>
      <c r="J139" s="51"/>
      <c r="K139" s="53"/>
      <c r="L139" s="51"/>
      <c r="M139" s="3"/>
      <c r="N139" s="53"/>
      <c r="O139" s="53"/>
    </row>
    <row r="140" spans="1:15" x14ac:dyDescent="0.25">
      <c r="A140" s="3"/>
      <c r="B140" s="3"/>
      <c r="C140" s="3"/>
      <c r="D140" s="3"/>
      <c r="E140" s="51"/>
      <c r="F140" s="51"/>
      <c r="G140" s="3"/>
      <c r="H140" s="3"/>
      <c r="I140" s="51"/>
      <c r="J140" s="51"/>
      <c r="K140" s="53"/>
      <c r="L140" s="51"/>
      <c r="M140" s="3"/>
      <c r="N140" s="53"/>
      <c r="O140" s="53"/>
    </row>
    <row r="141" spans="1:15" x14ac:dyDescent="0.25">
      <c r="A141" s="3"/>
      <c r="B141" s="3"/>
      <c r="C141" s="3"/>
      <c r="D141" s="3"/>
      <c r="E141" s="51"/>
      <c r="F141" s="51"/>
      <c r="G141" s="3"/>
      <c r="H141" s="3"/>
      <c r="I141" s="51"/>
      <c r="J141" s="51"/>
      <c r="K141" s="53"/>
      <c r="L141" s="51"/>
      <c r="M141" s="3"/>
      <c r="N141" s="53"/>
      <c r="O141" s="53"/>
    </row>
    <row r="142" spans="1:15" x14ac:dyDescent="0.25">
      <c r="A142" s="3"/>
      <c r="B142" s="3"/>
      <c r="C142" s="3"/>
      <c r="D142" s="3"/>
      <c r="E142" s="51"/>
      <c r="F142" s="51"/>
      <c r="G142" s="3"/>
      <c r="H142" s="3"/>
      <c r="I142" s="51"/>
      <c r="J142" s="51"/>
      <c r="K142" s="53"/>
      <c r="L142" s="51"/>
      <c r="M142" s="3"/>
      <c r="N142" s="53"/>
      <c r="O142" s="53"/>
    </row>
    <row r="143" spans="1:15" x14ac:dyDescent="0.25">
      <c r="A143" s="3"/>
      <c r="B143" s="3"/>
      <c r="C143" s="3"/>
      <c r="D143" s="3"/>
      <c r="E143" s="51"/>
      <c r="F143" s="51"/>
      <c r="G143" s="3"/>
      <c r="H143" s="3"/>
      <c r="I143" s="51"/>
      <c r="J143" s="51"/>
      <c r="K143" s="53"/>
      <c r="L143" s="51"/>
      <c r="M143" s="3"/>
      <c r="N143" s="53"/>
      <c r="O143" s="53"/>
    </row>
    <row r="144" spans="1:15" x14ac:dyDescent="0.25">
      <c r="A144" s="3"/>
      <c r="B144" s="3"/>
      <c r="C144" s="3"/>
      <c r="D144" s="3"/>
      <c r="E144" s="51"/>
      <c r="F144" s="51"/>
      <c r="G144" s="3"/>
      <c r="H144" s="3"/>
      <c r="I144" s="51"/>
      <c r="J144" s="51"/>
      <c r="K144" s="53"/>
      <c r="L144" s="51"/>
      <c r="M144" s="3"/>
      <c r="N144" s="53"/>
      <c r="O144" s="53"/>
    </row>
    <row r="145" spans="1:15" x14ac:dyDescent="0.25">
      <c r="A145" s="3"/>
      <c r="B145" s="3"/>
      <c r="C145" s="3"/>
      <c r="D145" s="3"/>
      <c r="E145" s="51"/>
      <c r="F145" s="51"/>
      <c r="G145" s="3"/>
      <c r="H145" s="3"/>
      <c r="I145" s="51"/>
      <c r="J145" s="51"/>
      <c r="K145" s="53"/>
      <c r="L145" s="51"/>
      <c r="M145" s="3"/>
      <c r="N145" s="53"/>
      <c r="O145" s="53"/>
    </row>
    <row r="146" spans="1:15" x14ac:dyDescent="0.25">
      <c r="A146" s="3"/>
      <c r="B146" s="3"/>
      <c r="C146" s="3"/>
      <c r="D146" s="3"/>
      <c r="E146" s="51"/>
      <c r="F146" s="51"/>
      <c r="G146" s="3"/>
      <c r="H146" s="3"/>
      <c r="I146" s="51"/>
      <c r="J146" s="51"/>
      <c r="K146" s="53"/>
      <c r="L146" s="51"/>
      <c r="M146" s="3"/>
      <c r="N146" s="53"/>
      <c r="O146" s="53"/>
    </row>
    <row r="147" spans="1:15" x14ac:dyDescent="0.25">
      <c r="A147" s="3"/>
      <c r="B147" s="3"/>
      <c r="C147" s="3"/>
      <c r="D147" s="3"/>
      <c r="E147" s="51"/>
      <c r="F147" s="51"/>
      <c r="G147" s="3"/>
      <c r="H147" s="3"/>
      <c r="I147" s="51"/>
      <c r="J147" s="51"/>
      <c r="K147" s="53"/>
      <c r="L147" s="51"/>
      <c r="M147" s="3"/>
      <c r="N147" s="53"/>
      <c r="O147" s="53"/>
    </row>
    <row r="148" spans="1:15" x14ac:dyDescent="0.25">
      <c r="A148" s="3"/>
      <c r="B148" s="3"/>
      <c r="C148" s="3"/>
      <c r="D148" s="3"/>
      <c r="E148" s="51"/>
      <c r="F148" s="51"/>
      <c r="G148" s="3"/>
      <c r="H148" s="3"/>
      <c r="I148" s="51"/>
      <c r="J148" s="51"/>
      <c r="K148" s="53"/>
      <c r="L148" s="51"/>
      <c r="M148" s="3"/>
      <c r="N148" s="53"/>
      <c r="O148" s="53"/>
    </row>
    <row r="149" spans="1:15" x14ac:dyDescent="0.25">
      <c r="A149" s="3"/>
      <c r="B149" s="3"/>
      <c r="C149" s="3"/>
      <c r="D149" s="3"/>
      <c r="E149" s="51"/>
      <c r="F149" s="51"/>
      <c r="G149" s="3"/>
      <c r="H149" s="3"/>
      <c r="I149" s="51"/>
      <c r="J149" s="51"/>
      <c r="K149" s="53"/>
      <c r="L149" s="51"/>
      <c r="M149" s="3"/>
      <c r="N149" s="53"/>
      <c r="O149" s="53"/>
    </row>
    <row r="150" spans="1:15" x14ac:dyDescent="0.25">
      <c r="A150" s="3"/>
      <c r="B150" s="3"/>
      <c r="C150" s="3"/>
      <c r="D150" s="3"/>
      <c r="E150" s="51"/>
      <c r="F150" s="51"/>
      <c r="G150" s="3"/>
      <c r="H150" s="3"/>
      <c r="I150" s="51"/>
      <c r="J150" s="51"/>
      <c r="K150" s="53"/>
      <c r="L150" s="51"/>
      <c r="M150" s="3"/>
      <c r="N150" s="53"/>
      <c r="O150" s="53"/>
    </row>
    <row r="151" spans="1:15" x14ac:dyDescent="0.25">
      <c r="A151" s="3"/>
      <c r="B151" s="3"/>
      <c r="C151" s="3"/>
      <c r="D151" s="3"/>
      <c r="E151" s="51"/>
      <c r="F151" s="51"/>
      <c r="G151" s="3"/>
      <c r="H151" s="3"/>
      <c r="I151" s="51"/>
      <c r="J151" s="51"/>
      <c r="K151" s="53"/>
      <c r="L151" s="51"/>
      <c r="M151" s="3"/>
      <c r="N151" s="53"/>
      <c r="O151" s="53"/>
    </row>
    <row r="152" spans="1:15" x14ac:dyDescent="0.25">
      <c r="A152" s="3"/>
      <c r="B152" s="3"/>
      <c r="C152" s="3"/>
      <c r="D152" s="3"/>
      <c r="E152" s="51"/>
      <c r="F152" s="51"/>
      <c r="G152" s="3"/>
      <c r="H152" s="3"/>
      <c r="I152" s="51"/>
      <c r="J152" s="51"/>
      <c r="K152" s="53"/>
      <c r="L152" s="51"/>
      <c r="M152" s="3"/>
      <c r="N152" s="53"/>
      <c r="O152" s="53"/>
    </row>
    <row r="153" spans="1:15" x14ac:dyDescent="0.25">
      <c r="A153" s="3"/>
      <c r="B153" s="3"/>
      <c r="C153" s="3"/>
      <c r="D153" s="3"/>
      <c r="E153" s="51"/>
      <c r="F153" s="51"/>
      <c r="G153" s="3"/>
      <c r="H153" s="3"/>
      <c r="I153" s="51"/>
      <c r="J153" s="51"/>
      <c r="K153" s="53"/>
      <c r="L153" s="51"/>
      <c r="M153" s="3"/>
      <c r="N153" s="53"/>
      <c r="O153" s="53"/>
    </row>
    <row r="154" spans="1:15" x14ac:dyDescent="0.25">
      <c r="A154" s="3"/>
      <c r="B154" s="3"/>
      <c r="C154" s="3"/>
      <c r="D154" s="3"/>
      <c r="E154" s="51"/>
      <c r="F154" s="51"/>
      <c r="G154" s="3"/>
      <c r="H154" s="3"/>
      <c r="I154" s="51"/>
      <c r="J154" s="51"/>
      <c r="K154" s="53"/>
      <c r="L154" s="51"/>
      <c r="M154" s="3"/>
      <c r="N154" s="53"/>
      <c r="O154" s="53"/>
    </row>
    <row r="155" spans="1:15" x14ac:dyDescent="0.25">
      <c r="A155" s="3"/>
      <c r="B155" s="3"/>
      <c r="C155" s="3"/>
      <c r="D155" s="3"/>
      <c r="E155" s="51"/>
      <c r="F155" s="51"/>
      <c r="G155" s="3"/>
      <c r="H155" s="3"/>
      <c r="I155" s="51"/>
      <c r="J155" s="51"/>
      <c r="K155" s="53"/>
      <c r="L155" s="51"/>
      <c r="M155" s="3"/>
      <c r="N155" s="53"/>
      <c r="O155" s="53"/>
    </row>
    <row r="156" spans="1:15" x14ac:dyDescent="0.25">
      <c r="A156" s="3"/>
      <c r="B156" s="3"/>
      <c r="C156" s="3"/>
      <c r="D156" s="3"/>
      <c r="E156" s="51"/>
      <c r="F156" s="51"/>
      <c r="G156" s="3"/>
      <c r="H156" s="3"/>
      <c r="I156" s="51"/>
      <c r="J156" s="51"/>
      <c r="K156" s="53"/>
      <c r="L156" s="51"/>
      <c r="M156" s="3"/>
      <c r="N156" s="53"/>
      <c r="O156" s="53"/>
    </row>
    <row r="157" spans="1:15" x14ac:dyDescent="0.25">
      <c r="A157" s="3"/>
      <c r="B157" s="3"/>
      <c r="C157" s="3"/>
      <c r="D157" s="3"/>
      <c r="E157" s="51"/>
      <c r="F157" s="51"/>
      <c r="G157" s="3"/>
      <c r="H157" s="3"/>
      <c r="I157" s="51"/>
      <c r="J157" s="51"/>
      <c r="K157" s="53"/>
      <c r="L157" s="51"/>
      <c r="M157" s="3"/>
      <c r="N157" s="53"/>
      <c r="O157" s="53"/>
    </row>
    <row r="158" spans="1:15" x14ac:dyDescent="0.25">
      <c r="A158" s="3"/>
      <c r="B158" s="3"/>
      <c r="C158" s="3"/>
      <c r="D158" s="3"/>
      <c r="E158" s="51"/>
      <c r="F158" s="51"/>
      <c r="G158" s="3"/>
      <c r="H158" s="3"/>
      <c r="I158" s="51"/>
      <c r="J158" s="51"/>
      <c r="K158" s="53"/>
      <c r="L158" s="51"/>
      <c r="M158" s="3"/>
      <c r="N158" s="53"/>
      <c r="O158" s="53"/>
    </row>
    <row r="159" spans="1:15" x14ac:dyDescent="0.25">
      <c r="A159" s="3"/>
      <c r="B159" s="3"/>
      <c r="C159" s="3"/>
      <c r="D159" s="3"/>
      <c r="E159" s="51"/>
      <c r="F159" s="51"/>
      <c r="G159" s="3"/>
      <c r="H159" s="3"/>
      <c r="I159" s="51"/>
      <c r="J159" s="51"/>
      <c r="K159" s="53"/>
      <c r="L159" s="51"/>
      <c r="M159" s="3"/>
      <c r="N159" s="53"/>
      <c r="O159" s="53"/>
    </row>
    <row r="160" spans="1:15" x14ac:dyDescent="0.25">
      <c r="A160" s="3"/>
      <c r="B160" s="3"/>
      <c r="C160" s="3"/>
      <c r="D160" s="3"/>
      <c r="E160" s="51"/>
      <c r="F160" s="51"/>
      <c r="G160" s="3"/>
      <c r="H160" s="3"/>
      <c r="I160" s="51"/>
      <c r="J160" s="51"/>
      <c r="K160" s="53"/>
      <c r="L160" s="51"/>
      <c r="M160" s="3"/>
      <c r="N160" s="53"/>
      <c r="O160" s="53"/>
    </row>
    <row r="161" spans="1:15" x14ac:dyDescent="0.25">
      <c r="A161" s="3"/>
      <c r="B161" s="3"/>
      <c r="C161" s="3"/>
      <c r="D161" s="3"/>
      <c r="E161" s="51"/>
      <c r="F161" s="51"/>
      <c r="G161" s="3"/>
      <c r="H161" s="3"/>
      <c r="I161" s="51"/>
      <c r="J161" s="51"/>
      <c r="K161" s="53"/>
      <c r="L161" s="51"/>
      <c r="M161" s="3"/>
      <c r="N161" s="53"/>
      <c r="O161" s="53"/>
    </row>
    <row r="162" spans="1:15" x14ac:dyDescent="0.25">
      <c r="A162" s="3"/>
      <c r="B162" s="3"/>
      <c r="C162" s="3"/>
      <c r="D162" s="3"/>
      <c r="E162" s="51"/>
      <c r="F162" s="51"/>
      <c r="G162" s="3"/>
      <c r="H162" s="3"/>
      <c r="I162" s="51"/>
      <c r="J162" s="51"/>
      <c r="K162" s="53"/>
      <c r="L162" s="51"/>
      <c r="M162" s="3"/>
      <c r="N162" s="53"/>
      <c r="O162" s="53"/>
    </row>
    <row r="163" spans="1:15" x14ac:dyDescent="0.25">
      <c r="A163" s="3"/>
      <c r="B163" s="3"/>
      <c r="C163" s="3"/>
      <c r="D163" s="3"/>
      <c r="E163" s="51"/>
      <c r="F163" s="51"/>
      <c r="G163" s="3"/>
      <c r="H163" s="3"/>
      <c r="I163" s="51"/>
      <c r="J163" s="51"/>
      <c r="K163" s="53"/>
      <c r="L163" s="51"/>
      <c r="M163" s="3"/>
      <c r="N163" s="53"/>
      <c r="O163" s="53"/>
    </row>
    <row r="164" spans="1:15" x14ac:dyDescent="0.25">
      <c r="A164" s="3"/>
      <c r="B164" s="3"/>
      <c r="C164" s="3"/>
      <c r="D164" s="3"/>
      <c r="E164" s="51"/>
      <c r="F164" s="51"/>
      <c r="G164" s="3"/>
      <c r="H164" s="3"/>
      <c r="I164" s="51"/>
      <c r="J164" s="51"/>
      <c r="K164" s="53"/>
      <c r="L164" s="51"/>
      <c r="M164" s="3"/>
      <c r="N164" s="53"/>
      <c r="O164" s="53"/>
    </row>
    <row r="165" spans="1:15" x14ac:dyDescent="0.25">
      <c r="A165" s="3"/>
      <c r="B165" s="3"/>
      <c r="C165" s="3"/>
      <c r="D165" s="3"/>
      <c r="E165" s="51"/>
      <c r="F165" s="51"/>
      <c r="G165" s="3"/>
      <c r="H165" s="3"/>
      <c r="I165" s="51"/>
      <c r="J165" s="51"/>
      <c r="K165" s="53"/>
      <c r="L165" s="51"/>
      <c r="M165" s="3"/>
      <c r="N165" s="53"/>
      <c r="O165" s="53"/>
    </row>
    <row r="166" spans="1:15" x14ac:dyDescent="0.25">
      <c r="A166" s="3"/>
      <c r="B166" s="3"/>
      <c r="C166" s="3"/>
      <c r="D166" s="3"/>
      <c r="E166" s="51"/>
      <c r="F166" s="51"/>
      <c r="G166" s="3"/>
      <c r="H166" s="3"/>
      <c r="I166" s="51"/>
      <c r="J166" s="51"/>
      <c r="K166" s="53"/>
      <c r="L166" s="51"/>
      <c r="M166" s="3"/>
      <c r="N166" s="53"/>
      <c r="O166" s="53"/>
    </row>
    <row r="167" spans="1:15" x14ac:dyDescent="0.25">
      <c r="A167" s="3"/>
      <c r="B167" s="3"/>
      <c r="C167" s="3"/>
      <c r="D167" s="3"/>
      <c r="E167" s="51"/>
      <c r="F167" s="51"/>
      <c r="G167" s="3"/>
      <c r="H167" s="3"/>
      <c r="I167" s="51"/>
      <c r="J167" s="51"/>
      <c r="K167" s="53"/>
      <c r="L167" s="51"/>
      <c r="M167" s="3"/>
      <c r="N167" s="53"/>
      <c r="O167" s="53"/>
    </row>
    <row r="168" spans="1:15" x14ac:dyDescent="0.25">
      <c r="A168" s="3"/>
      <c r="B168" s="3"/>
      <c r="C168" s="3"/>
      <c r="D168" s="3"/>
      <c r="E168" s="51"/>
      <c r="F168" s="51"/>
      <c r="G168" s="3"/>
      <c r="H168" s="3"/>
      <c r="I168" s="51"/>
      <c r="J168" s="51"/>
      <c r="K168" s="53"/>
      <c r="L168" s="51"/>
      <c r="M168" s="3"/>
      <c r="N168" s="53"/>
      <c r="O168" s="53"/>
    </row>
    <row r="169" spans="1:15" x14ac:dyDescent="0.25">
      <c r="A169" s="3"/>
      <c r="B169" s="3"/>
      <c r="C169" s="3"/>
      <c r="D169" s="3"/>
      <c r="E169" s="51"/>
      <c r="F169" s="51"/>
      <c r="G169" s="3"/>
      <c r="H169" s="3"/>
      <c r="I169" s="51"/>
      <c r="J169" s="51"/>
      <c r="K169" s="53"/>
      <c r="L169" s="51"/>
      <c r="M169" s="3"/>
      <c r="N169" s="53"/>
      <c r="O169" s="53"/>
    </row>
    <row r="170" spans="1:15" x14ac:dyDescent="0.25">
      <c r="A170" s="3"/>
      <c r="B170" s="3"/>
      <c r="C170" s="3"/>
      <c r="D170" s="3"/>
      <c r="E170" s="51"/>
      <c r="F170" s="51"/>
      <c r="G170" s="3"/>
      <c r="H170" s="3"/>
      <c r="I170" s="51"/>
      <c r="J170" s="51"/>
      <c r="K170" s="53"/>
      <c r="L170" s="51"/>
      <c r="M170" s="3"/>
      <c r="N170" s="53"/>
      <c r="O170" s="53"/>
    </row>
    <row r="171" spans="1:15" x14ac:dyDescent="0.25">
      <c r="A171" s="3"/>
      <c r="B171" s="3"/>
      <c r="C171" s="3"/>
      <c r="D171" s="3"/>
      <c r="E171" s="51"/>
      <c r="F171" s="51"/>
      <c r="G171" s="3"/>
      <c r="H171" s="3"/>
      <c r="I171" s="51"/>
      <c r="J171" s="51"/>
      <c r="K171" s="53"/>
      <c r="L171" s="51"/>
      <c r="M171" s="3"/>
      <c r="N171" s="53"/>
      <c r="O171" s="53"/>
    </row>
    <row r="172" spans="1:15" x14ac:dyDescent="0.25">
      <c r="A172" s="3"/>
      <c r="B172" s="3"/>
      <c r="C172" s="3"/>
      <c r="D172" s="3"/>
      <c r="E172" s="51"/>
      <c r="F172" s="51"/>
      <c r="G172" s="3"/>
      <c r="H172" s="3"/>
      <c r="I172" s="51"/>
      <c r="J172" s="51"/>
      <c r="K172" s="53"/>
      <c r="L172" s="51"/>
      <c r="M172" s="3"/>
      <c r="N172" s="53"/>
      <c r="O172" s="53"/>
    </row>
    <row r="173" spans="1:15" x14ac:dyDescent="0.25">
      <c r="A173" s="3"/>
      <c r="B173" s="3"/>
      <c r="C173" s="3"/>
      <c r="D173" s="3"/>
      <c r="E173" s="51"/>
      <c r="F173" s="51"/>
      <c r="G173" s="3"/>
      <c r="H173" s="3"/>
      <c r="I173" s="51"/>
      <c r="J173" s="51"/>
      <c r="K173" s="53"/>
      <c r="L173" s="51"/>
      <c r="M173" s="3"/>
      <c r="N173" s="53"/>
      <c r="O173" s="53"/>
    </row>
    <row r="174" spans="1:15" x14ac:dyDescent="0.25">
      <c r="A174" s="3"/>
      <c r="B174" s="3"/>
      <c r="C174" s="3"/>
      <c r="D174" s="3"/>
      <c r="E174" s="51"/>
      <c r="F174" s="51"/>
      <c r="G174" s="3"/>
      <c r="H174" s="3"/>
      <c r="I174" s="51"/>
      <c r="J174" s="51"/>
      <c r="K174" s="53"/>
      <c r="L174" s="51"/>
      <c r="M174" s="3"/>
      <c r="N174" s="53"/>
      <c r="O174" s="53"/>
    </row>
    <row r="175" spans="1:15" x14ac:dyDescent="0.25">
      <c r="A175" s="3"/>
      <c r="B175" s="3"/>
      <c r="C175" s="3"/>
      <c r="D175" s="3"/>
      <c r="E175" s="51"/>
      <c r="F175" s="51"/>
      <c r="G175" s="3"/>
      <c r="H175" s="3"/>
      <c r="I175" s="51"/>
      <c r="J175" s="51"/>
      <c r="K175" s="53"/>
      <c r="L175" s="51"/>
      <c r="M175" s="3"/>
      <c r="N175" s="53"/>
      <c r="O175" s="53"/>
    </row>
    <row r="176" spans="1:15" x14ac:dyDescent="0.25">
      <c r="A176" s="3"/>
      <c r="B176" s="3"/>
      <c r="C176" s="3"/>
      <c r="D176" s="3"/>
      <c r="E176" s="51"/>
      <c r="F176" s="51"/>
      <c r="G176" s="3"/>
      <c r="H176" s="3"/>
      <c r="I176" s="51"/>
      <c r="J176" s="51"/>
      <c r="K176" s="53"/>
      <c r="L176" s="51"/>
      <c r="M176" s="3"/>
      <c r="N176" s="53"/>
      <c r="O176" s="53"/>
    </row>
    <row r="177" spans="1:15" x14ac:dyDescent="0.25">
      <c r="A177" s="3"/>
      <c r="B177" s="3"/>
      <c r="C177" s="3"/>
      <c r="D177" s="3"/>
      <c r="E177" s="51"/>
      <c r="F177" s="51"/>
      <c r="G177" s="3"/>
      <c r="H177" s="3"/>
      <c r="I177" s="51"/>
      <c r="J177" s="51"/>
      <c r="K177" s="53"/>
      <c r="L177" s="51"/>
      <c r="M177" s="3"/>
      <c r="N177" s="53"/>
      <c r="O177" s="53"/>
    </row>
    <row r="178" spans="1:15" x14ac:dyDescent="0.25">
      <c r="A178" s="3"/>
      <c r="B178" s="3"/>
      <c r="C178" s="3"/>
      <c r="D178" s="3"/>
      <c r="E178" s="51"/>
      <c r="F178" s="51"/>
      <c r="G178" s="3"/>
      <c r="H178" s="3"/>
      <c r="I178" s="51"/>
      <c r="J178" s="51"/>
      <c r="K178" s="53"/>
      <c r="L178" s="51"/>
      <c r="M178" s="3"/>
      <c r="N178" s="53"/>
      <c r="O178" s="53"/>
    </row>
    <row r="179" spans="1:15" x14ac:dyDescent="0.25">
      <c r="A179" s="3"/>
      <c r="B179" s="3"/>
      <c r="C179" s="3"/>
      <c r="D179" s="3"/>
      <c r="E179" s="51"/>
      <c r="F179" s="51"/>
      <c r="G179" s="3"/>
      <c r="H179" s="3"/>
      <c r="I179" s="51"/>
      <c r="J179" s="51"/>
      <c r="K179" s="53"/>
      <c r="L179" s="51"/>
      <c r="M179" s="3"/>
      <c r="N179" s="53"/>
      <c r="O179" s="53"/>
    </row>
    <row r="180" spans="1:15" x14ac:dyDescent="0.25">
      <c r="A180" s="3"/>
      <c r="B180" s="3"/>
      <c r="C180" s="3"/>
      <c r="D180" s="3"/>
      <c r="E180" s="51"/>
      <c r="F180" s="51"/>
      <c r="G180" s="3"/>
      <c r="H180" s="3"/>
      <c r="I180" s="51"/>
      <c r="J180" s="51"/>
      <c r="K180" s="53"/>
      <c r="L180" s="51"/>
      <c r="M180" s="3"/>
      <c r="N180" s="53"/>
      <c r="O180" s="53"/>
    </row>
    <row r="181" spans="1:15" x14ac:dyDescent="0.25">
      <c r="A181" s="3"/>
      <c r="B181" s="3"/>
      <c r="C181" s="3"/>
      <c r="D181" s="3"/>
      <c r="E181" s="51"/>
      <c r="F181" s="51"/>
      <c r="G181" s="3"/>
      <c r="H181" s="3"/>
      <c r="I181" s="51"/>
      <c r="J181" s="51"/>
      <c r="K181" s="53"/>
      <c r="L181" s="51"/>
      <c r="M181" s="3"/>
      <c r="N181" s="53"/>
      <c r="O181" s="53"/>
    </row>
    <row r="182" spans="1:15" x14ac:dyDescent="0.25">
      <c r="A182" s="3"/>
      <c r="B182" s="3"/>
      <c r="C182" s="3"/>
      <c r="D182" s="3"/>
      <c r="E182" s="51"/>
      <c r="F182" s="51"/>
      <c r="G182" s="3"/>
      <c r="H182" s="3"/>
      <c r="I182" s="51"/>
      <c r="J182" s="51"/>
      <c r="K182" s="53"/>
      <c r="L182" s="51"/>
      <c r="M182" s="3"/>
      <c r="N182" s="53"/>
      <c r="O182" s="53"/>
    </row>
    <row r="183" spans="1:15" x14ac:dyDescent="0.25">
      <c r="A183" s="3"/>
      <c r="B183" s="3"/>
      <c r="C183" s="3"/>
      <c r="D183" s="3"/>
      <c r="E183" s="51"/>
      <c r="F183" s="51"/>
      <c r="G183" s="3"/>
      <c r="H183" s="3"/>
      <c r="I183" s="51"/>
      <c r="J183" s="51"/>
      <c r="K183" s="53"/>
      <c r="L183" s="51"/>
      <c r="M183" s="3"/>
      <c r="N183" s="53"/>
      <c r="O183" s="53"/>
    </row>
    <row r="184" spans="1:15" x14ac:dyDescent="0.25">
      <c r="A184" s="3"/>
      <c r="B184" s="3"/>
      <c r="C184" s="3"/>
      <c r="D184" s="3"/>
      <c r="E184" s="51"/>
      <c r="F184" s="51"/>
      <c r="G184" s="3"/>
      <c r="H184" s="3"/>
      <c r="I184" s="51"/>
      <c r="J184" s="51"/>
      <c r="K184" s="53"/>
      <c r="L184" s="51"/>
      <c r="M184" s="3"/>
      <c r="N184" s="53"/>
      <c r="O184" s="53"/>
    </row>
    <row r="185" spans="1:15" x14ac:dyDescent="0.25">
      <c r="A185" s="3"/>
      <c r="B185" s="3"/>
      <c r="C185" s="3"/>
      <c r="D185" s="3"/>
      <c r="E185" s="51"/>
      <c r="F185" s="51"/>
      <c r="G185" s="3"/>
      <c r="H185" s="3"/>
      <c r="I185" s="51"/>
      <c r="J185" s="51"/>
      <c r="K185" s="53"/>
      <c r="L185" s="51"/>
      <c r="M185" s="3"/>
      <c r="N185" s="53"/>
      <c r="O185" s="53"/>
    </row>
    <row r="186" spans="1:15" x14ac:dyDescent="0.25">
      <c r="A186" s="3"/>
      <c r="B186" s="3"/>
      <c r="C186" s="3"/>
      <c r="D186" s="3"/>
      <c r="E186" s="51"/>
      <c r="F186" s="51"/>
      <c r="G186" s="3"/>
      <c r="H186" s="3"/>
      <c r="I186" s="51"/>
      <c r="J186" s="51"/>
      <c r="K186" s="53"/>
      <c r="L186" s="51"/>
      <c r="M186" s="3"/>
      <c r="N186" s="53"/>
      <c r="O186" s="53"/>
    </row>
    <row r="187" spans="1:15" x14ac:dyDescent="0.25">
      <c r="A187" s="3"/>
      <c r="B187" s="3"/>
      <c r="C187" s="3"/>
      <c r="D187" s="3"/>
      <c r="E187" s="51"/>
      <c r="F187" s="51"/>
      <c r="G187" s="3"/>
      <c r="H187" s="3"/>
      <c r="I187" s="51"/>
      <c r="J187" s="51"/>
      <c r="K187" s="53"/>
      <c r="L187" s="51"/>
      <c r="M187" s="3"/>
      <c r="N187" s="53"/>
      <c r="O187" s="53"/>
    </row>
    <row r="188" spans="1:15" x14ac:dyDescent="0.25">
      <c r="A188" s="3"/>
      <c r="B188" s="3"/>
      <c r="C188" s="3"/>
      <c r="D188" s="3"/>
      <c r="E188" s="51"/>
      <c r="F188" s="51"/>
      <c r="G188" s="3"/>
      <c r="H188" s="3"/>
      <c r="I188" s="51"/>
      <c r="J188" s="51"/>
      <c r="K188" s="53"/>
      <c r="L188" s="51"/>
      <c r="M188" s="3"/>
      <c r="N188" s="53"/>
      <c r="O188" s="53"/>
    </row>
    <row r="189" spans="1:15" x14ac:dyDescent="0.25">
      <c r="A189" s="3"/>
      <c r="B189" s="3"/>
      <c r="C189" s="3"/>
      <c r="D189" s="3"/>
      <c r="E189" s="51"/>
      <c r="F189" s="51"/>
      <c r="G189" s="3"/>
      <c r="H189" s="3"/>
      <c r="I189" s="51"/>
      <c r="J189" s="51"/>
      <c r="K189" s="53"/>
      <c r="L189" s="51"/>
      <c r="M189" s="3"/>
      <c r="N189" s="53"/>
      <c r="O189" s="53"/>
    </row>
    <row r="190" spans="1:15" x14ac:dyDescent="0.25">
      <c r="A190" s="3"/>
      <c r="B190" s="3"/>
      <c r="C190" s="3"/>
      <c r="D190" s="3"/>
      <c r="E190" s="51"/>
      <c r="F190" s="51"/>
      <c r="G190" s="3"/>
      <c r="H190" s="3"/>
      <c r="I190" s="51"/>
      <c r="J190" s="51"/>
      <c r="K190" s="53"/>
      <c r="L190" s="51"/>
      <c r="M190" s="3"/>
      <c r="N190" s="53"/>
      <c r="O190" s="53"/>
    </row>
    <row r="191" spans="1:15" x14ac:dyDescent="0.25">
      <c r="A191" s="3"/>
      <c r="B191" s="3"/>
      <c r="C191" s="3"/>
      <c r="D191" s="3"/>
      <c r="E191" s="51"/>
      <c r="F191" s="51"/>
      <c r="G191" s="3"/>
      <c r="H191" s="3"/>
      <c r="I191" s="51"/>
      <c r="J191" s="51"/>
      <c r="K191" s="53"/>
      <c r="L191" s="51"/>
      <c r="M191" s="3"/>
      <c r="N191" s="53"/>
      <c r="O191" s="53"/>
    </row>
    <row r="192" spans="1:15" x14ac:dyDescent="0.25">
      <c r="A192" s="3"/>
      <c r="B192" s="3"/>
      <c r="C192" s="3"/>
      <c r="D192" s="3"/>
      <c r="E192" s="51"/>
      <c r="F192" s="51"/>
      <c r="G192" s="3"/>
      <c r="H192" s="3"/>
      <c r="I192" s="51"/>
      <c r="J192" s="51"/>
      <c r="K192" s="53"/>
      <c r="L192" s="51"/>
      <c r="M192" s="3"/>
      <c r="N192" s="53"/>
      <c r="O192" s="53"/>
    </row>
    <row r="193" spans="1:15" x14ac:dyDescent="0.25">
      <c r="A193" s="3"/>
      <c r="B193" s="3"/>
      <c r="C193" s="3"/>
      <c r="D193" s="3"/>
      <c r="E193" s="51"/>
      <c r="F193" s="51"/>
      <c r="G193" s="3"/>
      <c r="H193" s="3"/>
      <c r="I193" s="51"/>
      <c r="J193" s="51"/>
      <c r="K193" s="53"/>
      <c r="L193" s="51"/>
      <c r="M193" s="3"/>
      <c r="N193" s="53"/>
      <c r="O193" s="53"/>
    </row>
    <row r="194" spans="1:15" x14ac:dyDescent="0.25">
      <c r="A194" s="3"/>
      <c r="B194" s="3"/>
      <c r="C194" s="3"/>
      <c r="D194" s="3"/>
      <c r="E194" s="51"/>
      <c r="F194" s="51"/>
      <c r="G194" s="3"/>
      <c r="H194" s="3"/>
      <c r="I194" s="51"/>
      <c r="J194" s="51"/>
      <c r="K194" s="53"/>
      <c r="L194" s="51"/>
      <c r="M194" s="3"/>
      <c r="N194" s="53"/>
      <c r="O194" s="53"/>
    </row>
    <row r="195" spans="1:15" x14ac:dyDescent="0.25">
      <c r="A195" s="3"/>
      <c r="B195" s="3"/>
      <c r="C195" s="3"/>
      <c r="D195" s="3"/>
      <c r="E195" s="51"/>
      <c r="F195" s="51"/>
      <c r="G195" s="3"/>
      <c r="H195" s="3"/>
      <c r="I195" s="51"/>
      <c r="J195" s="51"/>
      <c r="K195" s="53"/>
      <c r="L195" s="51"/>
      <c r="M195" s="3"/>
      <c r="N195" s="53"/>
      <c r="O195" s="53"/>
    </row>
    <row r="196" spans="1:15" x14ac:dyDescent="0.25">
      <c r="A196" s="3"/>
      <c r="B196" s="3"/>
      <c r="C196" s="3"/>
      <c r="D196" s="3"/>
      <c r="E196" s="51"/>
      <c r="F196" s="51"/>
      <c r="G196" s="3"/>
      <c r="H196" s="3"/>
      <c r="I196" s="51"/>
      <c r="J196" s="51"/>
      <c r="K196" s="53"/>
      <c r="L196" s="51"/>
      <c r="M196" s="3"/>
      <c r="N196" s="53"/>
      <c r="O196" s="53"/>
    </row>
    <row r="197" spans="1:15" x14ac:dyDescent="0.25">
      <c r="A197" s="3"/>
      <c r="B197" s="3"/>
      <c r="C197" s="3"/>
      <c r="D197" s="3"/>
      <c r="E197" s="51"/>
      <c r="F197" s="51"/>
      <c r="G197" s="3"/>
      <c r="H197" s="3"/>
      <c r="I197" s="51"/>
      <c r="J197" s="51"/>
      <c r="K197" s="53"/>
      <c r="L197" s="51"/>
      <c r="M197" s="3"/>
      <c r="N197" s="53"/>
      <c r="O197" s="53"/>
    </row>
    <row r="198" spans="1:15" x14ac:dyDescent="0.25">
      <c r="A198" s="3"/>
      <c r="B198" s="3"/>
      <c r="C198" s="3"/>
      <c r="D198" s="3"/>
      <c r="E198" s="51"/>
      <c r="F198" s="51"/>
      <c r="G198" s="3"/>
      <c r="H198" s="3"/>
      <c r="I198" s="51"/>
      <c r="J198" s="51"/>
      <c r="K198" s="53"/>
      <c r="L198" s="51"/>
      <c r="M198" s="3"/>
      <c r="N198" s="53"/>
      <c r="O198" s="53"/>
    </row>
  </sheetData>
  <sortState xmlns:xlrd2="http://schemas.microsoft.com/office/spreadsheetml/2017/richdata2" ref="A3:O198">
    <sortCondition ref="C2"/>
  </sortState>
  <mergeCells count="2">
    <mergeCell ref="E1:H1"/>
    <mergeCell ref="I1:M1"/>
  </mergeCells>
  <conditionalFormatting sqref="H3:H198">
    <cfRule type="expression" dxfId="658" priority="1">
      <formula>"&lt;&gt;1"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50"/>
  <sheetViews>
    <sheetView topLeftCell="B1" zoomScale="90" zoomScaleNormal="90" workbookViewId="0">
      <selection activeCell="J1" sqref="J1"/>
    </sheetView>
  </sheetViews>
  <sheetFormatPr defaultRowHeight="15" x14ac:dyDescent="0.25"/>
  <cols>
    <col min="1" max="1" width="24.5703125" bestFit="1" customWidth="1"/>
    <col min="2" max="2" width="19.5703125" bestFit="1" customWidth="1"/>
    <col min="3" max="3" width="52.85546875" bestFit="1" customWidth="1"/>
    <col min="4" max="4" width="7.42578125" bestFit="1" customWidth="1"/>
    <col min="5" max="5" width="4.85546875" bestFit="1" customWidth="1"/>
    <col min="6" max="6" width="13.85546875" bestFit="1" customWidth="1"/>
    <col min="7" max="8" width="7.7109375" bestFit="1" customWidth="1"/>
    <col min="9" max="9" width="15" style="55" bestFit="1" customWidth="1"/>
    <col min="10" max="10" width="17.28515625" style="55" bestFit="1" customWidth="1"/>
    <col min="11" max="12" width="15.5703125" style="48" bestFit="1" customWidth="1"/>
  </cols>
  <sheetData>
    <row r="1" spans="1:12" x14ac:dyDescent="0.25">
      <c r="A1" s="6" t="s">
        <v>72</v>
      </c>
      <c r="B1" s="6" t="s">
        <v>56</v>
      </c>
      <c r="C1" s="6" t="s">
        <v>55</v>
      </c>
      <c r="D1" s="6" t="s">
        <v>95</v>
      </c>
      <c r="E1" s="7" t="s">
        <v>73</v>
      </c>
      <c r="F1" s="6" t="s">
        <v>43</v>
      </c>
      <c r="G1" s="6" t="s">
        <v>166</v>
      </c>
      <c r="H1" s="6" t="s">
        <v>186</v>
      </c>
      <c r="I1" s="54" t="s">
        <v>167</v>
      </c>
      <c r="J1" s="54" t="s">
        <v>168</v>
      </c>
      <c r="K1" s="6" t="s">
        <v>169</v>
      </c>
      <c r="L1" s="6" t="s">
        <v>170</v>
      </c>
    </row>
    <row r="2" spans="1:12" x14ac:dyDescent="0.25">
      <c r="A2" s="3" t="s">
        <v>190</v>
      </c>
      <c r="B2" s="3" t="s">
        <v>191</v>
      </c>
      <c r="C2" s="3" t="s">
        <v>192</v>
      </c>
      <c r="D2" s="12" t="s">
        <v>74</v>
      </c>
      <c r="E2" s="12" t="s">
        <v>97</v>
      </c>
      <c r="F2" s="49">
        <f>VLOOKUP(A2,'Base Scenario'!$A$1:$I$50,9,0)</f>
        <v>2351478.2000000002</v>
      </c>
      <c r="G2" s="60">
        <v>0</v>
      </c>
      <c r="H2" s="60">
        <v>0.05</v>
      </c>
      <c r="I2" s="49">
        <v>2116330.3800000004</v>
      </c>
      <c r="J2" s="61">
        <f>110%*F2</f>
        <v>2586626.0200000005</v>
      </c>
      <c r="K2" s="56">
        <f>IF(AND(ISBLANK(G2),ISBLANK(I2)),$F2,IF(ISBLANK(G2),I2,IF(ISBLANK(I2),$F2*(1+G2),MAX($F2*(1+G2),I2))))</f>
        <v>2351478.2000000002</v>
      </c>
      <c r="L2" s="56">
        <f>IF(AND(ISBLANK(H2),ISBLANK(J2)),$F2,IF(ISBLANK(H2),J2,IF(ISBLANK(J2),$F2*(1+H2),MIN($F2*(1+H2),J2))))</f>
        <v>2469052.1100000003</v>
      </c>
    </row>
    <row r="3" spans="1:12" x14ac:dyDescent="0.25">
      <c r="A3" s="3" t="s">
        <v>193</v>
      </c>
      <c r="B3" s="3" t="s">
        <v>194</v>
      </c>
      <c r="C3" s="3" t="s">
        <v>195</v>
      </c>
      <c r="D3" s="12" t="s">
        <v>74</v>
      </c>
      <c r="E3" s="12" t="s">
        <v>97</v>
      </c>
      <c r="F3" s="49">
        <f>VLOOKUP(A3,'Base Scenario'!$A$1:$I$50,9,0)</f>
        <v>1274331.7000000002</v>
      </c>
      <c r="G3" s="60">
        <v>0</v>
      </c>
      <c r="H3" s="60">
        <v>0.05</v>
      </c>
      <c r="I3" s="49">
        <v>1146898.5300000003</v>
      </c>
      <c r="J3" s="61">
        <f t="shared" ref="J3:J30" si="0">110%*F3</f>
        <v>1401764.8700000003</v>
      </c>
      <c r="K3" s="56">
        <f t="shared" ref="K3:K30" si="1">IF(AND(ISBLANK(G3),ISBLANK(I3)),$F3,IF(ISBLANK(G3),I3,IF(ISBLANK(I3),$F3*(1+G3),MAX($F3*(1+G3),I3))))</f>
        <v>1274331.7000000002</v>
      </c>
      <c r="L3" s="56">
        <f t="shared" ref="L3:L30" si="2">IF(AND(ISBLANK(H3),ISBLANK(J3)),$F3,IF(ISBLANK(H3),J3,IF(ISBLANK(J3),$F3*(1+H3),MIN($F3*(1+H3),J3))))</f>
        <v>1338048.2850000001</v>
      </c>
    </row>
    <row r="4" spans="1:12" x14ac:dyDescent="0.25">
      <c r="A4" s="3" t="s">
        <v>196</v>
      </c>
      <c r="B4" s="3" t="s">
        <v>197</v>
      </c>
      <c r="C4" s="3" t="s">
        <v>198</v>
      </c>
      <c r="D4" s="12" t="s">
        <v>74</v>
      </c>
      <c r="E4" s="12" t="s">
        <v>97</v>
      </c>
      <c r="F4" s="49">
        <f>VLOOKUP(A4,'Base Scenario'!$A$1:$I$50,9,0)</f>
        <v>6883533</v>
      </c>
      <c r="G4" s="60">
        <v>0</v>
      </c>
      <c r="H4" s="60">
        <v>0.05</v>
      </c>
      <c r="I4" s="49">
        <v>6195179.7000000002</v>
      </c>
      <c r="J4" s="61">
        <f t="shared" si="0"/>
        <v>7571886.3000000007</v>
      </c>
      <c r="K4" s="56">
        <f t="shared" si="1"/>
        <v>6883533</v>
      </c>
      <c r="L4" s="56">
        <f t="shared" si="2"/>
        <v>7227709.6500000004</v>
      </c>
    </row>
    <row r="5" spans="1:12" x14ac:dyDescent="0.25">
      <c r="A5" s="3" t="s">
        <v>199</v>
      </c>
      <c r="B5" s="3" t="s">
        <v>197</v>
      </c>
      <c r="C5" s="3" t="s">
        <v>200</v>
      </c>
      <c r="D5" s="12" t="s">
        <v>74</v>
      </c>
      <c r="E5" s="12" t="s">
        <v>97</v>
      </c>
      <c r="F5" s="49">
        <f>VLOOKUP(A5,'Base Scenario'!$A$1:$I$50,9,0)</f>
        <v>1331538</v>
      </c>
      <c r="G5" s="60">
        <v>0</v>
      </c>
      <c r="H5" s="60">
        <v>0.05</v>
      </c>
      <c r="I5" s="49">
        <v>1198384.2</v>
      </c>
      <c r="J5" s="61">
        <f t="shared" si="0"/>
        <v>1464691.8</v>
      </c>
      <c r="K5" s="56">
        <f t="shared" si="1"/>
        <v>1331538</v>
      </c>
      <c r="L5" s="56">
        <f t="shared" si="2"/>
        <v>1398114.9000000001</v>
      </c>
    </row>
    <row r="6" spans="1:12" x14ac:dyDescent="0.25">
      <c r="A6" s="3" t="s">
        <v>201</v>
      </c>
      <c r="B6" s="3" t="s">
        <v>202</v>
      </c>
      <c r="C6" s="3" t="s">
        <v>202</v>
      </c>
      <c r="D6" s="12" t="s">
        <v>74</v>
      </c>
      <c r="E6" s="12" t="s">
        <v>97</v>
      </c>
      <c r="F6" s="49">
        <f>VLOOKUP(A6,'Base Scenario'!$A$1:$I$50,9,0)</f>
        <v>3444561.04</v>
      </c>
      <c r="G6" s="60">
        <v>0</v>
      </c>
      <c r="H6" s="60">
        <v>0.05</v>
      </c>
      <c r="I6" s="49">
        <v>3100104.9360000002</v>
      </c>
      <c r="J6" s="61">
        <f t="shared" si="0"/>
        <v>3789017.1440000003</v>
      </c>
      <c r="K6" s="56">
        <f t="shared" si="1"/>
        <v>3444561.04</v>
      </c>
      <c r="L6" s="56">
        <f t="shared" si="2"/>
        <v>3616789.0920000002</v>
      </c>
    </row>
    <row r="7" spans="1:12" x14ac:dyDescent="0.25">
      <c r="A7" s="3" t="s">
        <v>203</v>
      </c>
      <c r="B7" s="3" t="s">
        <v>204</v>
      </c>
      <c r="C7" s="3" t="s">
        <v>205</v>
      </c>
      <c r="D7" s="12" t="s">
        <v>74</v>
      </c>
      <c r="E7" s="12" t="s">
        <v>97</v>
      </c>
      <c r="F7" s="49">
        <f>VLOOKUP(A7,'Base Scenario'!$A$1:$I$50,9,0)</f>
        <v>7455943</v>
      </c>
      <c r="G7" s="60">
        <v>0</v>
      </c>
      <c r="H7" s="60">
        <v>0.05</v>
      </c>
      <c r="I7" s="49">
        <v>6710348.7000000002</v>
      </c>
      <c r="J7" s="61">
        <f t="shared" si="0"/>
        <v>8201537.3000000007</v>
      </c>
      <c r="K7" s="56">
        <f t="shared" si="1"/>
        <v>7455943</v>
      </c>
      <c r="L7" s="56">
        <f t="shared" si="2"/>
        <v>7828740.1500000004</v>
      </c>
    </row>
    <row r="8" spans="1:12" x14ac:dyDescent="0.25">
      <c r="A8" s="3" t="s">
        <v>206</v>
      </c>
      <c r="B8" s="3" t="s">
        <v>204</v>
      </c>
      <c r="C8" s="3" t="s">
        <v>207</v>
      </c>
      <c r="D8" s="12" t="s">
        <v>74</v>
      </c>
      <c r="E8" s="12" t="s">
        <v>97</v>
      </c>
      <c r="F8" s="49">
        <f>VLOOKUP(A8,'Base Scenario'!$A$1:$I$50,9,0)</f>
        <v>635018.71</v>
      </c>
      <c r="G8" s="60">
        <v>0</v>
      </c>
      <c r="H8" s="60">
        <v>0.05</v>
      </c>
      <c r="I8" s="49">
        <v>571516.83900000004</v>
      </c>
      <c r="J8" s="61">
        <f t="shared" si="0"/>
        <v>698520.58100000001</v>
      </c>
      <c r="K8" s="56">
        <f t="shared" si="1"/>
        <v>635018.71</v>
      </c>
      <c r="L8" s="56">
        <f t="shared" si="2"/>
        <v>666769.64549999998</v>
      </c>
    </row>
    <row r="9" spans="1:12" x14ac:dyDescent="0.25">
      <c r="A9" s="3" t="s">
        <v>208</v>
      </c>
      <c r="B9" s="3" t="s">
        <v>209</v>
      </c>
      <c r="C9" s="3" t="s">
        <v>210</v>
      </c>
      <c r="D9" s="12" t="s">
        <v>74</v>
      </c>
      <c r="E9" s="12" t="s">
        <v>97</v>
      </c>
      <c r="F9" s="49">
        <f>VLOOKUP(A9,'Base Scenario'!$A$1:$I$50,9,0)</f>
        <v>3472198.3</v>
      </c>
      <c r="G9" s="60">
        <v>0</v>
      </c>
      <c r="H9" s="60">
        <v>0.05</v>
      </c>
      <c r="I9" s="49">
        <v>3124978.4699999997</v>
      </c>
      <c r="J9" s="61">
        <f t="shared" si="0"/>
        <v>3819418.13</v>
      </c>
      <c r="K9" s="56">
        <f t="shared" si="1"/>
        <v>3472198.3</v>
      </c>
      <c r="L9" s="56">
        <f t="shared" si="2"/>
        <v>3645808.2149999999</v>
      </c>
    </row>
    <row r="10" spans="1:12" x14ac:dyDescent="0.25">
      <c r="A10" s="3" t="s">
        <v>211</v>
      </c>
      <c r="B10" s="3" t="s">
        <v>209</v>
      </c>
      <c r="C10" s="3" t="s">
        <v>212</v>
      </c>
      <c r="D10" s="12" t="s">
        <v>74</v>
      </c>
      <c r="E10" s="12" t="s">
        <v>97</v>
      </c>
      <c r="F10" s="49">
        <f>VLOOKUP(A10,'Base Scenario'!$A$1:$I$50,9,0)</f>
        <v>842367.96000000008</v>
      </c>
      <c r="G10" s="60">
        <v>0</v>
      </c>
      <c r="H10" s="60">
        <v>0.05</v>
      </c>
      <c r="I10" s="49">
        <v>758131.16400000011</v>
      </c>
      <c r="J10" s="61">
        <f t="shared" si="0"/>
        <v>926604.75600000017</v>
      </c>
      <c r="K10" s="56">
        <f t="shared" si="1"/>
        <v>842367.96000000008</v>
      </c>
      <c r="L10" s="56">
        <f t="shared" si="2"/>
        <v>884486.35800000012</v>
      </c>
    </row>
    <row r="11" spans="1:12" x14ac:dyDescent="0.25">
      <c r="A11" s="3" t="s">
        <v>213</v>
      </c>
      <c r="B11" s="3" t="s">
        <v>209</v>
      </c>
      <c r="C11" s="3" t="s">
        <v>214</v>
      </c>
      <c r="D11" s="12" t="s">
        <v>74</v>
      </c>
      <c r="E11" s="12" t="s">
        <v>97</v>
      </c>
      <c r="F11" s="49">
        <f>VLOOKUP(A11,'Base Scenario'!$A$1:$I$50,9,0)</f>
        <v>534612.39999999991</v>
      </c>
      <c r="G11" s="60">
        <v>0</v>
      </c>
      <c r="H11" s="60">
        <v>0.05</v>
      </c>
      <c r="I11" s="49">
        <v>481151.15999999992</v>
      </c>
      <c r="J11" s="61">
        <f t="shared" si="0"/>
        <v>588073.6399999999</v>
      </c>
      <c r="K11" s="56">
        <f t="shared" si="1"/>
        <v>534612.39999999991</v>
      </c>
      <c r="L11" s="56">
        <f t="shared" si="2"/>
        <v>561343.0199999999</v>
      </c>
    </row>
    <row r="12" spans="1:12" x14ac:dyDescent="0.25">
      <c r="A12" s="3" t="s">
        <v>215</v>
      </c>
      <c r="B12" s="3" t="s">
        <v>209</v>
      </c>
      <c r="C12" s="3" t="s">
        <v>216</v>
      </c>
      <c r="D12" s="12" t="s">
        <v>74</v>
      </c>
      <c r="E12" s="12" t="s">
        <v>97</v>
      </c>
      <c r="F12" s="49">
        <f>VLOOKUP(A12,'Base Scenario'!$A$1:$I$50,9,0)</f>
        <v>208432.81099999999</v>
      </c>
      <c r="G12" s="60">
        <v>0</v>
      </c>
      <c r="H12" s="60">
        <v>0.05</v>
      </c>
      <c r="I12" s="49">
        <v>187589.52989999999</v>
      </c>
      <c r="J12" s="61">
        <f t="shared" si="0"/>
        <v>229276.09210000001</v>
      </c>
      <c r="K12" s="56">
        <f t="shared" si="1"/>
        <v>208432.81099999999</v>
      </c>
      <c r="L12" s="56">
        <f t="shared" si="2"/>
        <v>218854.45155</v>
      </c>
    </row>
    <row r="13" spans="1:12" x14ac:dyDescent="0.25">
      <c r="A13" s="3" t="s">
        <v>257</v>
      </c>
      <c r="B13" s="3" t="s">
        <v>218</v>
      </c>
      <c r="C13" s="3" t="s">
        <v>258</v>
      </c>
      <c r="D13" s="12" t="s">
        <v>74</v>
      </c>
      <c r="E13" s="12" t="s">
        <v>97</v>
      </c>
      <c r="F13" s="49">
        <f>VLOOKUP(A13,'Base Scenario'!$A$1:$I$50,9,0)</f>
        <v>240</v>
      </c>
      <c r="G13" s="60">
        <v>0</v>
      </c>
      <c r="H13" s="60">
        <v>0.05</v>
      </c>
      <c r="I13" s="49">
        <v>216</v>
      </c>
      <c r="J13" s="61">
        <f t="shared" si="0"/>
        <v>264</v>
      </c>
      <c r="K13" s="56">
        <f t="shared" ref="K13:K14" si="3">IF(AND(ISBLANK(G13),ISBLANK(I13)),$F13,IF(ISBLANK(G13),I13,IF(ISBLANK(I13),$F13*(1+G13),MAX($F13*(1+G13),I13))))</f>
        <v>240</v>
      </c>
      <c r="L13" s="56">
        <f t="shared" ref="L13:L14" si="4">IF(AND(ISBLANK(H13),ISBLANK(J13)),$F13,IF(ISBLANK(H13),J13,IF(ISBLANK(J13),$F13*(1+H13),MIN($F13*(1+H13),J13))))</f>
        <v>252</v>
      </c>
    </row>
    <row r="14" spans="1:12" x14ac:dyDescent="0.25">
      <c r="A14" s="3" t="s">
        <v>259</v>
      </c>
      <c r="B14" s="3" t="s">
        <v>218</v>
      </c>
      <c r="C14" s="3" t="s">
        <v>260</v>
      </c>
      <c r="D14" s="12" t="s">
        <v>74</v>
      </c>
      <c r="E14" s="12" t="s">
        <v>97</v>
      </c>
      <c r="F14" s="49">
        <f>VLOOKUP(A14,'Base Scenario'!$A$1:$I$50,9,0)</f>
        <v>350</v>
      </c>
      <c r="G14" s="60">
        <v>0</v>
      </c>
      <c r="H14" s="60">
        <v>0.05</v>
      </c>
      <c r="I14" s="49">
        <v>315</v>
      </c>
      <c r="J14" s="61">
        <f t="shared" si="0"/>
        <v>385.00000000000006</v>
      </c>
      <c r="K14" s="56">
        <f t="shared" si="3"/>
        <v>350</v>
      </c>
      <c r="L14" s="56">
        <f t="shared" si="4"/>
        <v>367.5</v>
      </c>
    </row>
    <row r="15" spans="1:12" x14ac:dyDescent="0.25">
      <c r="A15" s="3" t="s">
        <v>217</v>
      </c>
      <c r="B15" s="3" t="s">
        <v>218</v>
      </c>
      <c r="C15" s="3" t="s">
        <v>219</v>
      </c>
      <c r="D15" s="12" t="s">
        <v>74</v>
      </c>
      <c r="E15" s="12" t="s">
        <v>97</v>
      </c>
      <c r="F15" s="49">
        <f>VLOOKUP(A15,'Base Scenario'!$A$1:$I$50,9,0)</f>
        <v>12539760</v>
      </c>
      <c r="G15" s="60">
        <v>0</v>
      </c>
      <c r="H15" s="60">
        <v>0.05</v>
      </c>
      <c r="I15" s="49">
        <v>11285784</v>
      </c>
      <c r="J15" s="61">
        <f t="shared" si="0"/>
        <v>13793736.000000002</v>
      </c>
      <c r="K15" s="56">
        <f t="shared" si="1"/>
        <v>12539760</v>
      </c>
      <c r="L15" s="56">
        <f t="shared" si="2"/>
        <v>13166748</v>
      </c>
    </row>
    <row r="16" spans="1:12" x14ac:dyDescent="0.25">
      <c r="A16" s="3" t="s">
        <v>220</v>
      </c>
      <c r="B16" s="3" t="s">
        <v>218</v>
      </c>
      <c r="C16" s="3" t="s">
        <v>221</v>
      </c>
      <c r="D16" s="12" t="s">
        <v>74</v>
      </c>
      <c r="E16" s="12" t="s">
        <v>97</v>
      </c>
      <c r="F16" s="49">
        <f>VLOOKUP(A16,'Base Scenario'!$A$1:$I$50,9,0)</f>
        <v>12748560</v>
      </c>
      <c r="G16" s="60">
        <v>0</v>
      </c>
      <c r="H16" s="60">
        <v>0.05</v>
      </c>
      <c r="I16" s="49">
        <v>11473704</v>
      </c>
      <c r="J16" s="61">
        <f t="shared" si="0"/>
        <v>14023416.000000002</v>
      </c>
      <c r="K16" s="56">
        <f t="shared" si="1"/>
        <v>12748560</v>
      </c>
      <c r="L16" s="56">
        <f t="shared" si="2"/>
        <v>13385988</v>
      </c>
    </row>
    <row r="17" spans="1:12" x14ac:dyDescent="0.25">
      <c r="A17" s="3" t="s">
        <v>222</v>
      </c>
      <c r="B17" s="3" t="s">
        <v>223</v>
      </c>
      <c r="C17" s="3" t="s">
        <v>224</v>
      </c>
      <c r="D17" s="12" t="s">
        <v>74</v>
      </c>
      <c r="E17" s="12" t="s">
        <v>97</v>
      </c>
      <c r="F17" s="49">
        <f>VLOOKUP(A17,'Base Scenario'!$A$1:$I$50,9,0)</f>
        <v>13931155</v>
      </c>
      <c r="G17" s="60">
        <v>0</v>
      </c>
      <c r="H17" s="60">
        <v>0.05</v>
      </c>
      <c r="I17" s="49">
        <v>12538039.5</v>
      </c>
      <c r="J17" s="61">
        <f t="shared" si="0"/>
        <v>15324270.500000002</v>
      </c>
      <c r="K17" s="56">
        <f t="shared" si="1"/>
        <v>13931155</v>
      </c>
      <c r="L17" s="56">
        <f t="shared" si="2"/>
        <v>14627712.75</v>
      </c>
    </row>
    <row r="18" spans="1:12" x14ac:dyDescent="0.25">
      <c r="A18" s="3" t="s">
        <v>225</v>
      </c>
      <c r="B18" s="3" t="s">
        <v>223</v>
      </c>
      <c r="C18" s="3" t="s">
        <v>226</v>
      </c>
      <c r="D18" s="12" t="s">
        <v>74</v>
      </c>
      <c r="E18" s="12" t="s">
        <v>97</v>
      </c>
      <c r="F18" s="49">
        <f>VLOOKUP(A18,'Base Scenario'!$A$1:$I$50,9,0)</f>
        <v>1918334.1</v>
      </c>
      <c r="G18" s="60">
        <v>0</v>
      </c>
      <c r="H18" s="60">
        <v>0.05</v>
      </c>
      <c r="I18" s="49">
        <v>1726500.6900000002</v>
      </c>
      <c r="J18" s="61">
        <f t="shared" si="0"/>
        <v>2110167.5100000002</v>
      </c>
      <c r="K18" s="56">
        <f t="shared" si="1"/>
        <v>1918334.1</v>
      </c>
      <c r="L18" s="56">
        <f t="shared" si="2"/>
        <v>2014250.8050000002</v>
      </c>
    </row>
    <row r="19" spans="1:12" x14ac:dyDescent="0.25">
      <c r="A19" s="3" t="s">
        <v>227</v>
      </c>
      <c r="B19" s="3" t="s">
        <v>223</v>
      </c>
      <c r="C19" s="3" t="s">
        <v>228</v>
      </c>
      <c r="D19" s="12" t="s">
        <v>74</v>
      </c>
      <c r="E19" s="12" t="s">
        <v>97</v>
      </c>
      <c r="F19" s="49">
        <f>VLOOKUP(A19,'Base Scenario'!$A$1:$I$50,9,0)</f>
        <v>811139.89999999991</v>
      </c>
      <c r="G19" s="60">
        <v>0</v>
      </c>
      <c r="H19" s="60">
        <v>0.05</v>
      </c>
      <c r="I19" s="49">
        <v>730025.90999999992</v>
      </c>
      <c r="J19" s="61">
        <f t="shared" si="0"/>
        <v>892253.89</v>
      </c>
      <c r="K19" s="56">
        <f t="shared" si="1"/>
        <v>811139.89999999991</v>
      </c>
      <c r="L19" s="56">
        <f t="shared" si="2"/>
        <v>851696.8949999999</v>
      </c>
    </row>
    <row r="20" spans="1:12" x14ac:dyDescent="0.25">
      <c r="A20" s="3" t="s">
        <v>229</v>
      </c>
      <c r="B20" s="3" t="s">
        <v>223</v>
      </c>
      <c r="C20" s="3" t="s">
        <v>230</v>
      </c>
      <c r="D20" s="12" t="s">
        <v>74</v>
      </c>
      <c r="E20" s="12" t="s">
        <v>97</v>
      </c>
      <c r="F20" s="49">
        <f>VLOOKUP(A20,'Base Scenario'!$A$1:$I$50,9,0)</f>
        <v>140306.66</v>
      </c>
      <c r="G20" s="60">
        <v>0</v>
      </c>
      <c r="H20" s="60">
        <v>0.05</v>
      </c>
      <c r="I20" s="49">
        <v>126275.99400000001</v>
      </c>
      <c r="J20" s="61">
        <f t="shared" si="0"/>
        <v>154337.32600000003</v>
      </c>
      <c r="K20" s="56">
        <f t="shared" si="1"/>
        <v>140306.66</v>
      </c>
      <c r="L20" s="56">
        <f t="shared" si="2"/>
        <v>147321.99300000002</v>
      </c>
    </row>
    <row r="21" spans="1:12" x14ac:dyDescent="0.25">
      <c r="A21" s="3" t="s">
        <v>231</v>
      </c>
      <c r="B21" s="3" t="s">
        <v>70</v>
      </c>
      <c r="C21" s="3" t="s">
        <v>232</v>
      </c>
      <c r="D21" s="12" t="s">
        <v>74</v>
      </c>
      <c r="E21" s="12" t="s">
        <v>97</v>
      </c>
      <c r="F21" s="49">
        <f>VLOOKUP(A21,'Base Scenario'!$A$1:$I$50,9,0)</f>
        <v>17085741</v>
      </c>
      <c r="G21" s="60">
        <v>0</v>
      </c>
      <c r="H21" s="60">
        <v>0.05</v>
      </c>
      <c r="I21" s="49">
        <v>15377166.9</v>
      </c>
      <c r="J21" s="61">
        <f t="shared" si="0"/>
        <v>18794315.100000001</v>
      </c>
      <c r="K21" s="56">
        <f t="shared" si="1"/>
        <v>17085741</v>
      </c>
      <c r="L21" s="56">
        <f t="shared" si="2"/>
        <v>17940028.050000001</v>
      </c>
    </row>
    <row r="22" spans="1:12" x14ac:dyDescent="0.25">
      <c r="A22" s="3" t="s">
        <v>233</v>
      </c>
      <c r="B22" s="3" t="s">
        <v>70</v>
      </c>
      <c r="C22" s="3" t="s">
        <v>234</v>
      </c>
      <c r="D22" s="12" t="s">
        <v>74</v>
      </c>
      <c r="E22" s="12" t="s">
        <v>97</v>
      </c>
      <c r="F22" s="49">
        <f>VLOOKUP(A22,'Base Scenario'!$A$1:$I$50,9,0)</f>
        <v>15155274</v>
      </c>
      <c r="G22" s="60">
        <v>0</v>
      </c>
      <c r="H22" s="60">
        <v>0.05</v>
      </c>
      <c r="I22" s="49">
        <v>13639746.6</v>
      </c>
      <c r="J22" s="61">
        <f t="shared" si="0"/>
        <v>16670801.400000002</v>
      </c>
      <c r="K22" s="56">
        <f t="shared" si="1"/>
        <v>15155274</v>
      </c>
      <c r="L22" s="56">
        <f t="shared" si="2"/>
        <v>15913037.700000001</v>
      </c>
    </row>
    <row r="23" spans="1:12" x14ac:dyDescent="0.25">
      <c r="A23" s="3" t="s">
        <v>235</v>
      </c>
      <c r="B23" s="3" t="s">
        <v>70</v>
      </c>
      <c r="C23" s="3" t="s">
        <v>236</v>
      </c>
      <c r="D23" s="12" t="s">
        <v>74</v>
      </c>
      <c r="E23" s="12" t="s">
        <v>97</v>
      </c>
      <c r="F23" s="49">
        <f>VLOOKUP(A23,'Base Scenario'!$A$1:$I$50,9,0)</f>
        <v>416892.48</v>
      </c>
      <c r="G23" s="60">
        <v>0</v>
      </c>
      <c r="H23" s="60">
        <v>0.05</v>
      </c>
      <c r="I23" s="49">
        <v>375203.23200000002</v>
      </c>
      <c r="J23" s="61">
        <f t="shared" si="0"/>
        <v>458581.728</v>
      </c>
      <c r="K23" s="56">
        <f t="shared" si="1"/>
        <v>416892.48</v>
      </c>
      <c r="L23" s="56">
        <f t="shared" si="2"/>
        <v>437737.10399999999</v>
      </c>
    </row>
    <row r="24" spans="1:12" x14ac:dyDescent="0.25">
      <c r="A24" s="3" t="s">
        <v>237</v>
      </c>
      <c r="B24" s="3" t="s">
        <v>238</v>
      </c>
      <c r="C24" s="3" t="s">
        <v>239</v>
      </c>
      <c r="D24" s="12" t="s">
        <v>74</v>
      </c>
      <c r="E24" s="12" t="s">
        <v>97</v>
      </c>
      <c r="F24" s="49">
        <f>VLOOKUP(A24,'Base Scenario'!$A$1:$I$50,9,0)</f>
        <v>209795.9</v>
      </c>
      <c r="G24" s="60">
        <v>0</v>
      </c>
      <c r="H24" s="60">
        <v>0.05</v>
      </c>
      <c r="I24" s="49">
        <v>188816.31</v>
      </c>
      <c r="J24" s="61">
        <f t="shared" si="0"/>
        <v>230775.49000000002</v>
      </c>
      <c r="K24" s="56">
        <f t="shared" si="1"/>
        <v>209795.9</v>
      </c>
      <c r="L24" s="56">
        <f t="shared" si="2"/>
        <v>220285.69500000001</v>
      </c>
    </row>
    <row r="25" spans="1:12" x14ac:dyDescent="0.25">
      <c r="A25" s="3" t="s">
        <v>240</v>
      </c>
      <c r="B25" s="3" t="s">
        <v>238</v>
      </c>
      <c r="C25" s="3" t="s">
        <v>241</v>
      </c>
      <c r="D25" s="12" t="s">
        <v>74</v>
      </c>
      <c r="E25" s="12" t="s">
        <v>97</v>
      </c>
      <c r="F25" s="49">
        <f>VLOOKUP(A25,'Base Scenario'!$A$1:$I$50,9,0)</f>
        <v>541</v>
      </c>
      <c r="G25" s="60">
        <v>0</v>
      </c>
      <c r="H25" s="60">
        <v>0.05</v>
      </c>
      <c r="I25" s="49">
        <v>486.90000000000003</v>
      </c>
      <c r="J25" s="61">
        <f t="shared" si="0"/>
        <v>595.1</v>
      </c>
      <c r="K25" s="56">
        <f t="shared" si="1"/>
        <v>541</v>
      </c>
      <c r="L25" s="56">
        <f t="shared" si="2"/>
        <v>568.05000000000007</v>
      </c>
    </row>
    <row r="26" spans="1:12" x14ac:dyDescent="0.25">
      <c r="A26" s="3" t="s">
        <v>242</v>
      </c>
      <c r="B26" s="3" t="s">
        <v>238</v>
      </c>
      <c r="C26" s="3" t="s">
        <v>243</v>
      </c>
      <c r="D26" s="12" t="s">
        <v>74</v>
      </c>
      <c r="E26" s="12" t="s">
        <v>97</v>
      </c>
      <c r="F26" s="49">
        <f>VLOOKUP(A26,'Base Scenario'!$A$1:$I$50,9,0)</f>
        <v>1504312.7</v>
      </c>
      <c r="G26" s="60">
        <v>0</v>
      </c>
      <c r="H26" s="60">
        <v>0.05</v>
      </c>
      <c r="I26" s="49">
        <v>1353881.43</v>
      </c>
      <c r="J26" s="61">
        <f t="shared" si="0"/>
        <v>1654743.97</v>
      </c>
      <c r="K26" s="56">
        <f t="shared" si="1"/>
        <v>1504312.7</v>
      </c>
      <c r="L26" s="56">
        <f t="shared" si="2"/>
        <v>1579528.335</v>
      </c>
    </row>
    <row r="27" spans="1:12" x14ac:dyDescent="0.25">
      <c r="A27" s="3" t="s">
        <v>244</v>
      </c>
      <c r="B27" s="3" t="s">
        <v>238</v>
      </c>
      <c r="C27" s="3" t="s">
        <v>245</v>
      </c>
      <c r="D27" s="12" t="s">
        <v>74</v>
      </c>
      <c r="E27" s="12" t="s">
        <v>97</v>
      </c>
      <c r="F27" s="49">
        <f>VLOOKUP(A27,'Base Scenario'!$A$1:$I$50,9,0)</f>
        <v>963266.89</v>
      </c>
      <c r="G27" s="60">
        <v>0</v>
      </c>
      <c r="H27" s="60">
        <v>0.05</v>
      </c>
      <c r="I27" s="49">
        <v>866940.201</v>
      </c>
      <c r="J27" s="61">
        <f t="shared" si="0"/>
        <v>1059593.5790000001</v>
      </c>
      <c r="K27" s="56">
        <f t="shared" si="1"/>
        <v>963266.89</v>
      </c>
      <c r="L27" s="56">
        <f t="shared" si="2"/>
        <v>1011430.2345</v>
      </c>
    </row>
    <row r="28" spans="1:12" x14ac:dyDescent="0.25">
      <c r="A28" s="3" t="s">
        <v>246</v>
      </c>
      <c r="B28" s="3" t="s">
        <v>238</v>
      </c>
      <c r="C28" s="3" t="s">
        <v>247</v>
      </c>
      <c r="D28" s="12" t="s">
        <v>74</v>
      </c>
      <c r="E28" s="12" t="s">
        <v>97</v>
      </c>
      <c r="F28" s="49">
        <f>VLOOKUP(A28,'Base Scenario'!$A$1:$I$50,9,0)</f>
        <v>987538.34</v>
      </c>
      <c r="G28" s="60">
        <v>0</v>
      </c>
      <c r="H28" s="60">
        <v>0.05</v>
      </c>
      <c r="I28" s="49">
        <v>888784.50599999994</v>
      </c>
      <c r="J28" s="61">
        <f t="shared" si="0"/>
        <v>1086292.1740000001</v>
      </c>
      <c r="K28" s="56">
        <f t="shared" si="1"/>
        <v>987538.34</v>
      </c>
      <c r="L28" s="56">
        <f t="shared" si="2"/>
        <v>1036915.257</v>
      </c>
    </row>
    <row r="29" spans="1:12" x14ac:dyDescent="0.25">
      <c r="A29" s="3" t="s">
        <v>248</v>
      </c>
      <c r="B29" s="3" t="s">
        <v>238</v>
      </c>
      <c r="C29" s="3" t="s">
        <v>249</v>
      </c>
      <c r="D29" s="12" t="s">
        <v>74</v>
      </c>
      <c r="E29" s="12" t="s">
        <v>97</v>
      </c>
      <c r="F29" s="49">
        <f>VLOOKUP(A29,'Base Scenario'!$A$1:$I$50,9,0)</f>
        <v>487487.13</v>
      </c>
      <c r="G29" s="60">
        <v>0</v>
      </c>
      <c r="H29" s="60">
        <v>0.05</v>
      </c>
      <c r="I29" s="49">
        <v>438738.41700000002</v>
      </c>
      <c r="J29" s="61">
        <f t="shared" si="0"/>
        <v>536235.84299999999</v>
      </c>
      <c r="K29" s="56">
        <f t="shared" si="1"/>
        <v>487487.13</v>
      </c>
      <c r="L29" s="56">
        <f t="shared" si="2"/>
        <v>511861.4865</v>
      </c>
    </row>
    <row r="30" spans="1:12" x14ac:dyDescent="0.25">
      <c r="A30" s="3" t="s">
        <v>250</v>
      </c>
      <c r="B30" s="3" t="s">
        <v>238</v>
      </c>
      <c r="C30" s="3" t="s">
        <v>251</v>
      </c>
      <c r="D30" s="12" t="s">
        <v>74</v>
      </c>
      <c r="E30" s="12" t="s">
        <v>97</v>
      </c>
      <c r="F30" s="49">
        <f>VLOOKUP(A30,'Base Scenario'!$A$1:$I$50,9,0)</f>
        <v>1485766.1</v>
      </c>
      <c r="G30" s="60">
        <v>0</v>
      </c>
      <c r="H30" s="60">
        <v>0.05</v>
      </c>
      <c r="I30" s="49">
        <v>1337189.4900000002</v>
      </c>
      <c r="J30" s="61">
        <f t="shared" si="0"/>
        <v>1634342.7100000002</v>
      </c>
      <c r="K30" s="56">
        <f t="shared" si="1"/>
        <v>1485766.1</v>
      </c>
      <c r="L30" s="56">
        <f t="shared" si="2"/>
        <v>1560054.4050000003</v>
      </c>
    </row>
    <row r="31" spans="1:12" x14ac:dyDescent="0.25">
      <c r="A31" s="3"/>
      <c r="B31" s="3"/>
      <c r="C31" s="3"/>
      <c r="D31" s="12"/>
      <c r="E31" s="12"/>
      <c r="F31" s="49"/>
      <c r="G31" s="60"/>
      <c r="H31" s="60"/>
      <c r="I31" s="61"/>
      <c r="J31" s="61"/>
      <c r="K31" s="56"/>
      <c r="L31" s="56"/>
    </row>
    <row r="32" spans="1:12" x14ac:dyDescent="0.25">
      <c r="A32" s="3"/>
      <c r="B32" s="3"/>
      <c r="C32" s="3"/>
      <c r="D32" s="12"/>
      <c r="E32" s="12"/>
      <c r="F32" s="49"/>
      <c r="G32" s="60"/>
      <c r="H32" s="60"/>
      <c r="I32" s="61"/>
      <c r="J32" s="61"/>
      <c r="K32" s="56"/>
      <c r="L32" s="56"/>
    </row>
    <row r="33" spans="1:12" x14ac:dyDescent="0.25">
      <c r="A33" s="3"/>
      <c r="B33" s="3"/>
      <c r="C33" s="3"/>
      <c r="D33" s="12"/>
      <c r="E33" s="12"/>
      <c r="F33" s="49"/>
      <c r="G33" s="60"/>
      <c r="H33" s="60"/>
      <c r="I33" s="61"/>
      <c r="J33" s="61"/>
      <c r="K33" s="56"/>
      <c r="L33" s="56"/>
    </row>
    <row r="34" spans="1:12" x14ac:dyDescent="0.25">
      <c r="A34" s="3"/>
      <c r="B34" s="3"/>
      <c r="C34" s="3"/>
      <c r="D34" s="12"/>
      <c r="E34" s="12"/>
      <c r="F34" s="49"/>
      <c r="G34" s="60"/>
      <c r="H34" s="60"/>
      <c r="I34" s="61"/>
      <c r="J34" s="61"/>
      <c r="K34" s="56"/>
      <c r="L34" s="56"/>
    </row>
    <row r="35" spans="1:12" x14ac:dyDescent="0.25">
      <c r="A35" s="3"/>
      <c r="B35" s="3"/>
      <c r="C35" s="3"/>
      <c r="D35" s="12"/>
      <c r="E35" s="12"/>
      <c r="F35" s="49"/>
      <c r="G35" s="60"/>
      <c r="H35" s="60"/>
      <c r="I35" s="61"/>
      <c r="J35" s="61"/>
      <c r="K35" s="56"/>
      <c r="L35" s="56"/>
    </row>
    <row r="36" spans="1:12" x14ac:dyDescent="0.25">
      <c r="A36" s="3"/>
      <c r="B36" s="3"/>
      <c r="C36" s="3"/>
      <c r="D36" s="12"/>
      <c r="E36" s="12"/>
      <c r="F36" s="49"/>
      <c r="G36" s="60"/>
      <c r="H36" s="60"/>
      <c r="I36" s="61"/>
      <c r="J36" s="61"/>
      <c r="K36" s="56"/>
      <c r="L36" s="56"/>
    </row>
    <row r="37" spans="1:12" x14ac:dyDescent="0.25">
      <c r="A37" s="3"/>
      <c r="B37" s="3"/>
      <c r="C37" s="3"/>
      <c r="D37" s="12"/>
      <c r="E37" s="12"/>
      <c r="F37" s="49"/>
      <c r="G37" s="60"/>
      <c r="H37" s="60"/>
      <c r="I37" s="61"/>
      <c r="J37" s="61"/>
      <c r="K37" s="56"/>
      <c r="L37" s="56"/>
    </row>
    <row r="38" spans="1:12" x14ac:dyDescent="0.25">
      <c r="A38" s="3"/>
      <c r="B38" s="3"/>
      <c r="C38" s="3"/>
      <c r="D38" s="12"/>
      <c r="E38" s="12"/>
      <c r="F38" s="49"/>
      <c r="G38" s="60"/>
      <c r="H38" s="60"/>
      <c r="I38" s="61"/>
      <c r="J38" s="61"/>
      <c r="K38" s="56"/>
      <c r="L38" s="56"/>
    </row>
    <row r="39" spans="1:12" x14ac:dyDescent="0.25">
      <c r="A39" s="3"/>
      <c r="B39" s="3"/>
      <c r="C39" s="3"/>
      <c r="D39" s="12"/>
      <c r="E39" s="12"/>
      <c r="F39" s="49"/>
      <c r="G39" s="60"/>
      <c r="H39" s="60"/>
      <c r="I39" s="61"/>
      <c r="J39" s="61"/>
      <c r="K39" s="56"/>
      <c r="L39" s="56"/>
    </row>
    <row r="40" spans="1:12" x14ac:dyDescent="0.25">
      <c r="A40" s="3"/>
      <c r="B40" s="3"/>
      <c r="C40" s="3"/>
      <c r="D40" s="12"/>
      <c r="E40" s="12"/>
      <c r="F40" s="49"/>
      <c r="G40" s="60"/>
      <c r="H40" s="60"/>
      <c r="I40" s="61"/>
      <c r="J40" s="61"/>
      <c r="K40" s="56"/>
      <c r="L40" s="56"/>
    </row>
    <row r="41" spans="1:12" x14ac:dyDescent="0.25">
      <c r="A41" s="3"/>
      <c r="B41" s="3"/>
      <c r="C41" s="3"/>
      <c r="D41" s="12"/>
      <c r="E41" s="12"/>
      <c r="F41" s="49"/>
      <c r="G41" s="60"/>
      <c r="H41" s="60"/>
      <c r="I41" s="61"/>
      <c r="J41" s="61"/>
      <c r="K41" s="56"/>
      <c r="L41" s="56"/>
    </row>
    <row r="42" spans="1:12" x14ac:dyDescent="0.25">
      <c r="A42" s="3"/>
      <c r="B42" s="3"/>
      <c r="C42" s="3"/>
      <c r="D42" s="12"/>
      <c r="E42" s="12"/>
      <c r="F42" s="49"/>
      <c r="G42" s="60"/>
      <c r="H42" s="60"/>
      <c r="I42" s="61"/>
      <c r="J42" s="61"/>
      <c r="K42" s="56"/>
      <c r="L42" s="56"/>
    </row>
    <row r="43" spans="1:12" x14ac:dyDescent="0.25">
      <c r="A43" s="3"/>
      <c r="B43" s="3"/>
      <c r="C43" s="3"/>
      <c r="D43" s="12"/>
      <c r="E43" s="12"/>
      <c r="F43" s="49"/>
      <c r="G43" s="60"/>
      <c r="H43" s="60"/>
      <c r="I43" s="61"/>
      <c r="J43" s="61"/>
      <c r="K43" s="56"/>
      <c r="L43" s="56"/>
    </row>
    <row r="44" spans="1:12" x14ac:dyDescent="0.25">
      <c r="A44" s="3"/>
      <c r="B44" s="3"/>
      <c r="C44" s="3"/>
      <c r="D44" s="12"/>
      <c r="E44" s="12"/>
      <c r="F44" s="49"/>
      <c r="G44" s="60"/>
      <c r="H44" s="60"/>
      <c r="I44" s="61"/>
      <c r="J44" s="61"/>
      <c r="K44" s="56"/>
      <c r="L44" s="56"/>
    </row>
    <row r="45" spans="1:12" x14ac:dyDescent="0.25">
      <c r="A45" s="3"/>
      <c r="B45" s="3"/>
      <c r="C45" s="3"/>
      <c r="D45" s="12"/>
      <c r="E45" s="12"/>
      <c r="F45" s="49"/>
      <c r="G45" s="60"/>
      <c r="H45" s="60"/>
      <c r="I45" s="61"/>
      <c r="J45" s="61"/>
      <c r="K45" s="56"/>
      <c r="L45" s="56"/>
    </row>
    <row r="46" spans="1:12" x14ac:dyDescent="0.25">
      <c r="A46" s="3"/>
      <c r="B46" s="3"/>
      <c r="C46" s="3"/>
      <c r="D46" s="12"/>
      <c r="E46" s="12"/>
      <c r="F46" s="49"/>
      <c r="G46" s="60"/>
      <c r="H46" s="60"/>
      <c r="I46" s="61"/>
      <c r="J46" s="61"/>
      <c r="K46" s="56"/>
      <c r="L46" s="56"/>
    </row>
    <row r="47" spans="1:12" x14ac:dyDescent="0.25">
      <c r="A47" s="3"/>
      <c r="B47" s="3"/>
      <c r="C47" s="3"/>
      <c r="D47" s="12"/>
      <c r="E47" s="12"/>
      <c r="F47" s="49"/>
      <c r="G47" s="60"/>
      <c r="H47" s="60"/>
      <c r="I47" s="61"/>
      <c r="J47" s="61"/>
      <c r="K47" s="56"/>
      <c r="L47" s="56"/>
    </row>
    <row r="48" spans="1:12" x14ac:dyDescent="0.25">
      <c r="A48" s="3"/>
      <c r="B48" s="3"/>
      <c r="C48" s="3"/>
      <c r="D48" s="12"/>
      <c r="E48" s="12"/>
      <c r="F48" s="49"/>
      <c r="G48" s="60"/>
      <c r="H48" s="60"/>
      <c r="I48" s="61"/>
      <c r="J48" s="61"/>
      <c r="K48" s="56"/>
      <c r="L48" s="56"/>
    </row>
    <row r="49" spans="1:12" x14ac:dyDescent="0.25">
      <c r="A49" s="3"/>
      <c r="B49" s="3"/>
      <c r="C49" s="3"/>
      <c r="D49" s="12"/>
      <c r="E49" s="12"/>
      <c r="F49" s="49"/>
      <c r="G49" s="60"/>
      <c r="H49" s="60"/>
      <c r="I49" s="61"/>
      <c r="J49" s="61"/>
      <c r="K49" s="56"/>
      <c r="L49" s="56"/>
    </row>
    <row r="50" spans="1:12" x14ac:dyDescent="0.25">
      <c r="A50" s="3"/>
      <c r="B50" s="3"/>
      <c r="C50" s="3"/>
      <c r="D50" s="12"/>
      <c r="E50" s="12"/>
      <c r="F50" s="49"/>
      <c r="G50" s="60"/>
      <c r="H50" s="60"/>
      <c r="I50" s="61"/>
      <c r="J50" s="61"/>
      <c r="K50" s="56"/>
      <c r="L50" s="56"/>
    </row>
  </sheetData>
  <sortState xmlns:xlrd2="http://schemas.microsoft.com/office/spreadsheetml/2017/richdata2" ref="A2:L50">
    <sortCondition ref="C1"/>
  </sortState>
  <conditionalFormatting sqref="F2:F50">
    <cfRule type="expression" dxfId="657" priority="132">
      <formula>$E2="Yes"</formula>
    </cfRule>
  </conditionalFormatting>
  <conditionalFormatting sqref="G31:L50 G2:H30 J2:L30">
    <cfRule type="expression" dxfId="656" priority="131">
      <formula>OR($E2="Yes",#REF!&lt;&gt;"% Bounds")</formula>
    </cfRule>
  </conditionalFormatting>
  <conditionalFormatting sqref="H2:H30">
    <cfRule type="expression" dxfId="655" priority="130">
      <formula>OR($E2="Yes",#REF!&lt;&gt;"% Bounds")</formula>
    </cfRule>
  </conditionalFormatting>
  <conditionalFormatting sqref="I47:J50">
    <cfRule type="expression" dxfId="654" priority="129">
      <formula>OR($E47="Yes",#REF!&lt;&gt;"$ Bounds")</formula>
    </cfRule>
  </conditionalFormatting>
  <conditionalFormatting sqref="J2:J30">
    <cfRule type="expression" dxfId="653" priority="128">
      <formula>OR($E2="Yes",#REF!&lt;&gt;"$ Bounds")</formula>
    </cfRule>
  </conditionalFormatting>
  <conditionalFormatting sqref="H3">
    <cfRule type="expression" dxfId="652" priority="127">
      <formula>OR($E3="Yes",#REF!&lt;&gt;"% Bounds")</formula>
    </cfRule>
  </conditionalFormatting>
  <conditionalFormatting sqref="J3">
    <cfRule type="expression" dxfId="650" priority="125">
      <formula>OR($E3="Yes",#REF!&lt;&gt;"$ Bounds")</formula>
    </cfRule>
  </conditionalFormatting>
  <conditionalFormatting sqref="H4">
    <cfRule type="expression" dxfId="649" priority="124">
      <formula>OR($E4="Yes",#REF!&lt;&gt;"% Bounds")</formula>
    </cfRule>
  </conditionalFormatting>
  <conditionalFormatting sqref="J4">
    <cfRule type="expression" dxfId="647" priority="122">
      <formula>OR($E4="Yes",#REF!&lt;&gt;"$ Bounds")</formula>
    </cfRule>
  </conditionalFormatting>
  <conditionalFormatting sqref="H5">
    <cfRule type="expression" dxfId="646" priority="121">
      <formula>OR($E5="Yes",#REF!&lt;&gt;"% Bounds")</formula>
    </cfRule>
  </conditionalFormatting>
  <conditionalFormatting sqref="J5">
    <cfRule type="expression" dxfId="644" priority="119">
      <formula>OR($E5="Yes",#REF!&lt;&gt;"$ Bounds")</formula>
    </cfRule>
  </conditionalFormatting>
  <conditionalFormatting sqref="H6">
    <cfRule type="expression" dxfId="643" priority="118">
      <formula>OR($E6="Yes",#REF!&lt;&gt;"% Bounds")</formula>
    </cfRule>
  </conditionalFormatting>
  <conditionalFormatting sqref="J6">
    <cfRule type="expression" dxfId="641" priority="116">
      <formula>OR($E6="Yes",#REF!&lt;&gt;"$ Bounds")</formula>
    </cfRule>
  </conditionalFormatting>
  <conditionalFormatting sqref="H7">
    <cfRule type="expression" dxfId="640" priority="115">
      <formula>OR($E7="Yes",#REF!&lt;&gt;"% Bounds")</formula>
    </cfRule>
  </conditionalFormatting>
  <conditionalFormatting sqref="J7">
    <cfRule type="expression" dxfId="638" priority="113">
      <formula>OR($E7="Yes",#REF!&lt;&gt;"$ Bounds")</formula>
    </cfRule>
  </conditionalFormatting>
  <conditionalFormatting sqref="H8">
    <cfRule type="expression" dxfId="637" priority="112">
      <formula>OR($E8="Yes",#REF!&lt;&gt;"% Bounds")</formula>
    </cfRule>
  </conditionalFormatting>
  <conditionalFormatting sqref="J8">
    <cfRule type="expression" dxfId="635" priority="110">
      <formula>OR($E8="Yes",#REF!&lt;&gt;"$ Bounds")</formula>
    </cfRule>
  </conditionalFormatting>
  <conditionalFormatting sqref="H9">
    <cfRule type="expression" dxfId="634" priority="109">
      <formula>OR($E9="Yes",#REF!&lt;&gt;"% Bounds")</formula>
    </cfRule>
  </conditionalFormatting>
  <conditionalFormatting sqref="J9">
    <cfRule type="expression" dxfId="632" priority="107">
      <formula>OR($E9="Yes",#REF!&lt;&gt;"$ Bounds")</formula>
    </cfRule>
  </conditionalFormatting>
  <conditionalFormatting sqref="H10">
    <cfRule type="expression" dxfId="631" priority="106">
      <formula>OR($E10="Yes",#REF!&lt;&gt;"% Bounds")</formula>
    </cfRule>
  </conditionalFormatting>
  <conditionalFormatting sqref="J10">
    <cfRule type="expression" dxfId="629" priority="104">
      <formula>OR($E10="Yes",#REF!&lt;&gt;"$ Bounds")</formula>
    </cfRule>
  </conditionalFormatting>
  <conditionalFormatting sqref="H11">
    <cfRule type="expression" dxfId="628" priority="103">
      <formula>OR($E11="Yes",#REF!&lt;&gt;"% Bounds")</formula>
    </cfRule>
  </conditionalFormatting>
  <conditionalFormatting sqref="J11">
    <cfRule type="expression" dxfId="626" priority="101">
      <formula>OR($E11="Yes",#REF!&lt;&gt;"$ Bounds")</formula>
    </cfRule>
  </conditionalFormatting>
  <conditionalFormatting sqref="H12:H14">
    <cfRule type="expression" dxfId="625" priority="100">
      <formula>OR($E12="Yes",#REF!&lt;&gt;"% Bounds")</formula>
    </cfRule>
  </conditionalFormatting>
  <conditionalFormatting sqref="J12:J14">
    <cfRule type="expression" dxfId="623" priority="98">
      <formula>OR($E12="Yes",#REF!&lt;&gt;"$ Bounds")</formula>
    </cfRule>
  </conditionalFormatting>
  <conditionalFormatting sqref="H15">
    <cfRule type="expression" dxfId="622" priority="97">
      <formula>OR($E15="Yes",#REF!&lt;&gt;"% Bounds")</formula>
    </cfRule>
  </conditionalFormatting>
  <conditionalFormatting sqref="J15">
    <cfRule type="expression" dxfId="620" priority="95">
      <formula>OR($E15="Yes",#REF!&lt;&gt;"$ Bounds")</formula>
    </cfRule>
  </conditionalFormatting>
  <conditionalFormatting sqref="H16">
    <cfRule type="expression" dxfId="619" priority="94">
      <formula>OR($E16="Yes",#REF!&lt;&gt;"% Bounds")</formula>
    </cfRule>
  </conditionalFormatting>
  <conditionalFormatting sqref="J16">
    <cfRule type="expression" dxfId="617" priority="92">
      <formula>OR($E16="Yes",#REF!&lt;&gt;"$ Bounds")</formula>
    </cfRule>
  </conditionalFormatting>
  <conditionalFormatting sqref="H17">
    <cfRule type="expression" dxfId="616" priority="91">
      <formula>OR($E17="Yes",#REF!&lt;&gt;"% Bounds")</formula>
    </cfRule>
  </conditionalFormatting>
  <conditionalFormatting sqref="J17">
    <cfRule type="expression" dxfId="614" priority="89">
      <formula>OR($E17="Yes",#REF!&lt;&gt;"$ Bounds")</formula>
    </cfRule>
  </conditionalFormatting>
  <conditionalFormatting sqref="H18">
    <cfRule type="expression" dxfId="613" priority="88">
      <formula>OR($E18="Yes",#REF!&lt;&gt;"% Bounds")</formula>
    </cfRule>
  </conditionalFormatting>
  <conditionalFormatting sqref="J18">
    <cfRule type="expression" dxfId="611" priority="86">
      <formula>OR($E18="Yes",#REF!&lt;&gt;"$ Bounds")</formula>
    </cfRule>
  </conditionalFormatting>
  <conditionalFormatting sqref="H19">
    <cfRule type="expression" dxfId="610" priority="85">
      <formula>OR($E19="Yes",#REF!&lt;&gt;"% Bounds")</formula>
    </cfRule>
  </conditionalFormatting>
  <conditionalFormatting sqref="J19">
    <cfRule type="expression" dxfId="608" priority="83">
      <formula>OR($E19="Yes",#REF!&lt;&gt;"$ Bounds")</formula>
    </cfRule>
  </conditionalFormatting>
  <conditionalFormatting sqref="H20">
    <cfRule type="expression" dxfId="607" priority="82">
      <formula>OR($E20="Yes",#REF!&lt;&gt;"% Bounds")</formula>
    </cfRule>
  </conditionalFormatting>
  <conditionalFormatting sqref="J20">
    <cfRule type="expression" dxfId="605" priority="80">
      <formula>OR($E20="Yes",#REF!&lt;&gt;"$ Bounds")</formula>
    </cfRule>
  </conditionalFormatting>
  <conditionalFormatting sqref="H21">
    <cfRule type="expression" dxfId="604" priority="79">
      <formula>OR($E21="Yes",#REF!&lt;&gt;"% Bounds")</formula>
    </cfRule>
  </conditionalFormatting>
  <conditionalFormatting sqref="J21">
    <cfRule type="expression" dxfId="602" priority="77">
      <formula>OR($E21="Yes",#REF!&lt;&gt;"$ Bounds")</formula>
    </cfRule>
  </conditionalFormatting>
  <conditionalFormatting sqref="H22">
    <cfRule type="expression" dxfId="601" priority="76">
      <formula>OR($E22="Yes",#REF!&lt;&gt;"% Bounds")</formula>
    </cfRule>
  </conditionalFormatting>
  <conditionalFormatting sqref="J22">
    <cfRule type="expression" dxfId="599" priority="74">
      <formula>OR($E22="Yes",#REF!&lt;&gt;"$ Bounds")</formula>
    </cfRule>
  </conditionalFormatting>
  <conditionalFormatting sqref="J23">
    <cfRule type="expression" dxfId="597" priority="72">
      <formula>OR($E23="Yes",#REF!&lt;&gt;"$ Bounds")</formula>
    </cfRule>
  </conditionalFormatting>
  <conditionalFormatting sqref="J24">
    <cfRule type="expression" dxfId="595" priority="70">
      <formula>OR($E24="Yes",#REF!&lt;&gt;"$ Bounds")</formula>
    </cfRule>
  </conditionalFormatting>
  <conditionalFormatting sqref="J25">
    <cfRule type="expression" dxfId="593" priority="68">
      <formula>OR($E25="Yes",#REF!&lt;&gt;"$ Bounds")</formula>
    </cfRule>
  </conditionalFormatting>
  <conditionalFormatting sqref="J26">
    <cfRule type="expression" dxfId="591" priority="66">
      <formula>OR($E26="Yes",#REF!&lt;&gt;"$ Bounds")</formula>
    </cfRule>
  </conditionalFormatting>
  <conditionalFormatting sqref="J27">
    <cfRule type="expression" dxfId="589" priority="64">
      <formula>OR($E27="Yes",#REF!&lt;&gt;"$ Bounds")</formula>
    </cfRule>
  </conditionalFormatting>
  <conditionalFormatting sqref="H28">
    <cfRule type="expression" dxfId="588" priority="63">
      <formula>OR($E28="Yes",#REF!&lt;&gt;"% Bounds")</formula>
    </cfRule>
  </conditionalFormatting>
  <conditionalFormatting sqref="J28">
    <cfRule type="expression" dxfId="586" priority="61">
      <formula>OR($E28="Yes",#REF!&lt;&gt;"$ Bounds")</formula>
    </cfRule>
  </conditionalFormatting>
  <conditionalFormatting sqref="J29">
    <cfRule type="expression" dxfId="584" priority="59">
      <formula>OR($E29="Yes",#REF!&lt;&gt;"$ Bounds")</formula>
    </cfRule>
  </conditionalFormatting>
  <conditionalFormatting sqref="J30">
    <cfRule type="expression" dxfId="582" priority="57">
      <formula>OR($E30="Yes",#REF!&lt;&gt;"$ Bounds")</formula>
    </cfRule>
  </conditionalFormatting>
  <conditionalFormatting sqref="H31">
    <cfRule type="expression" dxfId="581" priority="56">
      <formula>OR($E31="Yes",#REF!&lt;&gt;"% Bounds")</formula>
    </cfRule>
  </conditionalFormatting>
  <conditionalFormatting sqref="I31">
    <cfRule type="expression" dxfId="580" priority="55">
      <formula>OR($E31="Yes",#REF!&lt;&gt;"$ Bounds")</formula>
    </cfRule>
  </conditionalFormatting>
  <conditionalFormatting sqref="J31">
    <cfRule type="expression" dxfId="579" priority="54">
      <formula>OR($E31="Yes",#REF!&lt;&gt;"$ Bounds")</formula>
    </cfRule>
  </conditionalFormatting>
  <conditionalFormatting sqref="I32">
    <cfRule type="expression" dxfId="578" priority="53">
      <formula>OR($E32="Yes",#REF!&lt;&gt;"$ Bounds")</formula>
    </cfRule>
  </conditionalFormatting>
  <conditionalFormatting sqref="J32">
    <cfRule type="expression" dxfId="577" priority="52">
      <formula>OR($E32="Yes",#REF!&lt;&gt;"$ Bounds")</formula>
    </cfRule>
  </conditionalFormatting>
  <conditionalFormatting sqref="I33">
    <cfRule type="expression" dxfId="576" priority="51">
      <formula>OR($E33="Yes",#REF!&lt;&gt;"$ Bounds")</formula>
    </cfRule>
  </conditionalFormatting>
  <conditionalFormatting sqref="J33">
    <cfRule type="expression" dxfId="575" priority="50">
      <formula>OR($E33="Yes",#REF!&lt;&gt;"$ Bounds")</formula>
    </cfRule>
  </conditionalFormatting>
  <conditionalFormatting sqref="H34">
    <cfRule type="expression" dxfId="574" priority="49">
      <formula>OR($E34="Yes",#REF!&lt;&gt;"% Bounds")</formula>
    </cfRule>
  </conditionalFormatting>
  <conditionalFormatting sqref="I34">
    <cfRule type="expression" dxfId="573" priority="48">
      <formula>OR($E34="Yes",#REF!&lt;&gt;"$ Bounds")</formula>
    </cfRule>
  </conditionalFormatting>
  <conditionalFormatting sqref="J34">
    <cfRule type="expression" dxfId="572" priority="47">
      <formula>OR($E34="Yes",#REF!&lt;&gt;"$ Bounds")</formula>
    </cfRule>
  </conditionalFormatting>
  <conditionalFormatting sqref="I35">
    <cfRule type="expression" dxfId="571" priority="46">
      <formula>OR($E35="Yes",#REF!&lt;&gt;"$ Bounds")</formula>
    </cfRule>
  </conditionalFormatting>
  <conditionalFormatting sqref="J35">
    <cfRule type="expression" dxfId="570" priority="45">
      <formula>OR($E35="Yes",#REF!&lt;&gt;"$ Bounds")</formula>
    </cfRule>
  </conditionalFormatting>
  <conditionalFormatting sqref="I36">
    <cfRule type="expression" dxfId="569" priority="44">
      <formula>OR($E36="Yes",#REF!&lt;&gt;"$ Bounds")</formula>
    </cfRule>
  </conditionalFormatting>
  <conditionalFormatting sqref="J36">
    <cfRule type="expression" dxfId="568" priority="43">
      <formula>OR($E36="Yes",#REF!&lt;&gt;"$ Bounds")</formula>
    </cfRule>
  </conditionalFormatting>
  <conditionalFormatting sqref="H37">
    <cfRule type="expression" dxfId="567" priority="42">
      <formula>OR($E37="Yes",#REF!&lt;&gt;"% Bounds")</formula>
    </cfRule>
  </conditionalFormatting>
  <conditionalFormatting sqref="I37">
    <cfRule type="expression" dxfId="566" priority="41">
      <formula>OR($E37="Yes",#REF!&lt;&gt;"$ Bounds")</formula>
    </cfRule>
  </conditionalFormatting>
  <conditionalFormatting sqref="J37">
    <cfRule type="expression" dxfId="565" priority="40">
      <formula>OR($E37="Yes",#REF!&lt;&gt;"$ Bounds")</formula>
    </cfRule>
  </conditionalFormatting>
  <conditionalFormatting sqref="I38">
    <cfRule type="expression" dxfId="564" priority="39">
      <formula>OR($E38="Yes",#REF!&lt;&gt;"$ Bounds")</formula>
    </cfRule>
  </conditionalFormatting>
  <conditionalFormatting sqref="J38">
    <cfRule type="expression" dxfId="563" priority="38">
      <formula>OR($E38="Yes",#REF!&lt;&gt;"$ Bounds")</formula>
    </cfRule>
  </conditionalFormatting>
  <conditionalFormatting sqref="I39">
    <cfRule type="expression" dxfId="562" priority="37">
      <formula>OR($E39="Yes",#REF!&lt;&gt;"$ Bounds")</formula>
    </cfRule>
  </conditionalFormatting>
  <conditionalFormatting sqref="J39">
    <cfRule type="expression" dxfId="561" priority="36">
      <formula>OR($E39="Yes",#REF!&lt;&gt;"$ Bounds")</formula>
    </cfRule>
  </conditionalFormatting>
  <conditionalFormatting sqref="I40">
    <cfRule type="expression" dxfId="560" priority="35">
      <formula>OR($E40="Yes",#REF!&lt;&gt;"$ Bounds")</formula>
    </cfRule>
  </conditionalFormatting>
  <conditionalFormatting sqref="J40">
    <cfRule type="expression" dxfId="559" priority="34">
      <formula>OR($E40="Yes",#REF!&lt;&gt;"$ Bounds")</formula>
    </cfRule>
  </conditionalFormatting>
  <conditionalFormatting sqref="I41">
    <cfRule type="expression" dxfId="558" priority="33">
      <formula>OR($E41="Yes",#REF!&lt;&gt;"$ Bounds")</formula>
    </cfRule>
  </conditionalFormatting>
  <conditionalFormatting sqref="J41">
    <cfRule type="expression" dxfId="557" priority="32">
      <formula>OR($E41="Yes",#REF!&lt;&gt;"$ Bounds")</formula>
    </cfRule>
  </conditionalFormatting>
  <conditionalFormatting sqref="I42">
    <cfRule type="expression" dxfId="556" priority="31">
      <formula>OR($E42="Yes",#REF!&lt;&gt;"$ Bounds")</formula>
    </cfRule>
  </conditionalFormatting>
  <conditionalFormatting sqref="J42">
    <cfRule type="expression" dxfId="555" priority="30">
      <formula>OR($E42="Yes",#REF!&lt;&gt;"$ Bounds")</formula>
    </cfRule>
  </conditionalFormatting>
  <conditionalFormatting sqref="I43">
    <cfRule type="expression" dxfId="554" priority="29">
      <formula>OR($E43="Yes",#REF!&lt;&gt;"$ Bounds")</formula>
    </cfRule>
  </conditionalFormatting>
  <conditionalFormatting sqref="J43">
    <cfRule type="expression" dxfId="553" priority="28">
      <formula>OR($E43="Yes",#REF!&lt;&gt;"$ Bounds")</formula>
    </cfRule>
  </conditionalFormatting>
  <conditionalFormatting sqref="I44">
    <cfRule type="expression" dxfId="552" priority="27">
      <formula>OR($E44="Yes",#REF!&lt;&gt;"$ Bounds")</formula>
    </cfRule>
  </conditionalFormatting>
  <conditionalFormatting sqref="J44">
    <cfRule type="expression" dxfId="551" priority="26">
      <formula>OR($E44="Yes",#REF!&lt;&gt;"$ Bounds")</formula>
    </cfRule>
  </conditionalFormatting>
  <conditionalFormatting sqref="I45">
    <cfRule type="expression" dxfId="550" priority="25">
      <formula>OR($E45="Yes",#REF!&lt;&gt;"$ Bounds")</formula>
    </cfRule>
  </conditionalFormatting>
  <conditionalFormatting sqref="J45">
    <cfRule type="expression" dxfId="549" priority="24">
      <formula>OR($E45="Yes",#REF!&lt;&gt;"$ Bounds")</formula>
    </cfRule>
  </conditionalFormatting>
  <conditionalFormatting sqref="H46">
    <cfRule type="expression" dxfId="548" priority="23">
      <formula>OR($E46="Yes",#REF!&lt;&gt;"% Bounds")</formula>
    </cfRule>
  </conditionalFormatting>
  <conditionalFormatting sqref="I46">
    <cfRule type="expression" dxfId="547" priority="22">
      <formula>OR($E46="Yes",#REF!&lt;&gt;"$ Bounds")</formula>
    </cfRule>
  </conditionalFormatting>
  <conditionalFormatting sqref="J46">
    <cfRule type="expression" dxfId="546" priority="21">
      <formula>OR($E46="Yes",#REF!&lt;&gt;"$ Bounds")</formula>
    </cfRule>
  </conditionalFormatting>
  <conditionalFormatting sqref="G23:G27">
    <cfRule type="expression" dxfId="545" priority="20">
      <formula>OR($E23="Yes",#REF!&lt;&gt;"% Bounds")</formula>
    </cfRule>
  </conditionalFormatting>
  <conditionalFormatting sqref="H23:H27">
    <cfRule type="expression" dxfId="544" priority="19">
      <formula>OR($E23="Yes",#REF!&lt;&gt;"% Bounds")</formula>
    </cfRule>
  </conditionalFormatting>
  <conditionalFormatting sqref="G29">
    <cfRule type="expression" dxfId="543" priority="18">
      <formula>OR($E29="Yes",#REF!&lt;&gt;"% Bounds")</formula>
    </cfRule>
  </conditionalFormatting>
  <conditionalFormatting sqref="H29">
    <cfRule type="expression" dxfId="542" priority="17">
      <formula>OR($E29="Yes",#REF!&lt;&gt;"% Bounds")</formula>
    </cfRule>
  </conditionalFormatting>
  <conditionalFormatting sqref="G30">
    <cfRule type="expression" dxfId="541" priority="16">
      <formula>OR($E30="Yes",#REF!&lt;&gt;"% Bounds")</formula>
    </cfRule>
  </conditionalFormatting>
  <conditionalFormatting sqref="H30">
    <cfRule type="expression" dxfId="540" priority="15">
      <formula>OR($E30="Yes",#REF!&lt;&gt;"% Bounds")</formula>
    </cfRule>
  </conditionalFormatting>
  <conditionalFormatting sqref="G38:G45">
    <cfRule type="expression" dxfId="539" priority="14">
      <formula>OR($E38="Yes",#REF!&lt;&gt;"% Bounds")</formula>
    </cfRule>
  </conditionalFormatting>
  <conditionalFormatting sqref="H38:H45">
    <cfRule type="expression" dxfId="538" priority="13">
      <formula>OR($E38="Yes",#REF!&lt;&gt;"% Bounds")</formula>
    </cfRule>
  </conditionalFormatting>
  <conditionalFormatting sqref="G35">
    <cfRule type="expression" dxfId="537" priority="12">
      <formula>OR($E35="Yes",#REF!&lt;&gt;"% Bounds")</formula>
    </cfRule>
  </conditionalFormatting>
  <conditionalFormatting sqref="H35">
    <cfRule type="expression" dxfId="536" priority="11">
      <formula>OR($E35="Yes",#REF!&lt;&gt;"% Bounds")</formula>
    </cfRule>
  </conditionalFormatting>
  <conditionalFormatting sqref="G36">
    <cfRule type="expression" dxfId="535" priority="10">
      <formula>OR($E36="Yes",#REF!&lt;&gt;"% Bounds")</formula>
    </cfRule>
  </conditionalFormatting>
  <conditionalFormatting sqref="H36">
    <cfRule type="expression" dxfId="534" priority="9">
      <formula>OR($E36="Yes",#REF!&lt;&gt;"% Bounds")</formula>
    </cfRule>
  </conditionalFormatting>
  <conditionalFormatting sqref="G32">
    <cfRule type="expression" dxfId="533" priority="8">
      <formula>OR($E32="Yes",#REF!&lt;&gt;"% Bounds")</formula>
    </cfRule>
  </conditionalFormatting>
  <conditionalFormatting sqref="H32">
    <cfRule type="expression" dxfId="532" priority="7">
      <formula>OR($E32="Yes",#REF!&lt;&gt;"% Bounds")</formula>
    </cfRule>
  </conditionalFormatting>
  <conditionalFormatting sqref="G33">
    <cfRule type="expression" dxfId="531" priority="6">
      <formula>OR($E33="Yes",#REF!&lt;&gt;"% Bounds")</formula>
    </cfRule>
  </conditionalFormatting>
  <conditionalFormatting sqref="H33">
    <cfRule type="expression" dxfId="530" priority="5">
      <formula>OR($E33="Yes",#REF!&lt;&gt;"% Bounds")</formula>
    </cfRule>
  </conditionalFormatting>
  <conditionalFormatting sqref="G31:L50 G2:H30 J2:L30">
    <cfRule type="expression" dxfId="529" priority="3">
      <formula>$E2="Yes"</formula>
    </cfRule>
  </conditionalFormatting>
  <conditionalFormatting sqref="G31:L50 G2:H30 J2:L30">
    <cfRule type="expression" dxfId="528" priority="2">
      <formula>$D2="No"</formula>
    </cfRule>
  </conditionalFormatting>
  <conditionalFormatting sqref="I2:I30">
    <cfRule type="expression" dxfId="0" priority="1">
      <formula>$E2="Yes"</formula>
    </cfRule>
  </conditionalFormatting>
  <dataValidations count="1">
    <dataValidation type="list" allowBlank="1" showInputMessage="1" showErrorMessage="1" sqref="D2:E50" xr:uid="{00000000-0002-0000-0500-000000000000}">
      <formula1>"Yes, No"</formula1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97"/>
  <sheetViews>
    <sheetView zoomScale="90" zoomScaleNormal="90" workbookViewId="0">
      <pane ySplit="1" topLeftCell="A2" activePane="bottomLeft" state="frozen"/>
      <selection activeCell="D58" sqref="D58"/>
      <selection pane="bottomLeft" activeCell="F2" sqref="F2"/>
    </sheetView>
  </sheetViews>
  <sheetFormatPr defaultRowHeight="15" x14ac:dyDescent="0.25"/>
  <cols>
    <col min="1" max="1" width="24.5703125" bestFit="1" customWidth="1"/>
    <col min="2" max="2" width="19.140625" bestFit="1" customWidth="1"/>
    <col min="3" max="3" width="50.7109375" bestFit="1" customWidth="1"/>
    <col min="4" max="4" width="11.7109375" bestFit="1" customWidth="1"/>
    <col min="5" max="5" width="4.85546875" bestFit="1" customWidth="1"/>
    <col min="6" max="6" width="13.28515625" bestFit="1" customWidth="1"/>
    <col min="7" max="7" width="8" bestFit="1" customWidth="1"/>
    <col min="8" max="8" width="7.85546875" customWidth="1"/>
    <col min="9" max="10" width="12.140625" bestFit="1" customWidth="1"/>
    <col min="11" max="11" width="6.28515625" bestFit="1" customWidth="1"/>
    <col min="12" max="12" width="6.5703125" bestFit="1" customWidth="1"/>
    <col min="13" max="13" width="12.7109375" bestFit="1" customWidth="1"/>
    <col min="14" max="14" width="14.5703125" bestFit="1" customWidth="1"/>
  </cols>
  <sheetData>
    <row r="1" spans="1:14" x14ac:dyDescent="0.25">
      <c r="A1" s="6" t="s">
        <v>72</v>
      </c>
      <c r="B1" s="6" t="s">
        <v>56</v>
      </c>
      <c r="C1" s="6" t="s">
        <v>55</v>
      </c>
      <c r="D1" s="6" t="s">
        <v>165</v>
      </c>
      <c r="E1" s="7" t="s">
        <v>73</v>
      </c>
      <c r="F1" s="6" t="s">
        <v>43</v>
      </c>
      <c r="G1" s="6" t="s">
        <v>166</v>
      </c>
      <c r="H1" s="6" t="s">
        <v>186</v>
      </c>
      <c r="I1" s="6" t="s">
        <v>167</v>
      </c>
      <c r="J1" s="6" t="s">
        <v>168</v>
      </c>
      <c r="K1" s="6" t="s">
        <v>173</v>
      </c>
      <c r="L1" s="6" t="s">
        <v>174</v>
      </c>
      <c r="M1" s="6" t="s">
        <v>169</v>
      </c>
      <c r="N1" s="6" t="s">
        <v>170</v>
      </c>
    </row>
    <row r="2" spans="1:14" x14ac:dyDescent="0.25">
      <c r="A2" s="3" t="s">
        <v>190</v>
      </c>
      <c r="B2" s="3" t="s">
        <v>191</v>
      </c>
      <c r="C2" s="3" t="s">
        <v>192</v>
      </c>
      <c r="D2" s="3" t="s">
        <v>75</v>
      </c>
      <c r="E2" s="59" t="str">
        <f>VLOOKUP($A2, 'Individual Bounds - Overall'!$A$1:$L$50, 5, 0)</f>
        <v>No</v>
      </c>
      <c r="F2" s="50">
        <f>SUMIFS('Quarterly Calculation'!$K$3:$K$198, 'Quarterly Calculation'!$A$3:$A$198, 'Individual Bounds - Quarterly'!$A2, 'Quarterly Calculation'!$D$3:$D$198, 'Individual Bounds - Quarterly'!$D2)</f>
        <v>408275</v>
      </c>
      <c r="G2" s="62">
        <v>0.05</v>
      </c>
      <c r="H2" s="62">
        <v>0.1</v>
      </c>
      <c r="I2" s="63">
        <v>0</v>
      </c>
      <c r="J2" s="63">
        <v>2552185.65</v>
      </c>
      <c r="K2" s="57">
        <f>IF(AND(ISBLANK(G2), ISBLANK(I2)), $F2, IF(ISBLANK(G2), I2, IF(ISBLANK(I2), $F2*(1+G2), MIN($F2*(1+G2), I2))))</f>
        <v>0</v>
      </c>
      <c r="L2" s="57">
        <f>IF(AND(ISBLANK(H2), ISBLANK(J2)), $F2, IF(ISBLANK(H2), J2, IF(ISBLANK(J2), $F2*(1+H2), MIN($F2*(1+H2), J2))))</f>
        <v>449102.50000000006</v>
      </c>
      <c r="M2" s="58">
        <f>IF(VLOOKUP($A2, 'Individual Bounds - Overall'!$A$2:$F$50,4,0)="Yes", 'Quarterly Calculation'!N3, K2)</f>
        <v>408275</v>
      </c>
      <c r="N2" s="58">
        <f>IF(VLOOKUP($A2, 'Individual Bounds - Overall'!$A$2:$F$50,4,0)="Yes", 'Quarterly Calculation'!O3, L2)</f>
        <v>428688.75</v>
      </c>
    </row>
    <row r="3" spans="1:14" x14ac:dyDescent="0.25">
      <c r="A3" s="3" t="s">
        <v>190</v>
      </c>
      <c r="B3" s="3" t="s">
        <v>191</v>
      </c>
      <c r="C3" s="3" t="s">
        <v>192</v>
      </c>
      <c r="D3" s="3" t="s">
        <v>76</v>
      </c>
      <c r="E3" s="59" t="str">
        <f>VLOOKUP($A3, 'Individual Bounds - Overall'!$A$1:$L$50, 5, 0)</f>
        <v>No</v>
      </c>
      <c r="F3" s="50">
        <f>SUMIFS('Quarterly Calculation'!$K$3:$K$198, 'Quarterly Calculation'!$A$3:$A$198, 'Individual Bounds - Quarterly'!$A29, 'Quarterly Calculation'!$D$3:$D$198, 'Individual Bounds - Quarterly'!$D29)</f>
        <v>285620.09999999998</v>
      </c>
      <c r="G3" s="62">
        <v>0.05</v>
      </c>
      <c r="H3" s="62">
        <v>0.1</v>
      </c>
      <c r="I3" s="63">
        <v>2430653</v>
      </c>
      <c r="J3" s="63">
        <v>2552185.65</v>
      </c>
      <c r="K3" s="57">
        <f>IF(AND(ISBLANK(G3), ISBLANK(I3)), $F3, IF(ISBLANK(G3), I3, IF(ISBLANK(I3), $F3*(1+G3), MIN($F3*(1+G3), I3))))</f>
        <v>299901.10499999998</v>
      </c>
      <c r="L3" s="57">
        <f>IF(AND(ISBLANK(H3), ISBLANK(J3)), $F3, IF(ISBLANK(H3), J3, IF(ISBLANK(J3), $F3*(1+H3), MIN($F3*(1+H3), J3))))</f>
        <v>314182.11</v>
      </c>
      <c r="M3" s="58">
        <f>IF(VLOOKUP($A3, 'Individual Bounds - Overall'!$A$2:$F$50,4,0)="Yes", 'Quarterly Calculation'!N4, K3)</f>
        <v>595965.19999999984</v>
      </c>
      <c r="N3" s="58">
        <f>IF(VLOOKUP($A3, 'Individual Bounds - Overall'!$A$2:$F$50,4,0)="Yes", 'Quarterly Calculation'!O4, L3)</f>
        <v>625763.46</v>
      </c>
    </row>
    <row r="4" spans="1:14" x14ac:dyDescent="0.25">
      <c r="A4" s="3" t="s">
        <v>190</v>
      </c>
      <c r="B4" s="3" t="s">
        <v>191</v>
      </c>
      <c r="C4" s="3" t="s">
        <v>192</v>
      </c>
      <c r="D4" s="3" t="s">
        <v>77</v>
      </c>
      <c r="E4" s="59" t="str">
        <f>VLOOKUP($A4, 'Individual Bounds - Overall'!$A$1:$L$50, 5, 0)</f>
        <v>No</v>
      </c>
      <c r="F4" s="50">
        <f>SUMIFS('Quarterly Calculation'!$K$3:$K$198, 'Quarterly Calculation'!$A$3:$A$198, 'Individual Bounds - Quarterly'!$A64, 'Quarterly Calculation'!$D$3:$D$198, 'Individual Bounds - Quarterly'!$D64)</f>
        <v>249110.5</v>
      </c>
      <c r="G4" s="62">
        <v>0.05</v>
      </c>
      <c r="H4" s="62">
        <v>0.1</v>
      </c>
      <c r="I4" s="63">
        <v>2430653</v>
      </c>
      <c r="J4" s="63">
        <v>2552185.65</v>
      </c>
      <c r="K4" s="57">
        <f>IF(AND(ISBLANK(G4), ISBLANK(I4)), $F4, IF(ISBLANK(G4), I4, IF(ISBLANK(I4), $F4*(1+G4), MIN($F4*(1+G4), I4))))</f>
        <v>261566.02500000002</v>
      </c>
      <c r="L4" s="57">
        <f>IF(AND(ISBLANK(H4), ISBLANK(J4)), $F4, IF(ISBLANK(H4), J4, IF(ISBLANK(J4), $F4*(1+H4), MIN($F4*(1+H4), J4))))</f>
        <v>274021.55000000005</v>
      </c>
      <c r="M4" s="58">
        <f>IF(VLOOKUP($A4, 'Individual Bounds - Overall'!$A$2:$F$50,4,0)="Yes", 'Quarterly Calculation'!N5, K4)</f>
        <v>105525</v>
      </c>
      <c r="N4" s="58">
        <f>IF(VLOOKUP($A4, 'Individual Bounds - Overall'!$A$2:$F$50,4,0)="Yes", 'Quarterly Calculation'!O5, L4)</f>
        <v>110801.25000000001</v>
      </c>
    </row>
    <row r="5" spans="1:14" x14ac:dyDescent="0.25">
      <c r="A5" s="3" t="s">
        <v>190</v>
      </c>
      <c r="B5" s="3" t="s">
        <v>191</v>
      </c>
      <c r="C5" s="3" t="s">
        <v>192</v>
      </c>
      <c r="D5" s="3" t="s">
        <v>78</v>
      </c>
      <c r="E5" s="59" t="str">
        <f>VLOOKUP($A5, 'Individual Bounds - Overall'!$A$1:$L$50, 5, 0)</f>
        <v>No</v>
      </c>
      <c r="F5" s="50">
        <f>SUMIFS('Quarterly Calculation'!$K$3:$K$198, 'Quarterly Calculation'!$A$3:$A$198, 'Individual Bounds - Quarterly'!$A91, 'Quarterly Calculation'!$D$3:$D$198, 'Individual Bounds - Quarterly'!$D91)</f>
        <v>58597.86</v>
      </c>
      <c r="G5" s="62">
        <v>0.05</v>
      </c>
      <c r="H5" s="62">
        <v>0.1</v>
      </c>
      <c r="I5" s="63">
        <v>2430653</v>
      </c>
      <c r="J5" s="63">
        <v>2552185.65</v>
      </c>
      <c r="K5" s="57">
        <f>IF(AND(ISBLANK(G5), ISBLANK(I5)), $F5, IF(ISBLANK(G5), I5, IF(ISBLANK(I5), $F5*(1+G5), MIN($F5*(1+G5), I5))))</f>
        <v>61527.753000000004</v>
      </c>
      <c r="L5" s="57">
        <f>IF(AND(ISBLANK(H5), ISBLANK(J5)), $F5, IF(ISBLANK(H5), J5, IF(ISBLANK(J5), $F5*(1+H5), MIN($F5*(1+H5), J5))))</f>
        <v>64457.646000000008</v>
      </c>
      <c r="M5" s="58">
        <f>IF(VLOOKUP($A5, 'Individual Bounds - Overall'!$A$2:$F$50,4,0)="Yes", 'Quarterly Calculation'!N6, K5)</f>
        <v>1241713.0000000002</v>
      </c>
      <c r="N5" s="58">
        <f>IF(VLOOKUP($A5, 'Individual Bounds - Overall'!$A$2:$F$50,4,0)="Yes", 'Quarterly Calculation'!O6, L5)</f>
        <v>1303798.6500000001</v>
      </c>
    </row>
    <row r="6" spans="1:14" x14ac:dyDescent="0.25">
      <c r="A6" s="3" t="s">
        <v>193</v>
      </c>
      <c r="B6" s="3" t="s">
        <v>194</v>
      </c>
      <c r="C6" s="3" t="s">
        <v>195</v>
      </c>
      <c r="D6" s="3" t="s">
        <v>75</v>
      </c>
      <c r="E6" s="59" t="str">
        <f>VLOOKUP($A6, 'Individual Bounds - Overall'!$A$1:$L$50, 5, 0)</f>
        <v>No</v>
      </c>
      <c r="F6" s="50">
        <f>SUMIFS('Quarterly Calculation'!$K$3:$K$198, 'Quarterly Calculation'!$A$3:$A$198, 'Individual Bounds - Quarterly'!$A3, 'Quarterly Calculation'!$D$3:$D$198, 'Individual Bounds - Quarterly'!$D3)</f>
        <v>595965.19999999995</v>
      </c>
      <c r="G6" s="62">
        <v>0.05</v>
      </c>
      <c r="H6" s="62">
        <v>0.1</v>
      </c>
      <c r="I6" s="63">
        <v>0</v>
      </c>
      <c r="J6" s="63">
        <v>0</v>
      </c>
      <c r="K6" s="57">
        <f>IF(AND(ISBLANK(G6), ISBLANK(I6)), $F6, IF(ISBLANK(G6), I6, IF(ISBLANK(I6), $F6*(1+G6), MIN($F6*(1+G6), I6))))</f>
        <v>0</v>
      </c>
      <c r="L6" s="57">
        <f>IF(AND(ISBLANK(H6), ISBLANK(J6)), $F6, IF(ISBLANK(H6), J6, IF(ISBLANK(J6), $F6*(1+H6), MIN($F6*(1+H6), J6))))</f>
        <v>0</v>
      </c>
      <c r="M6" s="58">
        <f>IF(VLOOKUP($A6, 'Individual Bounds - Overall'!$A$2:$F$50,4,0)="Yes", 'Quarterly Calculation'!N7, K6)</f>
        <v>314043.7</v>
      </c>
      <c r="N6" s="58">
        <f>IF(VLOOKUP($A6, 'Individual Bounds - Overall'!$A$2:$F$50,4,0)="Yes", 'Quarterly Calculation'!O7, L6)</f>
        <v>329745.88500000001</v>
      </c>
    </row>
    <row r="7" spans="1:14" x14ac:dyDescent="0.25">
      <c r="A7" s="3" t="s">
        <v>193</v>
      </c>
      <c r="B7" s="3" t="s">
        <v>194</v>
      </c>
      <c r="C7" s="3" t="s">
        <v>195</v>
      </c>
      <c r="D7" s="3" t="s">
        <v>76</v>
      </c>
      <c r="E7" s="59" t="str">
        <f>VLOOKUP($A7, 'Individual Bounds - Overall'!$A$1:$L$50, 5, 0)</f>
        <v>No</v>
      </c>
      <c r="F7" s="50">
        <f>SUMIFS('Quarterly Calculation'!$K$3:$K$198, 'Quarterly Calculation'!$A$3:$A$198, 'Individual Bounds - Quarterly'!$A30, 'Quarterly Calculation'!$D$3:$D$198, 'Individual Bounds - Quarterly'!$D30)</f>
        <v>120018.7</v>
      </c>
      <c r="G7" s="62">
        <v>0.05</v>
      </c>
      <c r="H7" s="62">
        <v>0.1</v>
      </c>
      <c r="I7" s="63">
        <v>2430653</v>
      </c>
      <c r="J7" s="63">
        <v>2552185.65</v>
      </c>
      <c r="K7" s="57">
        <f>IF(AND(ISBLANK(G7), ISBLANK(I7)), $F7, IF(ISBLANK(G7), I7, IF(ISBLANK(I7), $F7*(1+G7), MIN($F7*(1+G7), I7))))</f>
        <v>126019.63500000001</v>
      </c>
      <c r="L7" s="57">
        <f>IF(AND(ISBLANK(H7), ISBLANK(J7)), $F7, IF(ISBLANK(H7), J7, IF(ISBLANK(J7), $F7*(1+H7), MIN($F7*(1+H7), J7))))</f>
        <v>132020.57</v>
      </c>
      <c r="M7" s="58">
        <f>IF(VLOOKUP($A7, 'Individual Bounds - Overall'!$A$2:$F$50,4,0)="Yes", 'Quarterly Calculation'!N8, K7)</f>
        <v>202112</v>
      </c>
      <c r="N7" s="58">
        <f>IF(VLOOKUP($A7, 'Individual Bounds - Overall'!$A$2:$F$50,4,0)="Yes", 'Quarterly Calculation'!O8, L7)</f>
        <v>212217.59999999998</v>
      </c>
    </row>
    <row r="8" spans="1:14" x14ac:dyDescent="0.25">
      <c r="A8" s="3" t="s">
        <v>193</v>
      </c>
      <c r="B8" s="3" t="s">
        <v>194</v>
      </c>
      <c r="C8" s="3" t="s">
        <v>195</v>
      </c>
      <c r="D8" s="3" t="s">
        <v>77</v>
      </c>
      <c r="E8" s="59" t="str">
        <f>VLOOKUP($A8, 'Individual Bounds - Overall'!$A$1:$L$50, 5, 0)</f>
        <v>No</v>
      </c>
      <c r="F8" s="50">
        <f>SUMIFS('Quarterly Calculation'!$K$3:$K$198, 'Quarterly Calculation'!$A$3:$A$198, 'Individual Bounds - Quarterly'!$A65, 'Quarterly Calculation'!$D$3:$D$198, 'Individual Bounds - Quarterly'!$D65)</f>
        <v>1047382</v>
      </c>
      <c r="G8" s="62">
        <v>0.05</v>
      </c>
      <c r="H8" s="62">
        <v>0.1</v>
      </c>
      <c r="I8" s="63">
        <v>2430653</v>
      </c>
      <c r="J8" s="63">
        <v>2552185.65</v>
      </c>
      <c r="K8" s="57">
        <f>IF(AND(ISBLANK(G8), ISBLANK(I8)), $F8, IF(ISBLANK(G8), I8, IF(ISBLANK(I8), $F8*(1+G8), MIN($F8*(1+G8), I8))))</f>
        <v>1099751.1000000001</v>
      </c>
      <c r="L8" s="57">
        <f>IF(AND(ISBLANK(H8), ISBLANK(J8)), $F8, IF(ISBLANK(H8), J8, IF(ISBLANK(J8), $F8*(1+H8), MIN($F8*(1+H8), J8))))</f>
        <v>1152120.2000000002</v>
      </c>
      <c r="M8" s="58">
        <f>IF(VLOOKUP($A8, 'Individual Bounds - Overall'!$A$2:$F$50,4,0)="Yes", 'Quarterly Calculation'!N9, K8)</f>
        <v>108329.1</v>
      </c>
      <c r="N8" s="58">
        <f>IF(VLOOKUP($A8, 'Individual Bounds - Overall'!$A$2:$F$50,4,0)="Yes", 'Quarterly Calculation'!O9, L8)</f>
        <v>113745.55500000001</v>
      </c>
    </row>
    <row r="9" spans="1:14" x14ac:dyDescent="0.25">
      <c r="A9" s="3" t="s">
        <v>193</v>
      </c>
      <c r="B9" s="3" t="s">
        <v>194</v>
      </c>
      <c r="C9" s="3" t="s">
        <v>195</v>
      </c>
      <c r="D9" s="3" t="s">
        <v>78</v>
      </c>
      <c r="E9" s="59" t="str">
        <f>VLOOKUP($A9, 'Individual Bounds - Overall'!$A$1:$L$50, 5, 0)</f>
        <v>No</v>
      </c>
      <c r="F9" s="50">
        <f>SUMIFS('Quarterly Calculation'!$K$3:$K$198, 'Quarterly Calculation'!$A$3:$A$198, 'Individual Bounds - Quarterly'!$A92, 'Quarterly Calculation'!$D$3:$D$198, 'Individual Bounds - Quarterly'!$D92)</f>
        <v>62377.61</v>
      </c>
      <c r="G9" s="62">
        <v>0.05</v>
      </c>
      <c r="H9" s="62">
        <v>0.1</v>
      </c>
      <c r="I9" s="63">
        <v>2430653</v>
      </c>
      <c r="J9" s="63">
        <v>2552185.65</v>
      </c>
      <c r="K9" s="57">
        <f>IF(AND(ISBLANK(G9), ISBLANK(I9)), $F9, IF(ISBLANK(G9), I9, IF(ISBLANK(I9), $F9*(1+G9), MIN($F9*(1+G9), I9))))</f>
        <v>65496.4905</v>
      </c>
      <c r="L9" s="57">
        <f>IF(AND(ISBLANK(H9), ISBLANK(J9)), $F9, IF(ISBLANK(H9), J9, IF(ISBLANK(J9), $F9*(1+H9), MIN($F9*(1+H9), J9))))</f>
        <v>68615.370999999999</v>
      </c>
      <c r="M9" s="58">
        <f>IF(VLOOKUP($A9, 'Individual Bounds - Overall'!$A$2:$F$50,4,0)="Yes", 'Quarterly Calculation'!N10, K9)</f>
        <v>649846.9</v>
      </c>
      <c r="N9" s="58">
        <f>IF(VLOOKUP($A9, 'Individual Bounds - Overall'!$A$2:$F$50,4,0)="Yes", 'Quarterly Calculation'!O10, L9)</f>
        <v>682339.245</v>
      </c>
    </row>
    <row r="10" spans="1:14" x14ac:dyDescent="0.25">
      <c r="A10" s="3" t="s">
        <v>199</v>
      </c>
      <c r="B10" s="3" t="s">
        <v>197</v>
      </c>
      <c r="C10" s="3" t="s">
        <v>200</v>
      </c>
      <c r="D10" s="3" t="s">
        <v>75</v>
      </c>
      <c r="E10" s="59" t="str">
        <f>VLOOKUP($A10, 'Individual Bounds - Overall'!$A$1:$L$50, 5, 0)</f>
        <v>No</v>
      </c>
      <c r="F10" s="50">
        <f>SUMIFS('Quarterly Calculation'!$K$3:$K$198, 'Quarterly Calculation'!$A$3:$A$198, 'Individual Bounds - Quarterly'!$A5, 'Quarterly Calculation'!$D$3:$D$198, 'Individual Bounds - Quarterly'!$D5)</f>
        <v>1241713</v>
      </c>
      <c r="G10" s="62">
        <v>0.05</v>
      </c>
      <c r="H10" s="62">
        <v>0.1</v>
      </c>
      <c r="I10" s="63">
        <v>0</v>
      </c>
      <c r="J10" s="63">
        <v>0</v>
      </c>
      <c r="K10" s="57">
        <f>IF(AND(ISBLANK(G10), ISBLANK(I10)), $F10, IF(ISBLANK(G10), I10, IF(ISBLANK(I10), $F10*(1+G10), MIN($F10*(1+G10), I10))))</f>
        <v>0</v>
      </c>
      <c r="L10" s="57">
        <f>IF(AND(ISBLANK(H10), ISBLANK(J10)), $F10, IF(ISBLANK(H10), J10, IF(ISBLANK(J10), $F10*(1+H10), MIN($F10*(1+H10), J10))))</f>
        <v>0</v>
      </c>
      <c r="M10" s="58">
        <f>IF(VLOOKUP($A10, 'Individual Bounds - Overall'!$A$2:$F$50,4,0)="Yes", 'Quarterly Calculation'!N11, K10)</f>
        <v>191798.7</v>
      </c>
      <c r="N10" s="58">
        <f>IF(VLOOKUP($A10, 'Individual Bounds - Overall'!$A$2:$F$50,4,0)="Yes", 'Quarterly Calculation'!O11, L10)</f>
        <v>201388.63500000004</v>
      </c>
    </row>
    <row r="11" spans="1:14" x14ac:dyDescent="0.25">
      <c r="A11" s="3" t="s">
        <v>199</v>
      </c>
      <c r="B11" s="3" t="s">
        <v>197</v>
      </c>
      <c r="C11" s="3" t="s">
        <v>200</v>
      </c>
      <c r="D11" s="3" t="s">
        <v>76</v>
      </c>
      <c r="E11" s="59" t="str">
        <f>VLOOKUP($A11, 'Individual Bounds - Overall'!$A$1:$L$50, 5, 0)</f>
        <v>No</v>
      </c>
      <c r="F11" s="50">
        <f>SUMIFS('Quarterly Calculation'!$K$3:$K$198, 'Quarterly Calculation'!$A$3:$A$198, 'Individual Bounds - Quarterly'!$A32, 'Quarterly Calculation'!$D$3:$D$198, 'Individual Bounds - Quarterly'!$D32)</f>
        <v>119436.4</v>
      </c>
      <c r="G11" s="62">
        <v>0.05</v>
      </c>
      <c r="H11" s="62">
        <v>0.1</v>
      </c>
      <c r="I11" s="63">
        <v>2430653</v>
      </c>
      <c r="J11" s="63">
        <v>2552185.65</v>
      </c>
      <c r="K11" s="57">
        <f>IF(AND(ISBLANK(G11), ISBLANK(I11)), $F11, IF(ISBLANK(G11), I11, IF(ISBLANK(I11), $F11*(1+G11), MIN($F11*(1+G11), I11))))</f>
        <v>125408.22</v>
      </c>
      <c r="L11" s="57">
        <f>IF(AND(ISBLANK(H11), ISBLANK(J11)), $F11, IF(ISBLANK(H11), J11, IF(ISBLANK(J11), $F11*(1+H11), MIN($F11*(1+H11), J11))))</f>
        <v>131380.04</v>
      </c>
      <c r="M11" s="58">
        <f>IF(VLOOKUP($A11, 'Individual Bounds - Overall'!$A$2:$F$50,4,0)="Yes", 'Quarterly Calculation'!N12, K11)</f>
        <v>285027.09999999998</v>
      </c>
      <c r="N11" s="58">
        <f>IF(VLOOKUP($A11, 'Individual Bounds - Overall'!$A$2:$F$50,4,0)="Yes", 'Quarterly Calculation'!O12, L11)</f>
        <v>299278.45500000002</v>
      </c>
    </row>
    <row r="12" spans="1:14" x14ac:dyDescent="0.25">
      <c r="A12" s="3" t="s">
        <v>199</v>
      </c>
      <c r="B12" s="3" t="s">
        <v>197</v>
      </c>
      <c r="C12" s="3" t="s">
        <v>200</v>
      </c>
      <c r="D12" s="3" t="s">
        <v>77</v>
      </c>
      <c r="E12" s="59" t="str">
        <f>VLOOKUP($A12, 'Individual Bounds - Overall'!$A$1:$L$50, 5, 0)</f>
        <v>No</v>
      </c>
      <c r="F12" s="50">
        <f>SUMIFS('Quarterly Calculation'!$K$3:$K$198, 'Quarterly Calculation'!$A$3:$A$198, 'Individual Bounds - Quarterly'!$A67, 'Quarterly Calculation'!$D$3:$D$198, 'Individual Bounds - Quarterly'!$D67)</f>
        <v>182367.2</v>
      </c>
      <c r="G12" s="62">
        <v>0.05</v>
      </c>
      <c r="H12" s="62">
        <v>0.1</v>
      </c>
      <c r="I12" s="63">
        <v>2430653</v>
      </c>
      <c r="J12" s="63">
        <v>2552185.65</v>
      </c>
      <c r="K12" s="57">
        <f>IF(AND(ISBLANK(G12), ISBLANK(I12)), $F12, IF(ISBLANK(G12), I12, IF(ISBLANK(I12), $F12*(1+G12), MIN($F12*(1+G12), I12))))</f>
        <v>191485.56000000003</v>
      </c>
      <c r="L12" s="57">
        <f>IF(AND(ISBLANK(H12), ISBLANK(J12)), $F12, IF(ISBLANK(H12), J12, IF(ISBLANK(J12), $F12*(1+H12), MIN($F12*(1+H12), J12))))</f>
        <v>200603.92000000004</v>
      </c>
      <c r="M12" s="58">
        <f>IF(VLOOKUP($A12, 'Individual Bounds - Overall'!$A$2:$F$50,4,0)="Yes", 'Quarterly Calculation'!N13, K12)</f>
        <v>229238.5</v>
      </c>
      <c r="N12" s="58">
        <f>IF(VLOOKUP($A12, 'Individual Bounds - Overall'!$A$2:$F$50,4,0)="Yes", 'Quarterly Calculation'!O13, L12)</f>
        <v>240700.42500000005</v>
      </c>
    </row>
    <row r="13" spans="1:14" x14ac:dyDescent="0.25">
      <c r="A13" s="3" t="s">
        <v>199</v>
      </c>
      <c r="B13" s="3" t="s">
        <v>197</v>
      </c>
      <c r="C13" s="3" t="s">
        <v>200</v>
      </c>
      <c r="D13" s="3" t="s">
        <v>78</v>
      </c>
      <c r="E13" s="59" t="str">
        <f>VLOOKUP($A13, 'Individual Bounds - Overall'!$A$1:$L$50, 5, 0)</f>
        <v>No</v>
      </c>
      <c r="F13" s="50">
        <f>SUMIFS('Quarterly Calculation'!$K$3:$K$198, 'Quarterly Calculation'!$A$3:$A$198, 'Individual Bounds - Quarterly'!$A94, 'Quarterly Calculation'!$D$3:$D$198, 'Individual Bounds - Quarterly'!$D94)</f>
        <v>50075.68</v>
      </c>
      <c r="G13" s="62">
        <v>0.05</v>
      </c>
      <c r="H13" s="62">
        <v>0.1</v>
      </c>
      <c r="I13" s="63">
        <v>2430653</v>
      </c>
      <c r="J13" s="63">
        <v>2552185.65</v>
      </c>
      <c r="K13" s="57">
        <f>IF(AND(ISBLANK(G13), ISBLANK(I13)), $F13, IF(ISBLANK(G13), I13, IF(ISBLANK(I13), $F13*(1+G13), MIN($F13*(1+G13), I13))))</f>
        <v>52579.464</v>
      </c>
      <c r="L13" s="57">
        <f>IF(AND(ISBLANK(H13), ISBLANK(J13)), $F13, IF(ISBLANK(H13), J13, IF(ISBLANK(J13), $F13*(1+H13), MIN($F13*(1+H13), J13))))</f>
        <v>55083.248000000007</v>
      </c>
      <c r="M13" s="58">
        <f>IF(VLOOKUP($A13, 'Individual Bounds - Overall'!$A$2:$F$50,4,0)="Yes", 'Quarterly Calculation'!N14, K13)</f>
        <v>625473.69999999995</v>
      </c>
      <c r="N13" s="58">
        <f>IF(VLOOKUP($A13, 'Individual Bounds - Overall'!$A$2:$F$50,4,0)="Yes", 'Quarterly Calculation'!O14, L13)</f>
        <v>656747.38500000001</v>
      </c>
    </row>
    <row r="14" spans="1:14" x14ac:dyDescent="0.25">
      <c r="A14" s="3" t="s">
        <v>196</v>
      </c>
      <c r="B14" s="3" t="s">
        <v>197</v>
      </c>
      <c r="C14" s="3" t="s">
        <v>198</v>
      </c>
      <c r="D14" s="3" t="s">
        <v>75</v>
      </c>
      <c r="E14" s="59" t="str">
        <f>VLOOKUP($A14, 'Individual Bounds - Overall'!$A$1:$L$50, 5, 0)</f>
        <v>No</v>
      </c>
      <c r="F14" s="50">
        <f>SUMIFS('Quarterly Calculation'!$K$3:$K$198, 'Quarterly Calculation'!$A$3:$A$198, 'Individual Bounds - Quarterly'!$A4, 'Quarterly Calculation'!$D$3:$D$198, 'Individual Bounds - Quarterly'!$D4)</f>
        <v>105525</v>
      </c>
      <c r="G14" s="62">
        <v>0.05</v>
      </c>
      <c r="H14" s="62">
        <v>0.1</v>
      </c>
      <c r="I14" s="63">
        <v>0</v>
      </c>
      <c r="J14" s="63">
        <v>0</v>
      </c>
      <c r="K14" s="57">
        <f>IF(AND(ISBLANK(G14), ISBLANK(I14)), $F14, IF(ISBLANK(G14), I14, IF(ISBLANK(I14), $F14*(1+G14), MIN($F14*(1+G14), I14))))</f>
        <v>0</v>
      </c>
      <c r="L14" s="57">
        <f>IF(AND(ISBLANK(H14), ISBLANK(J14)), $F14, IF(ISBLANK(H14), J14, IF(ISBLANK(J14), $F14*(1+H14), MIN($F14*(1+H14), J14))))</f>
        <v>0</v>
      </c>
      <c r="M14" s="58">
        <f>IF(VLOOKUP($A14, 'Individual Bounds - Overall'!$A$2:$F$50,4,0)="Yes", 'Quarterly Calculation'!N15, K14)</f>
        <v>1405365</v>
      </c>
      <c r="N14" s="58">
        <f>IF(VLOOKUP($A14, 'Individual Bounds - Overall'!$A$2:$F$50,4,0)="Yes", 'Quarterly Calculation'!O15, L14)</f>
        <v>1475633.25</v>
      </c>
    </row>
    <row r="15" spans="1:14" x14ac:dyDescent="0.25">
      <c r="A15" s="3" t="s">
        <v>196</v>
      </c>
      <c r="B15" s="3" t="s">
        <v>197</v>
      </c>
      <c r="C15" s="3" t="s">
        <v>198</v>
      </c>
      <c r="D15" s="3" t="s">
        <v>76</v>
      </c>
      <c r="E15" s="59" t="str">
        <f>VLOOKUP($A15, 'Individual Bounds - Overall'!$A$1:$L$50, 5, 0)</f>
        <v>No</v>
      </c>
      <c r="F15" s="50">
        <f>SUMIFS('Quarterly Calculation'!$K$3:$K$198, 'Quarterly Calculation'!$A$3:$A$198, 'Individual Bounds - Quarterly'!$A31, 'Quarterly Calculation'!$D$3:$D$198, 'Individual Bounds - Quarterly'!$D31)</f>
        <v>123073.60000000001</v>
      </c>
      <c r="G15" s="62">
        <v>0.05</v>
      </c>
      <c r="H15" s="62">
        <v>0.1</v>
      </c>
      <c r="I15" s="63">
        <v>2430653</v>
      </c>
      <c r="J15" s="63">
        <v>2552185.65</v>
      </c>
      <c r="K15" s="57">
        <f>IF(AND(ISBLANK(G15), ISBLANK(I15)), $F15, IF(ISBLANK(G15), I15, IF(ISBLANK(I15), $F15*(1+G15), MIN($F15*(1+G15), I15))))</f>
        <v>129227.28000000001</v>
      </c>
      <c r="L15" s="57">
        <f>IF(AND(ISBLANK(H15), ISBLANK(J15)), $F15, IF(ISBLANK(H15), J15, IF(ISBLANK(J15), $F15*(1+H15), MIN($F15*(1+H15), J15))))</f>
        <v>135380.96000000002</v>
      </c>
      <c r="M15" s="58">
        <f>IF(VLOOKUP($A15, 'Individual Bounds - Overall'!$A$2:$F$50,4,0)="Yes", 'Quarterly Calculation'!N16, K15)</f>
        <v>1127392</v>
      </c>
      <c r="N15" s="58">
        <f>IF(VLOOKUP($A15, 'Individual Bounds - Overall'!$A$2:$F$50,4,0)="Yes", 'Quarterly Calculation'!O16, L15)</f>
        <v>1183761.6000000001</v>
      </c>
    </row>
    <row r="16" spans="1:14" x14ac:dyDescent="0.25">
      <c r="A16" s="3" t="s">
        <v>196</v>
      </c>
      <c r="B16" s="3" t="s">
        <v>197</v>
      </c>
      <c r="C16" s="3" t="s">
        <v>198</v>
      </c>
      <c r="D16" s="3" t="s">
        <v>77</v>
      </c>
      <c r="E16" s="59" t="str">
        <f>VLOOKUP($A16, 'Individual Bounds - Overall'!$A$1:$L$50, 5, 0)</f>
        <v>No</v>
      </c>
      <c r="F16" s="50">
        <f>SUMIFS('Quarterly Calculation'!$K$3:$K$198, 'Quarterly Calculation'!$A$3:$A$198, 'Individual Bounds - Quarterly'!$A66, 'Quarterly Calculation'!$D$3:$D$198, 'Individual Bounds - Quarterly'!$D66)</f>
        <v>209555.9</v>
      </c>
      <c r="G16" s="62">
        <v>0.05</v>
      </c>
      <c r="H16" s="62">
        <v>0.1</v>
      </c>
      <c r="I16" s="63">
        <v>2430653</v>
      </c>
      <c r="J16" s="63">
        <v>2552185.65</v>
      </c>
      <c r="K16" s="57">
        <f>IF(AND(ISBLANK(G16), ISBLANK(I16)), $F16, IF(ISBLANK(G16), I16, IF(ISBLANK(I16), $F16*(1+G16), MIN($F16*(1+G16), I16))))</f>
        <v>220033.69500000001</v>
      </c>
      <c r="L16" s="57">
        <f>IF(AND(ISBLANK(H16), ISBLANK(J16)), $F16, IF(ISBLANK(H16), J16, IF(ISBLANK(J16), $F16*(1+H16), MIN($F16*(1+H16), J16))))</f>
        <v>230511.49000000002</v>
      </c>
      <c r="M16" s="58">
        <f>IF(VLOOKUP($A16, 'Individual Bounds - Overall'!$A$2:$F$50,4,0)="Yes", 'Quarterly Calculation'!N17, K16)</f>
        <v>1063249</v>
      </c>
      <c r="N16" s="58">
        <f>IF(VLOOKUP($A16, 'Individual Bounds - Overall'!$A$2:$F$50,4,0)="Yes", 'Quarterly Calculation'!O17, L16)</f>
        <v>1116411.45</v>
      </c>
    </row>
    <row r="17" spans="1:14" x14ac:dyDescent="0.25">
      <c r="A17" s="3" t="s">
        <v>196</v>
      </c>
      <c r="B17" s="3" t="s">
        <v>197</v>
      </c>
      <c r="C17" s="3" t="s">
        <v>198</v>
      </c>
      <c r="D17" s="3" t="s">
        <v>78</v>
      </c>
      <c r="E17" s="59" t="str">
        <f>VLOOKUP($A17, 'Individual Bounds - Overall'!$A$1:$L$50, 5, 0)</f>
        <v>No</v>
      </c>
      <c r="F17" s="50">
        <f>SUMIFS('Quarterly Calculation'!$K$3:$K$198, 'Quarterly Calculation'!$A$3:$A$198, 'Individual Bounds - Quarterly'!$A93, 'Quarterly Calculation'!$D$3:$D$198, 'Individual Bounds - Quarterly'!$D93)</f>
        <v>321232</v>
      </c>
      <c r="G17" s="62">
        <v>0.05</v>
      </c>
      <c r="H17" s="62">
        <v>0.1</v>
      </c>
      <c r="I17" s="63">
        <v>2430653</v>
      </c>
      <c r="J17" s="63">
        <v>2552185.65</v>
      </c>
      <c r="K17" s="57">
        <f>IF(AND(ISBLANK(G17), ISBLANK(I17)), $F17, IF(ISBLANK(G17), I17, IF(ISBLANK(I17), $F17*(1+G17), MIN($F17*(1+G17), I17))))</f>
        <v>337293.60000000003</v>
      </c>
      <c r="L17" s="57">
        <f>IF(AND(ISBLANK(H17), ISBLANK(J17)), $F17, IF(ISBLANK(H17), J17, IF(ISBLANK(J17), $F17*(1+H17), MIN($F17*(1+H17), J17))))</f>
        <v>353355.2</v>
      </c>
      <c r="M17" s="58">
        <f>IF(VLOOKUP($A17, 'Individual Bounds - Overall'!$A$2:$F$50,4,0)="Yes", 'Quarterly Calculation'!N18, K17)</f>
        <v>3287527</v>
      </c>
      <c r="N17" s="58">
        <f>IF(VLOOKUP($A17, 'Individual Bounds - Overall'!$A$2:$F$50,4,0)="Yes", 'Quarterly Calculation'!O18, L17)</f>
        <v>3451903.3500000006</v>
      </c>
    </row>
    <row r="18" spans="1:14" x14ac:dyDescent="0.25">
      <c r="A18" s="3" t="s">
        <v>201</v>
      </c>
      <c r="B18" s="3" t="s">
        <v>202</v>
      </c>
      <c r="C18" s="3" t="s">
        <v>202</v>
      </c>
      <c r="D18" s="3" t="s">
        <v>75</v>
      </c>
      <c r="E18" s="59" t="str">
        <f>VLOOKUP($A18, 'Individual Bounds - Overall'!$A$1:$L$50, 5, 0)</f>
        <v>No</v>
      </c>
      <c r="F18" s="50">
        <f>SUMIFS('Quarterly Calculation'!$K$3:$K$198, 'Quarterly Calculation'!$A$3:$A$198, 'Individual Bounds - Quarterly'!$A6, 'Quarterly Calculation'!$D$3:$D$198, 'Individual Bounds - Quarterly'!$D6)</f>
        <v>314043.7</v>
      </c>
      <c r="G18" s="62">
        <v>0.05</v>
      </c>
      <c r="H18" s="62">
        <v>0.1</v>
      </c>
      <c r="I18" s="63">
        <v>796901</v>
      </c>
      <c r="J18" s="63">
        <v>836746.05</v>
      </c>
      <c r="K18" s="57">
        <f>IF(AND(ISBLANK(G18), ISBLANK(I18)), $F18, IF(ISBLANK(G18), I18, IF(ISBLANK(I18), $F18*(1+G18), MIN($F18*(1+G18), I18))))</f>
        <v>329745.88500000001</v>
      </c>
      <c r="L18" s="57">
        <f>IF(AND(ISBLANK(H18), ISBLANK(J18)), $F18, IF(ISBLANK(H18), J18, IF(ISBLANK(J18), $F18*(1+H18), MIN($F18*(1+H18), J18))))</f>
        <v>345448.07000000007</v>
      </c>
      <c r="M18" s="58">
        <f>IF(VLOOKUP($A18, 'Individual Bounds - Overall'!$A$2:$F$50,4,0)="Yes", 'Quarterly Calculation'!N19, K18)</f>
        <v>2279359</v>
      </c>
      <c r="N18" s="58">
        <f>IF(VLOOKUP($A18, 'Individual Bounds - Overall'!$A$2:$F$50,4,0)="Yes", 'Quarterly Calculation'!O19, L18)</f>
        <v>2393326.9500000002</v>
      </c>
    </row>
    <row r="19" spans="1:14" x14ac:dyDescent="0.25">
      <c r="A19" s="3" t="s">
        <v>201</v>
      </c>
      <c r="B19" s="3" t="s">
        <v>202</v>
      </c>
      <c r="C19" s="3" t="s">
        <v>202</v>
      </c>
      <c r="D19" s="3" t="s">
        <v>76</v>
      </c>
      <c r="E19" s="59" t="str">
        <f>VLOOKUP($A19, 'Individual Bounds - Overall'!$A$1:$L$50, 5, 0)</f>
        <v>No</v>
      </c>
      <c r="F19" s="50">
        <f>SUMIFS('Quarterly Calculation'!$K$3:$K$198, 'Quarterly Calculation'!$A$3:$A$198, 'Individual Bounds - Quarterly'!$A33, 'Quarterly Calculation'!$D$3:$D$198, 'Individual Bounds - Quarterly'!$D33)</f>
        <v>172083.7</v>
      </c>
      <c r="G19" s="62">
        <v>0.05</v>
      </c>
      <c r="H19" s="62">
        <v>0.1</v>
      </c>
      <c r="I19" s="63">
        <v>2430653</v>
      </c>
      <c r="J19" s="63">
        <v>2552185.65</v>
      </c>
      <c r="K19" s="57">
        <f>IF(AND(ISBLANK(G19), ISBLANK(I19)), $F19, IF(ISBLANK(G19), I19, IF(ISBLANK(I19), $F19*(1+G19), MIN($F19*(1+G19), I19))))</f>
        <v>180687.88500000001</v>
      </c>
      <c r="L19" s="57">
        <f>IF(AND(ISBLANK(H19), ISBLANK(J19)), $F19, IF(ISBLANK(H19), J19, IF(ISBLANK(J19), $F19*(1+H19), MIN($F19*(1+H19), J19))))</f>
        <v>189292.07000000004</v>
      </c>
      <c r="M19" s="58">
        <f>IF(VLOOKUP($A19, 'Individual Bounds - Overall'!$A$2:$F$50,4,0)="Yes", 'Quarterly Calculation'!N20, K19)</f>
        <v>229999.5</v>
      </c>
      <c r="N19" s="58">
        <f>IF(VLOOKUP($A19, 'Individual Bounds - Overall'!$A$2:$F$50,4,0)="Yes", 'Quarterly Calculation'!O20, L19)</f>
        <v>241499.47500000003</v>
      </c>
    </row>
    <row r="20" spans="1:14" x14ac:dyDescent="0.25">
      <c r="A20" s="3" t="s">
        <v>201</v>
      </c>
      <c r="B20" s="3" t="s">
        <v>202</v>
      </c>
      <c r="C20" s="3" t="s">
        <v>202</v>
      </c>
      <c r="D20" s="3" t="s">
        <v>77</v>
      </c>
      <c r="E20" s="59" t="str">
        <f>VLOOKUP($A20, 'Individual Bounds - Overall'!$A$1:$L$50, 5, 0)</f>
        <v>No</v>
      </c>
      <c r="F20" s="50">
        <f>SUMIFS('Quarterly Calculation'!$K$3:$K$198, 'Quarterly Calculation'!$A$3:$A$198, 'Individual Bounds - Quarterly'!$A68, 'Quarterly Calculation'!$D$3:$D$198, 'Individual Bounds - Quarterly'!$D68)</f>
        <v>129278.6</v>
      </c>
      <c r="G20" s="62">
        <v>0.05</v>
      </c>
      <c r="H20" s="62">
        <v>0.1</v>
      </c>
      <c r="I20" s="63">
        <v>2430653</v>
      </c>
      <c r="J20" s="63">
        <v>2552185.65</v>
      </c>
      <c r="K20" s="57">
        <f>IF(AND(ISBLANK(G20), ISBLANK(I20)), $F20, IF(ISBLANK(G20), I20, IF(ISBLANK(I20), $F20*(1+G20), MIN($F20*(1+G20), I20))))</f>
        <v>135742.53</v>
      </c>
      <c r="L20" s="57">
        <f>IF(AND(ISBLANK(H20), ISBLANK(J20)), $F20, IF(ISBLANK(H20), J20, IF(ISBLANK(J20), $F20*(1+H20), MIN($F20*(1+H20), J20))))</f>
        <v>142206.46000000002</v>
      </c>
      <c r="M20" s="58">
        <f>IF(VLOOKUP($A20, 'Individual Bounds - Overall'!$A$2:$F$50,4,0)="Yes", 'Quarterly Calculation'!N21, K20)</f>
        <v>18960.84</v>
      </c>
      <c r="N20" s="58">
        <f>IF(VLOOKUP($A20, 'Individual Bounds - Overall'!$A$2:$F$50,4,0)="Yes", 'Quarterly Calculation'!O21, L20)</f>
        <v>19908.882000000001</v>
      </c>
    </row>
    <row r="21" spans="1:14" x14ac:dyDescent="0.25">
      <c r="A21" s="3" t="s">
        <v>201</v>
      </c>
      <c r="B21" s="3" t="s">
        <v>202</v>
      </c>
      <c r="C21" s="3" t="s">
        <v>202</v>
      </c>
      <c r="D21" s="3" t="s">
        <v>78</v>
      </c>
      <c r="E21" s="59" t="str">
        <f>VLOOKUP($A21, 'Individual Bounds - Overall'!$A$1:$L$50, 5, 0)</f>
        <v>No</v>
      </c>
      <c r="F21" s="50">
        <f>SUMIFS('Quarterly Calculation'!$K$3:$K$198, 'Quarterly Calculation'!$A$3:$A$198, 'Individual Bounds - Quarterly'!$A95, 'Quarterly Calculation'!$D$3:$D$198, 'Individual Bounds - Quarterly'!$D95)</f>
        <v>94556.91</v>
      </c>
      <c r="G21" s="62">
        <v>0.05</v>
      </c>
      <c r="H21" s="62">
        <v>0.1</v>
      </c>
      <c r="I21" s="63">
        <v>2430653</v>
      </c>
      <c r="J21" s="63">
        <v>2552185.65</v>
      </c>
      <c r="K21" s="57">
        <f>IF(AND(ISBLANK(G21), ISBLANK(I21)), $F21, IF(ISBLANK(G21), I21, IF(ISBLANK(I21), $F21*(1+G21), MIN($F21*(1+G21), I21))))</f>
        <v>99284.755500000014</v>
      </c>
      <c r="L21" s="57">
        <f>IF(AND(ISBLANK(H21), ISBLANK(J21)), $F21, IF(ISBLANK(H21), J21, IF(ISBLANK(J21), $F21*(1+H21), MIN($F21*(1+H21), J21))))</f>
        <v>104012.60100000001</v>
      </c>
      <c r="M21" s="58">
        <f>IF(VLOOKUP($A21, 'Individual Bounds - Overall'!$A$2:$F$50,4,0)="Yes", 'Quarterly Calculation'!N22, K21)</f>
        <v>916241.70000000007</v>
      </c>
      <c r="N21" s="58">
        <f>IF(VLOOKUP($A21, 'Individual Bounds - Overall'!$A$2:$F$50,4,0)="Yes", 'Quarterly Calculation'!O22, L21)</f>
        <v>962053.78500000003</v>
      </c>
    </row>
    <row r="22" spans="1:14" x14ac:dyDescent="0.25">
      <c r="A22" s="3" t="s">
        <v>203</v>
      </c>
      <c r="B22" s="3" t="s">
        <v>204</v>
      </c>
      <c r="C22" s="3" t="s">
        <v>205</v>
      </c>
      <c r="D22" s="3" t="s">
        <v>75</v>
      </c>
      <c r="E22" s="59" t="str">
        <f>VLOOKUP($A22, 'Individual Bounds - Overall'!$A$1:$L$50, 5, 0)</f>
        <v>No</v>
      </c>
      <c r="F22" s="50">
        <f>SUMIFS('Quarterly Calculation'!$K$3:$K$198, 'Quarterly Calculation'!$A$3:$A$198, 'Individual Bounds - Quarterly'!$A7, 'Quarterly Calculation'!$D$3:$D$198, 'Individual Bounds - Quarterly'!$D7)</f>
        <v>202112</v>
      </c>
      <c r="G22" s="62">
        <v>0.05</v>
      </c>
      <c r="H22" s="62">
        <v>0.1</v>
      </c>
      <c r="I22" s="63">
        <v>1401685</v>
      </c>
      <c r="J22" s="63">
        <v>1471769.25</v>
      </c>
      <c r="K22" s="57">
        <f>IF(AND(ISBLANK(G22), ISBLANK(I22)), $F22, IF(ISBLANK(G22), I22, IF(ISBLANK(I22), $F22*(1+G22), MIN($F22*(1+G22), I22))))</f>
        <v>212217.60000000001</v>
      </c>
      <c r="L22" s="57">
        <f>IF(AND(ISBLANK(H22), ISBLANK(J22)), $F22, IF(ISBLANK(H22), J22, IF(ISBLANK(J22), $F22*(1+H22), MIN($F22*(1+H22), J22))))</f>
        <v>222323.20000000001</v>
      </c>
      <c r="M22" s="58">
        <f>IF(VLOOKUP($A22, 'Individual Bounds - Overall'!$A$2:$F$50,4,0)="Yes", 'Quarterly Calculation'!N23, K22)</f>
        <v>1073766</v>
      </c>
      <c r="N22" s="58">
        <f>IF(VLOOKUP($A22, 'Individual Bounds - Overall'!$A$2:$F$50,4,0)="Yes", 'Quarterly Calculation'!O23, L22)</f>
        <v>1127454.3</v>
      </c>
    </row>
    <row r="23" spans="1:14" x14ac:dyDescent="0.25">
      <c r="A23" s="3" t="s">
        <v>203</v>
      </c>
      <c r="B23" s="3" t="s">
        <v>204</v>
      </c>
      <c r="C23" s="3" t="s">
        <v>205</v>
      </c>
      <c r="D23" s="3" t="s">
        <v>76</v>
      </c>
      <c r="E23" s="59" t="str">
        <f>VLOOKUP($A23, 'Individual Bounds - Overall'!$A$1:$L$50, 5, 0)</f>
        <v>No</v>
      </c>
      <c r="F23" s="50">
        <f>SUMIFS('Quarterly Calculation'!$K$3:$K$198, 'Quarterly Calculation'!$A$3:$A$198, 'Individual Bounds - Quarterly'!$A34, 'Quarterly Calculation'!$D$3:$D$198, 'Individual Bounds - Quarterly'!$D34)</f>
        <v>30872.5</v>
      </c>
      <c r="G23" s="62">
        <v>0.05</v>
      </c>
      <c r="H23" s="62">
        <v>0.1</v>
      </c>
      <c r="I23" s="63">
        <v>2430653</v>
      </c>
      <c r="J23" s="63">
        <v>2552185.65</v>
      </c>
      <c r="K23" s="57">
        <f>IF(AND(ISBLANK(G23), ISBLANK(I23)), $F23, IF(ISBLANK(G23), I23, IF(ISBLANK(I23), $F23*(1+G23), MIN($F23*(1+G23), I23))))</f>
        <v>32416.125</v>
      </c>
      <c r="L23" s="57">
        <f>IF(AND(ISBLANK(H23), ISBLANK(J23)), $F23, IF(ISBLANK(H23), J23, IF(ISBLANK(J23), $F23*(1+H23), MIN($F23*(1+H23), J23))))</f>
        <v>33959.75</v>
      </c>
      <c r="M23" s="58">
        <f>IF(VLOOKUP($A23, 'Individual Bounds - Overall'!$A$2:$F$50,4,0)="Yes", 'Quarterly Calculation'!N24, K23)</f>
        <v>1354193</v>
      </c>
      <c r="N23" s="58">
        <f>IF(VLOOKUP($A23, 'Individual Bounds - Overall'!$A$2:$F$50,4,0)="Yes", 'Quarterly Calculation'!O24, L23)</f>
        <v>1421902.6500000001</v>
      </c>
    </row>
    <row r="24" spans="1:14" x14ac:dyDescent="0.25">
      <c r="A24" s="3" t="s">
        <v>203</v>
      </c>
      <c r="B24" s="3" t="s">
        <v>204</v>
      </c>
      <c r="C24" s="3" t="s">
        <v>205</v>
      </c>
      <c r="D24" s="3" t="s">
        <v>77</v>
      </c>
      <c r="E24" s="59" t="str">
        <f>VLOOKUP($A24, 'Individual Bounds - Overall'!$A$1:$L$50, 5, 0)</f>
        <v>No</v>
      </c>
      <c r="F24" s="50">
        <f>SUMIFS('Quarterly Calculation'!$K$3:$K$198, 'Quarterly Calculation'!$A$3:$A$198, 'Individual Bounds - Quarterly'!$A69, 'Quarterly Calculation'!$D$3:$D$198, 'Individual Bounds - Quarterly'!$D69)</f>
        <v>289938.2</v>
      </c>
      <c r="G24" s="62">
        <v>0.05</v>
      </c>
      <c r="H24" s="62">
        <v>0.1</v>
      </c>
      <c r="I24" s="63">
        <v>2430653</v>
      </c>
      <c r="J24" s="63">
        <v>2552185.65</v>
      </c>
      <c r="K24" s="57">
        <f>IF(AND(ISBLANK(G24), ISBLANK(I24)), $F24, IF(ISBLANK(G24), I24, IF(ISBLANK(I24), $F24*(1+G24), MIN($F24*(1+G24), I24))))</f>
        <v>304435.11000000004</v>
      </c>
      <c r="L24" s="57">
        <f>IF(AND(ISBLANK(H24), ISBLANK(J24)), $F24, IF(ISBLANK(H24), J24, IF(ISBLANK(J24), $F24*(1+H24), MIN($F24*(1+H24), J24))))</f>
        <v>318932.02</v>
      </c>
      <c r="M24" s="58">
        <f>IF(VLOOKUP($A24, 'Individual Bounds - Overall'!$A$2:$F$50,4,0)="Yes", 'Quarterly Calculation'!N25, K24)</f>
        <v>1096247</v>
      </c>
      <c r="N24" s="58">
        <f>IF(VLOOKUP($A24, 'Individual Bounds - Overall'!$A$2:$F$50,4,0)="Yes", 'Quarterly Calculation'!O25, L24)</f>
        <v>1151059.3500000001</v>
      </c>
    </row>
    <row r="25" spans="1:14" x14ac:dyDescent="0.25">
      <c r="A25" s="3" t="s">
        <v>203</v>
      </c>
      <c r="B25" s="3" t="s">
        <v>204</v>
      </c>
      <c r="C25" s="3" t="s">
        <v>205</v>
      </c>
      <c r="D25" s="3" t="s">
        <v>78</v>
      </c>
      <c r="E25" s="59" t="str">
        <f>VLOOKUP($A25, 'Individual Bounds - Overall'!$A$1:$L$50, 5, 0)</f>
        <v>No</v>
      </c>
      <c r="F25" s="50">
        <f>SUMIFS('Quarterly Calculation'!$K$3:$K$198, 'Quarterly Calculation'!$A$3:$A$198, 'Individual Bounds - Quarterly'!$A96, 'Quarterly Calculation'!$D$3:$D$198, 'Individual Bounds - Quarterly'!$D96)</f>
        <v>155762</v>
      </c>
      <c r="G25" s="62">
        <v>0.05</v>
      </c>
      <c r="H25" s="62">
        <v>0.1</v>
      </c>
      <c r="I25" s="63">
        <v>2430653</v>
      </c>
      <c r="J25" s="63">
        <v>2552185.65</v>
      </c>
      <c r="K25" s="57">
        <f>IF(AND(ISBLANK(G25), ISBLANK(I25)), $F25, IF(ISBLANK(G25), I25, IF(ISBLANK(I25), $F25*(1+G25), MIN($F25*(1+G25), I25))))</f>
        <v>163550.1</v>
      </c>
      <c r="L25" s="57">
        <f>IF(AND(ISBLANK(H25), ISBLANK(J25)), $F25, IF(ISBLANK(H25), J25, IF(ISBLANK(J25), $F25*(1+H25), MIN($F25*(1+H25), J25))))</f>
        <v>171338.2</v>
      </c>
      <c r="M25" s="58">
        <f>IF(VLOOKUP($A25, 'Individual Bounds - Overall'!$A$2:$F$50,4,0)="Yes", 'Quarterly Calculation'!N26, K25)</f>
        <v>3931737</v>
      </c>
      <c r="N25" s="58">
        <f>IF(VLOOKUP($A25, 'Individual Bounds - Overall'!$A$2:$F$50,4,0)="Yes", 'Quarterly Calculation'!O26, L25)</f>
        <v>4128323.85</v>
      </c>
    </row>
    <row r="26" spans="1:14" x14ac:dyDescent="0.25">
      <c r="A26" s="3" t="s">
        <v>206</v>
      </c>
      <c r="B26" s="3" t="s">
        <v>204</v>
      </c>
      <c r="C26" s="3" t="s">
        <v>207</v>
      </c>
      <c r="D26" s="3" t="s">
        <v>75</v>
      </c>
      <c r="E26" s="59" t="str">
        <f>VLOOKUP($A26, 'Individual Bounds - Overall'!$A$1:$L$50, 5, 0)</f>
        <v>No</v>
      </c>
      <c r="F26" s="50">
        <f>SUMIFS('Quarterly Calculation'!$K$3:$K$198, 'Quarterly Calculation'!$A$3:$A$198, 'Individual Bounds - Quarterly'!$A8, 'Quarterly Calculation'!$D$3:$D$198, 'Individual Bounds - Quarterly'!$D8)</f>
        <v>108329.1</v>
      </c>
      <c r="G26" s="62">
        <v>0.05</v>
      </c>
      <c r="H26" s="62">
        <v>0.1</v>
      </c>
      <c r="I26" s="63">
        <v>1324364</v>
      </c>
      <c r="J26" s="63">
        <v>1390582.2</v>
      </c>
      <c r="K26" s="57">
        <f>IF(AND(ISBLANK(G26), ISBLANK(I26)), $F26, IF(ISBLANK(G26), I26, IF(ISBLANK(I26), $F26*(1+G26), MIN($F26*(1+G26), I26))))</f>
        <v>113745.55500000001</v>
      </c>
      <c r="L26" s="57">
        <f>IF(AND(ISBLANK(H26), ISBLANK(J26)), $F26, IF(ISBLANK(H26), J26, IF(ISBLANK(J26), $F26*(1+H26), MIN($F26*(1+H26), J26))))</f>
        <v>119162.01000000001</v>
      </c>
      <c r="M26" s="58">
        <f>IF(VLOOKUP($A26, 'Individual Bounds - Overall'!$A$2:$F$50,4,0)="Yes", 'Quarterly Calculation'!N27, K26)</f>
        <v>44858.41</v>
      </c>
      <c r="N26" s="58">
        <f>IF(VLOOKUP($A26, 'Individual Bounds - Overall'!$A$2:$F$50,4,0)="Yes", 'Quarterly Calculation'!O27, L26)</f>
        <v>47101.330500000004</v>
      </c>
    </row>
    <row r="27" spans="1:14" x14ac:dyDescent="0.25">
      <c r="A27" s="3" t="s">
        <v>206</v>
      </c>
      <c r="B27" s="3" t="s">
        <v>204</v>
      </c>
      <c r="C27" s="3" t="s">
        <v>207</v>
      </c>
      <c r="D27" s="3" t="s">
        <v>76</v>
      </c>
      <c r="E27" s="59" t="str">
        <f>VLOOKUP($A27, 'Individual Bounds - Overall'!$A$1:$L$50, 5, 0)</f>
        <v>No</v>
      </c>
      <c r="F27" s="50">
        <f>SUMIFS('Quarterly Calculation'!$K$3:$K$198, 'Quarterly Calculation'!$A$3:$A$198, 'Individual Bounds - Quarterly'!$A35, 'Quarterly Calculation'!$D$3:$D$198, 'Individual Bounds - Quarterly'!$D35)</f>
        <v>9923.8109999999997</v>
      </c>
      <c r="G27" s="62">
        <v>0.05</v>
      </c>
      <c r="H27" s="62">
        <v>0.1</v>
      </c>
      <c r="I27" s="63">
        <v>2430653</v>
      </c>
      <c r="J27" s="63">
        <v>2552185.65</v>
      </c>
      <c r="K27" s="57">
        <f>IF(AND(ISBLANK(G27), ISBLANK(I27)), $F27, IF(ISBLANK(G27), I27, IF(ISBLANK(I27), $F27*(1+G27), MIN($F27*(1+G27), I27))))</f>
        <v>10420.001550000001</v>
      </c>
      <c r="L27" s="57">
        <f>IF(AND(ISBLANK(H27), ISBLANK(J27)), $F27, IF(ISBLANK(H27), J27, IF(ISBLANK(J27), $F27*(1+H27), MIN($F27*(1+H27), J27))))</f>
        <v>10916.1921</v>
      </c>
      <c r="M27" s="58">
        <f>IF(VLOOKUP($A27, 'Individual Bounds - Overall'!$A$2:$F$50,4,0)="Yes", 'Quarterly Calculation'!N28, K27)</f>
        <v>209687.9</v>
      </c>
      <c r="N27" s="58">
        <f>IF(VLOOKUP($A27, 'Individual Bounds - Overall'!$A$2:$F$50,4,0)="Yes", 'Quarterly Calculation'!O28, L27)</f>
        <v>220172.29500000001</v>
      </c>
    </row>
    <row r="28" spans="1:14" x14ac:dyDescent="0.25">
      <c r="A28" s="3" t="s">
        <v>206</v>
      </c>
      <c r="B28" s="3" t="s">
        <v>204</v>
      </c>
      <c r="C28" s="3" t="s">
        <v>207</v>
      </c>
      <c r="D28" s="3" t="s">
        <v>77</v>
      </c>
      <c r="E28" s="59" t="str">
        <f>VLOOKUP($A28, 'Individual Bounds - Overall'!$A$1:$L$50, 5, 0)</f>
        <v>No</v>
      </c>
      <c r="F28" s="50">
        <f>SUMIFS('Quarterly Calculation'!$K$3:$K$198, 'Quarterly Calculation'!$A$3:$A$198, 'Individual Bounds - Quarterly'!$A70, 'Quarterly Calculation'!$D$3:$D$198, 'Individual Bounds - Quarterly'!$D70)</f>
        <v>1981241</v>
      </c>
      <c r="G28" s="62">
        <v>0.05</v>
      </c>
      <c r="H28" s="62">
        <v>0.1</v>
      </c>
      <c r="I28" s="63">
        <v>2430653</v>
      </c>
      <c r="J28" s="63">
        <v>2552185.65</v>
      </c>
      <c r="K28" s="57">
        <f>IF(AND(ISBLANK(G28), ISBLANK(I28)), $F28, IF(ISBLANK(G28), I28, IF(ISBLANK(I28), $F28*(1+G28), MIN($F28*(1+G28), I28))))</f>
        <v>2080303.05</v>
      </c>
      <c r="L28" s="57">
        <f>IF(AND(ISBLANK(H28), ISBLANK(J28)), $F28, IF(ISBLANK(H28), J28, IF(ISBLANK(J28), $F28*(1+H28), MIN($F28*(1+H28), J28))))</f>
        <v>2179365.1</v>
      </c>
      <c r="M28" s="58">
        <f>IF(VLOOKUP($A28, 'Individual Bounds - Overall'!$A$2:$F$50,4,0)="Yes", 'Quarterly Calculation'!N29, K28)</f>
        <v>94852.3</v>
      </c>
      <c r="N28" s="58">
        <f>IF(VLOOKUP($A28, 'Individual Bounds - Overall'!$A$2:$F$50,4,0)="Yes", 'Quarterly Calculation'!O29, L28)</f>
        <v>99594.915000000008</v>
      </c>
    </row>
    <row r="29" spans="1:14" x14ac:dyDescent="0.25">
      <c r="A29" s="3" t="s">
        <v>206</v>
      </c>
      <c r="B29" s="3" t="s">
        <v>204</v>
      </c>
      <c r="C29" s="3" t="s">
        <v>207</v>
      </c>
      <c r="D29" s="3" t="s">
        <v>78</v>
      </c>
      <c r="E29" s="59" t="str">
        <f>VLOOKUP($A29, 'Individual Bounds - Overall'!$A$1:$L$50, 5, 0)</f>
        <v>No</v>
      </c>
      <c r="F29" s="50">
        <f>SUMIFS('Quarterly Calculation'!$K$3:$K$198, 'Quarterly Calculation'!$A$3:$A$198, 'Individual Bounds - Quarterly'!$A97, 'Quarterly Calculation'!$D$3:$D$198, 'Individual Bounds - Quarterly'!$D97)</f>
        <v>662872.30000000005</v>
      </c>
      <c r="G29" s="62">
        <v>0.05</v>
      </c>
      <c r="H29" s="62">
        <v>0.1</v>
      </c>
      <c r="I29" s="63">
        <v>2430653</v>
      </c>
      <c r="J29" s="63">
        <v>2552185.65</v>
      </c>
      <c r="K29" s="57">
        <f>IF(AND(ISBLANK(G29), ISBLANK(I29)), $F29, IF(ISBLANK(G29), I29, IF(ISBLANK(I29), $F29*(1+G29), MIN($F29*(1+G29), I29))))</f>
        <v>696015.91500000004</v>
      </c>
      <c r="L29" s="57">
        <f>IF(AND(ISBLANK(H29), ISBLANK(J29)), $F29, IF(ISBLANK(H29), J29, IF(ISBLANK(J29), $F29*(1+H29), MIN($F29*(1+H29), J29))))</f>
        <v>729159.53000000014</v>
      </c>
      <c r="M29" s="58">
        <f>IF(VLOOKUP($A29, 'Individual Bounds - Overall'!$A$2:$F$50,4,0)="Yes", 'Quarterly Calculation'!N30, K29)</f>
        <v>285620.09999999998</v>
      </c>
      <c r="N29" s="58">
        <f>IF(VLOOKUP($A29, 'Individual Bounds - Overall'!$A$2:$F$50,4,0)="Yes", 'Quarterly Calculation'!O30, L29)</f>
        <v>299901.10499999998</v>
      </c>
    </row>
    <row r="30" spans="1:14" x14ac:dyDescent="0.25">
      <c r="A30" s="3" t="s">
        <v>213</v>
      </c>
      <c r="B30" s="3" t="s">
        <v>209</v>
      </c>
      <c r="C30" s="3" t="s">
        <v>214</v>
      </c>
      <c r="D30" s="3" t="s">
        <v>75</v>
      </c>
      <c r="E30" s="59" t="str">
        <f>VLOOKUP($A30, 'Individual Bounds - Overall'!$A$1:$L$50, 5, 0)</f>
        <v>No</v>
      </c>
      <c r="F30" s="50">
        <f>SUMIFS('Quarterly Calculation'!$K$3:$K$198, 'Quarterly Calculation'!$A$3:$A$198, 'Individual Bounds - Quarterly'!$A11, 'Quarterly Calculation'!$D$3:$D$198, 'Individual Bounds - Quarterly'!$D11)</f>
        <v>285027.09999999998</v>
      </c>
      <c r="G30" s="62">
        <v>0.05</v>
      </c>
      <c r="H30" s="62">
        <v>0.1</v>
      </c>
      <c r="I30" s="63">
        <v>0</v>
      </c>
      <c r="J30" s="63">
        <v>0</v>
      </c>
      <c r="K30" s="57">
        <f>IF(AND(ISBLANK(G30), ISBLANK(I30)), $F30, IF(ISBLANK(G30), I30, IF(ISBLANK(I30), $F30*(1+G30), MIN($F30*(1+G30), I30))))</f>
        <v>0</v>
      </c>
      <c r="L30" s="57">
        <f>IF(AND(ISBLANK(H30), ISBLANK(J30)), $F30, IF(ISBLANK(H30), J30, IF(ISBLANK(J30), $F30*(1+H30), MIN($F30*(1+H30), J30))))</f>
        <v>0</v>
      </c>
      <c r="M30" s="58">
        <f>IF(VLOOKUP($A30, 'Individual Bounds - Overall'!$A$2:$F$50,4,0)="Yes", 'Quarterly Calculation'!N31, K30)</f>
        <v>120018.7</v>
      </c>
      <c r="N30" s="58">
        <f>IF(VLOOKUP($A30, 'Individual Bounds - Overall'!$A$2:$F$50,4,0)="Yes", 'Quarterly Calculation'!O31, L30)</f>
        <v>126019.63499999999</v>
      </c>
    </row>
    <row r="31" spans="1:14" x14ac:dyDescent="0.25">
      <c r="A31" s="3" t="s">
        <v>213</v>
      </c>
      <c r="B31" s="3" t="s">
        <v>209</v>
      </c>
      <c r="C31" s="3" t="s">
        <v>214</v>
      </c>
      <c r="D31" s="3" t="s">
        <v>76</v>
      </c>
      <c r="E31" s="59" t="str">
        <f>VLOOKUP($A31, 'Individual Bounds - Overall'!$A$1:$L$50, 5, 0)</f>
        <v>No</v>
      </c>
      <c r="F31" s="50">
        <f>SUMIFS('Quarterly Calculation'!$K$3:$K$198, 'Quarterly Calculation'!$A$3:$A$198, 'Individual Bounds - Quarterly'!$A38, 'Quarterly Calculation'!$D$3:$D$198, 'Individual Bounds - Quarterly'!$D38)</f>
        <v>568184.30000000005</v>
      </c>
      <c r="G31" s="62">
        <v>0.05</v>
      </c>
      <c r="H31" s="62">
        <v>0.1</v>
      </c>
      <c r="I31" s="63">
        <v>2430653</v>
      </c>
      <c r="J31" s="63">
        <v>2552185.65</v>
      </c>
      <c r="K31" s="57">
        <f>IF(AND(ISBLANK(G31), ISBLANK(I31)), $F31, IF(ISBLANK(G31), I31, IF(ISBLANK(I31), $F31*(1+G31), MIN($F31*(1+G31), I31))))</f>
        <v>596593.51500000013</v>
      </c>
      <c r="L31" s="57">
        <f>IF(AND(ISBLANK(H31), ISBLANK(J31)), $F31, IF(ISBLANK(H31), J31, IF(ISBLANK(J31), $F31*(1+H31), MIN($F31*(1+H31), J31))))</f>
        <v>625002.7300000001</v>
      </c>
      <c r="M31" s="58">
        <f>IF(VLOOKUP($A31, 'Individual Bounds - Overall'!$A$2:$F$50,4,0)="Yes", 'Quarterly Calculation'!N32, K31)</f>
        <v>123073.60000000001</v>
      </c>
      <c r="N31" s="58">
        <f>IF(VLOOKUP($A31, 'Individual Bounds - Overall'!$A$2:$F$50,4,0)="Yes", 'Quarterly Calculation'!O32, L31)</f>
        <v>129227.28000000001</v>
      </c>
    </row>
    <row r="32" spans="1:14" x14ac:dyDescent="0.25">
      <c r="A32" s="3" t="s">
        <v>213</v>
      </c>
      <c r="B32" s="3" t="s">
        <v>209</v>
      </c>
      <c r="C32" s="3" t="s">
        <v>214</v>
      </c>
      <c r="D32" s="3" t="s">
        <v>77</v>
      </c>
      <c r="E32" s="59" t="str">
        <f>VLOOKUP($A32, 'Individual Bounds - Overall'!$A$1:$L$50, 5, 0)</f>
        <v>No</v>
      </c>
      <c r="F32" s="50">
        <f>SUMIFS('Quarterly Calculation'!$K$3:$K$198, 'Quarterly Calculation'!$A$3:$A$198, 'Individual Bounds - Quarterly'!$A73, 'Quarterly Calculation'!$D$3:$D$198, 'Individual Bounds - Quarterly'!$D73)</f>
        <v>7604431</v>
      </c>
      <c r="G32" s="62">
        <v>0.05</v>
      </c>
      <c r="H32" s="62">
        <v>0.1</v>
      </c>
      <c r="I32" s="63">
        <v>2430653</v>
      </c>
      <c r="J32" s="63">
        <v>2552185.65</v>
      </c>
      <c r="K32" s="57">
        <f>IF(AND(ISBLANK(G32), ISBLANK(I32)), $F32, IF(ISBLANK(G32), I32, IF(ISBLANK(I32), $F32*(1+G32), MIN($F32*(1+G32), I32))))</f>
        <v>2430653</v>
      </c>
      <c r="L32" s="57">
        <f>IF(AND(ISBLANK(H32), ISBLANK(J32)), $F32, IF(ISBLANK(H32), J32, IF(ISBLANK(J32), $F32*(1+H32), MIN($F32*(1+H32), J32))))</f>
        <v>2552185.65</v>
      </c>
      <c r="M32" s="58">
        <f>IF(VLOOKUP($A32, 'Individual Bounds - Overall'!$A$2:$F$50,4,0)="Yes", 'Quarterly Calculation'!N33, K32)</f>
        <v>119436.4</v>
      </c>
      <c r="N32" s="58">
        <f>IF(VLOOKUP($A32, 'Individual Bounds - Overall'!$A$2:$F$50,4,0)="Yes", 'Quarterly Calculation'!O33, L32)</f>
        <v>125408.21999999999</v>
      </c>
    </row>
    <row r="33" spans="1:14" x14ac:dyDescent="0.25">
      <c r="A33" s="3" t="s">
        <v>213</v>
      </c>
      <c r="B33" s="3" t="s">
        <v>209</v>
      </c>
      <c r="C33" s="3" t="s">
        <v>214</v>
      </c>
      <c r="D33" s="3" t="s">
        <v>78</v>
      </c>
      <c r="E33" s="59" t="str">
        <f>VLOOKUP($A33, 'Individual Bounds - Overall'!$A$1:$L$50, 5, 0)</f>
        <v>No</v>
      </c>
      <c r="F33" s="50">
        <f>SUMIFS('Quarterly Calculation'!$K$3:$K$198, 'Quarterly Calculation'!$A$3:$A$198, 'Individual Bounds - Quarterly'!$A100, 'Quarterly Calculation'!$D$3:$D$198, 'Individual Bounds - Quarterly'!$D100)</f>
        <v>0</v>
      </c>
      <c r="G33" s="62">
        <v>0.05</v>
      </c>
      <c r="H33" s="62">
        <v>0.1</v>
      </c>
      <c r="I33" s="63">
        <v>2430653</v>
      </c>
      <c r="J33" s="63">
        <v>2552185.65</v>
      </c>
      <c r="K33" s="57">
        <f>IF(AND(ISBLANK(G33), ISBLANK(I33)), $F33, IF(ISBLANK(G33), I33, IF(ISBLANK(I33), $F33*(1+G33), MIN($F33*(1+G33), I33))))</f>
        <v>0</v>
      </c>
      <c r="L33" s="57">
        <f>IF(AND(ISBLANK(H33), ISBLANK(J33)), $F33, IF(ISBLANK(H33), J33, IF(ISBLANK(J33), $F33*(1+H33), MIN($F33*(1+H33), J33))))</f>
        <v>0</v>
      </c>
      <c r="M33" s="58">
        <f>IF(VLOOKUP($A33, 'Individual Bounds - Overall'!$A$2:$F$50,4,0)="Yes", 'Quarterly Calculation'!N34, K33)</f>
        <v>172083.7</v>
      </c>
      <c r="N33" s="58">
        <f>IF(VLOOKUP($A33, 'Individual Bounds - Overall'!$A$2:$F$50,4,0)="Yes", 'Quarterly Calculation'!O34, L33)</f>
        <v>180687.88500000004</v>
      </c>
    </row>
    <row r="34" spans="1:14" x14ac:dyDescent="0.25">
      <c r="A34" s="3" t="s">
        <v>215</v>
      </c>
      <c r="B34" s="3" t="s">
        <v>209</v>
      </c>
      <c r="C34" s="3" t="s">
        <v>216</v>
      </c>
      <c r="D34" s="3" t="s">
        <v>75</v>
      </c>
      <c r="E34" s="59" t="str">
        <f>VLOOKUP($A34, 'Individual Bounds - Overall'!$A$1:$L$50, 5, 0)</f>
        <v>No</v>
      </c>
      <c r="F34" s="50">
        <f>SUMIFS('Quarterly Calculation'!$K$3:$K$198, 'Quarterly Calculation'!$A$3:$A$198, 'Individual Bounds - Quarterly'!$A12, 'Quarterly Calculation'!$D$3:$D$198, 'Individual Bounds - Quarterly'!$D12)</f>
        <v>229238.5</v>
      </c>
      <c r="G34" s="62">
        <v>0.05</v>
      </c>
      <c r="H34" s="62">
        <v>0.1</v>
      </c>
      <c r="I34" s="63">
        <v>0</v>
      </c>
      <c r="J34" s="63">
        <v>0</v>
      </c>
      <c r="K34" s="57">
        <f>IF(AND(ISBLANK(G34), ISBLANK(I34)), $F34, IF(ISBLANK(G34), I34, IF(ISBLANK(I34), $F34*(1+G34), MIN($F34*(1+G34), I34))))</f>
        <v>0</v>
      </c>
      <c r="L34" s="57">
        <f>IF(AND(ISBLANK(H34), ISBLANK(J34)), $F34, IF(ISBLANK(H34), J34, IF(ISBLANK(J34), $F34*(1+H34), MIN($F34*(1+H34), J34))))</f>
        <v>0</v>
      </c>
      <c r="M34" s="58">
        <f>IF(VLOOKUP($A34, 'Individual Bounds - Overall'!$A$2:$F$50,4,0)="Yes", 'Quarterly Calculation'!N35, K34)</f>
        <v>30872.5</v>
      </c>
      <c r="N34" s="58">
        <f>IF(VLOOKUP($A34, 'Individual Bounds - Overall'!$A$2:$F$50,4,0)="Yes", 'Quarterly Calculation'!O35, L34)</f>
        <v>32416.125000000004</v>
      </c>
    </row>
    <row r="35" spans="1:14" x14ac:dyDescent="0.25">
      <c r="A35" s="3" t="s">
        <v>215</v>
      </c>
      <c r="B35" s="3" t="s">
        <v>209</v>
      </c>
      <c r="C35" s="3" t="s">
        <v>216</v>
      </c>
      <c r="D35" s="3" t="s">
        <v>76</v>
      </c>
      <c r="E35" s="59" t="str">
        <f>VLOOKUP($A35, 'Individual Bounds - Overall'!$A$1:$L$50, 5, 0)</f>
        <v>No</v>
      </c>
      <c r="F35" s="50">
        <f>SUMIFS('Quarterly Calculation'!$K$3:$K$198, 'Quarterly Calculation'!$A$3:$A$198, 'Individual Bounds - Quarterly'!$A39, 'Quarterly Calculation'!$D$3:$D$198, 'Individual Bounds - Quarterly'!$D39)</f>
        <v>910579.1</v>
      </c>
      <c r="G35" s="62">
        <v>0.05</v>
      </c>
      <c r="H35" s="62">
        <v>0.1</v>
      </c>
      <c r="I35" s="63">
        <v>2430653</v>
      </c>
      <c r="J35" s="63">
        <v>2552185.65</v>
      </c>
      <c r="K35" s="57">
        <f>IF(AND(ISBLANK(G35), ISBLANK(I35)), $F35, IF(ISBLANK(G35), I35, IF(ISBLANK(I35), $F35*(1+G35), MIN($F35*(1+G35), I35))))</f>
        <v>956108.05500000005</v>
      </c>
      <c r="L35" s="57">
        <f>IF(AND(ISBLANK(H35), ISBLANK(J35)), $F35, IF(ISBLANK(H35), J35, IF(ISBLANK(J35), $F35*(1+H35), MIN($F35*(1+H35), J35))))</f>
        <v>1001637.01</v>
      </c>
      <c r="M35" s="58">
        <f>IF(VLOOKUP($A35, 'Individual Bounds - Overall'!$A$2:$F$50,4,0)="Yes", 'Quarterly Calculation'!N36, K35)</f>
        <v>9923.8109999999997</v>
      </c>
      <c r="N35" s="58">
        <f>IF(VLOOKUP($A35, 'Individual Bounds - Overall'!$A$2:$F$50,4,0)="Yes", 'Quarterly Calculation'!O36, L35)</f>
        <v>10420.001550000001</v>
      </c>
    </row>
    <row r="36" spans="1:14" x14ac:dyDescent="0.25">
      <c r="A36" s="3" t="s">
        <v>215</v>
      </c>
      <c r="B36" s="3" t="s">
        <v>209</v>
      </c>
      <c r="C36" s="3" t="s">
        <v>216</v>
      </c>
      <c r="D36" s="3" t="s">
        <v>77</v>
      </c>
      <c r="E36" s="59" t="str">
        <f>VLOOKUP($A36, 'Individual Bounds - Overall'!$A$1:$L$50, 5, 0)</f>
        <v>No</v>
      </c>
      <c r="F36" s="50">
        <f>SUMIFS('Quarterly Calculation'!$K$3:$K$198, 'Quarterly Calculation'!$A$3:$A$198, 'Individual Bounds - Quarterly'!$A74, 'Quarterly Calculation'!$D$3:$D$198, 'Individual Bounds - Quarterly'!$D74)</f>
        <v>23682.27</v>
      </c>
      <c r="G36" s="62">
        <v>0.05</v>
      </c>
      <c r="H36" s="62">
        <v>0.1</v>
      </c>
      <c r="I36" s="63">
        <v>2430653</v>
      </c>
      <c r="J36" s="63">
        <v>2552185.65</v>
      </c>
      <c r="K36" s="57">
        <f>IF(AND(ISBLANK(G36), ISBLANK(I36)), $F36, IF(ISBLANK(G36), I36, IF(ISBLANK(I36), $F36*(1+G36), MIN($F36*(1+G36), I36))))</f>
        <v>24866.3835</v>
      </c>
      <c r="L36" s="57">
        <f>IF(AND(ISBLANK(H36), ISBLANK(J36)), $F36, IF(ISBLANK(H36), J36, IF(ISBLANK(J36), $F36*(1+H36), MIN($F36*(1+H36), J36))))</f>
        <v>26050.497000000003</v>
      </c>
      <c r="M36" s="58">
        <f>IF(VLOOKUP($A36, 'Individual Bounds - Overall'!$A$2:$F$50,4,0)="Yes", 'Quarterly Calculation'!N37, K36)</f>
        <v>0</v>
      </c>
      <c r="N36" s="58">
        <f>IF(VLOOKUP($A36, 'Individual Bounds - Overall'!$A$2:$F$50,4,0)="Yes", 'Quarterly Calculation'!O37, L36)</f>
        <v>0</v>
      </c>
    </row>
    <row r="37" spans="1:14" x14ac:dyDescent="0.25">
      <c r="A37" s="3" t="s">
        <v>215</v>
      </c>
      <c r="B37" s="3" t="s">
        <v>209</v>
      </c>
      <c r="C37" s="3" t="s">
        <v>216</v>
      </c>
      <c r="D37" s="3" t="s">
        <v>78</v>
      </c>
      <c r="E37" s="59" t="str">
        <f>VLOOKUP($A37, 'Individual Bounds - Overall'!$A$1:$L$50, 5, 0)</f>
        <v>No</v>
      </c>
      <c r="F37" s="50">
        <f>SUMIFS('Quarterly Calculation'!$K$3:$K$198, 'Quarterly Calculation'!$A$3:$A$198, 'Individual Bounds - Quarterly'!$A101, 'Quarterly Calculation'!$D$3:$D$198, 'Individual Bounds - Quarterly'!$D101)</f>
        <v>541</v>
      </c>
      <c r="G37" s="62">
        <v>0.05</v>
      </c>
      <c r="H37" s="62">
        <v>0.1</v>
      </c>
      <c r="I37" s="63">
        <v>2430653</v>
      </c>
      <c r="J37" s="63">
        <v>2552185.65</v>
      </c>
      <c r="K37" s="57">
        <f>IF(AND(ISBLANK(G37), ISBLANK(I37)), $F37, IF(ISBLANK(G37), I37, IF(ISBLANK(I37), $F37*(1+G37), MIN($F37*(1+G37), I37))))</f>
        <v>568.05000000000007</v>
      </c>
      <c r="L37" s="57">
        <f>IF(AND(ISBLANK(H37), ISBLANK(J37)), $F37, IF(ISBLANK(H37), J37, IF(ISBLANK(J37), $F37*(1+H37), MIN($F37*(1+H37), J37))))</f>
        <v>595.1</v>
      </c>
      <c r="M37" s="58">
        <f>IF(VLOOKUP($A37, 'Individual Bounds - Overall'!$A$2:$F$50,4,0)="Yes", 'Quarterly Calculation'!N38, K37)</f>
        <v>167636.5</v>
      </c>
      <c r="N37" s="58">
        <f>IF(VLOOKUP($A37, 'Individual Bounds - Overall'!$A$2:$F$50,4,0)="Yes", 'Quarterly Calculation'!O38, L37)</f>
        <v>176018.32500000001</v>
      </c>
    </row>
    <row r="38" spans="1:14" x14ac:dyDescent="0.25">
      <c r="A38" s="3" t="s">
        <v>208</v>
      </c>
      <c r="B38" s="3" t="s">
        <v>209</v>
      </c>
      <c r="C38" s="3" t="s">
        <v>210</v>
      </c>
      <c r="D38" s="3" t="s">
        <v>75</v>
      </c>
      <c r="E38" s="59" t="str">
        <f>VLOOKUP($A38, 'Individual Bounds - Overall'!$A$1:$L$50, 5, 0)</f>
        <v>No</v>
      </c>
      <c r="F38" s="50">
        <f>SUMIFS('Quarterly Calculation'!$K$3:$K$198, 'Quarterly Calculation'!$A$3:$A$198, 'Individual Bounds - Quarterly'!$A9, 'Quarterly Calculation'!$D$3:$D$198, 'Individual Bounds - Quarterly'!$D9)</f>
        <v>649846.9</v>
      </c>
      <c r="G38" s="62">
        <v>0.05</v>
      </c>
      <c r="H38" s="62">
        <v>0.1</v>
      </c>
      <c r="I38" s="63">
        <v>1331429</v>
      </c>
      <c r="J38" s="63">
        <v>1398000.45</v>
      </c>
      <c r="K38" s="57">
        <f>IF(AND(ISBLANK(G38), ISBLANK(I38)), $F38, IF(ISBLANK(G38), I38, IF(ISBLANK(I38), $F38*(1+G38), MIN($F38*(1+G38), I38))))</f>
        <v>682339.245</v>
      </c>
      <c r="L38" s="57">
        <f>IF(AND(ISBLANK(H38), ISBLANK(J38)), $F38, IF(ISBLANK(H38), J38, IF(ISBLANK(J38), $F38*(1+H38), MIN($F38*(1+H38), J38))))</f>
        <v>714831.59000000008</v>
      </c>
      <c r="M38" s="58">
        <f>IF(VLOOKUP($A38, 'Individual Bounds - Overall'!$A$2:$F$50,4,0)="Yes", 'Quarterly Calculation'!N39, K38)</f>
        <v>568184.30000000005</v>
      </c>
      <c r="N38" s="58">
        <f>IF(VLOOKUP($A38, 'Individual Bounds - Overall'!$A$2:$F$50,4,0)="Yes", 'Quarterly Calculation'!O39, L38)</f>
        <v>596593.51500000001</v>
      </c>
    </row>
    <row r="39" spans="1:14" x14ac:dyDescent="0.25">
      <c r="A39" s="3" t="s">
        <v>208</v>
      </c>
      <c r="B39" s="3" t="s">
        <v>209</v>
      </c>
      <c r="C39" s="3" t="s">
        <v>210</v>
      </c>
      <c r="D39" s="3" t="s">
        <v>76</v>
      </c>
      <c r="E39" s="59" t="str">
        <f>VLOOKUP($A39, 'Individual Bounds - Overall'!$A$1:$L$50, 5, 0)</f>
        <v>No</v>
      </c>
      <c r="F39" s="50">
        <f>SUMIFS('Quarterly Calculation'!$K$3:$K$198, 'Quarterly Calculation'!$A$3:$A$198, 'Individual Bounds - Quarterly'!$A36, 'Quarterly Calculation'!$D$3:$D$198, 'Individual Bounds - Quarterly'!$D36)</f>
        <v>0</v>
      </c>
      <c r="G39" s="62">
        <v>0.05</v>
      </c>
      <c r="H39" s="62">
        <v>0.1</v>
      </c>
      <c r="I39" s="63">
        <v>2430653</v>
      </c>
      <c r="J39" s="63">
        <v>2552185.65</v>
      </c>
      <c r="K39" s="57">
        <f>IF(AND(ISBLANK(G39), ISBLANK(I39)), $F39, IF(ISBLANK(G39), I39, IF(ISBLANK(I39), $F39*(1+G39), MIN($F39*(1+G39), I39))))</f>
        <v>0</v>
      </c>
      <c r="L39" s="57">
        <f>IF(AND(ISBLANK(H39), ISBLANK(J39)), $F39, IF(ISBLANK(H39), J39, IF(ISBLANK(J39), $F39*(1+H39), MIN($F39*(1+H39), J39))))</f>
        <v>0</v>
      </c>
      <c r="M39" s="58">
        <f>IF(VLOOKUP($A39, 'Individual Bounds - Overall'!$A$2:$F$50,4,0)="Yes", 'Quarterly Calculation'!N40, K39)</f>
        <v>910579.1</v>
      </c>
      <c r="N39" s="58">
        <f>IF(VLOOKUP($A39, 'Individual Bounds - Overall'!$A$2:$F$50,4,0)="Yes", 'Quarterly Calculation'!O40, L39)</f>
        <v>956108.05500000005</v>
      </c>
    </row>
    <row r="40" spans="1:14" x14ac:dyDescent="0.25">
      <c r="A40" s="3" t="s">
        <v>208</v>
      </c>
      <c r="B40" s="3" t="s">
        <v>209</v>
      </c>
      <c r="C40" s="3" t="s">
        <v>210</v>
      </c>
      <c r="D40" s="3" t="s">
        <v>77</v>
      </c>
      <c r="E40" s="59" t="str">
        <f>VLOOKUP($A40, 'Individual Bounds - Overall'!$A$1:$L$50, 5, 0)</f>
        <v>No</v>
      </c>
      <c r="F40" s="50">
        <f>SUMIFS('Quarterly Calculation'!$K$3:$K$198, 'Quarterly Calculation'!$A$3:$A$198, 'Individual Bounds - Quarterly'!$A71, 'Quarterly Calculation'!$D$3:$D$198, 'Individual Bounds - Quarterly'!$D71)</f>
        <v>2042248</v>
      </c>
      <c r="G40" s="62">
        <v>0.05</v>
      </c>
      <c r="H40" s="62">
        <v>0.1</v>
      </c>
      <c r="I40" s="63">
        <v>2430653</v>
      </c>
      <c r="J40" s="63">
        <v>2552185.65</v>
      </c>
      <c r="K40" s="57">
        <f>IF(AND(ISBLANK(G40), ISBLANK(I40)), $F40, IF(ISBLANK(G40), I40, IF(ISBLANK(I40), $F40*(1+G40), MIN($F40*(1+G40), I40))))</f>
        <v>2144360.4</v>
      </c>
      <c r="L40" s="57">
        <f>IF(AND(ISBLANK(H40), ISBLANK(J40)), $F40, IF(ISBLANK(H40), J40, IF(ISBLANK(J40), $F40*(1+H40), MIN($F40*(1+H40), J40))))</f>
        <v>2246472.8000000003</v>
      </c>
      <c r="M40" s="58">
        <f>IF(VLOOKUP($A40, 'Individual Bounds - Overall'!$A$2:$F$50,4,0)="Yes", 'Quarterly Calculation'!N41, K40)</f>
        <v>477851.9</v>
      </c>
      <c r="N40" s="58">
        <f>IF(VLOOKUP($A40, 'Individual Bounds - Overall'!$A$2:$F$50,4,0)="Yes", 'Quarterly Calculation'!O41, L40)</f>
        <v>501744.49500000005</v>
      </c>
    </row>
    <row r="41" spans="1:14" x14ac:dyDescent="0.25">
      <c r="A41" s="3" t="s">
        <v>208</v>
      </c>
      <c r="B41" s="3" t="s">
        <v>209</v>
      </c>
      <c r="C41" s="3" t="s">
        <v>210</v>
      </c>
      <c r="D41" s="3" t="s">
        <v>78</v>
      </c>
      <c r="E41" s="59" t="str">
        <f>VLOOKUP($A41, 'Individual Bounds - Overall'!$A$1:$L$50, 5, 0)</f>
        <v>No</v>
      </c>
      <c r="F41" s="50">
        <f>SUMIFS('Quarterly Calculation'!$K$3:$K$198, 'Quarterly Calculation'!$A$3:$A$198, 'Individual Bounds - Quarterly'!$A98, 'Quarterly Calculation'!$D$3:$D$198, 'Individual Bounds - Quarterly'!$D98)</f>
        <v>0</v>
      </c>
      <c r="G41" s="62">
        <v>0.05</v>
      </c>
      <c r="H41" s="62">
        <v>0.1</v>
      </c>
      <c r="I41" s="63">
        <v>2430653</v>
      </c>
      <c r="J41" s="63">
        <v>2552185.65</v>
      </c>
      <c r="K41" s="57">
        <f>IF(AND(ISBLANK(G41), ISBLANK(I41)), $F41, IF(ISBLANK(G41), I41, IF(ISBLANK(I41), $F41*(1+G41), MIN($F41*(1+G41), I41))))</f>
        <v>0</v>
      </c>
      <c r="L41" s="57">
        <f>IF(AND(ISBLANK(H41), ISBLANK(J41)), $F41, IF(ISBLANK(H41), J41, IF(ISBLANK(J41), $F41*(1+H41), MIN($F41*(1+H41), J41))))</f>
        <v>0</v>
      </c>
      <c r="M41" s="58">
        <f>IF(VLOOKUP($A41, 'Individual Bounds - Overall'!$A$2:$F$50,4,0)="Yes", 'Quarterly Calculation'!N42, K41)</f>
        <v>1515583</v>
      </c>
      <c r="N41" s="58">
        <f>IF(VLOOKUP($A41, 'Individual Bounds - Overall'!$A$2:$F$50,4,0)="Yes", 'Quarterly Calculation'!O42, L41)</f>
        <v>1591362.1500000001</v>
      </c>
    </row>
    <row r="42" spans="1:14" x14ac:dyDescent="0.25">
      <c r="A42" s="3" t="s">
        <v>211</v>
      </c>
      <c r="B42" s="3" t="s">
        <v>209</v>
      </c>
      <c r="C42" s="3" t="s">
        <v>212</v>
      </c>
      <c r="D42" s="3" t="s">
        <v>75</v>
      </c>
      <c r="E42" s="59" t="str">
        <f>VLOOKUP($A42, 'Individual Bounds - Overall'!$A$1:$L$50, 5, 0)</f>
        <v>No</v>
      </c>
      <c r="F42" s="50">
        <f>SUMIFS('Quarterly Calculation'!$K$3:$K$198, 'Quarterly Calculation'!$A$3:$A$198, 'Individual Bounds - Quarterly'!$A10, 'Quarterly Calculation'!$D$3:$D$198, 'Individual Bounds - Quarterly'!$D10)</f>
        <v>191798.7</v>
      </c>
      <c r="G42" s="62">
        <v>0.05</v>
      </c>
      <c r="H42" s="62">
        <v>0.1</v>
      </c>
      <c r="I42" s="63">
        <v>0</v>
      </c>
      <c r="J42" s="63">
        <v>0</v>
      </c>
      <c r="K42" s="57">
        <f>IF(AND(ISBLANK(G42), ISBLANK(I42)), $F42, IF(ISBLANK(G42), I42, IF(ISBLANK(I42), $F42*(1+G42), MIN($F42*(1+G42), I42))))</f>
        <v>0</v>
      </c>
      <c r="L42" s="57">
        <f>IF(AND(ISBLANK(H42), ISBLANK(J42)), $F42, IF(ISBLANK(H42), J42, IF(ISBLANK(J42), $F42*(1+H42), MIN($F42*(1+H42), J42))))</f>
        <v>0</v>
      </c>
      <c r="M42" s="58">
        <f>IF(VLOOKUP($A42, 'Individual Bounds - Overall'!$A$2:$F$50,4,0)="Yes", 'Quarterly Calculation'!N43, K42)</f>
        <v>346345.9</v>
      </c>
      <c r="N42" s="58">
        <f>IF(VLOOKUP($A42, 'Individual Bounds - Overall'!$A$2:$F$50,4,0)="Yes", 'Quarterly Calculation'!O43, L42)</f>
        <v>363663.19500000007</v>
      </c>
    </row>
    <row r="43" spans="1:14" x14ac:dyDescent="0.25">
      <c r="A43" s="3" t="s">
        <v>211</v>
      </c>
      <c r="B43" s="3" t="s">
        <v>209</v>
      </c>
      <c r="C43" s="3" t="s">
        <v>212</v>
      </c>
      <c r="D43" s="3" t="s">
        <v>76</v>
      </c>
      <c r="E43" s="59" t="str">
        <f>VLOOKUP($A43, 'Individual Bounds - Overall'!$A$1:$L$50, 5, 0)</f>
        <v>No</v>
      </c>
      <c r="F43" s="50">
        <f>SUMIFS('Quarterly Calculation'!$K$3:$K$198, 'Quarterly Calculation'!$A$3:$A$198, 'Individual Bounds - Quarterly'!$A37, 'Quarterly Calculation'!$D$3:$D$198, 'Individual Bounds - Quarterly'!$D37)</f>
        <v>167636.5</v>
      </c>
      <c r="G43" s="62">
        <v>0.05</v>
      </c>
      <c r="H43" s="62">
        <v>0.1</v>
      </c>
      <c r="I43" s="63">
        <v>2430653</v>
      </c>
      <c r="J43" s="63">
        <v>2552185.65</v>
      </c>
      <c r="K43" s="57">
        <f>IF(AND(ISBLANK(G43), ISBLANK(I43)), $F43, IF(ISBLANK(G43), I43, IF(ISBLANK(I43), $F43*(1+G43), MIN($F43*(1+G43), I43))))</f>
        <v>176018.32500000001</v>
      </c>
      <c r="L43" s="57">
        <f>IF(AND(ISBLANK(H43), ISBLANK(J43)), $F43, IF(ISBLANK(H43), J43, IF(ISBLANK(J43), $F43*(1+H43), MIN($F43*(1+H43), J43))))</f>
        <v>184400.15000000002</v>
      </c>
      <c r="M43" s="58">
        <f>IF(VLOOKUP($A43, 'Individual Bounds - Overall'!$A$2:$F$50,4,0)="Yes", 'Quarterly Calculation'!N44, K43)</f>
        <v>261171.7</v>
      </c>
      <c r="N43" s="58">
        <f>IF(VLOOKUP($A43, 'Individual Bounds - Overall'!$A$2:$F$50,4,0)="Yes", 'Quarterly Calculation'!O44, L43)</f>
        <v>274230.28500000003</v>
      </c>
    </row>
    <row r="44" spans="1:14" x14ac:dyDescent="0.25">
      <c r="A44" s="3" t="s">
        <v>211</v>
      </c>
      <c r="B44" s="3" t="s">
        <v>209</v>
      </c>
      <c r="C44" s="3" t="s">
        <v>212</v>
      </c>
      <c r="D44" s="3" t="s">
        <v>77</v>
      </c>
      <c r="E44" s="59" t="str">
        <f>VLOOKUP($A44, 'Individual Bounds - Overall'!$A$1:$L$50, 5, 0)</f>
        <v>No</v>
      </c>
      <c r="F44" s="50">
        <f>SUMIFS('Quarterly Calculation'!$K$3:$K$198, 'Quarterly Calculation'!$A$3:$A$198, 'Individual Bounds - Quarterly'!$A72, 'Quarterly Calculation'!$D$3:$D$198, 'Individual Bounds - Quarterly'!$D72)</f>
        <v>2303235</v>
      </c>
      <c r="G44" s="62">
        <v>0.05</v>
      </c>
      <c r="H44" s="62">
        <v>0.1</v>
      </c>
      <c r="I44" s="63">
        <v>2430653</v>
      </c>
      <c r="J44" s="63">
        <v>2552185.65</v>
      </c>
      <c r="K44" s="57">
        <f>IF(AND(ISBLANK(G44), ISBLANK(I44)), $F44, IF(ISBLANK(G44), I44, IF(ISBLANK(I44), $F44*(1+G44), MIN($F44*(1+G44), I44))))</f>
        <v>2418396.75</v>
      </c>
      <c r="L44" s="57">
        <f>IF(AND(ISBLANK(H44), ISBLANK(J44)), $F44, IF(ISBLANK(H44), J44, IF(ISBLANK(J44), $F44*(1+H44), MIN($F44*(1+H44), J44))))</f>
        <v>2533558.5</v>
      </c>
      <c r="M44" s="58">
        <f>IF(VLOOKUP($A44, 'Individual Bounds - Overall'!$A$2:$F$50,4,0)="Yes", 'Quarterly Calculation'!N45, K44)</f>
        <v>74456.36</v>
      </c>
      <c r="N44" s="58">
        <f>IF(VLOOKUP($A44, 'Individual Bounds - Overall'!$A$2:$F$50,4,0)="Yes", 'Quarterly Calculation'!O45, L44)</f>
        <v>78179.178</v>
      </c>
    </row>
    <row r="45" spans="1:14" x14ac:dyDescent="0.25">
      <c r="A45" s="3" t="s">
        <v>211</v>
      </c>
      <c r="B45" s="3" t="s">
        <v>209</v>
      </c>
      <c r="C45" s="3" t="s">
        <v>212</v>
      </c>
      <c r="D45" s="3" t="s">
        <v>78</v>
      </c>
      <c r="E45" s="59" t="str">
        <f>VLOOKUP($A45, 'Individual Bounds - Overall'!$A$1:$L$50, 5, 0)</f>
        <v>No</v>
      </c>
      <c r="F45" s="50">
        <f>SUMIFS('Quarterly Calculation'!$K$3:$K$198, 'Quarterly Calculation'!$A$3:$A$198, 'Individual Bounds - Quarterly'!$A99, 'Quarterly Calculation'!$D$3:$D$198, 'Individual Bounds - Quarterly'!$D99)</f>
        <v>0</v>
      </c>
      <c r="G45" s="62">
        <v>0.05</v>
      </c>
      <c r="H45" s="62">
        <v>0.1</v>
      </c>
      <c r="I45" s="63">
        <v>2430653</v>
      </c>
      <c r="J45" s="63">
        <v>2552185.65</v>
      </c>
      <c r="K45" s="57">
        <f>IF(AND(ISBLANK(G45), ISBLANK(I45)), $F45, IF(ISBLANK(G45), I45, IF(ISBLANK(I45), $F45*(1+G45), MIN($F45*(1+G45), I45))))</f>
        <v>0</v>
      </c>
      <c r="L45" s="57">
        <f>IF(AND(ISBLANK(H45), ISBLANK(J45)), $F45, IF(ISBLANK(H45), J45, IF(ISBLANK(J45), $F45*(1+H45), MIN($F45*(1+H45), J45))))</f>
        <v>0</v>
      </c>
      <c r="M45" s="58">
        <f>IF(VLOOKUP($A45, 'Individual Bounds - Overall'!$A$2:$F$50,4,0)="Yes", 'Quarterly Calculation'!N46, K45)</f>
        <v>160394</v>
      </c>
      <c r="N45" s="58">
        <f>IF(VLOOKUP($A45, 'Individual Bounds - Overall'!$A$2:$F$50,4,0)="Yes", 'Quarterly Calculation'!O46, L45)</f>
        <v>168413.7</v>
      </c>
    </row>
    <row r="46" spans="1:14" x14ac:dyDescent="0.25">
      <c r="A46" s="3" t="s">
        <v>257</v>
      </c>
      <c r="B46" s="3" t="s">
        <v>218</v>
      </c>
      <c r="C46" s="3" t="s">
        <v>258</v>
      </c>
      <c r="D46" s="3" t="s">
        <v>75</v>
      </c>
      <c r="E46" s="59" t="str">
        <f>VLOOKUP($A46, 'Individual Bounds - Overall'!$A$1:$L$50, 5, 0)</f>
        <v>No</v>
      </c>
      <c r="F46" s="50">
        <f>SUMIFS('Quarterly Calculation'!$K$3:$K$198, 'Quarterly Calculation'!$A$3:$A$198, 'Individual Bounds - Quarterly'!$A100, 'Quarterly Calculation'!$D$3:$D$198, 'Individual Bounds - Quarterly'!$D100)</f>
        <v>0</v>
      </c>
      <c r="G46" s="62">
        <v>0.05</v>
      </c>
      <c r="H46" s="62">
        <v>0.1</v>
      </c>
      <c r="I46" s="63">
        <v>2430653</v>
      </c>
      <c r="J46" s="63">
        <v>2552185.65</v>
      </c>
      <c r="K46" s="57">
        <f t="shared" ref="K46:K53" si="0">IF(AND(ISBLANK(G46), ISBLANK(I46)), $F46, IF(ISBLANK(G46), I46, IF(ISBLANK(I46), $F46*(1+G46), MIN($F46*(1+G46), I46))))</f>
        <v>0</v>
      </c>
      <c r="L46" s="57">
        <f t="shared" ref="L46:L53" si="1">IF(AND(ISBLANK(H46), ISBLANK(J46)), $F46, IF(ISBLANK(H46), J46, IF(ISBLANK(J46), $F46*(1+H46), MIN($F46*(1+H46), J46))))</f>
        <v>0</v>
      </c>
      <c r="M46" s="58">
        <f>IF(VLOOKUP($A46, 'Individual Bounds - Overall'!$A$2:$F$50,4,0)="Yes", 'Quarterly Calculation'!N47, K46)</f>
        <v>80</v>
      </c>
      <c r="N46" s="58">
        <f>IF(VLOOKUP($A46, 'Individual Bounds - Overall'!$A$2:$F$50,4,0)="Yes", 'Quarterly Calculation'!O47, L46)</f>
        <v>84</v>
      </c>
    </row>
    <row r="47" spans="1:14" x14ac:dyDescent="0.25">
      <c r="A47" s="3" t="s">
        <v>257</v>
      </c>
      <c r="B47" s="3" t="s">
        <v>218</v>
      </c>
      <c r="C47" s="3" t="s">
        <v>258</v>
      </c>
      <c r="D47" s="3" t="s">
        <v>76</v>
      </c>
      <c r="E47" s="59" t="str">
        <f>VLOOKUP($A47, 'Individual Bounds - Overall'!$A$1:$L$50, 5, 0)</f>
        <v>No</v>
      </c>
      <c r="F47" s="50">
        <f>SUMIFS('Quarterly Calculation'!$K$3:$K$198, 'Quarterly Calculation'!$A$3:$A$198, 'Individual Bounds - Quarterly'!$A101, 'Quarterly Calculation'!$D$3:$D$198, 'Individual Bounds - Quarterly'!$D101)</f>
        <v>541</v>
      </c>
      <c r="G47" s="62">
        <v>0.05</v>
      </c>
      <c r="H47" s="62">
        <v>0.1</v>
      </c>
      <c r="I47" s="63">
        <v>2430653</v>
      </c>
      <c r="J47" s="63">
        <v>2552185.65</v>
      </c>
      <c r="K47" s="57">
        <f t="shared" si="0"/>
        <v>568.05000000000007</v>
      </c>
      <c r="L47" s="57">
        <f t="shared" si="1"/>
        <v>595.1</v>
      </c>
      <c r="M47" s="58">
        <f>IF(VLOOKUP($A47, 'Individual Bounds - Overall'!$A$2:$F$50,4,0)="Yes", 'Quarterly Calculation'!N48, K47)</f>
        <v>120</v>
      </c>
      <c r="N47" s="58">
        <f>IF(VLOOKUP($A47, 'Individual Bounds - Overall'!$A$2:$F$50,4,0)="Yes", 'Quarterly Calculation'!O48, L47)</f>
        <v>126</v>
      </c>
    </row>
    <row r="48" spans="1:14" x14ac:dyDescent="0.25">
      <c r="A48" s="3" t="s">
        <v>257</v>
      </c>
      <c r="B48" s="3" t="s">
        <v>218</v>
      </c>
      <c r="C48" s="3" t="s">
        <v>258</v>
      </c>
      <c r="D48" s="3" t="s">
        <v>77</v>
      </c>
      <c r="E48" s="59" t="str">
        <f>VLOOKUP($A48, 'Individual Bounds - Overall'!$A$1:$L$50, 5, 0)</f>
        <v>No</v>
      </c>
      <c r="F48" s="50">
        <f>SUMIFS('Quarterly Calculation'!$K$3:$K$198, 'Quarterly Calculation'!$A$3:$A$198, 'Individual Bounds - Quarterly'!$A102, 'Quarterly Calculation'!$D$3:$D$198, 'Individual Bounds - Quarterly'!$D102)</f>
        <v>228003.1</v>
      </c>
      <c r="G48" s="62">
        <v>0.05</v>
      </c>
      <c r="H48" s="62">
        <v>0.1</v>
      </c>
      <c r="I48" s="63">
        <v>2430653</v>
      </c>
      <c r="J48" s="63">
        <v>2552185.65</v>
      </c>
      <c r="K48" s="57">
        <f t="shared" si="0"/>
        <v>239403.255</v>
      </c>
      <c r="L48" s="57">
        <f t="shared" si="1"/>
        <v>250803.41000000003</v>
      </c>
      <c r="M48" s="58">
        <f>IF(VLOOKUP($A48, 'Individual Bounds - Overall'!$A$2:$F$50,4,0)="Yes", 'Quarterly Calculation'!N49, K48)</f>
        <v>40</v>
      </c>
      <c r="N48" s="58">
        <f>IF(VLOOKUP($A48, 'Individual Bounds - Overall'!$A$2:$F$50,4,0)="Yes", 'Quarterly Calculation'!O49, L48)</f>
        <v>42</v>
      </c>
    </row>
    <row r="49" spans="1:14" x14ac:dyDescent="0.25">
      <c r="A49" s="3" t="s">
        <v>257</v>
      </c>
      <c r="B49" s="3" t="s">
        <v>218</v>
      </c>
      <c r="C49" s="3" t="s">
        <v>258</v>
      </c>
      <c r="D49" s="3" t="s">
        <v>78</v>
      </c>
      <c r="E49" s="59" t="str">
        <f>VLOOKUP($A49, 'Individual Bounds - Overall'!$A$1:$L$50, 5, 0)</f>
        <v>No</v>
      </c>
      <c r="F49" s="50">
        <f>SUMIFS('Quarterly Calculation'!$K$3:$K$198, 'Quarterly Calculation'!$A$3:$A$198, 'Individual Bounds - Quarterly'!$A103, 'Quarterly Calculation'!$D$3:$D$198, 'Individual Bounds - Quarterly'!$D103)</f>
        <v>201245.1</v>
      </c>
      <c r="G49" s="62">
        <v>0.05</v>
      </c>
      <c r="H49" s="62">
        <v>0.1</v>
      </c>
      <c r="I49" s="63">
        <v>2430653</v>
      </c>
      <c r="J49" s="63">
        <v>2552185.65</v>
      </c>
      <c r="K49" s="57">
        <f t="shared" si="0"/>
        <v>211307.35500000001</v>
      </c>
      <c r="L49" s="57">
        <f t="shared" si="1"/>
        <v>221369.61000000002</v>
      </c>
      <c r="M49" s="58">
        <f>IF(VLOOKUP($A49, 'Individual Bounds - Overall'!$A$2:$F$50,4,0)="Yes", 'Quarterly Calculation'!N50, K49)</f>
        <v>0</v>
      </c>
      <c r="N49" s="58">
        <f>IF(VLOOKUP($A49, 'Individual Bounds - Overall'!$A$2:$F$50,4,0)="Yes", 'Quarterly Calculation'!O50, L49)</f>
        <v>0</v>
      </c>
    </row>
    <row r="50" spans="1:14" x14ac:dyDescent="0.25">
      <c r="A50" s="3" t="s">
        <v>259</v>
      </c>
      <c r="B50" s="3" t="s">
        <v>218</v>
      </c>
      <c r="C50" s="3" t="s">
        <v>260</v>
      </c>
      <c r="D50" s="3" t="s">
        <v>75</v>
      </c>
      <c r="E50" s="59" t="str">
        <f>VLOOKUP($A50, 'Individual Bounds - Overall'!$A$1:$L$50, 5, 0)</f>
        <v>No</v>
      </c>
      <c r="F50" s="50">
        <f>SUMIFS('Quarterly Calculation'!$K$3:$K$198, 'Quarterly Calculation'!$A$3:$A$198, 'Individual Bounds - Quarterly'!$A104, 'Quarterly Calculation'!$D$3:$D$198, 'Individual Bounds - Quarterly'!$D104)</f>
        <v>315953.5</v>
      </c>
      <c r="G50" s="62">
        <v>0.05</v>
      </c>
      <c r="H50" s="62">
        <v>0.1</v>
      </c>
      <c r="I50" s="63">
        <v>2430653</v>
      </c>
      <c r="J50" s="63">
        <v>2552185.65</v>
      </c>
      <c r="K50" s="57">
        <f t="shared" si="0"/>
        <v>331751.17499999999</v>
      </c>
      <c r="L50" s="57">
        <f t="shared" si="1"/>
        <v>347548.85000000003</v>
      </c>
      <c r="M50" s="58">
        <f>IF(VLOOKUP($A50, 'Individual Bounds - Overall'!$A$2:$F$50,4,0)="Yes", 'Quarterly Calculation'!N51, K50)</f>
        <v>50</v>
      </c>
      <c r="N50" s="58">
        <f>IF(VLOOKUP($A50, 'Individual Bounds - Overall'!$A$2:$F$50,4,0)="Yes", 'Quarterly Calculation'!O51, L50)</f>
        <v>52.5</v>
      </c>
    </row>
    <row r="51" spans="1:14" x14ac:dyDescent="0.25">
      <c r="A51" s="3" t="s">
        <v>259</v>
      </c>
      <c r="B51" s="3" t="s">
        <v>218</v>
      </c>
      <c r="C51" s="3" t="s">
        <v>260</v>
      </c>
      <c r="D51" s="3" t="s">
        <v>76</v>
      </c>
      <c r="E51" s="59" t="str">
        <f>VLOOKUP($A51, 'Individual Bounds - Overall'!$A$1:$L$50, 5, 0)</f>
        <v>No</v>
      </c>
      <c r="F51" s="50">
        <f>SUMIFS('Quarterly Calculation'!$K$3:$K$198, 'Quarterly Calculation'!$A$3:$A$198, 'Individual Bounds - Quarterly'!$A105, 'Quarterly Calculation'!$D$3:$D$198, 'Individual Bounds - Quarterly'!$D105)</f>
        <v>759111</v>
      </c>
      <c r="G51" s="62">
        <v>0.05</v>
      </c>
      <c r="H51" s="62">
        <v>0.1</v>
      </c>
      <c r="I51" s="63">
        <v>2430653</v>
      </c>
      <c r="J51" s="63">
        <v>2552185.65</v>
      </c>
      <c r="K51" s="57">
        <f t="shared" si="0"/>
        <v>797066.55</v>
      </c>
      <c r="L51" s="57">
        <f t="shared" si="1"/>
        <v>835022.10000000009</v>
      </c>
      <c r="M51" s="58">
        <f>IF(VLOOKUP($A51, 'Individual Bounds - Overall'!$A$2:$F$50,4,0)="Yes", 'Quarterly Calculation'!N52, K51)</f>
        <v>0</v>
      </c>
      <c r="N51" s="58">
        <f>IF(VLOOKUP($A51, 'Individual Bounds - Overall'!$A$2:$F$50,4,0)="Yes", 'Quarterly Calculation'!O52, L51)</f>
        <v>0</v>
      </c>
    </row>
    <row r="52" spans="1:14" x14ac:dyDescent="0.25">
      <c r="A52" s="3" t="s">
        <v>259</v>
      </c>
      <c r="B52" s="3" t="s">
        <v>218</v>
      </c>
      <c r="C52" s="3" t="s">
        <v>260</v>
      </c>
      <c r="D52" s="3" t="s">
        <v>77</v>
      </c>
      <c r="E52" s="59" t="str">
        <f>VLOOKUP($A52, 'Individual Bounds - Overall'!$A$1:$L$50, 5, 0)</f>
        <v>No</v>
      </c>
      <c r="F52" s="50">
        <f>SUMIFS('Quarterly Calculation'!$K$3:$K$198, 'Quarterly Calculation'!$A$3:$A$198, 'Individual Bounds - Quarterly'!$A106, 'Quarterly Calculation'!$D$3:$D$198, 'Individual Bounds - Quarterly'!$D106)</f>
        <v>351505.1</v>
      </c>
      <c r="G52" s="62">
        <v>0.05</v>
      </c>
      <c r="H52" s="62">
        <v>0.1</v>
      </c>
      <c r="I52" s="63">
        <v>2430653</v>
      </c>
      <c r="J52" s="63">
        <v>2552185.65</v>
      </c>
      <c r="K52" s="57">
        <f t="shared" si="0"/>
        <v>369080.35499999998</v>
      </c>
      <c r="L52" s="57">
        <f t="shared" si="1"/>
        <v>386655.61</v>
      </c>
      <c r="M52" s="58">
        <f>IF(VLOOKUP($A52, 'Individual Bounds - Overall'!$A$2:$F$50,4,0)="Yes", 'Quarterly Calculation'!N53, K52)</f>
        <v>100</v>
      </c>
      <c r="N52" s="58">
        <f>IF(VLOOKUP($A52, 'Individual Bounds - Overall'!$A$2:$F$50,4,0)="Yes", 'Quarterly Calculation'!O53, L52)</f>
        <v>105</v>
      </c>
    </row>
    <row r="53" spans="1:14" x14ac:dyDescent="0.25">
      <c r="A53" s="3" t="s">
        <v>259</v>
      </c>
      <c r="B53" s="3" t="s">
        <v>218</v>
      </c>
      <c r="C53" s="3" t="s">
        <v>260</v>
      </c>
      <c r="D53" s="3" t="s">
        <v>78</v>
      </c>
      <c r="E53" s="59" t="str">
        <f>VLOOKUP($A53, 'Individual Bounds - Overall'!$A$1:$L$50, 5, 0)</f>
        <v>No</v>
      </c>
      <c r="F53" s="50">
        <f>SUMIFS('Quarterly Calculation'!$K$3:$K$198, 'Quarterly Calculation'!$A$3:$A$198, 'Individual Bounds - Quarterly'!$A107, 'Quarterly Calculation'!$D$3:$D$198, 'Individual Bounds - Quarterly'!$D107)</f>
        <v>0</v>
      </c>
      <c r="G53" s="62">
        <v>0.05</v>
      </c>
      <c r="H53" s="62">
        <v>0.1</v>
      </c>
      <c r="I53" s="63">
        <v>2430653</v>
      </c>
      <c r="J53" s="63">
        <v>2552185.65</v>
      </c>
      <c r="K53" s="57">
        <f t="shared" si="0"/>
        <v>0</v>
      </c>
      <c r="L53" s="57">
        <f t="shared" si="1"/>
        <v>0</v>
      </c>
      <c r="M53" s="58">
        <f>IF(VLOOKUP($A53, 'Individual Bounds - Overall'!$A$2:$F$50,4,0)="Yes", 'Quarterly Calculation'!N54, K53)</f>
        <v>200</v>
      </c>
      <c r="N53" s="58">
        <f>IF(VLOOKUP($A53, 'Individual Bounds - Overall'!$A$2:$F$50,4,0)="Yes", 'Quarterly Calculation'!O54, L53)</f>
        <v>210</v>
      </c>
    </row>
    <row r="54" spans="1:14" x14ac:dyDescent="0.25">
      <c r="A54" s="3" t="s">
        <v>217</v>
      </c>
      <c r="B54" s="3" t="s">
        <v>218</v>
      </c>
      <c r="C54" s="3" t="s">
        <v>219</v>
      </c>
      <c r="D54" s="3" t="s">
        <v>75</v>
      </c>
      <c r="E54" s="59" t="str">
        <f>VLOOKUP($A54, 'Individual Bounds - Overall'!$A$1:$L$50, 5, 0)</f>
        <v>No</v>
      </c>
      <c r="F54" s="50">
        <f>SUMIFS('Quarterly Calculation'!$K$3:$K$198, 'Quarterly Calculation'!$A$3:$A$198, 'Individual Bounds - Quarterly'!$A13, 'Quarterly Calculation'!$D$3:$D$198, 'Individual Bounds - Quarterly'!$D13)</f>
        <v>625473.69999999995</v>
      </c>
      <c r="G54" s="62">
        <v>0.05</v>
      </c>
      <c r="H54" s="62">
        <v>0.1</v>
      </c>
      <c r="I54" s="63">
        <v>0</v>
      </c>
      <c r="J54" s="63">
        <v>0</v>
      </c>
      <c r="K54" s="57">
        <f>IF(AND(ISBLANK(G54), ISBLANK(I54)), $F54, IF(ISBLANK(G54), I54, IF(ISBLANK(I54), $F54*(1+G54), MIN($F54*(1+G54), I54))))</f>
        <v>0</v>
      </c>
      <c r="L54" s="57">
        <f>IF(AND(ISBLANK(H54), ISBLANK(J54)), $F54, IF(ISBLANK(H54), J54, IF(ISBLANK(J54), $F54*(1+H54), MIN($F54*(1+H54), J54))))</f>
        <v>0</v>
      </c>
      <c r="M54" s="58">
        <f>IF(VLOOKUP($A54, 'Individual Bounds - Overall'!$A$2:$F$50,4,0)="Yes", 'Quarterly Calculation'!N55, K54)</f>
        <v>3007800</v>
      </c>
      <c r="N54" s="58">
        <f>IF(VLOOKUP($A54, 'Individual Bounds - Overall'!$A$2:$F$50,4,0)="Yes", 'Quarterly Calculation'!O55, L54)</f>
        <v>3158190</v>
      </c>
    </row>
    <row r="55" spans="1:14" x14ac:dyDescent="0.25">
      <c r="A55" s="3" t="s">
        <v>217</v>
      </c>
      <c r="B55" s="3" t="s">
        <v>218</v>
      </c>
      <c r="C55" s="3" t="s">
        <v>219</v>
      </c>
      <c r="D55" s="3" t="s">
        <v>76</v>
      </c>
      <c r="E55" s="59" t="str">
        <f>VLOOKUP($A55, 'Individual Bounds - Overall'!$A$1:$L$50, 5, 0)</f>
        <v>No</v>
      </c>
      <c r="F55" s="50">
        <f>SUMIFS('Quarterly Calculation'!$K$3:$K$198, 'Quarterly Calculation'!$A$3:$A$198, 'Individual Bounds - Quarterly'!$A40, 'Quarterly Calculation'!$D$3:$D$198, 'Individual Bounds - Quarterly'!$D40)</f>
        <v>477851.9</v>
      </c>
      <c r="G55" s="62">
        <v>0.05</v>
      </c>
      <c r="H55" s="62">
        <v>0.1</v>
      </c>
      <c r="I55" s="63">
        <v>2430653</v>
      </c>
      <c r="J55" s="63">
        <v>2552185.65</v>
      </c>
      <c r="K55" s="57">
        <f>IF(AND(ISBLANK(G55), ISBLANK(I55)), $F55, IF(ISBLANK(G55), I55, IF(ISBLANK(I55), $F55*(1+G55), MIN($F55*(1+G55), I55))))</f>
        <v>501744.49500000005</v>
      </c>
      <c r="L55" s="57">
        <f>IF(AND(ISBLANK(H55), ISBLANK(J55)), $F55, IF(ISBLANK(H55), J55, IF(ISBLANK(J55), $F55*(1+H55), MIN($F55*(1+H55), J55))))</f>
        <v>525637.09000000008</v>
      </c>
      <c r="M55" s="58">
        <f>IF(VLOOKUP($A55, 'Individual Bounds - Overall'!$A$2:$F$50,4,0)="Yes", 'Quarterly Calculation'!N56, K55)</f>
        <v>2548140</v>
      </c>
      <c r="N55" s="58">
        <f>IF(VLOOKUP($A55, 'Individual Bounds - Overall'!$A$2:$F$50,4,0)="Yes", 'Quarterly Calculation'!O56, L55)</f>
        <v>2675547</v>
      </c>
    </row>
    <row r="56" spans="1:14" x14ac:dyDescent="0.25">
      <c r="A56" s="3" t="s">
        <v>217</v>
      </c>
      <c r="B56" s="3" t="s">
        <v>218</v>
      </c>
      <c r="C56" s="3" t="s">
        <v>219</v>
      </c>
      <c r="D56" s="3" t="s">
        <v>77</v>
      </c>
      <c r="E56" s="59" t="str">
        <f>VLOOKUP($A56, 'Individual Bounds - Overall'!$A$1:$L$50, 5, 0)</f>
        <v>No</v>
      </c>
      <c r="F56" s="50">
        <f>SUMIFS('Quarterly Calculation'!$K$3:$K$198, 'Quarterly Calculation'!$A$3:$A$198, 'Individual Bounds - Quarterly'!$A75, 'Quarterly Calculation'!$D$3:$D$198, 'Individual Bounds - Quarterly'!$D75)</f>
        <v>46452.1</v>
      </c>
      <c r="G56" s="62">
        <v>0.05</v>
      </c>
      <c r="H56" s="62">
        <v>0.1</v>
      </c>
      <c r="I56" s="63">
        <v>2430653</v>
      </c>
      <c r="J56" s="63">
        <v>2552185.65</v>
      </c>
      <c r="K56" s="57">
        <f>IF(AND(ISBLANK(G56), ISBLANK(I56)), $F56, IF(ISBLANK(G56), I56, IF(ISBLANK(I56), $F56*(1+G56), MIN($F56*(1+G56), I56))))</f>
        <v>48774.705000000002</v>
      </c>
      <c r="L56" s="57">
        <f>IF(AND(ISBLANK(H56), ISBLANK(J56)), $F56, IF(ISBLANK(H56), J56, IF(ISBLANK(J56), $F56*(1+H56), MIN($F56*(1+H56), J56))))</f>
        <v>51097.310000000005</v>
      </c>
      <c r="M56" s="58">
        <f>IF(VLOOKUP($A56, 'Individual Bounds - Overall'!$A$2:$F$50,4,0)="Yes", 'Quarterly Calculation'!N57, K56)</f>
        <v>3301440</v>
      </c>
      <c r="N56" s="58">
        <f>IF(VLOOKUP($A56, 'Individual Bounds - Overall'!$A$2:$F$50,4,0)="Yes", 'Quarterly Calculation'!O57, L56)</f>
        <v>3466512</v>
      </c>
    </row>
    <row r="57" spans="1:14" x14ac:dyDescent="0.25">
      <c r="A57" s="3" t="s">
        <v>217</v>
      </c>
      <c r="B57" s="3" t="s">
        <v>218</v>
      </c>
      <c r="C57" s="3" t="s">
        <v>219</v>
      </c>
      <c r="D57" s="3" t="s">
        <v>78</v>
      </c>
      <c r="E57" s="59" t="str">
        <f>VLOOKUP($A57, 'Individual Bounds - Overall'!$A$1:$L$50, 5, 0)</f>
        <v>No</v>
      </c>
      <c r="F57" s="50">
        <f>SUMIFS('Quarterly Calculation'!$K$3:$K$198, 'Quarterly Calculation'!$A$3:$A$198, 'Individual Bounds - Quarterly'!$A102, 'Quarterly Calculation'!$D$3:$D$198, 'Individual Bounds - Quarterly'!$D102)</f>
        <v>228003.1</v>
      </c>
      <c r="G57" s="62">
        <v>0.05</v>
      </c>
      <c r="H57" s="62">
        <v>0.1</v>
      </c>
      <c r="I57" s="63">
        <v>2430653</v>
      </c>
      <c r="J57" s="63">
        <v>2552185.65</v>
      </c>
      <c r="K57" s="57">
        <f>IF(AND(ISBLANK(G57), ISBLANK(I57)), $F57, IF(ISBLANK(G57), I57, IF(ISBLANK(I57), $F57*(1+G57), MIN($F57*(1+G57), I57))))</f>
        <v>239403.255</v>
      </c>
      <c r="L57" s="57">
        <f>IF(AND(ISBLANK(H57), ISBLANK(J57)), $F57, IF(ISBLANK(H57), J57, IF(ISBLANK(J57), $F57*(1+H57), MIN($F57*(1+H57), J57))))</f>
        <v>250803.41000000003</v>
      </c>
      <c r="M57" s="58">
        <f>IF(VLOOKUP($A57, 'Individual Bounds - Overall'!$A$2:$F$50,4,0)="Yes", 'Quarterly Calculation'!N58, K57)</f>
        <v>3682380</v>
      </c>
      <c r="N57" s="58">
        <f>IF(VLOOKUP($A57, 'Individual Bounds - Overall'!$A$2:$F$50,4,0)="Yes", 'Quarterly Calculation'!O58, L57)</f>
        <v>3866499</v>
      </c>
    </row>
    <row r="58" spans="1:14" x14ac:dyDescent="0.25">
      <c r="A58" s="3" t="s">
        <v>220</v>
      </c>
      <c r="B58" s="3" t="s">
        <v>218</v>
      </c>
      <c r="C58" s="3" t="s">
        <v>221</v>
      </c>
      <c r="D58" s="3" t="s">
        <v>75</v>
      </c>
      <c r="E58" s="59" t="str">
        <f>VLOOKUP($A58, 'Individual Bounds - Overall'!$A$1:$L$50, 5, 0)</f>
        <v>No</v>
      </c>
      <c r="F58" s="50">
        <f>SUMIFS('Quarterly Calculation'!$K$3:$K$198, 'Quarterly Calculation'!$A$3:$A$198, 'Individual Bounds - Quarterly'!$A14, 'Quarterly Calculation'!$D$3:$D$198, 'Individual Bounds - Quarterly'!$D14)</f>
        <v>1405365</v>
      </c>
      <c r="G58" s="62">
        <v>0.05</v>
      </c>
      <c r="H58" s="62">
        <v>0.1</v>
      </c>
      <c r="I58" s="63">
        <v>0</v>
      </c>
      <c r="J58" s="63">
        <v>0</v>
      </c>
      <c r="K58" s="57">
        <f>IF(AND(ISBLANK(G58), ISBLANK(I58)), $F58, IF(ISBLANK(G58), I58, IF(ISBLANK(I58), $F58*(1+G58), MIN($F58*(1+G58), I58))))</f>
        <v>0</v>
      </c>
      <c r="L58" s="57">
        <f>IF(AND(ISBLANK(H58), ISBLANK(J58)), $F58, IF(ISBLANK(H58), J58, IF(ISBLANK(J58), $F58*(1+H58), MIN($F58*(1+H58), J58))))</f>
        <v>0</v>
      </c>
      <c r="M58" s="58">
        <f>IF(VLOOKUP($A58, 'Individual Bounds - Overall'!$A$2:$F$50,4,0)="Yes", 'Quarterly Calculation'!N59, K58)</f>
        <v>503680</v>
      </c>
      <c r="N58" s="58">
        <f>IF(VLOOKUP($A58, 'Individual Bounds - Overall'!$A$2:$F$50,4,0)="Yes", 'Quarterly Calculation'!O59, L58)</f>
        <v>528864</v>
      </c>
    </row>
    <row r="59" spans="1:14" x14ac:dyDescent="0.25">
      <c r="A59" s="3" t="s">
        <v>220</v>
      </c>
      <c r="B59" s="3" t="s">
        <v>218</v>
      </c>
      <c r="C59" s="3" t="s">
        <v>221</v>
      </c>
      <c r="D59" s="3" t="s">
        <v>76</v>
      </c>
      <c r="E59" s="59" t="str">
        <f>VLOOKUP($A59, 'Individual Bounds - Overall'!$A$1:$L$50, 5, 0)</f>
        <v>No</v>
      </c>
      <c r="F59" s="50">
        <f>SUMIFS('Quarterly Calculation'!$K$3:$K$198, 'Quarterly Calculation'!$A$3:$A$198, 'Individual Bounds - Quarterly'!$A41, 'Quarterly Calculation'!$D$3:$D$198, 'Individual Bounds - Quarterly'!$D41)</f>
        <v>1515583</v>
      </c>
      <c r="G59" s="62">
        <v>0.05</v>
      </c>
      <c r="H59" s="62">
        <v>0.1</v>
      </c>
      <c r="I59" s="63">
        <v>2430653</v>
      </c>
      <c r="J59" s="63">
        <v>2552185.65</v>
      </c>
      <c r="K59" s="57">
        <f>IF(AND(ISBLANK(G59), ISBLANK(I59)), $F59, IF(ISBLANK(G59), I59, IF(ISBLANK(I59), $F59*(1+G59), MIN($F59*(1+G59), I59))))</f>
        <v>1591362.1500000001</v>
      </c>
      <c r="L59" s="57">
        <f>IF(AND(ISBLANK(H59), ISBLANK(J59)), $F59, IF(ISBLANK(H59), J59, IF(ISBLANK(J59), $F59*(1+H59), MIN($F59*(1+H59), J59))))</f>
        <v>1667141.3</v>
      </c>
      <c r="M59" s="58">
        <f>IF(VLOOKUP($A59, 'Individual Bounds - Overall'!$A$2:$F$50,4,0)="Yes", 'Quarterly Calculation'!N60, K59)</f>
        <v>1126320</v>
      </c>
      <c r="N59" s="58">
        <f>IF(VLOOKUP($A59, 'Individual Bounds - Overall'!$A$2:$F$50,4,0)="Yes", 'Quarterly Calculation'!O60, L59)</f>
        <v>1182636</v>
      </c>
    </row>
    <row r="60" spans="1:14" x14ac:dyDescent="0.25">
      <c r="A60" s="3" t="s">
        <v>220</v>
      </c>
      <c r="B60" s="3" t="s">
        <v>218</v>
      </c>
      <c r="C60" s="3" t="s">
        <v>221</v>
      </c>
      <c r="D60" s="3" t="s">
        <v>77</v>
      </c>
      <c r="E60" s="59" t="str">
        <f>VLOOKUP($A60, 'Individual Bounds - Overall'!$A$1:$L$50, 5, 0)</f>
        <v>No</v>
      </c>
      <c r="F60" s="50">
        <f>SUMIFS('Quarterly Calculation'!$K$3:$K$198, 'Quarterly Calculation'!$A$3:$A$198, 'Individual Bounds - Quarterly'!$A76, 'Quarterly Calculation'!$D$3:$D$198, 'Individual Bounds - Quarterly'!$D76)</f>
        <v>22952.14</v>
      </c>
      <c r="G60" s="62">
        <v>0.05</v>
      </c>
      <c r="H60" s="62">
        <v>0.1</v>
      </c>
      <c r="I60" s="63">
        <v>2430653</v>
      </c>
      <c r="J60" s="63">
        <v>2552185.65</v>
      </c>
      <c r="K60" s="57">
        <f>IF(AND(ISBLANK(G60), ISBLANK(I60)), $F60, IF(ISBLANK(G60), I60, IF(ISBLANK(I60), $F60*(1+G60), MIN($F60*(1+G60), I60))))</f>
        <v>24099.746999999999</v>
      </c>
      <c r="L60" s="57">
        <f>IF(AND(ISBLANK(H60), ISBLANK(J60)), $F60, IF(ISBLANK(H60), J60, IF(ISBLANK(J60), $F60*(1+H60), MIN($F60*(1+H60), J60))))</f>
        <v>25247.354000000003</v>
      </c>
      <c r="M60" s="58">
        <f>IF(VLOOKUP($A60, 'Individual Bounds - Overall'!$A$2:$F$50,4,0)="Yes", 'Quarterly Calculation'!N61, K60)</f>
        <v>70880</v>
      </c>
      <c r="N60" s="58">
        <f>IF(VLOOKUP($A60, 'Individual Bounds - Overall'!$A$2:$F$50,4,0)="Yes", 'Quarterly Calculation'!O61, L60)</f>
        <v>74424</v>
      </c>
    </row>
    <row r="61" spans="1:14" x14ac:dyDescent="0.25">
      <c r="A61" s="3" t="s">
        <v>220</v>
      </c>
      <c r="B61" s="3" t="s">
        <v>218</v>
      </c>
      <c r="C61" s="3" t="s">
        <v>221</v>
      </c>
      <c r="D61" s="3" t="s">
        <v>78</v>
      </c>
      <c r="E61" s="59" t="str">
        <f>VLOOKUP($A61, 'Individual Bounds - Overall'!$A$1:$L$50, 5, 0)</f>
        <v>No</v>
      </c>
      <c r="F61" s="50">
        <f>SUMIFS('Quarterly Calculation'!$K$3:$K$198, 'Quarterly Calculation'!$A$3:$A$198, 'Individual Bounds - Quarterly'!$A103, 'Quarterly Calculation'!$D$3:$D$198, 'Individual Bounds - Quarterly'!$D103)</f>
        <v>201245.1</v>
      </c>
      <c r="G61" s="62">
        <v>0.05</v>
      </c>
      <c r="H61" s="62">
        <v>0.1</v>
      </c>
      <c r="I61" s="63">
        <v>2430653</v>
      </c>
      <c r="J61" s="63">
        <v>2552185.65</v>
      </c>
      <c r="K61" s="57">
        <f>IF(AND(ISBLANK(G61), ISBLANK(I61)), $F61, IF(ISBLANK(G61), I61, IF(ISBLANK(I61), $F61*(1+G61), MIN($F61*(1+G61), I61))))</f>
        <v>211307.35500000001</v>
      </c>
      <c r="L61" s="57">
        <f>IF(AND(ISBLANK(H61), ISBLANK(J61)), $F61, IF(ISBLANK(H61), J61, IF(ISBLANK(J61), $F61*(1+H61), MIN($F61*(1+H61), J61))))</f>
        <v>221369.61000000002</v>
      </c>
      <c r="M61" s="58">
        <f>IF(VLOOKUP($A61, 'Individual Bounds - Overall'!$A$2:$F$50,4,0)="Yes", 'Quarterly Calculation'!N62, K61)</f>
        <v>11047680</v>
      </c>
      <c r="N61" s="58">
        <f>IF(VLOOKUP($A61, 'Individual Bounds - Overall'!$A$2:$F$50,4,0)="Yes", 'Quarterly Calculation'!O62, L61)</f>
        <v>11600064</v>
      </c>
    </row>
    <row r="62" spans="1:14" x14ac:dyDescent="0.25">
      <c r="A62" s="3" t="s">
        <v>225</v>
      </c>
      <c r="B62" s="3" t="s">
        <v>223</v>
      </c>
      <c r="C62" s="3" t="s">
        <v>226</v>
      </c>
      <c r="D62" s="3" t="s">
        <v>75</v>
      </c>
      <c r="E62" s="59" t="str">
        <f>VLOOKUP($A62, 'Individual Bounds - Overall'!$A$1:$L$50, 5, 0)</f>
        <v>No</v>
      </c>
      <c r="F62" s="50">
        <f>SUMIFS('Quarterly Calculation'!$K$3:$K$198, 'Quarterly Calculation'!$A$3:$A$198, 'Individual Bounds - Quarterly'!$A16, 'Quarterly Calculation'!$D$3:$D$198, 'Individual Bounds - Quarterly'!$D16)</f>
        <v>1063249</v>
      </c>
      <c r="G62" s="62">
        <v>0.05</v>
      </c>
      <c r="H62" s="62">
        <v>0.1</v>
      </c>
      <c r="I62" s="63">
        <v>0</v>
      </c>
      <c r="J62" s="63">
        <v>0</v>
      </c>
      <c r="K62" s="57">
        <f>IF(AND(ISBLANK(G62), ISBLANK(I62)), $F62, IF(ISBLANK(G62), I62, IF(ISBLANK(I62), $F62*(1+G62), MIN($F62*(1+G62), I62))))</f>
        <v>0</v>
      </c>
      <c r="L62" s="57">
        <f>IF(AND(ISBLANK(H62), ISBLANK(J62)), $F62, IF(ISBLANK(H62), J62, IF(ISBLANK(J62), $F62*(1+H62), MIN($F62*(1+H62), J62))))</f>
        <v>0</v>
      </c>
      <c r="M62" s="58">
        <f>IF(VLOOKUP($A62, 'Individual Bounds - Overall'!$A$2:$F$50,4,0)="Yes", 'Quarterly Calculation'!N63, K62)</f>
        <v>326564.7</v>
      </c>
      <c r="N62" s="58">
        <f>IF(VLOOKUP($A62, 'Individual Bounds - Overall'!$A$2:$F$50,4,0)="Yes", 'Quarterly Calculation'!O63, L62)</f>
        <v>342892.935</v>
      </c>
    </row>
    <row r="63" spans="1:14" x14ac:dyDescent="0.25">
      <c r="A63" s="3" t="s">
        <v>225</v>
      </c>
      <c r="B63" s="3" t="s">
        <v>223</v>
      </c>
      <c r="C63" s="3" t="s">
        <v>226</v>
      </c>
      <c r="D63" s="3" t="s">
        <v>76</v>
      </c>
      <c r="E63" s="59" t="str">
        <f>VLOOKUP($A63, 'Individual Bounds - Overall'!$A$1:$L$50, 5, 0)</f>
        <v>No</v>
      </c>
      <c r="F63" s="50">
        <f>SUMIFS('Quarterly Calculation'!$K$3:$K$198, 'Quarterly Calculation'!$A$3:$A$198, 'Individual Bounds - Quarterly'!$A43, 'Quarterly Calculation'!$D$3:$D$198, 'Individual Bounds - Quarterly'!$D43)</f>
        <v>261171.7</v>
      </c>
      <c r="G63" s="62">
        <v>0.05</v>
      </c>
      <c r="H63" s="62">
        <v>0.1</v>
      </c>
      <c r="I63" s="63">
        <v>2430653</v>
      </c>
      <c r="J63" s="63">
        <v>2552185.65</v>
      </c>
      <c r="K63" s="57">
        <f>IF(AND(ISBLANK(G63), ISBLANK(I63)), $F63, IF(ISBLANK(G63), I63, IF(ISBLANK(I63), $F63*(1+G63), MIN($F63*(1+G63), I63))))</f>
        <v>274230.28500000003</v>
      </c>
      <c r="L63" s="57">
        <f>IF(AND(ISBLANK(H63), ISBLANK(J63)), $F63, IF(ISBLANK(H63), J63, IF(ISBLANK(J63), $F63*(1+H63), MIN($F63*(1+H63), J63))))</f>
        <v>287288.87000000005</v>
      </c>
      <c r="M63" s="58">
        <f>IF(VLOOKUP($A63, 'Individual Bounds - Overall'!$A$2:$F$50,4,0)="Yes", 'Quarterly Calculation'!N64, K63)</f>
        <v>295276.90000000002</v>
      </c>
      <c r="N63" s="58">
        <f>IF(VLOOKUP($A63, 'Individual Bounds - Overall'!$A$2:$F$50,4,0)="Yes", 'Quarterly Calculation'!O64, L63)</f>
        <v>310040.74500000005</v>
      </c>
    </row>
    <row r="64" spans="1:14" x14ac:dyDescent="0.25">
      <c r="A64" s="3" t="s">
        <v>225</v>
      </c>
      <c r="B64" s="3" t="s">
        <v>223</v>
      </c>
      <c r="C64" s="3" t="s">
        <v>226</v>
      </c>
      <c r="D64" s="3" t="s">
        <v>77</v>
      </c>
      <c r="E64" s="59" t="str">
        <f>VLOOKUP($A64, 'Individual Bounds - Overall'!$A$1:$L$50, 5, 0)</f>
        <v>No</v>
      </c>
      <c r="F64" s="50">
        <f>SUMIFS('Quarterly Calculation'!$K$3:$K$198, 'Quarterly Calculation'!$A$3:$A$198, 'Individual Bounds - Quarterly'!$A78, 'Quarterly Calculation'!$D$3:$D$198, 'Individual Bounds - Quarterly'!$D78)</f>
        <v>6320311</v>
      </c>
      <c r="G64" s="62">
        <v>0.05</v>
      </c>
      <c r="H64" s="62">
        <v>0.1</v>
      </c>
      <c r="I64" s="63">
        <v>2430653</v>
      </c>
      <c r="J64" s="63">
        <v>2552185.65</v>
      </c>
      <c r="K64" s="57">
        <f>IF(AND(ISBLANK(G64), ISBLANK(I64)), $F64, IF(ISBLANK(G64), I64, IF(ISBLANK(I64), $F64*(1+G64), MIN($F64*(1+G64), I64))))</f>
        <v>2430653</v>
      </c>
      <c r="L64" s="57">
        <f>IF(AND(ISBLANK(H64), ISBLANK(J64)), $F64, IF(ISBLANK(H64), J64, IF(ISBLANK(J64), $F64*(1+H64), MIN($F64*(1+H64), J64))))</f>
        <v>2552185.65</v>
      </c>
      <c r="M64" s="58">
        <f>IF(VLOOKUP($A64, 'Individual Bounds - Overall'!$A$2:$F$50,4,0)="Yes", 'Quarterly Calculation'!N65, K64)</f>
        <v>249110.5</v>
      </c>
      <c r="N64" s="58">
        <f>IF(VLOOKUP($A64, 'Individual Bounds - Overall'!$A$2:$F$50,4,0)="Yes", 'Quarterly Calculation'!O65, L64)</f>
        <v>261566.02499999999</v>
      </c>
    </row>
    <row r="65" spans="1:14" x14ac:dyDescent="0.25">
      <c r="A65" s="3" t="s">
        <v>225</v>
      </c>
      <c r="B65" s="3" t="s">
        <v>223</v>
      </c>
      <c r="C65" s="3" t="s">
        <v>226</v>
      </c>
      <c r="D65" s="3" t="s">
        <v>78</v>
      </c>
      <c r="E65" s="59" t="str">
        <f>VLOOKUP($A65, 'Individual Bounds - Overall'!$A$1:$L$50, 5, 0)</f>
        <v>No</v>
      </c>
      <c r="F65" s="50">
        <f>SUMIFS('Quarterly Calculation'!$K$3:$K$198, 'Quarterly Calculation'!$A$3:$A$198, 'Individual Bounds - Quarterly'!$A105, 'Quarterly Calculation'!$D$3:$D$198, 'Individual Bounds - Quarterly'!$D105)</f>
        <v>759111</v>
      </c>
      <c r="G65" s="62">
        <v>0.05</v>
      </c>
      <c r="H65" s="62">
        <v>0.1</v>
      </c>
      <c r="I65" s="63">
        <v>2430653</v>
      </c>
      <c r="J65" s="63">
        <v>2552185.65</v>
      </c>
      <c r="K65" s="57">
        <f>IF(AND(ISBLANK(G65), ISBLANK(I65)), $F65, IF(ISBLANK(G65), I65, IF(ISBLANK(I65), $F65*(1+G65), MIN($F65*(1+G65), I65))))</f>
        <v>797066.55</v>
      </c>
      <c r="L65" s="57">
        <f>IF(AND(ISBLANK(H65), ISBLANK(J65)), $F65, IF(ISBLANK(H65), J65, IF(ISBLANK(J65), $F65*(1+H65), MIN($F65*(1+H65), J65))))</f>
        <v>835022.10000000009</v>
      </c>
      <c r="M65" s="58">
        <f>IF(VLOOKUP($A65, 'Individual Bounds - Overall'!$A$2:$F$50,4,0)="Yes", 'Quarterly Calculation'!N66, K65)</f>
        <v>1047382.0000000001</v>
      </c>
      <c r="N65" s="58">
        <f>IF(VLOOKUP($A65, 'Individual Bounds - Overall'!$A$2:$F$50,4,0)="Yes", 'Quarterly Calculation'!O66, L65)</f>
        <v>1099751.1000000001</v>
      </c>
    </row>
    <row r="66" spans="1:14" x14ac:dyDescent="0.25">
      <c r="A66" s="3" t="s">
        <v>227</v>
      </c>
      <c r="B66" s="3" t="s">
        <v>223</v>
      </c>
      <c r="C66" s="3" t="s">
        <v>228</v>
      </c>
      <c r="D66" s="3" t="s">
        <v>75</v>
      </c>
      <c r="E66" s="59" t="str">
        <f>VLOOKUP($A66, 'Individual Bounds - Overall'!$A$1:$L$50, 5, 0)</f>
        <v>No</v>
      </c>
      <c r="F66" s="50">
        <f>SUMIFS('Quarterly Calculation'!$K$3:$K$198, 'Quarterly Calculation'!$A$3:$A$198, 'Individual Bounds - Quarterly'!$A17, 'Quarterly Calculation'!$D$3:$D$198, 'Individual Bounds - Quarterly'!$D17)</f>
        <v>3287527</v>
      </c>
      <c r="G66" s="62">
        <v>0.05</v>
      </c>
      <c r="H66" s="62">
        <v>0.1</v>
      </c>
      <c r="I66" s="63">
        <v>0</v>
      </c>
      <c r="J66" s="63">
        <v>0</v>
      </c>
      <c r="K66" s="57">
        <f>IF(AND(ISBLANK(G66), ISBLANK(I66)), $F66, IF(ISBLANK(G66), I66, IF(ISBLANK(I66), $F66*(1+G66), MIN($F66*(1+G66), I66))))</f>
        <v>0</v>
      </c>
      <c r="L66" s="57">
        <f>IF(AND(ISBLANK(H66), ISBLANK(J66)), $F66, IF(ISBLANK(H66), J66, IF(ISBLANK(J66), $F66*(1+H66), MIN($F66*(1+H66), J66))))</f>
        <v>0</v>
      </c>
      <c r="M66" s="58">
        <f>IF(VLOOKUP($A66, 'Individual Bounds - Overall'!$A$2:$F$50,4,0)="Yes", 'Quarterly Calculation'!N67, K66)</f>
        <v>209555.9</v>
      </c>
      <c r="N66" s="58">
        <f>IF(VLOOKUP($A66, 'Individual Bounds - Overall'!$A$2:$F$50,4,0)="Yes", 'Quarterly Calculation'!O67, L66)</f>
        <v>220033.69500000001</v>
      </c>
    </row>
    <row r="67" spans="1:14" x14ac:dyDescent="0.25">
      <c r="A67" s="3" t="s">
        <v>227</v>
      </c>
      <c r="B67" s="3" t="s">
        <v>223</v>
      </c>
      <c r="C67" s="3" t="s">
        <v>228</v>
      </c>
      <c r="D67" s="3" t="s">
        <v>76</v>
      </c>
      <c r="E67" s="59" t="str">
        <f>VLOOKUP($A67, 'Individual Bounds - Overall'!$A$1:$L$50, 5, 0)</f>
        <v>No</v>
      </c>
      <c r="F67" s="50">
        <f>SUMIFS('Quarterly Calculation'!$K$3:$K$198, 'Quarterly Calculation'!$A$3:$A$198, 'Individual Bounds - Quarterly'!$A44, 'Quarterly Calculation'!$D$3:$D$198, 'Individual Bounds - Quarterly'!$D44)</f>
        <v>74456.36</v>
      </c>
      <c r="G67" s="62">
        <v>0.05</v>
      </c>
      <c r="H67" s="62">
        <v>0.1</v>
      </c>
      <c r="I67" s="63">
        <v>2430653</v>
      </c>
      <c r="J67" s="63">
        <v>2552185.65</v>
      </c>
      <c r="K67" s="57">
        <f>IF(AND(ISBLANK(G67), ISBLANK(I67)), $F67, IF(ISBLANK(G67), I67, IF(ISBLANK(I67), $F67*(1+G67), MIN($F67*(1+G67), I67))))</f>
        <v>78179.178</v>
      </c>
      <c r="L67" s="57">
        <f>IF(AND(ISBLANK(H67), ISBLANK(J67)), $F67, IF(ISBLANK(H67), J67, IF(ISBLANK(J67), $F67*(1+H67), MIN($F67*(1+H67), J67))))</f>
        <v>81901.996000000014</v>
      </c>
      <c r="M67" s="58">
        <f>IF(VLOOKUP($A67, 'Individual Bounds - Overall'!$A$2:$F$50,4,0)="Yes", 'Quarterly Calculation'!N68, K67)</f>
        <v>182367.2</v>
      </c>
      <c r="N67" s="58">
        <f>IF(VLOOKUP($A67, 'Individual Bounds - Overall'!$A$2:$F$50,4,0)="Yes", 'Quarterly Calculation'!O68, L67)</f>
        <v>191485.56000000003</v>
      </c>
    </row>
    <row r="68" spans="1:14" x14ac:dyDescent="0.25">
      <c r="A68" s="3" t="s">
        <v>227</v>
      </c>
      <c r="B68" s="3" t="s">
        <v>223</v>
      </c>
      <c r="C68" s="3" t="s">
        <v>228</v>
      </c>
      <c r="D68" s="3" t="s">
        <v>77</v>
      </c>
      <c r="E68" s="59" t="str">
        <f>VLOOKUP($A68, 'Individual Bounds - Overall'!$A$1:$L$50, 5, 0)</f>
        <v>No</v>
      </c>
      <c r="F68" s="50">
        <f>SUMIFS('Quarterly Calculation'!$K$3:$K$198, 'Quarterly Calculation'!$A$3:$A$198, 'Individual Bounds - Quarterly'!$A79, 'Quarterly Calculation'!$D$3:$D$198, 'Individual Bounds - Quarterly'!$D79)</f>
        <v>1015443</v>
      </c>
      <c r="G68" s="62">
        <v>0.05</v>
      </c>
      <c r="H68" s="62">
        <v>0.1</v>
      </c>
      <c r="I68" s="63">
        <v>2430653</v>
      </c>
      <c r="J68" s="63">
        <v>2552185.65</v>
      </c>
      <c r="K68" s="57">
        <f>IF(AND(ISBLANK(G68), ISBLANK(I68)), $F68, IF(ISBLANK(G68), I68, IF(ISBLANK(I68), $F68*(1+G68), MIN($F68*(1+G68), I68))))</f>
        <v>1066215.1500000001</v>
      </c>
      <c r="L68" s="57">
        <f>IF(AND(ISBLANK(H68), ISBLANK(J68)), $F68, IF(ISBLANK(H68), J68, IF(ISBLANK(J68), $F68*(1+H68), MIN($F68*(1+H68), J68))))</f>
        <v>1116987.3</v>
      </c>
      <c r="M68" s="58">
        <f>IF(VLOOKUP($A68, 'Individual Bounds - Overall'!$A$2:$F$50,4,0)="Yes", 'Quarterly Calculation'!N69, K68)</f>
        <v>129278.6</v>
      </c>
      <c r="N68" s="58">
        <f>IF(VLOOKUP($A68, 'Individual Bounds - Overall'!$A$2:$F$50,4,0)="Yes", 'Quarterly Calculation'!O69, L68)</f>
        <v>135742.53</v>
      </c>
    </row>
    <row r="69" spans="1:14" x14ac:dyDescent="0.25">
      <c r="A69" s="3" t="s">
        <v>227</v>
      </c>
      <c r="B69" s="3" t="s">
        <v>223</v>
      </c>
      <c r="C69" s="3" t="s">
        <v>228</v>
      </c>
      <c r="D69" s="3" t="s">
        <v>78</v>
      </c>
      <c r="E69" s="59" t="str">
        <f>VLOOKUP($A69, 'Individual Bounds - Overall'!$A$1:$L$50, 5, 0)</f>
        <v>No</v>
      </c>
      <c r="F69" s="50">
        <f>SUMIFS('Quarterly Calculation'!$K$3:$K$198, 'Quarterly Calculation'!$A$3:$A$198, 'Individual Bounds - Quarterly'!$A106, 'Quarterly Calculation'!$D$3:$D$198, 'Individual Bounds - Quarterly'!$D106)</f>
        <v>351505.1</v>
      </c>
      <c r="G69" s="62">
        <v>0.05</v>
      </c>
      <c r="H69" s="62">
        <v>0.1</v>
      </c>
      <c r="I69" s="63">
        <v>2430653</v>
      </c>
      <c r="J69" s="63">
        <v>2552185.65</v>
      </c>
      <c r="K69" s="57">
        <f>IF(AND(ISBLANK(G69), ISBLANK(I69)), $F69, IF(ISBLANK(G69), I69, IF(ISBLANK(I69), $F69*(1+G69), MIN($F69*(1+G69), I69))))</f>
        <v>369080.35499999998</v>
      </c>
      <c r="L69" s="57">
        <f>IF(AND(ISBLANK(H69), ISBLANK(J69)), $F69, IF(ISBLANK(H69), J69, IF(ISBLANK(J69), $F69*(1+H69), MIN($F69*(1+H69), J69))))</f>
        <v>386655.61</v>
      </c>
      <c r="M69" s="58">
        <f>IF(VLOOKUP($A69, 'Individual Bounds - Overall'!$A$2:$F$50,4,0)="Yes", 'Quarterly Calculation'!N70, K69)</f>
        <v>289938.2</v>
      </c>
      <c r="N69" s="58">
        <f>IF(VLOOKUP($A69, 'Individual Bounds - Overall'!$A$2:$F$50,4,0)="Yes", 'Quarterly Calculation'!O70, L69)</f>
        <v>304435.11</v>
      </c>
    </row>
    <row r="70" spans="1:14" x14ac:dyDescent="0.25">
      <c r="A70" s="3" t="s">
        <v>222</v>
      </c>
      <c r="B70" s="3" t="s">
        <v>223</v>
      </c>
      <c r="C70" s="3" t="s">
        <v>224</v>
      </c>
      <c r="D70" s="3" t="s">
        <v>75</v>
      </c>
      <c r="E70" s="59" t="str">
        <f>VLOOKUP($A70, 'Individual Bounds - Overall'!$A$1:$L$50, 5, 0)</f>
        <v>No</v>
      </c>
      <c r="F70" s="50">
        <f>SUMIFS('Quarterly Calculation'!$K$3:$K$198, 'Quarterly Calculation'!$A$3:$A$198, 'Individual Bounds - Quarterly'!$A15, 'Quarterly Calculation'!$D$3:$D$198, 'Individual Bounds - Quarterly'!$D15)</f>
        <v>1127392</v>
      </c>
      <c r="G70" s="62">
        <v>0.05</v>
      </c>
      <c r="H70" s="62">
        <v>0.1</v>
      </c>
      <c r="I70" s="63">
        <v>0</v>
      </c>
      <c r="J70" s="63">
        <v>0</v>
      </c>
      <c r="K70" s="57">
        <f>IF(AND(ISBLANK(G70), ISBLANK(I70)), $F70, IF(ISBLANK(G70), I70, IF(ISBLANK(I70), $F70*(1+G70), MIN($F70*(1+G70), I70))))</f>
        <v>0</v>
      </c>
      <c r="L70" s="57">
        <f>IF(AND(ISBLANK(H70), ISBLANK(J70)), $F70, IF(ISBLANK(H70), J70, IF(ISBLANK(J70), $F70*(1+H70), MIN($F70*(1+H70), J70))))</f>
        <v>0</v>
      </c>
      <c r="M70" s="58">
        <f>IF(VLOOKUP($A70, 'Individual Bounds - Overall'!$A$2:$F$50,4,0)="Yes", 'Quarterly Calculation'!N71, K70)</f>
        <v>1981241.0000000002</v>
      </c>
      <c r="N70" s="58">
        <f>IF(VLOOKUP($A70, 'Individual Bounds - Overall'!$A$2:$F$50,4,0)="Yes", 'Quarterly Calculation'!O71, L70)</f>
        <v>2080303.0500000003</v>
      </c>
    </row>
    <row r="71" spans="1:14" x14ac:dyDescent="0.25">
      <c r="A71" s="3" t="s">
        <v>222</v>
      </c>
      <c r="B71" s="3" t="s">
        <v>223</v>
      </c>
      <c r="C71" s="3" t="s">
        <v>224</v>
      </c>
      <c r="D71" s="3" t="s">
        <v>76</v>
      </c>
      <c r="E71" s="59" t="str">
        <f>VLOOKUP($A71, 'Individual Bounds - Overall'!$A$1:$L$50, 5, 0)</f>
        <v>No</v>
      </c>
      <c r="F71" s="50">
        <f>SUMIFS('Quarterly Calculation'!$K$3:$K$198, 'Quarterly Calculation'!$A$3:$A$198, 'Individual Bounds - Quarterly'!$A42, 'Quarterly Calculation'!$D$3:$D$198, 'Individual Bounds - Quarterly'!$D42)</f>
        <v>346345.9</v>
      </c>
      <c r="G71" s="62">
        <v>0.05</v>
      </c>
      <c r="H71" s="62">
        <v>0.1</v>
      </c>
      <c r="I71" s="63">
        <v>2430653</v>
      </c>
      <c r="J71" s="63">
        <v>2552185.65</v>
      </c>
      <c r="K71" s="57">
        <f>IF(AND(ISBLANK(G71), ISBLANK(I71)), $F71, IF(ISBLANK(G71), I71, IF(ISBLANK(I71), $F71*(1+G71), MIN($F71*(1+G71), I71))))</f>
        <v>363663.19500000007</v>
      </c>
      <c r="L71" s="57">
        <f>IF(AND(ISBLANK(H71), ISBLANK(J71)), $F71, IF(ISBLANK(H71), J71, IF(ISBLANK(J71), $F71*(1+H71), MIN($F71*(1+H71), J71))))</f>
        <v>380980.49000000005</v>
      </c>
      <c r="M71" s="58">
        <f>IF(VLOOKUP($A71, 'Individual Bounds - Overall'!$A$2:$F$50,4,0)="Yes", 'Quarterly Calculation'!N72, K71)</f>
        <v>2042248.0000000002</v>
      </c>
      <c r="N71" s="58">
        <f>IF(VLOOKUP($A71, 'Individual Bounds - Overall'!$A$2:$F$50,4,0)="Yes", 'Quarterly Calculation'!O72, L71)</f>
        <v>2144360.4000000004</v>
      </c>
    </row>
    <row r="72" spans="1:14" x14ac:dyDescent="0.25">
      <c r="A72" s="3" t="s">
        <v>222</v>
      </c>
      <c r="B72" s="3" t="s">
        <v>223</v>
      </c>
      <c r="C72" s="3" t="s">
        <v>224</v>
      </c>
      <c r="D72" s="3" t="s">
        <v>77</v>
      </c>
      <c r="E72" s="59" t="str">
        <f>VLOOKUP($A72, 'Individual Bounds - Overall'!$A$1:$L$50, 5, 0)</f>
        <v>No</v>
      </c>
      <c r="F72" s="50">
        <f>SUMIFS('Quarterly Calculation'!$K$3:$K$198, 'Quarterly Calculation'!$A$3:$A$198, 'Individual Bounds - Quarterly'!$A77, 'Quarterly Calculation'!$D$3:$D$198, 'Individual Bounds - Quarterly'!$D77)</f>
        <v>47220.15</v>
      </c>
      <c r="G72" s="62">
        <v>0.05</v>
      </c>
      <c r="H72" s="62">
        <v>0.1</v>
      </c>
      <c r="I72" s="63">
        <v>2430653</v>
      </c>
      <c r="J72" s="63">
        <v>2552185.65</v>
      </c>
      <c r="K72" s="57">
        <f>IF(AND(ISBLANK(G72), ISBLANK(I72)), $F72, IF(ISBLANK(G72), I72, IF(ISBLANK(I72), $F72*(1+G72), MIN($F72*(1+G72), I72))))</f>
        <v>49581.157500000001</v>
      </c>
      <c r="L72" s="57">
        <f>IF(AND(ISBLANK(H72), ISBLANK(J72)), $F72, IF(ISBLANK(H72), J72, IF(ISBLANK(J72), $F72*(1+H72), MIN($F72*(1+H72), J72))))</f>
        <v>51942.165000000008</v>
      </c>
      <c r="M72" s="58">
        <f>IF(VLOOKUP($A72, 'Individual Bounds - Overall'!$A$2:$F$50,4,0)="Yes", 'Quarterly Calculation'!N73, K72)</f>
        <v>2303235</v>
      </c>
      <c r="N72" s="58">
        <f>IF(VLOOKUP($A72, 'Individual Bounds - Overall'!$A$2:$F$50,4,0)="Yes", 'Quarterly Calculation'!O73, L72)</f>
        <v>2418396.75</v>
      </c>
    </row>
    <row r="73" spans="1:14" x14ac:dyDescent="0.25">
      <c r="A73" s="3" t="s">
        <v>222</v>
      </c>
      <c r="B73" s="3" t="s">
        <v>223</v>
      </c>
      <c r="C73" s="3" t="s">
        <v>224</v>
      </c>
      <c r="D73" s="3" t="s">
        <v>78</v>
      </c>
      <c r="E73" s="59" t="str">
        <f>VLOOKUP($A73, 'Individual Bounds - Overall'!$A$1:$L$50, 5, 0)</f>
        <v>No</v>
      </c>
      <c r="F73" s="50">
        <f>SUMIFS('Quarterly Calculation'!$K$3:$K$198, 'Quarterly Calculation'!$A$3:$A$198, 'Individual Bounds - Quarterly'!$A104, 'Quarterly Calculation'!$D$3:$D$198, 'Individual Bounds - Quarterly'!$D104)</f>
        <v>315953.5</v>
      </c>
      <c r="G73" s="62">
        <v>0.05</v>
      </c>
      <c r="H73" s="62">
        <v>0.1</v>
      </c>
      <c r="I73" s="63">
        <v>2430653</v>
      </c>
      <c r="J73" s="63">
        <v>2552185.65</v>
      </c>
      <c r="K73" s="57">
        <f>IF(AND(ISBLANK(G73), ISBLANK(I73)), $F73, IF(ISBLANK(G73), I73, IF(ISBLANK(I73), $F73*(1+G73), MIN($F73*(1+G73), I73))))</f>
        <v>331751.17499999999</v>
      </c>
      <c r="L73" s="57">
        <f>IF(AND(ISBLANK(H73), ISBLANK(J73)), $F73, IF(ISBLANK(H73), J73, IF(ISBLANK(J73), $F73*(1+H73), MIN($F73*(1+H73), J73))))</f>
        <v>347548.85000000003</v>
      </c>
      <c r="M73" s="58">
        <f>IF(VLOOKUP($A73, 'Individual Bounds - Overall'!$A$2:$F$50,4,0)="Yes", 'Quarterly Calculation'!N74, K73)</f>
        <v>7604431</v>
      </c>
      <c r="N73" s="58">
        <f>IF(VLOOKUP($A73, 'Individual Bounds - Overall'!$A$2:$F$50,4,0)="Yes", 'Quarterly Calculation'!O74, L73)</f>
        <v>7984652.5500000007</v>
      </c>
    </row>
    <row r="74" spans="1:14" x14ac:dyDescent="0.25">
      <c r="A74" s="3" t="s">
        <v>229</v>
      </c>
      <c r="B74" s="3" t="s">
        <v>223</v>
      </c>
      <c r="C74" s="3" t="s">
        <v>230</v>
      </c>
      <c r="D74" s="3" t="s">
        <v>75</v>
      </c>
      <c r="E74" s="59" t="str">
        <f>VLOOKUP($A74, 'Individual Bounds - Overall'!$A$1:$L$50, 5, 0)</f>
        <v>No</v>
      </c>
      <c r="F74" s="50">
        <f>SUMIFS('Quarterly Calculation'!$K$3:$K$198, 'Quarterly Calculation'!$A$3:$A$198, 'Individual Bounds - Quarterly'!$A18, 'Quarterly Calculation'!$D$3:$D$198, 'Individual Bounds - Quarterly'!$D18)</f>
        <v>2279359</v>
      </c>
      <c r="G74" s="62">
        <v>0.05</v>
      </c>
      <c r="H74" s="62">
        <v>0.1</v>
      </c>
      <c r="I74" s="63">
        <v>158985</v>
      </c>
      <c r="J74" s="63">
        <v>166934.25</v>
      </c>
      <c r="K74" s="57">
        <f>IF(AND(ISBLANK(G74), ISBLANK(I74)), $F74, IF(ISBLANK(G74), I74, IF(ISBLANK(I74), $F74*(1+G74), MIN($F74*(1+G74), I74))))</f>
        <v>158985</v>
      </c>
      <c r="L74" s="57">
        <f>IF(AND(ISBLANK(H74), ISBLANK(J74)), $F74, IF(ISBLANK(H74), J74, IF(ISBLANK(J74), $F74*(1+H74), MIN($F74*(1+H74), J74))))</f>
        <v>166934.25</v>
      </c>
      <c r="M74" s="58">
        <f>IF(VLOOKUP($A74, 'Individual Bounds - Overall'!$A$2:$F$50,4,0)="Yes", 'Quarterly Calculation'!N75, K74)</f>
        <v>23682.27</v>
      </c>
      <c r="N74" s="58">
        <f>IF(VLOOKUP($A74, 'Individual Bounds - Overall'!$A$2:$F$50,4,0)="Yes", 'Quarterly Calculation'!O75, L74)</f>
        <v>24866.383500000004</v>
      </c>
    </row>
    <row r="75" spans="1:14" x14ac:dyDescent="0.25">
      <c r="A75" s="3" t="s">
        <v>229</v>
      </c>
      <c r="B75" s="3" t="s">
        <v>223</v>
      </c>
      <c r="C75" s="3" t="s">
        <v>230</v>
      </c>
      <c r="D75" s="3" t="s">
        <v>76</v>
      </c>
      <c r="E75" s="59" t="str">
        <f>VLOOKUP($A75, 'Individual Bounds - Overall'!$A$1:$L$50, 5, 0)</f>
        <v>No</v>
      </c>
      <c r="F75" s="50">
        <f>SUMIFS('Quarterly Calculation'!$K$3:$K$198, 'Quarterly Calculation'!$A$3:$A$198, 'Individual Bounds - Quarterly'!$A45, 'Quarterly Calculation'!$D$3:$D$198, 'Individual Bounds - Quarterly'!$D45)</f>
        <v>160394</v>
      </c>
      <c r="G75" s="62">
        <v>0.05</v>
      </c>
      <c r="H75" s="62">
        <v>0.1</v>
      </c>
      <c r="I75" s="63">
        <v>2430653</v>
      </c>
      <c r="J75" s="63">
        <v>2552185.65</v>
      </c>
      <c r="K75" s="57">
        <f>IF(AND(ISBLANK(G75), ISBLANK(I75)), $F75, IF(ISBLANK(G75), I75, IF(ISBLANK(I75), $F75*(1+G75), MIN($F75*(1+G75), I75))))</f>
        <v>168413.7</v>
      </c>
      <c r="L75" s="57">
        <f>IF(AND(ISBLANK(H75), ISBLANK(J75)), $F75, IF(ISBLANK(H75), J75, IF(ISBLANK(J75), $F75*(1+H75), MIN($F75*(1+H75), J75))))</f>
        <v>176433.40000000002</v>
      </c>
      <c r="M75" s="58">
        <f>IF(VLOOKUP($A75, 'Individual Bounds - Overall'!$A$2:$F$50,4,0)="Yes", 'Quarterly Calculation'!N76, K75)</f>
        <v>46452.1</v>
      </c>
      <c r="N75" s="58">
        <f>IF(VLOOKUP($A75, 'Individual Bounds - Overall'!$A$2:$F$50,4,0)="Yes", 'Quarterly Calculation'!O76, L75)</f>
        <v>48774.705000000002</v>
      </c>
    </row>
    <row r="76" spans="1:14" x14ac:dyDescent="0.25">
      <c r="A76" s="3" t="s">
        <v>229</v>
      </c>
      <c r="B76" s="3" t="s">
        <v>223</v>
      </c>
      <c r="C76" s="3" t="s">
        <v>230</v>
      </c>
      <c r="D76" s="3" t="s">
        <v>77</v>
      </c>
      <c r="E76" s="59" t="str">
        <f>VLOOKUP($A76, 'Individual Bounds - Overall'!$A$1:$L$50, 5, 0)</f>
        <v>No</v>
      </c>
      <c r="F76" s="50">
        <f>SUMIFS('Quarterly Calculation'!$K$3:$K$198, 'Quarterly Calculation'!$A$3:$A$198, 'Individual Bounds - Quarterly'!$A80, 'Quarterly Calculation'!$D$3:$D$198, 'Individual Bounds - Quarterly'!$D80)</f>
        <v>304890</v>
      </c>
      <c r="G76" s="62">
        <v>0.05</v>
      </c>
      <c r="H76" s="62">
        <v>0.1</v>
      </c>
      <c r="I76" s="63">
        <v>2430653</v>
      </c>
      <c r="J76" s="63">
        <v>2552185.65</v>
      </c>
      <c r="K76" s="57">
        <f>IF(AND(ISBLANK(G76), ISBLANK(I76)), $F76, IF(ISBLANK(G76), I76, IF(ISBLANK(I76), $F76*(1+G76), MIN($F76*(1+G76), I76))))</f>
        <v>320134.5</v>
      </c>
      <c r="L76" s="57">
        <f>IF(AND(ISBLANK(H76), ISBLANK(J76)), $F76, IF(ISBLANK(H76), J76, IF(ISBLANK(J76), $F76*(1+H76), MIN($F76*(1+H76), J76))))</f>
        <v>335379</v>
      </c>
      <c r="M76" s="58">
        <f>IF(VLOOKUP($A76, 'Individual Bounds - Overall'!$A$2:$F$50,4,0)="Yes", 'Quarterly Calculation'!N77, K76)</f>
        <v>22952.14</v>
      </c>
      <c r="N76" s="58">
        <f>IF(VLOOKUP($A76, 'Individual Bounds - Overall'!$A$2:$F$50,4,0)="Yes", 'Quarterly Calculation'!O77, L76)</f>
        <v>24099.747000000003</v>
      </c>
    </row>
    <row r="77" spans="1:14" x14ac:dyDescent="0.25">
      <c r="A77" s="3" t="s">
        <v>229</v>
      </c>
      <c r="B77" s="3" t="s">
        <v>223</v>
      </c>
      <c r="C77" s="3" t="s">
        <v>230</v>
      </c>
      <c r="D77" s="3" t="s">
        <v>78</v>
      </c>
      <c r="E77" s="59" t="str">
        <f>VLOOKUP($A77, 'Individual Bounds - Overall'!$A$1:$L$50, 5, 0)</f>
        <v>No</v>
      </c>
      <c r="F77" s="50">
        <f>SUMIFS('Quarterly Calculation'!$K$3:$K$198, 'Quarterly Calculation'!$A$3:$A$198, 'Individual Bounds - Quarterly'!$A107, 'Quarterly Calculation'!$D$3:$D$198, 'Individual Bounds - Quarterly'!$D107)</f>
        <v>0</v>
      </c>
      <c r="G77" s="62">
        <v>0.05</v>
      </c>
      <c r="H77" s="62">
        <v>0.1</v>
      </c>
      <c r="I77" s="63">
        <v>2430653</v>
      </c>
      <c r="J77" s="63">
        <v>2552185.65</v>
      </c>
      <c r="K77" s="57">
        <f>IF(AND(ISBLANK(G77), ISBLANK(I77)), $F77, IF(ISBLANK(G77), I77, IF(ISBLANK(I77), $F77*(1+G77), MIN($F77*(1+G77), I77))))</f>
        <v>0</v>
      </c>
      <c r="L77" s="57">
        <f>IF(AND(ISBLANK(H77), ISBLANK(J77)), $F77, IF(ISBLANK(H77), J77, IF(ISBLANK(J77), $F77*(1+H77), MIN($F77*(1+H77), J77))))</f>
        <v>0</v>
      </c>
      <c r="M77" s="58">
        <f>IF(VLOOKUP($A77, 'Individual Bounds - Overall'!$A$2:$F$50,4,0)="Yes", 'Quarterly Calculation'!N78, K77)</f>
        <v>47220.15</v>
      </c>
      <c r="N77" s="58">
        <f>IF(VLOOKUP($A77, 'Individual Bounds - Overall'!$A$2:$F$50,4,0)="Yes", 'Quarterly Calculation'!O78, L77)</f>
        <v>49581.157500000008</v>
      </c>
    </row>
    <row r="78" spans="1:14" x14ac:dyDescent="0.25">
      <c r="A78" s="3" t="s">
        <v>233</v>
      </c>
      <c r="B78" s="3" t="s">
        <v>70</v>
      </c>
      <c r="C78" s="3" t="s">
        <v>234</v>
      </c>
      <c r="D78" s="3" t="s">
        <v>75</v>
      </c>
      <c r="E78" s="59" t="str">
        <f>VLOOKUP($A78, 'Individual Bounds - Overall'!$A$1:$L$50, 5, 0)</f>
        <v>No</v>
      </c>
      <c r="F78" s="50">
        <f>SUMIFS('Quarterly Calculation'!$K$3:$K$198, 'Quarterly Calculation'!$A$3:$A$198, 'Individual Bounds - Quarterly'!$A20, 'Quarterly Calculation'!$D$3:$D$198, 'Individual Bounds - Quarterly'!$D20)</f>
        <v>18960.84</v>
      </c>
      <c r="G78" s="62">
        <v>0.05</v>
      </c>
      <c r="H78" s="62">
        <v>0.1</v>
      </c>
      <c r="I78" s="63">
        <v>129573</v>
      </c>
      <c r="J78" s="63">
        <v>136051.65</v>
      </c>
      <c r="K78" s="57">
        <f>IF(AND(ISBLANK(G78), ISBLANK(I78)), $F78, IF(ISBLANK(G78), I78, IF(ISBLANK(I78), $F78*(1+G78), MIN($F78*(1+G78), I78))))</f>
        <v>19908.882000000001</v>
      </c>
      <c r="L78" s="57">
        <f>IF(AND(ISBLANK(H78), ISBLANK(J78)), $F78, IF(ISBLANK(H78), J78, IF(ISBLANK(J78), $F78*(1+H78), MIN($F78*(1+H78), J78))))</f>
        <v>20856.924000000003</v>
      </c>
      <c r="M78" s="58">
        <f>IF(VLOOKUP($A78, 'Individual Bounds - Overall'!$A$2:$F$50,4,0)="Yes", 'Quarterly Calculation'!N79, K78)</f>
        <v>6320311</v>
      </c>
      <c r="N78" s="58">
        <f>IF(VLOOKUP($A78, 'Individual Bounds - Overall'!$A$2:$F$50,4,0)="Yes", 'Quarterly Calculation'!O79, L78)</f>
        <v>6636326.5500000007</v>
      </c>
    </row>
    <row r="79" spans="1:14" x14ac:dyDescent="0.25">
      <c r="A79" s="3" t="s">
        <v>233</v>
      </c>
      <c r="B79" s="3" t="s">
        <v>70</v>
      </c>
      <c r="C79" s="3" t="s">
        <v>234</v>
      </c>
      <c r="D79" s="3" t="s">
        <v>76</v>
      </c>
      <c r="E79" s="59" t="str">
        <f>VLOOKUP($A79, 'Individual Bounds - Overall'!$A$1:$L$50, 5, 0)</f>
        <v>No</v>
      </c>
      <c r="F79" s="50">
        <f>SUMIFS('Quarterly Calculation'!$K$3:$K$198, 'Quarterly Calculation'!$A$3:$A$198, 'Individual Bounds - Quarterly'!$A55, 'Quarterly Calculation'!$D$3:$D$198, 'Individual Bounds - Quarterly'!$D55)</f>
        <v>2548140</v>
      </c>
      <c r="G79" s="62">
        <v>0.05</v>
      </c>
      <c r="H79" s="62">
        <v>0.1</v>
      </c>
      <c r="I79" s="63">
        <v>2430653</v>
      </c>
      <c r="J79" s="63">
        <v>2552185.65</v>
      </c>
      <c r="K79" s="57">
        <f>IF(AND(ISBLANK(G79), ISBLANK(I79)), $F79, IF(ISBLANK(G79), I79, IF(ISBLANK(I79), $F79*(1+G79), MIN($F79*(1+G79), I79))))</f>
        <v>2430653</v>
      </c>
      <c r="L79" s="57">
        <f>IF(AND(ISBLANK(H79), ISBLANK(J79)), $F79, IF(ISBLANK(H79), J79, IF(ISBLANK(J79), $F79*(1+H79), MIN($F79*(1+H79), J79))))</f>
        <v>2552185.65</v>
      </c>
      <c r="M79" s="58">
        <f>IF(VLOOKUP($A79, 'Individual Bounds - Overall'!$A$2:$F$50,4,0)="Yes", 'Quarterly Calculation'!N80, K79)</f>
        <v>1015443</v>
      </c>
      <c r="N79" s="58">
        <f>IF(VLOOKUP($A79, 'Individual Bounds - Overall'!$A$2:$F$50,4,0)="Yes", 'Quarterly Calculation'!O80, L79)</f>
        <v>1066215.1500000001</v>
      </c>
    </row>
    <row r="80" spans="1:14" x14ac:dyDescent="0.25">
      <c r="A80" s="3" t="s">
        <v>233</v>
      </c>
      <c r="B80" s="3" t="s">
        <v>70</v>
      </c>
      <c r="C80" s="3" t="s">
        <v>234</v>
      </c>
      <c r="D80" s="3" t="s">
        <v>77</v>
      </c>
      <c r="E80" s="59" t="str">
        <f>VLOOKUP($A80, 'Individual Bounds - Overall'!$A$1:$L$50, 5, 0)</f>
        <v>No</v>
      </c>
      <c r="F80" s="50">
        <f>SUMIFS('Quarterly Calculation'!$K$3:$K$198, 'Quarterly Calculation'!$A$3:$A$198, 'Individual Bounds - Quarterly'!$A82, 'Quarterly Calculation'!$D$3:$D$198, 'Individual Bounds - Quarterly'!$D82)</f>
        <v>2605437</v>
      </c>
      <c r="G80" s="62">
        <v>0.05</v>
      </c>
      <c r="H80" s="62">
        <v>0.1</v>
      </c>
      <c r="I80" s="63">
        <v>2430653</v>
      </c>
      <c r="J80" s="63">
        <v>2552185.65</v>
      </c>
      <c r="K80" s="57">
        <f>IF(AND(ISBLANK(G80), ISBLANK(I80)), $F80, IF(ISBLANK(G80), I80, IF(ISBLANK(I80), $F80*(1+G80), MIN($F80*(1+G80), I80))))</f>
        <v>2430653</v>
      </c>
      <c r="L80" s="57">
        <f>IF(AND(ISBLANK(H80), ISBLANK(J80)), $F80, IF(ISBLANK(H80), J80, IF(ISBLANK(J80), $F80*(1+H80), MIN($F80*(1+H80), J80))))</f>
        <v>2552185.65</v>
      </c>
      <c r="M80" s="58">
        <f>IF(VLOOKUP($A80, 'Individual Bounds - Overall'!$A$2:$F$50,4,0)="Yes", 'Quarterly Calculation'!N81, K80)</f>
        <v>304890</v>
      </c>
      <c r="N80" s="58">
        <f>IF(VLOOKUP($A80, 'Individual Bounds - Overall'!$A$2:$F$50,4,0)="Yes", 'Quarterly Calculation'!O81, L80)</f>
        <v>320134.50000000006</v>
      </c>
    </row>
    <row r="81" spans="1:14" x14ac:dyDescent="0.25">
      <c r="A81" s="3" t="s">
        <v>233</v>
      </c>
      <c r="B81" s="3" t="s">
        <v>70</v>
      </c>
      <c r="C81" s="3" t="s">
        <v>234</v>
      </c>
      <c r="D81" s="3" t="s">
        <v>78</v>
      </c>
      <c r="E81" s="59" t="str">
        <f>VLOOKUP($A81, 'Individual Bounds - Overall'!$A$1:$L$50, 5, 0)</f>
        <v>No</v>
      </c>
      <c r="F81" s="50">
        <f>SUMIFS('Quarterly Calculation'!$K$3:$K$198, 'Quarterly Calculation'!$A$3:$A$198, 'Individual Bounds - Quarterly'!$A109, 'Quarterly Calculation'!$D$3:$D$198, 'Individual Bounds - Quarterly'!$D109)</f>
        <v>1134261</v>
      </c>
      <c r="G81" s="62">
        <v>0.05</v>
      </c>
      <c r="H81" s="62">
        <v>0.1</v>
      </c>
      <c r="I81" s="63">
        <v>2430653</v>
      </c>
      <c r="J81" s="63">
        <v>2552185.65</v>
      </c>
      <c r="K81" s="57">
        <f>IF(AND(ISBLANK(G81), ISBLANK(I81)), $F81, IF(ISBLANK(G81), I81, IF(ISBLANK(I81), $F81*(1+G81), MIN($F81*(1+G81), I81))))</f>
        <v>1190974.05</v>
      </c>
      <c r="L81" s="57">
        <f>IF(AND(ISBLANK(H81), ISBLANK(J81)), $F81, IF(ISBLANK(H81), J81, IF(ISBLANK(J81), $F81*(1+H81), MIN($F81*(1+H81), J81))))</f>
        <v>1247687.1000000001</v>
      </c>
      <c r="M81" s="58">
        <f>IF(VLOOKUP($A81, 'Individual Bounds - Overall'!$A$2:$F$50,4,0)="Yes", 'Quarterly Calculation'!N82, K81)</f>
        <v>7514630</v>
      </c>
      <c r="N81" s="58">
        <f>IF(VLOOKUP($A81, 'Individual Bounds - Overall'!$A$2:$F$50,4,0)="Yes", 'Quarterly Calculation'!O82, L81)</f>
        <v>7890361.5</v>
      </c>
    </row>
    <row r="82" spans="1:14" x14ac:dyDescent="0.25">
      <c r="A82" s="3" t="s">
        <v>231</v>
      </c>
      <c r="B82" s="3" t="s">
        <v>70</v>
      </c>
      <c r="C82" s="3" t="s">
        <v>232</v>
      </c>
      <c r="D82" s="3" t="s">
        <v>75</v>
      </c>
      <c r="E82" s="59" t="str">
        <f>VLOOKUP($A82, 'Individual Bounds - Overall'!$A$1:$L$50, 5, 0)</f>
        <v>No</v>
      </c>
      <c r="F82" s="50">
        <f>SUMIFS('Quarterly Calculation'!$K$3:$K$198, 'Quarterly Calculation'!$A$3:$A$198, 'Individual Bounds - Quarterly'!$A19, 'Quarterly Calculation'!$D$3:$D$198, 'Individual Bounds - Quarterly'!$D19)</f>
        <v>229999.5</v>
      </c>
      <c r="G82" s="62">
        <v>0.05</v>
      </c>
      <c r="H82" s="62">
        <v>0.1</v>
      </c>
      <c r="I82" s="63">
        <v>151559</v>
      </c>
      <c r="J82" s="63">
        <v>159136.95000000001</v>
      </c>
      <c r="K82" s="57">
        <f>IF(AND(ISBLANK(G82), ISBLANK(I82)), $F82, IF(ISBLANK(G82), I82, IF(ISBLANK(I82), $F82*(1+G82), MIN($F82*(1+G82), I82))))</f>
        <v>151559</v>
      </c>
      <c r="L82" s="57">
        <f>IF(AND(ISBLANK(H82), ISBLANK(J82)), $F82, IF(ISBLANK(H82), J82, IF(ISBLANK(J82), $F82*(1+H82), MIN($F82*(1+H82), J82))))</f>
        <v>159136.95000000001</v>
      </c>
      <c r="M82" s="58">
        <f>IF(VLOOKUP($A82, 'Individual Bounds - Overall'!$A$2:$F$50,4,0)="Yes", 'Quarterly Calculation'!N83, K82)</f>
        <v>2605437</v>
      </c>
      <c r="N82" s="58">
        <f>IF(VLOOKUP($A82, 'Individual Bounds - Overall'!$A$2:$F$50,4,0)="Yes", 'Quarterly Calculation'!O83, L82)</f>
        <v>2735708.85</v>
      </c>
    </row>
    <row r="83" spans="1:14" x14ac:dyDescent="0.25">
      <c r="A83" s="3" t="s">
        <v>231</v>
      </c>
      <c r="B83" s="3" t="s">
        <v>70</v>
      </c>
      <c r="C83" s="3" t="s">
        <v>232</v>
      </c>
      <c r="D83" s="3" t="s">
        <v>76</v>
      </c>
      <c r="E83" s="59" t="str">
        <f>VLOOKUP($A83, 'Individual Bounds - Overall'!$A$1:$L$50, 5, 0)</f>
        <v>No</v>
      </c>
      <c r="F83" s="50">
        <f>SUMIFS('Quarterly Calculation'!$K$3:$K$198, 'Quarterly Calculation'!$A$3:$A$198, 'Individual Bounds - Quarterly'!$A54, 'Quarterly Calculation'!$D$3:$D$198, 'Individual Bounds - Quarterly'!$D54)</f>
        <v>3007800</v>
      </c>
      <c r="G83" s="62">
        <v>0.05</v>
      </c>
      <c r="H83" s="62">
        <v>0.1</v>
      </c>
      <c r="I83" s="63">
        <v>2430653</v>
      </c>
      <c r="J83" s="63">
        <v>2552185.65</v>
      </c>
      <c r="K83" s="57">
        <f>IF(AND(ISBLANK(G83), ISBLANK(I83)), $F83, IF(ISBLANK(G83), I83, IF(ISBLANK(I83), $F83*(1+G83), MIN($F83*(1+G83), I83))))</f>
        <v>2430653</v>
      </c>
      <c r="L83" s="57">
        <f>IF(AND(ISBLANK(H83), ISBLANK(J83)), $F83, IF(ISBLANK(H83), J83, IF(ISBLANK(J83), $F83*(1+H83), MIN($F83*(1+H83), J83))))</f>
        <v>2552185.65</v>
      </c>
      <c r="M83" s="58">
        <f>IF(VLOOKUP($A83, 'Individual Bounds - Overall'!$A$2:$F$50,4,0)="Yes", 'Quarterly Calculation'!N84, K83)</f>
        <v>2895054</v>
      </c>
      <c r="N83" s="58">
        <f>IF(VLOOKUP($A83, 'Individual Bounds - Overall'!$A$2:$F$50,4,0)="Yes", 'Quarterly Calculation'!O84, L83)</f>
        <v>3039806.7</v>
      </c>
    </row>
    <row r="84" spans="1:14" x14ac:dyDescent="0.25">
      <c r="A84" s="3" t="s">
        <v>231</v>
      </c>
      <c r="B84" s="3" t="s">
        <v>70</v>
      </c>
      <c r="C84" s="3" t="s">
        <v>232</v>
      </c>
      <c r="D84" s="3" t="s">
        <v>77</v>
      </c>
      <c r="E84" s="59" t="str">
        <f>VLOOKUP($A84, 'Individual Bounds - Overall'!$A$1:$L$50, 5, 0)</f>
        <v>No</v>
      </c>
      <c r="F84" s="50">
        <f>SUMIFS('Quarterly Calculation'!$K$3:$K$198, 'Quarterly Calculation'!$A$3:$A$198, 'Individual Bounds - Quarterly'!$A81, 'Quarterly Calculation'!$D$3:$D$198, 'Individual Bounds - Quarterly'!$D81)</f>
        <v>7514630</v>
      </c>
      <c r="G84" s="62">
        <v>0.05</v>
      </c>
      <c r="H84" s="62">
        <v>0.1</v>
      </c>
      <c r="I84" s="63">
        <v>2430653</v>
      </c>
      <c r="J84" s="63">
        <v>2552185.65</v>
      </c>
      <c r="K84" s="57">
        <f>IF(AND(ISBLANK(G84), ISBLANK(I84)), $F84, IF(ISBLANK(G84), I84, IF(ISBLANK(I84), $F84*(1+G84), MIN($F84*(1+G84), I84))))</f>
        <v>2430653</v>
      </c>
      <c r="L84" s="57">
        <f>IF(AND(ISBLANK(H84), ISBLANK(J84)), $F84, IF(ISBLANK(H84), J84, IF(ISBLANK(J84), $F84*(1+H84), MIN($F84*(1+H84), J84))))</f>
        <v>2552185.65</v>
      </c>
      <c r="M84" s="58">
        <f>IF(VLOOKUP($A84, 'Individual Bounds - Overall'!$A$2:$F$50,4,0)="Yes", 'Quarterly Calculation'!N85, K84)</f>
        <v>2023773</v>
      </c>
      <c r="N84" s="58">
        <f>IF(VLOOKUP($A84, 'Individual Bounds - Overall'!$A$2:$F$50,4,0)="Yes", 'Quarterly Calculation'!O85, L84)</f>
        <v>2124961.65</v>
      </c>
    </row>
    <row r="85" spans="1:14" x14ac:dyDescent="0.25">
      <c r="A85" s="3" t="s">
        <v>231</v>
      </c>
      <c r="B85" s="3" t="s">
        <v>70</v>
      </c>
      <c r="C85" s="3" t="s">
        <v>232</v>
      </c>
      <c r="D85" s="3" t="s">
        <v>78</v>
      </c>
      <c r="E85" s="59" t="str">
        <f>VLOOKUP($A85, 'Individual Bounds - Overall'!$A$1:$L$50, 5, 0)</f>
        <v>No</v>
      </c>
      <c r="F85" s="50">
        <f>SUMIFS('Quarterly Calculation'!$K$3:$K$198, 'Quarterly Calculation'!$A$3:$A$198, 'Individual Bounds - Quarterly'!$A108, 'Quarterly Calculation'!$D$3:$D$198, 'Individual Bounds - Quarterly'!$D108)</f>
        <v>0</v>
      </c>
      <c r="G85" s="62">
        <v>0.05</v>
      </c>
      <c r="H85" s="62">
        <v>0.1</v>
      </c>
      <c r="I85" s="63">
        <v>2430653</v>
      </c>
      <c r="J85" s="63">
        <v>2552185.65</v>
      </c>
      <c r="K85" s="57">
        <f>IF(AND(ISBLANK(G85), ISBLANK(I85)), $F85, IF(ISBLANK(G85), I85, IF(ISBLANK(I85), $F85*(1+G85), MIN($F85*(1+G85), I85))))</f>
        <v>0</v>
      </c>
      <c r="L85" s="57">
        <f>IF(AND(ISBLANK(H85), ISBLANK(J85)), $F85, IF(ISBLANK(H85), J85, IF(ISBLANK(J85), $F85*(1+H85), MIN($F85*(1+H85), J85))))</f>
        <v>0</v>
      </c>
      <c r="M85" s="58">
        <f>IF(VLOOKUP($A85, 'Individual Bounds - Overall'!$A$2:$F$50,4,0)="Yes", 'Quarterly Calculation'!N86, K85)</f>
        <v>9561477</v>
      </c>
      <c r="N85" s="58">
        <f>IF(VLOOKUP($A85, 'Individual Bounds - Overall'!$A$2:$F$50,4,0)="Yes", 'Quarterly Calculation'!O86, L85)</f>
        <v>10039550.850000001</v>
      </c>
    </row>
    <row r="86" spans="1:14" x14ac:dyDescent="0.25">
      <c r="A86" s="3" t="s">
        <v>235</v>
      </c>
      <c r="B86" s="3" t="s">
        <v>70</v>
      </c>
      <c r="C86" s="3" t="s">
        <v>236</v>
      </c>
      <c r="D86" s="3" t="s">
        <v>75</v>
      </c>
      <c r="E86" s="59" t="str">
        <f>VLOOKUP($A86, 'Individual Bounds - Overall'!$A$1:$L$50, 5, 0)</f>
        <v>No</v>
      </c>
      <c r="F86" s="50">
        <f>SUMIFS('Quarterly Calculation'!$K$3:$K$198, 'Quarterly Calculation'!$A$3:$A$198, 'Individual Bounds - Quarterly'!$A21, 'Quarterly Calculation'!$D$3:$D$198, 'Individual Bounds - Quarterly'!$D21)</f>
        <v>916241.7</v>
      </c>
      <c r="G86" s="62">
        <v>0.05</v>
      </c>
      <c r="H86" s="62">
        <v>0.1</v>
      </c>
      <c r="I86" s="63">
        <v>101635</v>
      </c>
      <c r="J86" s="63">
        <v>106716.75</v>
      </c>
      <c r="K86" s="57">
        <f>IF(AND(ISBLANK(G86), ISBLANK(I86)), $F86, IF(ISBLANK(G86), I86, IF(ISBLANK(I86), $F86*(1+G86), MIN($F86*(1+G86), I86))))</f>
        <v>101635</v>
      </c>
      <c r="L86" s="57">
        <f>IF(AND(ISBLANK(H86), ISBLANK(J86)), $F86, IF(ISBLANK(H86), J86, IF(ISBLANK(J86), $F86*(1+H86), MIN($F86*(1+H86), J86))))</f>
        <v>106716.75</v>
      </c>
      <c r="M86" s="58">
        <f>IF(VLOOKUP($A86, 'Individual Bounds - Overall'!$A$2:$F$50,4,0)="Yes", 'Quarterly Calculation'!N87, K86)</f>
        <v>102000</v>
      </c>
      <c r="N86" s="58">
        <f>IF(VLOOKUP($A86, 'Individual Bounds - Overall'!$A$2:$F$50,4,0)="Yes", 'Quarterly Calculation'!O87, L86)</f>
        <v>107100.00000000001</v>
      </c>
    </row>
    <row r="87" spans="1:14" x14ac:dyDescent="0.25">
      <c r="A87" s="3" t="s">
        <v>235</v>
      </c>
      <c r="B87" s="3" t="s">
        <v>70</v>
      </c>
      <c r="C87" s="3" t="s">
        <v>236</v>
      </c>
      <c r="D87" s="3" t="s">
        <v>76</v>
      </c>
      <c r="E87" s="59" t="str">
        <f>VLOOKUP($A87, 'Individual Bounds - Overall'!$A$1:$L$50, 5, 0)</f>
        <v>No</v>
      </c>
      <c r="F87" s="50">
        <f>SUMIFS('Quarterly Calculation'!$K$3:$K$198, 'Quarterly Calculation'!$A$3:$A$198, 'Individual Bounds - Quarterly'!$A56, 'Quarterly Calculation'!$D$3:$D$198, 'Individual Bounds - Quarterly'!$D56)</f>
        <v>3301440</v>
      </c>
      <c r="G87" s="62">
        <v>0.05</v>
      </c>
      <c r="H87" s="62">
        <v>0.1</v>
      </c>
      <c r="I87" s="63">
        <v>2430653</v>
      </c>
      <c r="J87" s="63">
        <v>2552185.65</v>
      </c>
      <c r="K87" s="57">
        <f>IF(AND(ISBLANK(G87), ISBLANK(I87)), $F87, IF(ISBLANK(G87), I87, IF(ISBLANK(I87), $F87*(1+G87), MIN($F87*(1+G87), I87))))</f>
        <v>2430653</v>
      </c>
      <c r="L87" s="57">
        <f>IF(AND(ISBLANK(H87), ISBLANK(J87)), $F87, IF(ISBLANK(H87), J87, IF(ISBLANK(J87), $F87*(1+H87), MIN($F87*(1+H87), J87))))</f>
        <v>2552185.65</v>
      </c>
      <c r="M87" s="58">
        <f>IF(VLOOKUP($A87, 'Individual Bounds - Overall'!$A$2:$F$50,4,0)="Yes", 'Quarterly Calculation'!N88, K87)</f>
        <v>68212.479999999996</v>
      </c>
      <c r="N87" s="58">
        <f>IF(VLOOKUP($A87, 'Individual Bounds - Overall'!$A$2:$F$50,4,0)="Yes", 'Quarterly Calculation'!O88, L87)</f>
        <v>71623.104000000007</v>
      </c>
    </row>
    <row r="88" spans="1:14" x14ac:dyDescent="0.25">
      <c r="A88" s="3" t="s">
        <v>235</v>
      </c>
      <c r="B88" s="3" t="s">
        <v>70</v>
      </c>
      <c r="C88" s="3" t="s">
        <v>236</v>
      </c>
      <c r="D88" s="3" t="s">
        <v>77</v>
      </c>
      <c r="E88" s="59" t="str">
        <f>VLOOKUP($A88, 'Individual Bounds - Overall'!$A$1:$L$50, 5, 0)</f>
        <v>No</v>
      </c>
      <c r="F88" s="50">
        <f>SUMIFS('Quarterly Calculation'!$K$3:$K$198, 'Quarterly Calculation'!$A$3:$A$198, 'Individual Bounds - Quarterly'!$A83, 'Quarterly Calculation'!$D$3:$D$198, 'Individual Bounds - Quarterly'!$D83)</f>
        <v>2895054</v>
      </c>
      <c r="G88" s="62">
        <v>0.05</v>
      </c>
      <c r="H88" s="62">
        <v>0.1</v>
      </c>
      <c r="I88" s="63">
        <v>2430653</v>
      </c>
      <c r="J88" s="63">
        <v>2552185.65</v>
      </c>
      <c r="K88" s="57">
        <f>IF(AND(ISBLANK(G88), ISBLANK(I88)), $F88, IF(ISBLANK(G88), I88, IF(ISBLANK(I88), $F88*(1+G88), MIN($F88*(1+G88), I88))))</f>
        <v>2430653</v>
      </c>
      <c r="L88" s="57">
        <f>IF(AND(ISBLANK(H88), ISBLANK(J88)), $F88, IF(ISBLANK(H88), J88, IF(ISBLANK(J88), $F88*(1+H88), MIN($F88*(1+H88), J88))))</f>
        <v>2552185.65</v>
      </c>
      <c r="M88" s="58">
        <f>IF(VLOOKUP($A88, 'Individual Bounds - Overall'!$A$2:$F$50,4,0)="Yes", 'Quarterly Calculation'!N89, K88)</f>
        <v>0</v>
      </c>
      <c r="N88" s="58">
        <f>IF(VLOOKUP($A88, 'Individual Bounds - Overall'!$A$2:$F$50,4,0)="Yes", 'Quarterly Calculation'!O89, L88)</f>
        <v>0</v>
      </c>
    </row>
    <row r="89" spans="1:14" x14ac:dyDescent="0.25">
      <c r="A89" s="3" t="s">
        <v>235</v>
      </c>
      <c r="B89" s="3" t="s">
        <v>70</v>
      </c>
      <c r="C89" s="3" t="s">
        <v>236</v>
      </c>
      <c r="D89" s="3" t="s">
        <v>78</v>
      </c>
      <c r="E89" s="59" t="str">
        <f>VLOOKUP($A89, 'Individual Bounds - Overall'!$A$1:$L$50, 5, 0)</f>
        <v>No</v>
      </c>
      <c r="F89" s="50">
        <f>SUMIFS('Quarterly Calculation'!$K$3:$K$198, 'Quarterly Calculation'!$A$3:$A$198, 'Individual Bounds - Quarterly'!$A110, 'Quarterly Calculation'!$D$3:$D$198, 'Individual Bounds - Quarterly'!$D110)</f>
        <v>4553</v>
      </c>
      <c r="G89" s="62">
        <v>0.05</v>
      </c>
      <c r="H89" s="62">
        <v>0.1</v>
      </c>
      <c r="I89" s="63">
        <v>2430653</v>
      </c>
      <c r="J89" s="63">
        <v>2552185.65</v>
      </c>
      <c r="K89" s="57">
        <f>IF(AND(ISBLANK(G89), ISBLANK(I89)), $F89, IF(ISBLANK(G89), I89, IF(ISBLANK(I89), $F89*(1+G89), MIN($F89*(1+G89), I89))))</f>
        <v>4780.6500000000005</v>
      </c>
      <c r="L89" s="57">
        <f>IF(AND(ISBLANK(H89), ISBLANK(J89)), $F89, IF(ISBLANK(H89), J89, IF(ISBLANK(J89), $F89*(1+H89), MIN($F89*(1+H89), J89))))</f>
        <v>5008.3</v>
      </c>
      <c r="M89" s="58">
        <f>IF(VLOOKUP($A89, 'Individual Bounds - Overall'!$A$2:$F$50,4,0)="Yes", 'Quarterly Calculation'!N90, K89)</f>
        <v>246680</v>
      </c>
      <c r="N89" s="58">
        <f>IF(VLOOKUP($A89, 'Individual Bounds - Overall'!$A$2:$F$50,4,0)="Yes", 'Quarterly Calculation'!O90, L89)</f>
        <v>259014</v>
      </c>
    </row>
    <row r="90" spans="1:14" x14ac:dyDescent="0.25">
      <c r="A90" s="3" t="s">
        <v>248</v>
      </c>
      <c r="B90" s="3" t="s">
        <v>238</v>
      </c>
      <c r="C90" s="3" t="s">
        <v>249</v>
      </c>
      <c r="D90" s="3" t="s">
        <v>75</v>
      </c>
      <c r="E90" s="59" t="str">
        <f>VLOOKUP($A90, 'Individual Bounds - Overall'!$A$1:$L$50, 5, 0)</f>
        <v>No</v>
      </c>
      <c r="F90" s="50">
        <f>SUMIFS('Quarterly Calculation'!$K$3:$K$198, 'Quarterly Calculation'!$A$3:$A$198, 'Individual Bounds - Quarterly'!$A27, 'Quarterly Calculation'!$D$3:$D$198, 'Individual Bounds - Quarterly'!$D27)</f>
        <v>209687.9</v>
      </c>
      <c r="G90" s="62">
        <v>0.05</v>
      </c>
      <c r="H90" s="62">
        <v>0.1</v>
      </c>
      <c r="I90" s="63">
        <v>2546380</v>
      </c>
      <c r="J90" s="63">
        <v>2673699</v>
      </c>
      <c r="K90" s="57">
        <f>IF(AND(ISBLANK(G90), ISBLANK(I90)), $F90, IF(ISBLANK(G90), I90, IF(ISBLANK(I90), $F90*(1+G90), MIN($F90*(1+G90), I90))))</f>
        <v>220172.29500000001</v>
      </c>
      <c r="L90" s="57">
        <f>IF(AND(ISBLANK(H90), ISBLANK(J90)), $F90, IF(ISBLANK(H90), J90, IF(ISBLANK(J90), $F90*(1+H90), MIN($F90*(1+H90), J90))))</f>
        <v>230656.69</v>
      </c>
      <c r="M90" s="58">
        <f>IF(VLOOKUP($A90, 'Individual Bounds - Overall'!$A$2:$F$50,4,0)="Yes", 'Quarterly Calculation'!N91, K90)</f>
        <v>45279.66</v>
      </c>
      <c r="N90" s="58">
        <f>IF(VLOOKUP($A90, 'Individual Bounds - Overall'!$A$2:$F$50,4,0)="Yes", 'Quarterly Calculation'!O91, L90)</f>
        <v>47543.643000000004</v>
      </c>
    </row>
    <row r="91" spans="1:14" x14ac:dyDescent="0.25">
      <c r="A91" s="3" t="s">
        <v>248</v>
      </c>
      <c r="B91" s="3" t="s">
        <v>238</v>
      </c>
      <c r="C91" s="3" t="s">
        <v>249</v>
      </c>
      <c r="D91" s="3" t="s">
        <v>76</v>
      </c>
      <c r="E91" s="59" t="str">
        <f>VLOOKUP($A91, 'Individual Bounds - Overall'!$A$1:$L$50, 5, 0)</f>
        <v>No</v>
      </c>
      <c r="F91" s="50">
        <f>SUMIFS('Quarterly Calculation'!$K$3:$K$198, 'Quarterly Calculation'!$A$3:$A$198, 'Individual Bounds - Quarterly'!$A62, 'Quarterly Calculation'!$D$3:$D$198, 'Individual Bounds - Quarterly'!$D62)</f>
        <v>326564.7</v>
      </c>
      <c r="G91" s="62">
        <v>0.05</v>
      </c>
      <c r="H91" s="62">
        <v>0.1</v>
      </c>
      <c r="I91" s="63">
        <v>2430653</v>
      </c>
      <c r="J91" s="63">
        <v>2552185.65</v>
      </c>
      <c r="K91" s="57">
        <f>IF(AND(ISBLANK(G91), ISBLANK(I91)), $F91, IF(ISBLANK(G91), I91, IF(ISBLANK(I91), $F91*(1+G91), MIN($F91*(1+G91), I91))))</f>
        <v>342892.935</v>
      </c>
      <c r="L91" s="57">
        <f>IF(AND(ISBLANK(H91), ISBLANK(J91)), $F91, IF(ISBLANK(H91), J91, IF(ISBLANK(J91), $F91*(1+H91), MIN($F91*(1+H91), J91))))</f>
        <v>359221.17000000004</v>
      </c>
      <c r="M91" s="58">
        <f>IF(VLOOKUP($A91, 'Individual Bounds - Overall'!$A$2:$F$50,4,0)="Yes", 'Quarterly Calculation'!N92, K91)</f>
        <v>58597.86</v>
      </c>
      <c r="N91" s="58">
        <f>IF(VLOOKUP($A91, 'Individual Bounds - Overall'!$A$2:$F$50,4,0)="Yes", 'Quarterly Calculation'!O92, L91)</f>
        <v>61527.752999999997</v>
      </c>
    </row>
    <row r="92" spans="1:14" x14ac:dyDescent="0.25">
      <c r="A92" s="3" t="s">
        <v>248</v>
      </c>
      <c r="B92" s="3" t="s">
        <v>238</v>
      </c>
      <c r="C92" s="3" t="s">
        <v>249</v>
      </c>
      <c r="D92" s="3" t="s">
        <v>77</v>
      </c>
      <c r="E92" s="59" t="str">
        <f>VLOOKUP($A92, 'Individual Bounds - Overall'!$A$1:$L$50, 5, 0)</f>
        <v>No</v>
      </c>
      <c r="F92" s="50">
        <f>SUMIFS('Quarterly Calculation'!$K$3:$K$198, 'Quarterly Calculation'!$A$3:$A$198, 'Individual Bounds - Quarterly'!$A89, 'Quarterly Calculation'!$D$3:$D$198, 'Individual Bounds - Quarterly'!$D89)</f>
        <v>246680</v>
      </c>
      <c r="G92" s="62">
        <v>0.05</v>
      </c>
      <c r="H92" s="62">
        <v>0.1</v>
      </c>
      <c r="I92" s="63">
        <v>2430653</v>
      </c>
      <c r="J92" s="63">
        <v>2552185.65</v>
      </c>
      <c r="K92" s="57">
        <f>IF(AND(ISBLANK(G92), ISBLANK(I92)), $F92, IF(ISBLANK(G92), I92, IF(ISBLANK(I92), $F92*(1+G92), MIN($F92*(1+G92), I92))))</f>
        <v>259014</v>
      </c>
      <c r="L92" s="57">
        <f>IF(AND(ISBLANK(H92), ISBLANK(J92)), $F92, IF(ISBLANK(H92), J92, IF(ISBLANK(J92), $F92*(1+H92), MIN($F92*(1+H92), J92))))</f>
        <v>271348</v>
      </c>
      <c r="M92" s="58">
        <f>IF(VLOOKUP($A92, 'Individual Bounds - Overall'!$A$2:$F$50,4,0)="Yes", 'Quarterly Calculation'!N93, K92)</f>
        <v>62377.609999999993</v>
      </c>
      <c r="N92" s="58">
        <f>IF(VLOOKUP($A92, 'Individual Bounds - Overall'!$A$2:$F$50,4,0)="Yes", 'Quarterly Calculation'!O93, L92)</f>
        <v>65496.490499999993</v>
      </c>
    </row>
    <row r="93" spans="1:14" x14ac:dyDescent="0.25">
      <c r="A93" s="3" t="s">
        <v>248</v>
      </c>
      <c r="B93" s="3" t="s">
        <v>238</v>
      </c>
      <c r="C93" s="3" t="s">
        <v>249</v>
      </c>
      <c r="D93" s="3" t="s">
        <v>78</v>
      </c>
      <c r="E93" s="59" t="str">
        <f>VLOOKUP($A93, 'Individual Bounds - Overall'!$A$1:$L$50, 5, 0)</f>
        <v>No</v>
      </c>
      <c r="F93" s="50">
        <f>SUMIFS('Quarterly Calculation'!$K$3:$K$198, 'Quarterly Calculation'!$A$3:$A$198, 'Individual Bounds - Quarterly'!$A116, 'Quarterly Calculation'!$D$3:$D$198, 'Individual Bounds - Quarterly'!$D116)</f>
        <v>161348.1</v>
      </c>
      <c r="G93" s="62">
        <v>0.05</v>
      </c>
      <c r="H93" s="62">
        <v>0.1</v>
      </c>
      <c r="I93" s="63">
        <v>2430653</v>
      </c>
      <c r="J93" s="63">
        <v>2552185.65</v>
      </c>
      <c r="K93" s="57">
        <f>IF(AND(ISBLANK(G93), ISBLANK(I93)), $F93, IF(ISBLANK(G93), I93, IF(ISBLANK(I93), $F93*(1+G93), MIN($F93*(1+G93), I93))))</f>
        <v>169415.505</v>
      </c>
      <c r="L93" s="57">
        <f>IF(AND(ISBLANK(H93), ISBLANK(J93)), $F93, IF(ISBLANK(H93), J93, IF(ISBLANK(J93), $F93*(1+H93), MIN($F93*(1+H93), J93))))</f>
        <v>177482.91000000003</v>
      </c>
      <c r="M93" s="58">
        <f>IF(VLOOKUP($A93, 'Individual Bounds - Overall'!$A$2:$F$50,4,0)="Yes", 'Quarterly Calculation'!N94, K93)</f>
        <v>321232</v>
      </c>
      <c r="N93" s="58">
        <f>IF(VLOOKUP($A93, 'Individual Bounds - Overall'!$A$2:$F$50,4,0)="Yes", 'Quarterly Calculation'!O94, L93)</f>
        <v>337293.6</v>
      </c>
    </row>
    <row r="94" spans="1:14" x14ac:dyDescent="0.25">
      <c r="A94" s="3" t="s">
        <v>244</v>
      </c>
      <c r="B94" s="3" t="s">
        <v>238</v>
      </c>
      <c r="C94" s="3" t="s">
        <v>245</v>
      </c>
      <c r="D94" s="3" t="s">
        <v>75</v>
      </c>
      <c r="E94" s="59" t="str">
        <f>VLOOKUP($A94, 'Individual Bounds - Overall'!$A$1:$L$50, 5, 0)</f>
        <v>No</v>
      </c>
      <c r="F94" s="50">
        <f>SUMIFS('Quarterly Calculation'!$K$3:$K$198, 'Quarterly Calculation'!$A$3:$A$198, 'Individual Bounds - Quarterly'!$A25, 'Quarterly Calculation'!$D$3:$D$198, 'Individual Bounds - Quarterly'!$D25)</f>
        <v>3931737</v>
      </c>
      <c r="G94" s="62">
        <v>0.05</v>
      </c>
      <c r="H94" s="62">
        <v>0.1</v>
      </c>
      <c r="I94" s="63">
        <v>26300</v>
      </c>
      <c r="J94" s="63">
        <v>27615</v>
      </c>
      <c r="K94" s="57">
        <f>IF(AND(ISBLANK(G94), ISBLANK(I94)), $F94, IF(ISBLANK(G94), I94, IF(ISBLANK(I94), $F94*(1+G94), MIN($F94*(1+G94), I94))))</f>
        <v>26300</v>
      </c>
      <c r="L94" s="57">
        <f>IF(AND(ISBLANK(H94), ISBLANK(J94)), $F94, IF(ISBLANK(H94), J94, IF(ISBLANK(J94), $F94*(1+H94), MIN($F94*(1+H94), J94))))</f>
        <v>27615</v>
      </c>
      <c r="M94" s="58">
        <f>IF(VLOOKUP($A94, 'Individual Bounds - Overall'!$A$2:$F$50,4,0)="Yes", 'Quarterly Calculation'!N95, K94)</f>
        <v>50075.68</v>
      </c>
      <c r="N94" s="58">
        <f>IF(VLOOKUP($A94, 'Individual Bounds - Overall'!$A$2:$F$50,4,0)="Yes", 'Quarterly Calculation'!O95, L94)</f>
        <v>52579.464</v>
      </c>
    </row>
    <row r="95" spans="1:14" x14ac:dyDescent="0.25">
      <c r="A95" s="3" t="s">
        <v>244</v>
      </c>
      <c r="B95" s="3" t="s">
        <v>238</v>
      </c>
      <c r="C95" s="3" t="s">
        <v>245</v>
      </c>
      <c r="D95" s="3" t="s">
        <v>76</v>
      </c>
      <c r="E95" s="59" t="str">
        <f>VLOOKUP($A95, 'Individual Bounds - Overall'!$A$1:$L$50, 5, 0)</f>
        <v>No</v>
      </c>
      <c r="F95" s="50">
        <f>SUMIFS('Quarterly Calculation'!$K$3:$K$198, 'Quarterly Calculation'!$A$3:$A$198, 'Individual Bounds - Quarterly'!$A60, 'Quarterly Calculation'!$D$3:$D$198, 'Individual Bounds - Quarterly'!$D60)</f>
        <v>70880</v>
      </c>
      <c r="G95" s="62">
        <v>0.05</v>
      </c>
      <c r="H95" s="62">
        <v>0.1</v>
      </c>
      <c r="I95" s="63">
        <v>2430653</v>
      </c>
      <c r="J95" s="63">
        <v>2552185.65</v>
      </c>
      <c r="K95" s="57">
        <f>IF(AND(ISBLANK(G95), ISBLANK(I95)), $F95, IF(ISBLANK(G95), I95, IF(ISBLANK(I95), $F95*(1+G95), MIN($F95*(1+G95), I95))))</f>
        <v>74424</v>
      </c>
      <c r="L95" s="57">
        <f>IF(AND(ISBLANK(H95), ISBLANK(J95)), $F95, IF(ISBLANK(H95), J95, IF(ISBLANK(J95), $F95*(1+H95), MIN($F95*(1+H95), J95))))</f>
        <v>77968</v>
      </c>
      <c r="M95" s="58">
        <f>IF(VLOOKUP($A95, 'Individual Bounds - Overall'!$A$2:$F$50,4,0)="Yes", 'Quarterly Calculation'!N96, K95)</f>
        <v>94556.91</v>
      </c>
      <c r="N95" s="58">
        <f>IF(VLOOKUP($A95, 'Individual Bounds - Overall'!$A$2:$F$50,4,0)="Yes", 'Quarterly Calculation'!O96, L95)</f>
        <v>99284.755499999999</v>
      </c>
    </row>
    <row r="96" spans="1:14" x14ac:dyDescent="0.25">
      <c r="A96" s="3" t="s">
        <v>244</v>
      </c>
      <c r="B96" s="3" t="s">
        <v>238</v>
      </c>
      <c r="C96" s="3" t="s">
        <v>245</v>
      </c>
      <c r="D96" s="3" t="s">
        <v>77</v>
      </c>
      <c r="E96" s="59" t="str">
        <f>VLOOKUP($A96, 'Individual Bounds - Overall'!$A$1:$L$50, 5, 0)</f>
        <v>No</v>
      </c>
      <c r="F96" s="50">
        <f>SUMIFS('Quarterly Calculation'!$K$3:$K$198, 'Quarterly Calculation'!$A$3:$A$198, 'Individual Bounds - Quarterly'!$A87, 'Quarterly Calculation'!$D$3:$D$198, 'Individual Bounds - Quarterly'!$D87)</f>
        <v>68212.479999999996</v>
      </c>
      <c r="G96" s="62">
        <v>0.05</v>
      </c>
      <c r="H96" s="62">
        <v>0.1</v>
      </c>
      <c r="I96" s="63">
        <v>2430653</v>
      </c>
      <c r="J96" s="63">
        <v>2552185.65</v>
      </c>
      <c r="K96" s="57">
        <f>IF(AND(ISBLANK(G96), ISBLANK(I96)), $F96, IF(ISBLANK(G96), I96, IF(ISBLANK(I96), $F96*(1+G96), MIN($F96*(1+G96), I96))))</f>
        <v>71623.103999999992</v>
      </c>
      <c r="L96" s="57">
        <f>IF(AND(ISBLANK(H96), ISBLANK(J96)), $F96, IF(ISBLANK(H96), J96, IF(ISBLANK(J96), $F96*(1+H96), MIN($F96*(1+H96), J96))))</f>
        <v>75033.728000000003</v>
      </c>
      <c r="M96" s="58">
        <f>IF(VLOOKUP($A96, 'Individual Bounds - Overall'!$A$2:$F$50,4,0)="Yes", 'Quarterly Calculation'!N97, K96)</f>
        <v>155762</v>
      </c>
      <c r="N96" s="58">
        <f>IF(VLOOKUP($A96, 'Individual Bounds - Overall'!$A$2:$F$50,4,0)="Yes", 'Quarterly Calculation'!O97, L96)</f>
        <v>163550.09999999998</v>
      </c>
    </row>
    <row r="97" spans="1:14" x14ac:dyDescent="0.25">
      <c r="A97" s="3" t="s">
        <v>244</v>
      </c>
      <c r="B97" s="3" t="s">
        <v>238</v>
      </c>
      <c r="C97" s="3" t="s">
        <v>245</v>
      </c>
      <c r="D97" s="3" t="s">
        <v>78</v>
      </c>
      <c r="E97" s="59" t="str">
        <f>VLOOKUP($A97, 'Individual Bounds - Overall'!$A$1:$L$50, 5, 0)</f>
        <v>No</v>
      </c>
      <c r="F97" s="50">
        <f>SUMIFS('Quarterly Calculation'!$K$3:$K$198, 'Quarterly Calculation'!$A$3:$A$198, 'Individual Bounds - Quarterly'!$A114, 'Quarterly Calculation'!$D$3:$D$198, 'Individual Bounds - Quarterly'!$D114)</f>
        <v>44924.44</v>
      </c>
      <c r="G97" s="62">
        <v>0.05</v>
      </c>
      <c r="H97" s="62">
        <v>0.1</v>
      </c>
      <c r="I97" s="63">
        <v>2430653</v>
      </c>
      <c r="J97" s="63">
        <v>2552185.65</v>
      </c>
      <c r="K97" s="57">
        <f>IF(AND(ISBLANK(G97), ISBLANK(I97)), $F97, IF(ISBLANK(G97), I97, IF(ISBLANK(I97), $F97*(1+G97), MIN($F97*(1+G97), I97))))</f>
        <v>47170.662000000004</v>
      </c>
      <c r="L97" s="57">
        <f>IF(AND(ISBLANK(H97), ISBLANK(J97)), $F97, IF(ISBLANK(H97), J97, IF(ISBLANK(J97), $F97*(1+H97), MIN($F97*(1+H97), J97))))</f>
        <v>49416.884000000005</v>
      </c>
      <c r="M97" s="58">
        <f>IF(VLOOKUP($A97, 'Individual Bounds - Overall'!$A$2:$F$50,4,0)="Yes", 'Quarterly Calculation'!N98, K97)</f>
        <v>662872.30000000005</v>
      </c>
      <c r="N97" s="58">
        <f>IF(VLOOKUP($A97, 'Individual Bounds - Overall'!$A$2:$F$50,4,0)="Yes", 'Quarterly Calculation'!O98, L97)</f>
        <v>696015.91500000004</v>
      </c>
    </row>
    <row r="98" spans="1:14" x14ac:dyDescent="0.25">
      <c r="A98" s="3" t="s">
        <v>240</v>
      </c>
      <c r="B98" s="3" t="s">
        <v>238</v>
      </c>
      <c r="C98" s="3" t="s">
        <v>241</v>
      </c>
      <c r="D98" s="3" t="s">
        <v>75</v>
      </c>
      <c r="E98" s="59" t="str">
        <f>VLOOKUP($A98, 'Individual Bounds - Overall'!$A$1:$L$50, 5, 0)</f>
        <v>No</v>
      </c>
      <c r="F98" s="50">
        <f>SUMIFS('Quarterly Calculation'!$K$3:$K$198, 'Quarterly Calculation'!$A$3:$A$198, 'Individual Bounds - Quarterly'!$A23, 'Quarterly Calculation'!$D$3:$D$198, 'Individual Bounds - Quarterly'!$D23)</f>
        <v>1354193</v>
      </c>
      <c r="G98" s="62">
        <v>0.05</v>
      </c>
      <c r="H98" s="62">
        <v>0.1</v>
      </c>
      <c r="I98" s="63">
        <v>17442</v>
      </c>
      <c r="J98" s="63">
        <v>18314.100000000002</v>
      </c>
      <c r="K98" s="57">
        <f>IF(AND(ISBLANK(G98), ISBLANK(I98)), $F98, IF(ISBLANK(G98), I98, IF(ISBLANK(I98), $F98*(1+G98), MIN($F98*(1+G98), I98))))</f>
        <v>17442</v>
      </c>
      <c r="L98" s="57">
        <f>IF(AND(ISBLANK(H98), ISBLANK(J98)), $F98, IF(ISBLANK(H98), J98, IF(ISBLANK(J98), $F98*(1+H98), MIN($F98*(1+H98), J98))))</f>
        <v>18314.100000000002</v>
      </c>
      <c r="M98" s="58">
        <f>IF(VLOOKUP($A98, 'Individual Bounds - Overall'!$A$2:$F$50,4,0)="Yes", 'Quarterly Calculation'!N99, K98)</f>
        <v>0</v>
      </c>
      <c r="N98" s="58">
        <f>IF(VLOOKUP($A98, 'Individual Bounds - Overall'!$A$2:$F$50,4,0)="Yes", 'Quarterly Calculation'!O99, L98)</f>
        <v>0</v>
      </c>
    </row>
    <row r="99" spans="1:14" x14ac:dyDescent="0.25">
      <c r="A99" s="3" t="s">
        <v>240</v>
      </c>
      <c r="B99" s="3" t="s">
        <v>238</v>
      </c>
      <c r="C99" s="3" t="s">
        <v>241</v>
      </c>
      <c r="D99" s="3" t="s">
        <v>76</v>
      </c>
      <c r="E99" s="59" t="str">
        <f>VLOOKUP($A99, 'Individual Bounds - Overall'!$A$1:$L$50, 5, 0)</f>
        <v>No</v>
      </c>
      <c r="F99" s="50">
        <f>SUMIFS('Quarterly Calculation'!$K$3:$K$198, 'Quarterly Calculation'!$A$3:$A$198, 'Individual Bounds - Quarterly'!$A58, 'Quarterly Calculation'!$D$3:$D$198, 'Individual Bounds - Quarterly'!$D58)</f>
        <v>503680</v>
      </c>
      <c r="G99" s="62">
        <v>0.05</v>
      </c>
      <c r="H99" s="62">
        <v>0.1</v>
      </c>
      <c r="I99" s="63">
        <v>2430653</v>
      </c>
      <c r="J99" s="63">
        <v>2552185.65</v>
      </c>
      <c r="K99" s="57">
        <f>IF(AND(ISBLANK(G99), ISBLANK(I99)), $F99, IF(ISBLANK(G99), I99, IF(ISBLANK(I99), $F99*(1+G99), MIN($F99*(1+G99), I99))))</f>
        <v>528864</v>
      </c>
      <c r="L99" s="57">
        <f>IF(AND(ISBLANK(H99), ISBLANK(J99)), $F99, IF(ISBLANK(H99), J99, IF(ISBLANK(J99), $F99*(1+H99), MIN($F99*(1+H99), J99))))</f>
        <v>554048</v>
      </c>
      <c r="M99" s="58">
        <f>IF(VLOOKUP($A99, 'Individual Bounds - Overall'!$A$2:$F$50,4,0)="Yes", 'Quarterly Calculation'!N100, K99)</f>
        <v>0</v>
      </c>
      <c r="N99" s="58">
        <f>IF(VLOOKUP($A99, 'Individual Bounds - Overall'!$A$2:$F$50,4,0)="Yes", 'Quarterly Calculation'!O100, L99)</f>
        <v>0</v>
      </c>
    </row>
    <row r="100" spans="1:14" x14ac:dyDescent="0.25">
      <c r="A100" s="3" t="s">
        <v>240</v>
      </c>
      <c r="B100" s="3" t="s">
        <v>238</v>
      </c>
      <c r="C100" s="3" t="s">
        <v>241</v>
      </c>
      <c r="D100" s="3" t="s">
        <v>77</v>
      </c>
      <c r="E100" s="59" t="str">
        <f>VLOOKUP($A100, 'Individual Bounds - Overall'!$A$1:$L$50, 5, 0)</f>
        <v>No</v>
      </c>
      <c r="F100" s="50">
        <f>SUMIFS('Quarterly Calculation'!$K$3:$K$198, 'Quarterly Calculation'!$A$3:$A$198, 'Individual Bounds - Quarterly'!$A85, 'Quarterly Calculation'!$D$3:$D$198, 'Individual Bounds - Quarterly'!$D85)</f>
        <v>9561477</v>
      </c>
      <c r="G100" s="62">
        <v>0.05</v>
      </c>
      <c r="H100" s="62">
        <v>0.1</v>
      </c>
      <c r="I100" s="63">
        <v>2430653</v>
      </c>
      <c r="J100" s="63">
        <v>2552185.65</v>
      </c>
      <c r="K100" s="57">
        <f>IF(AND(ISBLANK(G100), ISBLANK(I100)), $F100, IF(ISBLANK(G100), I100, IF(ISBLANK(I100), $F100*(1+G100), MIN($F100*(1+G100), I100))))</f>
        <v>2430653</v>
      </c>
      <c r="L100" s="57">
        <f>IF(AND(ISBLANK(H100), ISBLANK(J100)), $F100, IF(ISBLANK(H100), J100, IF(ISBLANK(J100), $F100*(1+H100), MIN($F100*(1+H100), J100))))</f>
        <v>2552185.65</v>
      </c>
      <c r="M100" s="58">
        <f>IF(VLOOKUP($A100, 'Individual Bounds - Overall'!$A$2:$F$50,4,0)="Yes", 'Quarterly Calculation'!N101, K100)</f>
        <v>0</v>
      </c>
      <c r="N100" s="58">
        <f>IF(VLOOKUP($A100, 'Individual Bounds - Overall'!$A$2:$F$50,4,0)="Yes", 'Quarterly Calculation'!O101, L100)</f>
        <v>0</v>
      </c>
    </row>
    <row r="101" spans="1:14" x14ac:dyDescent="0.25">
      <c r="A101" s="3" t="s">
        <v>240</v>
      </c>
      <c r="B101" s="3" t="s">
        <v>238</v>
      </c>
      <c r="C101" s="3" t="s">
        <v>241</v>
      </c>
      <c r="D101" s="3" t="s">
        <v>78</v>
      </c>
      <c r="E101" s="59" t="str">
        <f>VLOOKUP($A101, 'Individual Bounds - Overall'!$A$1:$L$50, 5, 0)</f>
        <v>No</v>
      </c>
      <c r="F101" s="50">
        <f>SUMIFS('Quarterly Calculation'!$K$3:$K$198, 'Quarterly Calculation'!$A$3:$A$198, 'Individual Bounds - Quarterly'!$A112, 'Quarterly Calculation'!$D$3:$D$198, 'Individual Bounds - Quarterly'!$D112)</f>
        <v>0</v>
      </c>
      <c r="G101" s="62">
        <v>0.05</v>
      </c>
      <c r="H101" s="62">
        <v>0.1</v>
      </c>
      <c r="I101" s="63">
        <v>2430653</v>
      </c>
      <c r="J101" s="63">
        <v>2552185.65</v>
      </c>
      <c r="K101" s="57">
        <f>IF(AND(ISBLANK(G101), ISBLANK(I101)), $F101, IF(ISBLANK(G101), I101, IF(ISBLANK(I101), $F101*(1+G101), MIN($F101*(1+G101), I101))))</f>
        <v>0</v>
      </c>
      <c r="L101" s="57">
        <f>IF(AND(ISBLANK(H101), ISBLANK(J101)), $F101, IF(ISBLANK(H101), J101, IF(ISBLANK(J101), $F101*(1+H101), MIN($F101*(1+H101), J101))))</f>
        <v>0</v>
      </c>
      <c r="M101" s="58">
        <f>IF(VLOOKUP($A101, 'Individual Bounds - Overall'!$A$2:$F$50,4,0)="Yes", 'Quarterly Calculation'!N102, K101)</f>
        <v>541</v>
      </c>
      <c r="N101" s="58">
        <f>IF(VLOOKUP($A101, 'Individual Bounds - Overall'!$A$2:$F$50,4,0)="Yes", 'Quarterly Calculation'!O102, L101)</f>
        <v>568.05000000000007</v>
      </c>
    </row>
    <row r="102" spans="1:14" x14ac:dyDescent="0.25">
      <c r="A102" s="3" t="s">
        <v>242</v>
      </c>
      <c r="B102" s="3" t="s">
        <v>238</v>
      </c>
      <c r="C102" s="3" t="s">
        <v>243</v>
      </c>
      <c r="D102" s="3" t="s">
        <v>75</v>
      </c>
      <c r="E102" s="59" t="str">
        <f>VLOOKUP($A102, 'Individual Bounds - Overall'!$A$1:$L$50, 5, 0)</f>
        <v>No</v>
      </c>
      <c r="F102" s="50">
        <f>SUMIFS('Quarterly Calculation'!$K$3:$K$198, 'Quarterly Calculation'!$A$3:$A$198, 'Individual Bounds - Quarterly'!$A24, 'Quarterly Calculation'!$D$3:$D$198, 'Individual Bounds - Quarterly'!$D24)</f>
        <v>1096247</v>
      </c>
      <c r="G102" s="62">
        <v>0.05</v>
      </c>
      <c r="H102" s="62">
        <v>0.1</v>
      </c>
      <c r="I102" s="63">
        <v>26582</v>
      </c>
      <c r="J102" s="63">
        <v>27911.100000000002</v>
      </c>
      <c r="K102" s="57">
        <f>IF(AND(ISBLANK(G102), ISBLANK(I102)), $F102, IF(ISBLANK(G102), I102, IF(ISBLANK(I102), $F102*(1+G102), MIN($F102*(1+G102), I102))))</f>
        <v>26582</v>
      </c>
      <c r="L102" s="57">
        <f>IF(AND(ISBLANK(H102), ISBLANK(J102)), $F102, IF(ISBLANK(H102), J102, IF(ISBLANK(J102), $F102*(1+H102), MIN($F102*(1+H102), J102))))</f>
        <v>27911.100000000002</v>
      </c>
      <c r="M102" s="58">
        <f>IF(VLOOKUP($A102, 'Individual Bounds - Overall'!$A$2:$F$50,4,0)="Yes", 'Quarterly Calculation'!N103, K102)</f>
        <v>228003.09999999998</v>
      </c>
      <c r="N102" s="58">
        <f>IF(VLOOKUP($A102, 'Individual Bounds - Overall'!$A$2:$F$50,4,0)="Yes", 'Quarterly Calculation'!O103, L102)</f>
        <v>239403.255</v>
      </c>
    </row>
    <row r="103" spans="1:14" x14ac:dyDescent="0.25">
      <c r="A103" s="3" t="s">
        <v>242</v>
      </c>
      <c r="B103" s="3" t="s">
        <v>238</v>
      </c>
      <c r="C103" s="3" t="s">
        <v>243</v>
      </c>
      <c r="D103" s="3" t="s">
        <v>76</v>
      </c>
      <c r="E103" s="59" t="str">
        <f>VLOOKUP($A103, 'Individual Bounds - Overall'!$A$1:$L$50, 5, 0)</f>
        <v>No</v>
      </c>
      <c r="F103" s="50">
        <f>SUMIFS('Quarterly Calculation'!$K$3:$K$198, 'Quarterly Calculation'!$A$3:$A$198, 'Individual Bounds - Quarterly'!$A59, 'Quarterly Calculation'!$D$3:$D$198, 'Individual Bounds - Quarterly'!$D59)</f>
        <v>1126320</v>
      </c>
      <c r="G103" s="62">
        <v>0.05</v>
      </c>
      <c r="H103" s="62">
        <v>0.1</v>
      </c>
      <c r="I103" s="63">
        <v>2430653</v>
      </c>
      <c r="J103" s="63">
        <v>2552185.65</v>
      </c>
      <c r="K103" s="57">
        <f>IF(AND(ISBLANK(G103), ISBLANK(I103)), $F103, IF(ISBLANK(G103), I103, IF(ISBLANK(I103), $F103*(1+G103), MIN($F103*(1+G103), I103))))</f>
        <v>1182636</v>
      </c>
      <c r="L103" s="57">
        <f>IF(AND(ISBLANK(H103), ISBLANK(J103)), $F103, IF(ISBLANK(H103), J103, IF(ISBLANK(J103), $F103*(1+H103), MIN($F103*(1+H103), J103))))</f>
        <v>1238952</v>
      </c>
      <c r="M103" s="58">
        <f>IF(VLOOKUP($A103, 'Individual Bounds - Overall'!$A$2:$F$50,4,0)="Yes", 'Quarterly Calculation'!N104, K103)</f>
        <v>201245.10000000003</v>
      </c>
      <c r="N103" s="58">
        <f>IF(VLOOKUP($A103, 'Individual Bounds - Overall'!$A$2:$F$50,4,0)="Yes", 'Quarterly Calculation'!O104, L103)</f>
        <v>211307.35500000004</v>
      </c>
    </row>
    <row r="104" spans="1:14" x14ac:dyDescent="0.25">
      <c r="A104" s="3" t="s">
        <v>242</v>
      </c>
      <c r="B104" s="3" t="s">
        <v>238</v>
      </c>
      <c r="C104" s="3" t="s">
        <v>243</v>
      </c>
      <c r="D104" s="3" t="s">
        <v>77</v>
      </c>
      <c r="E104" s="59" t="str">
        <f>VLOOKUP($A104, 'Individual Bounds - Overall'!$A$1:$L$50, 5, 0)</f>
        <v>No</v>
      </c>
      <c r="F104" s="50">
        <f>SUMIFS('Quarterly Calculation'!$K$3:$K$198, 'Quarterly Calculation'!$A$3:$A$198, 'Individual Bounds - Quarterly'!$A86, 'Quarterly Calculation'!$D$3:$D$198, 'Individual Bounds - Quarterly'!$D86)</f>
        <v>102000</v>
      </c>
      <c r="G104" s="62">
        <v>0.05</v>
      </c>
      <c r="H104" s="62">
        <v>0.1</v>
      </c>
      <c r="I104" s="63">
        <v>2430653</v>
      </c>
      <c r="J104" s="63">
        <v>2552185.65</v>
      </c>
      <c r="K104" s="57">
        <f>IF(AND(ISBLANK(G104), ISBLANK(I104)), $F104, IF(ISBLANK(G104), I104, IF(ISBLANK(I104), $F104*(1+G104), MIN($F104*(1+G104), I104))))</f>
        <v>107100</v>
      </c>
      <c r="L104" s="57">
        <f>IF(AND(ISBLANK(H104), ISBLANK(J104)), $F104, IF(ISBLANK(H104), J104, IF(ISBLANK(J104), $F104*(1+H104), MIN($F104*(1+H104), J104))))</f>
        <v>112200.00000000001</v>
      </c>
      <c r="M104" s="58">
        <f>IF(VLOOKUP($A104, 'Individual Bounds - Overall'!$A$2:$F$50,4,0)="Yes", 'Quarterly Calculation'!N105, K104)</f>
        <v>315953.5</v>
      </c>
      <c r="N104" s="58">
        <f>IF(VLOOKUP($A104, 'Individual Bounds - Overall'!$A$2:$F$50,4,0)="Yes", 'Quarterly Calculation'!O105, L104)</f>
        <v>331751.17500000005</v>
      </c>
    </row>
    <row r="105" spans="1:14" x14ac:dyDescent="0.25">
      <c r="A105" s="3" t="s">
        <v>242</v>
      </c>
      <c r="B105" s="3" t="s">
        <v>238</v>
      </c>
      <c r="C105" s="3" t="s">
        <v>243</v>
      </c>
      <c r="D105" s="3" t="s">
        <v>78</v>
      </c>
      <c r="E105" s="59" t="str">
        <f>VLOOKUP($A105, 'Individual Bounds - Overall'!$A$1:$L$50, 5, 0)</f>
        <v>No</v>
      </c>
      <c r="F105" s="50">
        <f>SUMIFS('Quarterly Calculation'!$K$3:$K$198, 'Quarterly Calculation'!$A$3:$A$198, 'Individual Bounds - Quarterly'!$A113, 'Quarterly Calculation'!$D$3:$D$198, 'Individual Bounds - Quarterly'!$D113)</f>
        <v>0</v>
      </c>
      <c r="G105" s="62">
        <v>0.05</v>
      </c>
      <c r="H105" s="62">
        <v>0.1</v>
      </c>
      <c r="I105" s="63">
        <v>2430653</v>
      </c>
      <c r="J105" s="63">
        <v>2552185.65</v>
      </c>
      <c r="K105" s="57">
        <f>IF(AND(ISBLANK(G105), ISBLANK(I105)), $F105, IF(ISBLANK(G105), I105, IF(ISBLANK(I105), $F105*(1+G105), MIN($F105*(1+G105), I105))))</f>
        <v>0</v>
      </c>
      <c r="L105" s="57">
        <f>IF(AND(ISBLANK(H105), ISBLANK(J105)), $F105, IF(ISBLANK(H105), J105, IF(ISBLANK(J105), $F105*(1+H105), MIN($F105*(1+H105), J105))))</f>
        <v>0</v>
      </c>
      <c r="M105" s="58">
        <f>IF(VLOOKUP($A105, 'Individual Bounds - Overall'!$A$2:$F$50,4,0)="Yes", 'Quarterly Calculation'!N106, K105)</f>
        <v>759110.99999999988</v>
      </c>
      <c r="N105" s="58">
        <f>IF(VLOOKUP($A105, 'Individual Bounds - Overall'!$A$2:$F$50,4,0)="Yes", 'Quarterly Calculation'!O106, L105)</f>
        <v>797066.54999999993</v>
      </c>
    </row>
    <row r="106" spans="1:14" x14ac:dyDescent="0.25">
      <c r="A106" s="3" t="s">
        <v>250</v>
      </c>
      <c r="B106" s="3" t="s">
        <v>238</v>
      </c>
      <c r="C106" s="3" t="s">
        <v>251</v>
      </c>
      <c r="D106" s="3" t="s">
        <v>75</v>
      </c>
      <c r="E106" s="59" t="str">
        <f>VLOOKUP($A106, 'Individual Bounds - Overall'!$A$1:$L$50, 5, 0)</f>
        <v>No</v>
      </c>
      <c r="F106" s="50">
        <f>SUMIFS('Quarterly Calculation'!$K$3:$K$198, 'Quarterly Calculation'!$A$3:$A$198, 'Individual Bounds - Quarterly'!$A28, 'Quarterly Calculation'!$D$3:$D$198, 'Individual Bounds - Quarterly'!$D28)</f>
        <v>94852.3</v>
      </c>
      <c r="G106" s="62">
        <v>0.05</v>
      </c>
      <c r="H106" s="62">
        <v>0.1</v>
      </c>
      <c r="I106" s="63">
        <v>2430653</v>
      </c>
      <c r="J106" s="63">
        <v>2552185.65</v>
      </c>
      <c r="K106" s="57">
        <f>IF(AND(ISBLANK(G106), ISBLANK(I106)), $F106, IF(ISBLANK(G106), I106, IF(ISBLANK(I106), $F106*(1+G106), MIN($F106*(1+G106), I106))))</f>
        <v>99594.915000000008</v>
      </c>
      <c r="L106" s="57">
        <f>IF(AND(ISBLANK(H106), ISBLANK(J106)), $F106, IF(ISBLANK(H106), J106, IF(ISBLANK(J106), $F106*(1+H106), MIN($F106*(1+H106), J106))))</f>
        <v>104337.53000000001</v>
      </c>
      <c r="M106" s="58">
        <f>IF(VLOOKUP($A106, 'Individual Bounds - Overall'!$A$2:$F$50,4,0)="Yes", 'Quarterly Calculation'!N107, K106)</f>
        <v>351505.1</v>
      </c>
      <c r="N106" s="58">
        <f>IF(VLOOKUP($A106, 'Individual Bounds - Overall'!$A$2:$F$50,4,0)="Yes", 'Quarterly Calculation'!O107, L106)</f>
        <v>369080.35499999998</v>
      </c>
    </row>
    <row r="107" spans="1:14" x14ac:dyDescent="0.25">
      <c r="A107" s="3" t="s">
        <v>250</v>
      </c>
      <c r="B107" s="3" t="s">
        <v>238</v>
      </c>
      <c r="C107" s="3" t="s">
        <v>251</v>
      </c>
      <c r="D107" s="3" t="s">
        <v>76</v>
      </c>
      <c r="E107" s="59" t="str">
        <f>VLOOKUP($A107, 'Individual Bounds - Overall'!$A$1:$L$50, 5, 0)</f>
        <v>No</v>
      </c>
      <c r="F107" s="50">
        <f>SUMIFS('Quarterly Calculation'!$K$3:$K$198, 'Quarterly Calculation'!$A$3:$A$198, 'Individual Bounds - Quarterly'!$A63, 'Quarterly Calculation'!$D$3:$D$198, 'Individual Bounds - Quarterly'!$D63)</f>
        <v>295276.90000000002</v>
      </c>
      <c r="G107" s="62">
        <v>0.05</v>
      </c>
      <c r="H107" s="62">
        <v>0.1</v>
      </c>
      <c r="I107" s="63">
        <v>2430653</v>
      </c>
      <c r="J107" s="63">
        <v>2552185.65</v>
      </c>
      <c r="K107" s="57">
        <f>IF(AND(ISBLANK(G107), ISBLANK(I107)), $F107, IF(ISBLANK(G107), I107, IF(ISBLANK(I107), $F107*(1+G107), MIN($F107*(1+G107), I107))))</f>
        <v>310040.74500000005</v>
      </c>
      <c r="L107" s="57">
        <f>IF(AND(ISBLANK(H107), ISBLANK(J107)), $F107, IF(ISBLANK(H107), J107, IF(ISBLANK(J107), $F107*(1+H107), MIN($F107*(1+H107), J107))))</f>
        <v>324804.59000000003</v>
      </c>
      <c r="M107" s="58">
        <f>IF(VLOOKUP($A107, 'Individual Bounds - Overall'!$A$2:$F$50,4,0)="Yes", 'Quarterly Calculation'!N108, K107)</f>
        <v>0</v>
      </c>
      <c r="N107" s="58">
        <f>IF(VLOOKUP($A107, 'Individual Bounds - Overall'!$A$2:$F$50,4,0)="Yes", 'Quarterly Calculation'!O108, L107)</f>
        <v>0</v>
      </c>
    </row>
    <row r="108" spans="1:14" x14ac:dyDescent="0.25">
      <c r="A108" s="3" t="s">
        <v>250</v>
      </c>
      <c r="B108" s="3" t="s">
        <v>238</v>
      </c>
      <c r="C108" s="3" t="s">
        <v>251</v>
      </c>
      <c r="D108" s="3" t="s">
        <v>77</v>
      </c>
      <c r="E108" s="59" t="str">
        <f>VLOOKUP($A108, 'Individual Bounds - Overall'!$A$1:$L$50, 5, 0)</f>
        <v>No</v>
      </c>
      <c r="F108" s="50">
        <f>SUMIFS('Quarterly Calculation'!$K$3:$K$198, 'Quarterly Calculation'!$A$3:$A$198, 'Individual Bounds - Quarterly'!$A90, 'Quarterly Calculation'!$D$3:$D$198, 'Individual Bounds - Quarterly'!$D90)</f>
        <v>45279.66</v>
      </c>
      <c r="G108" s="62">
        <v>0.05</v>
      </c>
      <c r="H108" s="62">
        <v>0.1</v>
      </c>
      <c r="I108" s="63">
        <v>2430653</v>
      </c>
      <c r="J108" s="63">
        <v>2552185.65</v>
      </c>
      <c r="K108" s="57">
        <f>IF(AND(ISBLANK(G108), ISBLANK(I108)), $F108, IF(ISBLANK(G108), I108, IF(ISBLANK(I108), $F108*(1+G108), MIN($F108*(1+G108), I108))))</f>
        <v>47543.643000000004</v>
      </c>
      <c r="L108" s="57">
        <f>IF(AND(ISBLANK(H108), ISBLANK(J108)), $F108, IF(ISBLANK(H108), J108, IF(ISBLANK(J108), $F108*(1+H108), MIN($F108*(1+H108), J108))))</f>
        <v>49807.626000000011</v>
      </c>
      <c r="M108" s="58">
        <f>IF(VLOOKUP($A108, 'Individual Bounds - Overall'!$A$2:$F$50,4,0)="Yes", 'Quarterly Calculation'!N109, K108)</f>
        <v>0</v>
      </c>
      <c r="N108" s="58">
        <f>IF(VLOOKUP($A108, 'Individual Bounds - Overall'!$A$2:$F$50,4,0)="Yes", 'Quarterly Calculation'!O109, L108)</f>
        <v>0</v>
      </c>
    </row>
    <row r="109" spans="1:14" x14ac:dyDescent="0.25">
      <c r="A109" s="3" t="s">
        <v>250</v>
      </c>
      <c r="B109" s="3" t="s">
        <v>238</v>
      </c>
      <c r="C109" s="3" t="s">
        <v>251</v>
      </c>
      <c r="D109" s="3" t="s">
        <v>78</v>
      </c>
      <c r="E109" s="59" t="str">
        <f>VLOOKUP($A109, 'Individual Bounds - Overall'!$A$1:$L$50, 5, 0)</f>
        <v>No</v>
      </c>
      <c r="F109" s="50">
        <f>SUMIFS('Quarterly Calculation'!$K$3:$K$198, 'Quarterly Calculation'!$A$3:$A$198, 'Individual Bounds - Quarterly'!$A117, 'Quarterly Calculation'!$D$3:$D$198, 'Individual Bounds - Quarterly'!$D117)</f>
        <v>660565</v>
      </c>
      <c r="G109" s="62">
        <v>0.05</v>
      </c>
      <c r="H109" s="62">
        <v>0.1</v>
      </c>
      <c r="I109" s="63">
        <v>2430653</v>
      </c>
      <c r="J109" s="63">
        <v>2552185.65</v>
      </c>
      <c r="K109" s="57">
        <f>IF(AND(ISBLANK(G109), ISBLANK(I109)), $F109, IF(ISBLANK(G109), I109, IF(ISBLANK(I109), $F109*(1+G109), MIN($F109*(1+G109), I109))))</f>
        <v>693593.25</v>
      </c>
      <c r="L109" s="57">
        <f>IF(AND(ISBLANK(H109), ISBLANK(J109)), $F109, IF(ISBLANK(H109), J109, IF(ISBLANK(J109), $F109*(1+H109), MIN($F109*(1+H109), J109))))</f>
        <v>726621.50000000012</v>
      </c>
      <c r="M109" s="58">
        <f>IF(VLOOKUP($A109, 'Individual Bounds - Overall'!$A$2:$F$50,4,0)="Yes", 'Quarterly Calculation'!N110, K109)</f>
        <v>1134261</v>
      </c>
      <c r="N109" s="58">
        <f>IF(VLOOKUP($A109, 'Individual Bounds - Overall'!$A$2:$F$50,4,0)="Yes", 'Quarterly Calculation'!O110, L109)</f>
        <v>1190974.0500000003</v>
      </c>
    </row>
    <row r="110" spans="1:14" x14ac:dyDescent="0.25">
      <c r="A110" s="3" t="s">
        <v>237</v>
      </c>
      <c r="B110" s="3" t="s">
        <v>238</v>
      </c>
      <c r="C110" s="3" t="s">
        <v>239</v>
      </c>
      <c r="D110" s="3" t="s">
        <v>75</v>
      </c>
      <c r="E110" s="59" t="str">
        <f>VLOOKUP($A110, 'Individual Bounds - Overall'!$A$1:$L$50, 5, 0)</f>
        <v>No</v>
      </c>
      <c r="F110" s="50">
        <f>SUMIFS('Quarterly Calculation'!$K$3:$K$198, 'Quarterly Calculation'!$A$3:$A$198, 'Individual Bounds - Quarterly'!$A22, 'Quarterly Calculation'!$D$3:$D$198, 'Individual Bounds - Quarterly'!$D22)</f>
        <v>1073766</v>
      </c>
      <c r="G110" s="62">
        <v>0.05</v>
      </c>
      <c r="H110" s="62">
        <v>0.1</v>
      </c>
      <c r="I110" s="63">
        <v>34005</v>
      </c>
      <c r="J110" s="63">
        <v>35705.25</v>
      </c>
      <c r="K110" s="57">
        <f>IF(AND(ISBLANK(G110), ISBLANK(I110)), $F110, IF(ISBLANK(G110), I110, IF(ISBLANK(I110), $F110*(1+G110), MIN($F110*(1+G110), I110))))</f>
        <v>34005</v>
      </c>
      <c r="L110" s="57">
        <f>IF(AND(ISBLANK(H110), ISBLANK(J110)), $F110, IF(ISBLANK(H110), J110, IF(ISBLANK(J110), $F110*(1+H110), MIN($F110*(1+H110), J110))))</f>
        <v>35705.25</v>
      </c>
      <c r="M110" s="58">
        <f>IF(VLOOKUP($A110, 'Individual Bounds - Overall'!$A$2:$F$50,4,0)="Yes", 'Quarterly Calculation'!N111, K110)</f>
        <v>4553</v>
      </c>
      <c r="N110" s="58">
        <f>IF(VLOOKUP($A110, 'Individual Bounds - Overall'!$A$2:$F$50,4,0)="Yes", 'Quarterly Calculation'!O111, L110)</f>
        <v>4780.6499999999996</v>
      </c>
    </row>
    <row r="111" spans="1:14" x14ac:dyDescent="0.25">
      <c r="A111" s="3" t="s">
        <v>237</v>
      </c>
      <c r="B111" s="3" t="s">
        <v>238</v>
      </c>
      <c r="C111" s="3" t="s">
        <v>239</v>
      </c>
      <c r="D111" s="3" t="s">
        <v>76</v>
      </c>
      <c r="E111" s="59" t="str">
        <f>VLOOKUP($A111, 'Individual Bounds - Overall'!$A$1:$L$50, 5, 0)</f>
        <v>No</v>
      </c>
      <c r="F111" s="50">
        <f>SUMIFS('Quarterly Calculation'!$K$3:$K$198, 'Quarterly Calculation'!$A$3:$A$198, 'Individual Bounds - Quarterly'!$A57, 'Quarterly Calculation'!$D$3:$D$198, 'Individual Bounds - Quarterly'!$D57)</f>
        <v>3682380</v>
      </c>
      <c r="G111" s="62">
        <v>0.05</v>
      </c>
      <c r="H111" s="62">
        <v>0.1</v>
      </c>
      <c r="I111" s="63">
        <v>2430653</v>
      </c>
      <c r="J111" s="63">
        <v>2552185.65</v>
      </c>
      <c r="K111" s="57">
        <f>IF(AND(ISBLANK(G111), ISBLANK(I111)), $F111, IF(ISBLANK(G111), I111, IF(ISBLANK(I111), $F111*(1+G111), MIN($F111*(1+G111), I111))))</f>
        <v>2430653</v>
      </c>
      <c r="L111" s="57">
        <f>IF(AND(ISBLANK(H111), ISBLANK(J111)), $F111, IF(ISBLANK(H111), J111, IF(ISBLANK(J111), $F111*(1+H111), MIN($F111*(1+H111), J111))))</f>
        <v>2552185.65</v>
      </c>
      <c r="M111" s="58">
        <f>IF(VLOOKUP($A111, 'Individual Bounds - Overall'!$A$2:$F$50,4,0)="Yes", 'Quarterly Calculation'!N112, K111)</f>
        <v>205242.9</v>
      </c>
      <c r="N111" s="58">
        <f>IF(VLOOKUP($A111, 'Individual Bounds - Overall'!$A$2:$F$50,4,0)="Yes", 'Quarterly Calculation'!O112, L111)</f>
        <v>215505.04500000001</v>
      </c>
    </row>
    <row r="112" spans="1:14" x14ac:dyDescent="0.25">
      <c r="A112" s="3" t="s">
        <v>237</v>
      </c>
      <c r="B112" s="3" t="s">
        <v>238</v>
      </c>
      <c r="C112" s="3" t="s">
        <v>239</v>
      </c>
      <c r="D112" s="3" t="s">
        <v>77</v>
      </c>
      <c r="E112" s="59" t="str">
        <f>VLOOKUP($A112, 'Individual Bounds - Overall'!$A$1:$L$50, 5, 0)</f>
        <v>No</v>
      </c>
      <c r="F112" s="50">
        <f>SUMIFS('Quarterly Calculation'!$K$3:$K$198, 'Quarterly Calculation'!$A$3:$A$198, 'Individual Bounds - Quarterly'!$A84, 'Quarterly Calculation'!$D$3:$D$198, 'Individual Bounds - Quarterly'!$D84)</f>
        <v>2023773</v>
      </c>
      <c r="G112" s="62">
        <v>0.05</v>
      </c>
      <c r="H112" s="62">
        <v>0.1</v>
      </c>
      <c r="I112" s="63">
        <v>2430653</v>
      </c>
      <c r="J112" s="63">
        <v>2552185.65</v>
      </c>
      <c r="K112" s="57">
        <f>IF(AND(ISBLANK(G112), ISBLANK(I112)), $F112, IF(ISBLANK(G112), I112, IF(ISBLANK(I112), $F112*(1+G112), MIN($F112*(1+G112), I112))))</f>
        <v>2124961.65</v>
      </c>
      <c r="L112" s="57">
        <f>IF(AND(ISBLANK(H112), ISBLANK(J112)), $F112, IF(ISBLANK(H112), J112, IF(ISBLANK(J112), $F112*(1+H112), MIN($F112*(1+H112), J112))))</f>
        <v>2226150.3000000003</v>
      </c>
      <c r="M112" s="58">
        <f>IF(VLOOKUP($A112, 'Individual Bounds - Overall'!$A$2:$F$50,4,0)="Yes", 'Quarterly Calculation'!N113, K112)</f>
        <v>0</v>
      </c>
      <c r="N112" s="58">
        <f>IF(VLOOKUP($A112, 'Individual Bounds - Overall'!$A$2:$F$50,4,0)="Yes", 'Quarterly Calculation'!O113, L112)</f>
        <v>0</v>
      </c>
    </row>
    <row r="113" spans="1:14" x14ac:dyDescent="0.25">
      <c r="A113" s="3" t="s">
        <v>237</v>
      </c>
      <c r="B113" s="3" t="s">
        <v>238</v>
      </c>
      <c r="C113" s="3" t="s">
        <v>239</v>
      </c>
      <c r="D113" s="3" t="s">
        <v>78</v>
      </c>
      <c r="E113" s="59" t="str">
        <f>VLOOKUP($A113, 'Individual Bounds - Overall'!$A$1:$L$50, 5, 0)</f>
        <v>No</v>
      </c>
      <c r="F113" s="50">
        <f>SUMIFS('Quarterly Calculation'!$K$3:$K$198, 'Quarterly Calculation'!$A$3:$A$198, 'Individual Bounds - Quarterly'!$A111, 'Quarterly Calculation'!$D$3:$D$198, 'Individual Bounds - Quarterly'!$D111)</f>
        <v>205242.9</v>
      </c>
      <c r="G113" s="62">
        <v>0.05</v>
      </c>
      <c r="H113" s="62">
        <v>0.1</v>
      </c>
      <c r="I113" s="63">
        <v>2430653</v>
      </c>
      <c r="J113" s="63">
        <v>2552185.65</v>
      </c>
      <c r="K113" s="57">
        <f>IF(AND(ISBLANK(G113), ISBLANK(I113)), $F113, IF(ISBLANK(G113), I113, IF(ISBLANK(I113), $F113*(1+G113), MIN($F113*(1+G113), I113))))</f>
        <v>215505.04500000001</v>
      </c>
      <c r="L113" s="57">
        <f>IF(AND(ISBLANK(H113), ISBLANK(J113)), $F113, IF(ISBLANK(H113), J113, IF(ISBLANK(J113), $F113*(1+H113), MIN($F113*(1+H113), J113))))</f>
        <v>225767.19</v>
      </c>
      <c r="M113" s="58">
        <f>IF(VLOOKUP($A113, 'Individual Bounds - Overall'!$A$2:$F$50,4,0)="Yes", 'Quarterly Calculation'!N114, K113)</f>
        <v>0</v>
      </c>
      <c r="N113" s="58">
        <f>IF(VLOOKUP($A113, 'Individual Bounds - Overall'!$A$2:$F$50,4,0)="Yes", 'Quarterly Calculation'!O114, L113)</f>
        <v>0</v>
      </c>
    </row>
    <row r="114" spans="1:14" x14ac:dyDescent="0.25">
      <c r="A114" s="3" t="s">
        <v>246</v>
      </c>
      <c r="B114" s="3" t="s">
        <v>238</v>
      </c>
      <c r="C114" s="3" t="s">
        <v>247</v>
      </c>
      <c r="D114" s="3" t="s">
        <v>75</v>
      </c>
      <c r="E114" s="59" t="str">
        <f>VLOOKUP($A114, 'Individual Bounds - Overall'!$A$1:$L$50, 5, 0)</f>
        <v>No</v>
      </c>
      <c r="F114" s="50">
        <f>SUMIFS('Quarterly Calculation'!$K$3:$K$198, 'Quarterly Calculation'!$A$3:$A$198, 'Individual Bounds - Quarterly'!$A26, 'Quarterly Calculation'!$D$3:$D$198, 'Individual Bounds - Quarterly'!$D26)</f>
        <v>44858.41</v>
      </c>
      <c r="G114" s="62">
        <v>0.05</v>
      </c>
      <c r="H114" s="62">
        <v>0.1</v>
      </c>
      <c r="I114" s="63">
        <v>1584285</v>
      </c>
      <c r="J114" s="63">
        <v>1663499.25</v>
      </c>
      <c r="K114" s="57">
        <f>IF(AND(ISBLANK(G114), ISBLANK(I114)), $F114, IF(ISBLANK(G114), I114, IF(ISBLANK(I114), $F114*(1+G114), MIN($F114*(1+G114), I114))))</f>
        <v>47101.330500000004</v>
      </c>
      <c r="L114" s="57">
        <f>IF(AND(ISBLANK(H114), ISBLANK(J114)), $F114, IF(ISBLANK(H114), J114, IF(ISBLANK(J114), $F114*(1+H114), MIN($F114*(1+H114), J114))))</f>
        <v>49344.251000000011</v>
      </c>
      <c r="M114" s="58">
        <f>IF(VLOOKUP($A114, 'Individual Bounds - Overall'!$A$2:$F$50,4,0)="Yes", 'Quarterly Calculation'!N115, K114)</f>
        <v>44924.44</v>
      </c>
      <c r="N114" s="58">
        <f>IF(VLOOKUP($A114, 'Individual Bounds - Overall'!$A$2:$F$50,4,0)="Yes", 'Quarterly Calculation'!O115, L114)</f>
        <v>47170.662000000004</v>
      </c>
    </row>
    <row r="115" spans="1:14" x14ac:dyDescent="0.25">
      <c r="A115" s="3" t="s">
        <v>246</v>
      </c>
      <c r="B115" s="3" t="s">
        <v>238</v>
      </c>
      <c r="C115" s="3" t="s">
        <v>247</v>
      </c>
      <c r="D115" s="3" t="s">
        <v>76</v>
      </c>
      <c r="E115" s="59" t="str">
        <f>VLOOKUP($A115, 'Individual Bounds - Overall'!$A$1:$L$50, 5, 0)</f>
        <v>No</v>
      </c>
      <c r="F115" s="50">
        <f>SUMIFS('Quarterly Calculation'!$K$3:$K$198, 'Quarterly Calculation'!$A$3:$A$198, 'Individual Bounds - Quarterly'!$A61, 'Quarterly Calculation'!$D$3:$D$198, 'Individual Bounds - Quarterly'!$D61)</f>
        <v>11047680</v>
      </c>
      <c r="G115" s="62">
        <v>0.05</v>
      </c>
      <c r="H115" s="62">
        <v>0.1</v>
      </c>
      <c r="I115" s="63">
        <v>2430653</v>
      </c>
      <c r="J115" s="63">
        <v>2552185.65</v>
      </c>
      <c r="K115" s="57">
        <f>IF(AND(ISBLANK(G115), ISBLANK(I115)), $F115, IF(ISBLANK(G115), I115, IF(ISBLANK(I115), $F115*(1+G115), MIN($F115*(1+G115), I115))))</f>
        <v>2430653</v>
      </c>
      <c r="L115" s="57">
        <f>IF(AND(ISBLANK(H115), ISBLANK(J115)), $F115, IF(ISBLANK(H115), J115, IF(ISBLANK(J115), $F115*(1+H115), MIN($F115*(1+H115), J115))))</f>
        <v>2552185.65</v>
      </c>
      <c r="M115" s="58">
        <f>IF(VLOOKUP($A115, 'Individual Bounds - Overall'!$A$2:$F$50,4,0)="Yes", 'Quarterly Calculation'!N116, K115)</f>
        <v>120700.8</v>
      </c>
      <c r="N115" s="58">
        <f>IF(VLOOKUP($A115, 'Individual Bounds - Overall'!$A$2:$F$50,4,0)="Yes", 'Quarterly Calculation'!O116, L115)</f>
        <v>126735.84</v>
      </c>
    </row>
    <row r="116" spans="1:14" x14ac:dyDescent="0.25">
      <c r="A116" s="3" t="s">
        <v>246</v>
      </c>
      <c r="B116" s="3" t="s">
        <v>238</v>
      </c>
      <c r="C116" s="3" t="s">
        <v>247</v>
      </c>
      <c r="D116" s="3" t="s">
        <v>77</v>
      </c>
      <c r="E116" s="59" t="str">
        <f>VLOOKUP($A116, 'Individual Bounds - Overall'!$A$1:$L$50, 5, 0)</f>
        <v>No</v>
      </c>
      <c r="F116" s="50">
        <f>SUMIFS('Quarterly Calculation'!$K$3:$K$198, 'Quarterly Calculation'!$A$3:$A$198, 'Individual Bounds - Quarterly'!$A88, 'Quarterly Calculation'!$D$3:$D$198, 'Individual Bounds - Quarterly'!$D88)</f>
        <v>0</v>
      </c>
      <c r="G116" s="62">
        <v>0.05</v>
      </c>
      <c r="H116" s="62">
        <v>0.1</v>
      </c>
      <c r="I116" s="63">
        <v>2430653</v>
      </c>
      <c r="J116" s="63">
        <v>2552185.65</v>
      </c>
      <c r="K116" s="57">
        <f>IF(AND(ISBLANK(G116), ISBLANK(I116)), $F116, IF(ISBLANK(G116), I116, IF(ISBLANK(I116), $F116*(1+G116), MIN($F116*(1+G116), I116))))</f>
        <v>0</v>
      </c>
      <c r="L116" s="57">
        <f>IF(AND(ISBLANK(H116), ISBLANK(J116)), $F116, IF(ISBLANK(H116), J116, IF(ISBLANK(J116), $F116*(1+H116), MIN($F116*(1+H116), J116))))</f>
        <v>0</v>
      </c>
      <c r="M116" s="58">
        <f>IF(VLOOKUP($A116, 'Individual Bounds - Overall'!$A$2:$F$50,4,0)="Yes", 'Quarterly Calculation'!N117, K116)</f>
        <v>161348.1</v>
      </c>
      <c r="N116" s="58">
        <f>IF(VLOOKUP($A116, 'Individual Bounds - Overall'!$A$2:$F$50,4,0)="Yes", 'Quarterly Calculation'!O117, L116)</f>
        <v>169415.505</v>
      </c>
    </row>
    <row r="117" spans="1:14" x14ac:dyDescent="0.25">
      <c r="A117" s="3" t="s">
        <v>246</v>
      </c>
      <c r="B117" s="3" t="s">
        <v>238</v>
      </c>
      <c r="C117" s="3" t="s">
        <v>247</v>
      </c>
      <c r="D117" s="3" t="s">
        <v>78</v>
      </c>
      <c r="E117" s="59" t="str">
        <f>VLOOKUP($A117, 'Individual Bounds - Overall'!$A$1:$L$50, 5, 0)</f>
        <v>No</v>
      </c>
      <c r="F117" s="50">
        <f>SUMIFS('Quarterly Calculation'!$K$3:$K$198, 'Quarterly Calculation'!$A$3:$A$198, 'Individual Bounds - Quarterly'!$A115, 'Quarterly Calculation'!$D$3:$D$198, 'Individual Bounds - Quarterly'!$D115)</f>
        <v>120700.8</v>
      </c>
      <c r="G117" s="62">
        <v>0.05</v>
      </c>
      <c r="H117" s="62">
        <v>0.1</v>
      </c>
      <c r="I117" s="63">
        <v>2430653</v>
      </c>
      <c r="J117" s="63">
        <v>2552185.65</v>
      </c>
      <c r="K117" s="57">
        <f>IF(AND(ISBLANK(G117), ISBLANK(I117)), $F117, IF(ISBLANK(G117), I117, IF(ISBLANK(I117), $F117*(1+G117), MIN($F117*(1+G117), I117))))</f>
        <v>126735.84000000001</v>
      </c>
      <c r="L117" s="57">
        <f>IF(AND(ISBLANK(H117), ISBLANK(J117)), $F117, IF(ISBLANK(H117), J117, IF(ISBLANK(J117), $F117*(1+H117), MIN($F117*(1+H117), J117))))</f>
        <v>132770.88</v>
      </c>
      <c r="M117" s="58">
        <f>IF(VLOOKUP($A117, 'Individual Bounds - Overall'!$A$2:$F$50,4,0)="Yes", 'Quarterly Calculation'!N118, K117)</f>
        <v>660565</v>
      </c>
      <c r="N117" s="58">
        <f>IF(VLOOKUP($A117, 'Individual Bounds - Overall'!$A$2:$F$50,4,0)="Yes", 'Quarterly Calculation'!O118, L117)</f>
        <v>693593.25</v>
      </c>
    </row>
    <row r="118" spans="1:14" x14ac:dyDescent="0.25">
      <c r="A118" s="3"/>
      <c r="B118" s="3"/>
      <c r="C118" s="3"/>
      <c r="D118" s="3"/>
      <c r="E118" s="59"/>
      <c r="F118" s="50"/>
      <c r="G118" s="62"/>
      <c r="H118" s="62"/>
      <c r="I118" s="63"/>
      <c r="J118" s="63"/>
      <c r="K118" s="57"/>
      <c r="L118" s="57"/>
      <c r="M118" s="58"/>
      <c r="N118" s="58"/>
    </row>
    <row r="119" spans="1:14" x14ac:dyDescent="0.25">
      <c r="A119" s="3"/>
      <c r="B119" s="3"/>
      <c r="C119" s="3"/>
      <c r="D119" s="3"/>
      <c r="E119" s="59"/>
      <c r="F119" s="50"/>
      <c r="G119" s="62"/>
      <c r="H119" s="62"/>
      <c r="I119" s="63"/>
      <c r="J119" s="63"/>
      <c r="K119" s="57"/>
      <c r="L119" s="57"/>
      <c r="M119" s="58"/>
      <c r="N119" s="58"/>
    </row>
    <row r="120" spans="1:14" x14ac:dyDescent="0.25">
      <c r="A120" s="3"/>
      <c r="B120" s="3"/>
      <c r="C120" s="3"/>
      <c r="D120" s="3"/>
      <c r="E120" s="59"/>
      <c r="F120" s="50"/>
      <c r="G120" s="62"/>
      <c r="H120" s="62"/>
      <c r="I120" s="63"/>
      <c r="J120" s="63"/>
      <c r="K120" s="57"/>
      <c r="L120" s="57"/>
      <c r="M120" s="58"/>
      <c r="N120" s="58"/>
    </row>
    <row r="121" spans="1:14" x14ac:dyDescent="0.25">
      <c r="A121" s="3"/>
      <c r="B121" s="3"/>
      <c r="C121" s="3"/>
      <c r="D121" s="3"/>
      <c r="E121" s="59"/>
      <c r="F121" s="50"/>
      <c r="G121" s="62"/>
      <c r="H121" s="62"/>
      <c r="I121" s="63"/>
      <c r="J121" s="63"/>
      <c r="K121" s="57"/>
      <c r="L121" s="57"/>
      <c r="M121" s="58"/>
      <c r="N121" s="58"/>
    </row>
    <row r="122" spans="1:14" x14ac:dyDescent="0.25">
      <c r="A122" s="3"/>
      <c r="B122" s="3"/>
      <c r="C122" s="3"/>
      <c r="D122" s="3"/>
      <c r="E122" s="59"/>
      <c r="F122" s="50"/>
      <c r="G122" s="62"/>
      <c r="H122" s="62"/>
      <c r="I122" s="63"/>
      <c r="J122" s="63"/>
      <c r="K122" s="57"/>
      <c r="L122" s="57"/>
      <c r="M122" s="58"/>
      <c r="N122" s="58"/>
    </row>
    <row r="123" spans="1:14" x14ac:dyDescent="0.25">
      <c r="A123" s="3"/>
      <c r="B123" s="3"/>
      <c r="C123" s="3"/>
      <c r="D123" s="3"/>
      <c r="E123" s="59"/>
      <c r="F123" s="50"/>
      <c r="G123" s="62"/>
      <c r="H123" s="62"/>
      <c r="I123" s="63"/>
      <c r="J123" s="63"/>
      <c r="K123" s="57"/>
      <c r="L123" s="57"/>
      <c r="M123" s="58"/>
      <c r="N123" s="58"/>
    </row>
    <row r="124" spans="1:14" x14ac:dyDescent="0.25">
      <c r="A124" s="3"/>
      <c r="B124" s="3"/>
      <c r="C124" s="3"/>
      <c r="D124" s="3"/>
      <c r="E124" s="59"/>
      <c r="F124" s="50"/>
      <c r="G124" s="62"/>
      <c r="H124" s="62"/>
      <c r="I124" s="63"/>
      <c r="J124" s="63"/>
      <c r="K124" s="57"/>
      <c r="L124" s="57"/>
      <c r="M124" s="58"/>
      <c r="N124" s="58"/>
    </row>
    <row r="125" spans="1:14" x14ac:dyDescent="0.25">
      <c r="A125" s="3"/>
      <c r="B125" s="3"/>
      <c r="C125" s="3"/>
      <c r="D125" s="3"/>
      <c r="E125" s="59"/>
      <c r="F125" s="50"/>
      <c r="G125" s="62"/>
      <c r="H125" s="62"/>
      <c r="I125" s="63"/>
      <c r="J125" s="63"/>
      <c r="K125" s="57"/>
      <c r="L125" s="57"/>
      <c r="M125" s="58"/>
      <c r="N125" s="58"/>
    </row>
    <row r="126" spans="1:14" x14ac:dyDescent="0.25">
      <c r="A126" s="3"/>
      <c r="B126" s="3"/>
      <c r="C126" s="3"/>
      <c r="D126" s="3"/>
      <c r="E126" s="59"/>
      <c r="F126" s="50"/>
      <c r="G126" s="62"/>
      <c r="H126" s="62"/>
      <c r="I126" s="63"/>
      <c r="J126" s="63"/>
      <c r="K126" s="57"/>
      <c r="L126" s="57"/>
      <c r="M126" s="58"/>
      <c r="N126" s="58"/>
    </row>
    <row r="127" spans="1:14" x14ac:dyDescent="0.25">
      <c r="A127" s="3"/>
      <c r="B127" s="3"/>
      <c r="C127" s="3"/>
      <c r="D127" s="3"/>
      <c r="E127" s="59"/>
      <c r="F127" s="50"/>
      <c r="G127" s="62"/>
      <c r="H127" s="62"/>
      <c r="I127" s="63"/>
      <c r="J127" s="63"/>
      <c r="K127" s="57"/>
      <c r="L127" s="57"/>
      <c r="M127" s="58"/>
      <c r="N127" s="58"/>
    </row>
    <row r="128" spans="1:14" x14ac:dyDescent="0.25">
      <c r="A128" s="3"/>
      <c r="B128" s="3"/>
      <c r="C128" s="3"/>
      <c r="D128" s="3"/>
      <c r="E128" s="59"/>
      <c r="F128" s="50"/>
      <c r="G128" s="62"/>
      <c r="H128" s="62"/>
      <c r="I128" s="63"/>
      <c r="J128" s="63"/>
      <c r="K128" s="57"/>
      <c r="L128" s="57"/>
      <c r="M128" s="58"/>
      <c r="N128" s="58"/>
    </row>
    <row r="129" spans="1:14" x14ac:dyDescent="0.25">
      <c r="A129" s="3"/>
      <c r="B129" s="3"/>
      <c r="C129" s="3"/>
      <c r="D129" s="3"/>
      <c r="E129" s="59"/>
      <c r="F129" s="50"/>
      <c r="G129" s="62"/>
      <c r="H129" s="62"/>
      <c r="I129" s="63"/>
      <c r="J129" s="63"/>
      <c r="K129" s="57"/>
      <c r="L129" s="57"/>
      <c r="M129" s="58"/>
      <c r="N129" s="58"/>
    </row>
    <row r="130" spans="1:14" x14ac:dyDescent="0.25">
      <c r="A130" s="3"/>
      <c r="B130" s="3"/>
      <c r="C130" s="3"/>
      <c r="D130" s="3"/>
      <c r="E130" s="59"/>
      <c r="F130" s="50"/>
      <c r="G130" s="62"/>
      <c r="H130" s="62"/>
      <c r="I130" s="63"/>
      <c r="J130" s="63"/>
      <c r="K130" s="57"/>
      <c r="L130" s="57"/>
      <c r="M130" s="58"/>
      <c r="N130" s="58"/>
    </row>
    <row r="131" spans="1:14" x14ac:dyDescent="0.25">
      <c r="A131" s="3"/>
      <c r="B131" s="3"/>
      <c r="C131" s="3"/>
      <c r="D131" s="3"/>
      <c r="E131" s="59"/>
      <c r="F131" s="50"/>
      <c r="G131" s="62"/>
      <c r="H131" s="62"/>
      <c r="I131" s="63"/>
      <c r="J131" s="63"/>
      <c r="K131" s="57"/>
      <c r="L131" s="57"/>
      <c r="M131" s="58"/>
      <c r="N131" s="58"/>
    </row>
    <row r="132" spans="1:14" x14ac:dyDescent="0.25">
      <c r="A132" s="3"/>
      <c r="B132" s="3"/>
      <c r="C132" s="3"/>
      <c r="D132" s="3"/>
      <c r="E132" s="59"/>
      <c r="F132" s="50"/>
      <c r="G132" s="62"/>
      <c r="H132" s="62"/>
      <c r="I132" s="63"/>
      <c r="J132" s="63"/>
      <c r="K132" s="57"/>
      <c r="L132" s="57"/>
      <c r="M132" s="58"/>
      <c r="N132" s="58"/>
    </row>
    <row r="133" spans="1:14" x14ac:dyDescent="0.25">
      <c r="A133" s="3"/>
      <c r="B133" s="3"/>
      <c r="C133" s="3"/>
      <c r="D133" s="3"/>
      <c r="E133" s="59"/>
      <c r="F133" s="50"/>
      <c r="G133" s="62"/>
      <c r="H133" s="62"/>
      <c r="I133" s="63"/>
      <c r="J133" s="63"/>
      <c r="K133" s="57"/>
      <c r="L133" s="57"/>
      <c r="M133" s="58"/>
      <c r="N133" s="58"/>
    </row>
    <row r="134" spans="1:14" x14ac:dyDescent="0.25">
      <c r="A134" s="3"/>
      <c r="B134" s="3"/>
      <c r="C134" s="3"/>
      <c r="D134" s="3"/>
      <c r="E134" s="59"/>
      <c r="F134" s="50"/>
      <c r="G134" s="62"/>
      <c r="H134" s="62"/>
      <c r="I134" s="63"/>
      <c r="J134" s="63"/>
      <c r="K134" s="57"/>
      <c r="L134" s="57"/>
      <c r="M134" s="58"/>
      <c r="N134" s="58"/>
    </row>
    <row r="135" spans="1:14" x14ac:dyDescent="0.25">
      <c r="A135" s="3"/>
      <c r="B135" s="3"/>
      <c r="C135" s="3"/>
      <c r="D135" s="3"/>
      <c r="E135" s="59"/>
      <c r="F135" s="50"/>
      <c r="G135" s="62"/>
      <c r="H135" s="62"/>
      <c r="I135" s="63"/>
      <c r="J135" s="63"/>
      <c r="K135" s="57"/>
      <c r="L135" s="57"/>
      <c r="M135" s="58"/>
      <c r="N135" s="58"/>
    </row>
    <row r="136" spans="1:14" x14ac:dyDescent="0.25">
      <c r="A136" s="3"/>
      <c r="B136" s="3"/>
      <c r="C136" s="3"/>
      <c r="D136" s="3"/>
      <c r="E136" s="59"/>
      <c r="F136" s="50"/>
      <c r="G136" s="62"/>
      <c r="H136" s="62"/>
      <c r="I136" s="63"/>
      <c r="J136" s="63"/>
      <c r="K136" s="57"/>
      <c r="L136" s="57"/>
      <c r="M136" s="58"/>
      <c r="N136" s="58"/>
    </row>
    <row r="137" spans="1:14" x14ac:dyDescent="0.25">
      <c r="A137" s="3"/>
      <c r="B137" s="3"/>
      <c r="C137" s="3"/>
      <c r="D137" s="3"/>
      <c r="E137" s="59"/>
      <c r="F137" s="50"/>
      <c r="G137" s="62"/>
      <c r="H137" s="62"/>
      <c r="I137" s="63"/>
      <c r="J137" s="63"/>
      <c r="K137" s="57"/>
      <c r="L137" s="57"/>
      <c r="M137" s="58"/>
      <c r="N137" s="58"/>
    </row>
    <row r="138" spans="1:14" x14ac:dyDescent="0.25">
      <c r="A138" s="3"/>
      <c r="B138" s="3"/>
      <c r="C138" s="3"/>
      <c r="D138" s="3"/>
      <c r="E138" s="59"/>
      <c r="F138" s="50"/>
      <c r="G138" s="62"/>
      <c r="H138" s="62"/>
      <c r="I138" s="63"/>
      <c r="J138" s="63"/>
      <c r="K138" s="57"/>
      <c r="L138" s="57"/>
      <c r="M138" s="58"/>
      <c r="N138" s="58"/>
    </row>
    <row r="139" spans="1:14" x14ac:dyDescent="0.25">
      <c r="A139" s="3"/>
      <c r="B139" s="3"/>
      <c r="C139" s="3"/>
      <c r="D139" s="3"/>
      <c r="E139" s="59"/>
      <c r="F139" s="50"/>
      <c r="G139" s="62"/>
      <c r="H139" s="62"/>
      <c r="I139" s="63"/>
      <c r="J139" s="63"/>
      <c r="K139" s="57"/>
      <c r="L139" s="57"/>
      <c r="M139" s="58"/>
      <c r="N139" s="58"/>
    </row>
    <row r="140" spans="1:14" x14ac:dyDescent="0.25">
      <c r="A140" s="3"/>
      <c r="B140" s="3"/>
      <c r="C140" s="3"/>
      <c r="D140" s="3"/>
      <c r="E140" s="59"/>
      <c r="F140" s="50"/>
      <c r="G140" s="62"/>
      <c r="H140" s="62"/>
      <c r="I140" s="63"/>
      <c r="J140" s="63"/>
      <c r="K140" s="57"/>
      <c r="L140" s="57"/>
      <c r="M140" s="58"/>
      <c r="N140" s="58"/>
    </row>
    <row r="141" spans="1:14" x14ac:dyDescent="0.25">
      <c r="A141" s="3"/>
      <c r="B141" s="3"/>
      <c r="C141" s="3"/>
      <c r="D141" s="3"/>
      <c r="E141" s="59"/>
      <c r="F141" s="50"/>
      <c r="G141" s="62"/>
      <c r="H141" s="62"/>
      <c r="I141" s="63"/>
      <c r="J141" s="63"/>
      <c r="K141" s="57"/>
      <c r="L141" s="57"/>
      <c r="M141" s="58"/>
      <c r="N141" s="58"/>
    </row>
    <row r="142" spans="1:14" x14ac:dyDescent="0.25">
      <c r="A142" s="3"/>
      <c r="B142" s="3"/>
      <c r="C142" s="3"/>
      <c r="D142" s="3"/>
      <c r="E142" s="59"/>
      <c r="F142" s="50"/>
      <c r="G142" s="62"/>
      <c r="H142" s="62"/>
      <c r="I142" s="63"/>
      <c r="J142" s="63"/>
      <c r="K142" s="57"/>
      <c r="L142" s="57"/>
      <c r="M142" s="58"/>
      <c r="N142" s="58"/>
    </row>
    <row r="143" spans="1:14" x14ac:dyDescent="0.25">
      <c r="A143" s="3"/>
      <c r="B143" s="3"/>
      <c r="C143" s="3"/>
      <c r="D143" s="3"/>
      <c r="E143" s="59"/>
      <c r="F143" s="50"/>
      <c r="G143" s="62"/>
      <c r="H143" s="62"/>
      <c r="I143" s="63"/>
      <c r="J143" s="63"/>
      <c r="K143" s="57"/>
      <c r="L143" s="57"/>
      <c r="M143" s="58"/>
      <c r="N143" s="58"/>
    </row>
    <row r="144" spans="1:14" x14ac:dyDescent="0.25">
      <c r="A144" s="3"/>
      <c r="B144" s="3"/>
      <c r="C144" s="3"/>
      <c r="D144" s="3"/>
      <c r="E144" s="59"/>
      <c r="F144" s="50"/>
      <c r="G144" s="62"/>
      <c r="H144" s="62"/>
      <c r="I144" s="63"/>
      <c r="J144" s="63"/>
      <c r="K144" s="57"/>
      <c r="L144" s="57"/>
      <c r="M144" s="58"/>
      <c r="N144" s="58"/>
    </row>
    <row r="145" spans="1:14" x14ac:dyDescent="0.25">
      <c r="A145" s="3"/>
      <c r="B145" s="3"/>
      <c r="C145" s="3"/>
      <c r="D145" s="3"/>
      <c r="E145" s="59"/>
      <c r="F145" s="50"/>
      <c r="G145" s="62"/>
      <c r="H145" s="62"/>
      <c r="I145" s="63"/>
      <c r="J145" s="63"/>
      <c r="K145" s="57"/>
      <c r="L145" s="57"/>
      <c r="M145" s="58"/>
      <c r="N145" s="58"/>
    </row>
    <row r="146" spans="1:14" x14ac:dyDescent="0.25">
      <c r="A146" s="3"/>
      <c r="B146" s="3"/>
      <c r="C146" s="3"/>
      <c r="D146" s="3"/>
      <c r="E146" s="59"/>
      <c r="F146" s="50"/>
      <c r="G146" s="62"/>
      <c r="H146" s="62"/>
      <c r="I146" s="63"/>
      <c r="J146" s="63"/>
      <c r="K146" s="57"/>
      <c r="L146" s="57"/>
      <c r="M146" s="58"/>
      <c r="N146" s="58"/>
    </row>
    <row r="147" spans="1:14" x14ac:dyDescent="0.25">
      <c r="A147" s="3"/>
      <c r="B147" s="3"/>
      <c r="C147" s="3"/>
      <c r="D147" s="3"/>
      <c r="E147" s="59"/>
      <c r="F147" s="50"/>
      <c r="G147" s="62"/>
      <c r="H147" s="62"/>
      <c r="I147" s="63"/>
      <c r="J147" s="63"/>
      <c r="K147" s="57"/>
      <c r="L147" s="57"/>
      <c r="M147" s="58"/>
      <c r="N147" s="58"/>
    </row>
    <row r="148" spans="1:14" x14ac:dyDescent="0.25">
      <c r="A148" s="3"/>
      <c r="B148" s="3"/>
      <c r="C148" s="3"/>
      <c r="D148" s="3"/>
      <c r="E148" s="59"/>
      <c r="F148" s="50"/>
      <c r="G148" s="62"/>
      <c r="H148" s="62"/>
      <c r="I148" s="63"/>
      <c r="J148" s="63"/>
      <c r="K148" s="57"/>
      <c r="L148" s="57"/>
      <c r="M148" s="58"/>
      <c r="N148" s="58"/>
    </row>
    <row r="149" spans="1:14" x14ac:dyDescent="0.25">
      <c r="A149" s="3"/>
      <c r="B149" s="3"/>
      <c r="C149" s="3"/>
      <c r="D149" s="3"/>
      <c r="E149" s="59"/>
      <c r="F149" s="50"/>
      <c r="G149" s="62"/>
      <c r="H149" s="62"/>
      <c r="I149" s="63"/>
      <c r="J149" s="63"/>
      <c r="K149" s="57"/>
      <c r="L149" s="57"/>
      <c r="M149" s="58"/>
      <c r="N149" s="58"/>
    </row>
    <row r="150" spans="1:14" x14ac:dyDescent="0.25">
      <c r="A150" s="3"/>
      <c r="B150" s="3"/>
      <c r="C150" s="3"/>
      <c r="D150" s="3"/>
      <c r="E150" s="59"/>
      <c r="F150" s="50"/>
      <c r="G150" s="62"/>
      <c r="H150" s="62"/>
      <c r="I150" s="63"/>
      <c r="J150" s="63"/>
      <c r="K150" s="57"/>
      <c r="L150" s="57"/>
      <c r="M150" s="58"/>
      <c r="N150" s="58"/>
    </row>
    <row r="151" spans="1:14" x14ac:dyDescent="0.25">
      <c r="A151" s="3"/>
      <c r="B151" s="3"/>
      <c r="C151" s="3"/>
      <c r="D151" s="3"/>
      <c r="E151" s="59"/>
      <c r="F151" s="50"/>
      <c r="G151" s="62"/>
      <c r="H151" s="62"/>
      <c r="I151" s="63"/>
      <c r="J151" s="63"/>
      <c r="K151" s="57"/>
      <c r="L151" s="57"/>
      <c r="M151" s="58"/>
      <c r="N151" s="58"/>
    </row>
    <row r="152" spans="1:14" x14ac:dyDescent="0.25">
      <c r="A152" s="3"/>
      <c r="B152" s="3"/>
      <c r="C152" s="3"/>
      <c r="D152" s="3"/>
      <c r="E152" s="59"/>
      <c r="F152" s="50"/>
      <c r="G152" s="62"/>
      <c r="H152" s="62"/>
      <c r="I152" s="63"/>
      <c r="J152" s="63"/>
      <c r="K152" s="57"/>
      <c r="L152" s="57"/>
      <c r="M152" s="58"/>
      <c r="N152" s="58"/>
    </row>
    <row r="153" spans="1:14" x14ac:dyDescent="0.25">
      <c r="A153" s="3"/>
      <c r="B153" s="3"/>
      <c r="C153" s="3"/>
      <c r="D153" s="3"/>
      <c r="E153" s="59"/>
      <c r="F153" s="50"/>
      <c r="G153" s="62"/>
      <c r="H153" s="62"/>
      <c r="I153" s="63"/>
      <c r="J153" s="63"/>
      <c r="K153" s="57"/>
      <c r="L153" s="57"/>
      <c r="M153" s="58"/>
      <c r="N153" s="58"/>
    </row>
    <row r="154" spans="1:14" x14ac:dyDescent="0.25">
      <c r="A154" s="3"/>
      <c r="B154" s="3"/>
      <c r="C154" s="3"/>
      <c r="D154" s="3"/>
      <c r="E154" s="59"/>
      <c r="F154" s="50"/>
      <c r="G154" s="62"/>
      <c r="H154" s="62"/>
      <c r="I154" s="63"/>
      <c r="J154" s="63"/>
      <c r="K154" s="57"/>
      <c r="L154" s="57"/>
      <c r="M154" s="58"/>
      <c r="N154" s="58"/>
    </row>
    <row r="155" spans="1:14" x14ac:dyDescent="0.25">
      <c r="A155" s="3"/>
      <c r="B155" s="3"/>
      <c r="C155" s="3"/>
      <c r="D155" s="3"/>
      <c r="E155" s="59"/>
      <c r="F155" s="50"/>
      <c r="G155" s="62"/>
      <c r="H155" s="62"/>
      <c r="I155" s="63"/>
      <c r="J155" s="63"/>
      <c r="K155" s="57"/>
      <c r="L155" s="57"/>
      <c r="M155" s="58"/>
      <c r="N155" s="58"/>
    </row>
    <row r="156" spans="1:14" x14ac:dyDescent="0.25">
      <c r="A156" s="3"/>
      <c r="B156" s="3"/>
      <c r="C156" s="3"/>
      <c r="D156" s="3"/>
      <c r="E156" s="59"/>
      <c r="F156" s="50"/>
      <c r="G156" s="62"/>
      <c r="H156" s="62"/>
      <c r="I156" s="63"/>
      <c r="J156" s="63"/>
      <c r="K156" s="57"/>
      <c r="L156" s="57"/>
      <c r="M156" s="58"/>
      <c r="N156" s="58"/>
    </row>
    <row r="157" spans="1:14" x14ac:dyDescent="0.25">
      <c r="A157" s="3"/>
      <c r="B157" s="3"/>
      <c r="C157" s="3"/>
      <c r="D157" s="3"/>
      <c r="E157" s="59"/>
      <c r="F157" s="50"/>
      <c r="G157" s="62"/>
      <c r="H157" s="62"/>
      <c r="I157" s="63"/>
      <c r="J157" s="63"/>
      <c r="K157" s="57"/>
      <c r="L157" s="57"/>
      <c r="M157" s="58"/>
      <c r="N157" s="58"/>
    </row>
    <row r="158" spans="1:14" x14ac:dyDescent="0.25">
      <c r="A158" s="3"/>
      <c r="B158" s="3"/>
      <c r="C158" s="3"/>
      <c r="D158" s="3"/>
      <c r="E158" s="59"/>
      <c r="F158" s="50"/>
      <c r="G158" s="62"/>
      <c r="H158" s="62"/>
      <c r="I158" s="63"/>
      <c r="J158" s="63"/>
      <c r="K158" s="57"/>
      <c r="L158" s="57"/>
      <c r="M158" s="58"/>
      <c r="N158" s="58"/>
    </row>
    <row r="159" spans="1:14" x14ac:dyDescent="0.25">
      <c r="A159" s="3"/>
      <c r="B159" s="3"/>
      <c r="C159" s="3"/>
      <c r="D159" s="3"/>
      <c r="E159" s="59"/>
      <c r="F159" s="50"/>
      <c r="G159" s="62"/>
      <c r="H159" s="62"/>
      <c r="I159" s="63"/>
      <c r="J159" s="63"/>
      <c r="K159" s="57"/>
      <c r="L159" s="57"/>
      <c r="M159" s="58"/>
      <c r="N159" s="58"/>
    </row>
    <row r="160" spans="1:14" x14ac:dyDescent="0.25">
      <c r="A160" s="3"/>
      <c r="B160" s="3"/>
      <c r="C160" s="3"/>
      <c r="D160" s="3"/>
      <c r="E160" s="59"/>
      <c r="F160" s="50"/>
      <c r="G160" s="62"/>
      <c r="H160" s="62"/>
      <c r="I160" s="63"/>
      <c r="J160" s="63"/>
      <c r="K160" s="57"/>
      <c r="L160" s="57"/>
      <c r="M160" s="58"/>
      <c r="N160" s="58"/>
    </row>
    <row r="161" spans="1:14" x14ac:dyDescent="0.25">
      <c r="A161" s="3"/>
      <c r="B161" s="3"/>
      <c r="C161" s="3"/>
      <c r="D161" s="3"/>
      <c r="E161" s="59"/>
      <c r="F161" s="50"/>
      <c r="G161" s="62"/>
      <c r="H161" s="62"/>
      <c r="I161" s="63"/>
      <c r="J161" s="63"/>
      <c r="K161" s="57"/>
      <c r="L161" s="57"/>
      <c r="M161" s="58"/>
      <c r="N161" s="58"/>
    </row>
    <row r="162" spans="1:14" x14ac:dyDescent="0.25">
      <c r="A162" s="3"/>
      <c r="B162" s="3"/>
      <c r="C162" s="3"/>
      <c r="D162" s="3"/>
      <c r="E162" s="59"/>
      <c r="F162" s="50"/>
      <c r="G162" s="62"/>
      <c r="H162" s="62"/>
      <c r="I162" s="63"/>
      <c r="J162" s="63"/>
      <c r="K162" s="57"/>
      <c r="L162" s="57"/>
      <c r="M162" s="58"/>
      <c r="N162" s="58"/>
    </row>
    <row r="163" spans="1:14" x14ac:dyDescent="0.25">
      <c r="A163" s="3"/>
      <c r="B163" s="3"/>
      <c r="C163" s="3"/>
      <c r="D163" s="3"/>
      <c r="E163" s="59"/>
      <c r="F163" s="50"/>
      <c r="G163" s="62"/>
      <c r="H163" s="62"/>
      <c r="I163" s="63"/>
      <c r="J163" s="63"/>
      <c r="K163" s="57"/>
      <c r="L163" s="57"/>
      <c r="M163" s="58"/>
      <c r="N163" s="58"/>
    </row>
    <row r="164" spans="1:14" x14ac:dyDescent="0.25">
      <c r="A164" s="3"/>
      <c r="B164" s="3"/>
      <c r="C164" s="3"/>
      <c r="D164" s="3"/>
      <c r="E164" s="59"/>
      <c r="F164" s="50"/>
      <c r="G164" s="62"/>
      <c r="H164" s="62"/>
      <c r="I164" s="63"/>
      <c r="J164" s="63"/>
      <c r="K164" s="57"/>
      <c r="L164" s="57"/>
      <c r="M164" s="58"/>
      <c r="N164" s="58"/>
    </row>
    <row r="165" spans="1:14" x14ac:dyDescent="0.25">
      <c r="A165" s="3"/>
      <c r="B165" s="3"/>
      <c r="C165" s="3"/>
      <c r="D165" s="3"/>
      <c r="E165" s="59"/>
      <c r="F165" s="50"/>
      <c r="G165" s="62"/>
      <c r="H165" s="62"/>
      <c r="I165" s="63"/>
      <c r="J165" s="63"/>
      <c r="K165" s="57"/>
      <c r="L165" s="57"/>
      <c r="M165" s="58"/>
      <c r="N165" s="58"/>
    </row>
    <row r="166" spans="1:14" x14ac:dyDescent="0.25">
      <c r="A166" s="3"/>
      <c r="B166" s="3"/>
      <c r="C166" s="3"/>
      <c r="D166" s="3"/>
      <c r="E166" s="59"/>
      <c r="F166" s="50"/>
      <c r="G166" s="62"/>
      <c r="H166" s="62"/>
      <c r="I166" s="63"/>
      <c r="J166" s="63"/>
      <c r="K166" s="57"/>
      <c r="L166" s="57"/>
      <c r="M166" s="58"/>
      <c r="N166" s="58"/>
    </row>
    <row r="167" spans="1:14" x14ac:dyDescent="0.25">
      <c r="A167" s="3"/>
      <c r="B167" s="3"/>
      <c r="C167" s="3"/>
      <c r="D167" s="3"/>
      <c r="E167" s="59"/>
      <c r="F167" s="50"/>
      <c r="G167" s="62"/>
      <c r="H167" s="62"/>
      <c r="I167" s="63"/>
      <c r="J167" s="63"/>
      <c r="K167" s="57"/>
      <c r="L167" s="57"/>
      <c r="M167" s="58"/>
      <c r="N167" s="58"/>
    </row>
    <row r="168" spans="1:14" x14ac:dyDescent="0.25">
      <c r="A168" s="3"/>
      <c r="B168" s="3"/>
      <c r="C168" s="3"/>
      <c r="D168" s="3"/>
      <c r="E168" s="59"/>
      <c r="F168" s="50"/>
      <c r="G168" s="62"/>
      <c r="H168" s="62"/>
      <c r="I168" s="63"/>
      <c r="J168" s="63"/>
      <c r="K168" s="57"/>
      <c r="L168" s="57"/>
      <c r="M168" s="58"/>
      <c r="N168" s="58"/>
    </row>
    <row r="169" spans="1:14" x14ac:dyDescent="0.25">
      <c r="A169" s="3"/>
      <c r="B169" s="3"/>
      <c r="C169" s="3"/>
      <c r="D169" s="3"/>
      <c r="E169" s="59"/>
      <c r="F169" s="50"/>
      <c r="G169" s="62"/>
      <c r="H169" s="62"/>
      <c r="I169" s="63"/>
      <c r="J169" s="63"/>
      <c r="K169" s="57"/>
      <c r="L169" s="57"/>
      <c r="M169" s="58"/>
      <c r="N169" s="58"/>
    </row>
    <row r="170" spans="1:14" x14ac:dyDescent="0.25">
      <c r="A170" s="3"/>
      <c r="B170" s="3"/>
      <c r="C170" s="3"/>
      <c r="D170" s="3"/>
      <c r="E170" s="59"/>
      <c r="F170" s="50"/>
      <c r="G170" s="62"/>
      <c r="H170" s="62"/>
      <c r="I170" s="63"/>
      <c r="J170" s="63"/>
      <c r="K170" s="57"/>
      <c r="L170" s="57"/>
      <c r="M170" s="58"/>
      <c r="N170" s="58"/>
    </row>
    <row r="171" spans="1:14" x14ac:dyDescent="0.25">
      <c r="A171" s="3"/>
      <c r="B171" s="3"/>
      <c r="C171" s="3"/>
      <c r="D171" s="3"/>
      <c r="E171" s="59"/>
      <c r="F171" s="50"/>
      <c r="G171" s="62"/>
      <c r="H171" s="62"/>
      <c r="I171" s="63"/>
      <c r="J171" s="63"/>
      <c r="K171" s="57"/>
      <c r="L171" s="57"/>
      <c r="M171" s="58"/>
      <c r="N171" s="58"/>
    </row>
    <row r="172" spans="1:14" x14ac:dyDescent="0.25">
      <c r="A172" s="3"/>
      <c r="B172" s="3"/>
      <c r="C172" s="3"/>
      <c r="D172" s="3"/>
      <c r="E172" s="59"/>
      <c r="F172" s="50"/>
      <c r="G172" s="62"/>
      <c r="H172" s="62"/>
      <c r="I172" s="63"/>
      <c r="J172" s="63"/>
      <c r="K172" s="57"/>
      <c r="L172" s="57"/>
      <c r="M172" s="58"/>
      <c r="N172" s="58"/>
    </row>
    <row r="173" spans="1:14" x14ac:dyDescent="0.25">
      <c r="A173" s="3"/>
      <c r="B173" s="3"/>
      <c r="C173" s="3"/>
      <c r="D173" s="3"/>
      <c r="E173" s="59"/>
      <c r="F173" s="50"/>
      <c r="G173" s="62"/>
      <c r="H173" s="62"/>
      <c r="I173" s="63"/>
      <c r="J173" s="63"/>
      <c r="K173" s="57"/>
      <c r="L173" s="57"/>
      <c r="M173" s="58"/>
      <c r="N173" s="58"/>
    </row>
    <row r="174" spans="1:14" x14ac:dyDescent="0.25">
      <c r="A174" s="3"/>
      <c r="B174" s="3"/>
      <c r="C174" s="3"/>
      <c r="D174" s="3"/>
      <c r="E174" s="59"/>
      <c r="F174" s="50"/>
      <c r="G174" s="62"/>
      <c r="H174" s="62"/>
      <c r="I174" s="63"/>
      <c r="J174" s="63"/>
      <c r="K174" s="57"/>
      <c r="L174" s="57"/>
      <c r="M174" s="58"/>
      <c r="N174" s="58"/>
    </row>
    <row r="175" spans="1:14" x14ac:dyDescent="0.25">
      <c r="A175" s="3"/>
      <c r="B175" s="3"/>
      <c r="C175" s="3"/>
      <c r="D175" s="3"/>
      <c r="E175" s="59"/>
      <c r="F175" s="50"/>
      <c r="G175" s="62"/>
      <c r="H175" s="62"/>
      <c r="I175" s="63"/>
      <c r="J175" s="63"/>
      <c r="K175" s="57"/>
      <c r="L175" s="57"/>
      <c r="M175" s="58"/>
      <c r="N175" s="58"/>
    </row>
    <row r="176" spans="1:14" x14ac:dyDescent="0.25">
      <c r="A176" s="3"/>
      <c r="B176" s="3"/>
      <c r="C176" s="3"/>
      <c r="D176" s="3"/>
      <c r="E176" s="59"/>
      <c r="F176" s="50"/>
      <c r="G176" s="62"/>
      <c r="H176" s="62"/>
      <c r="I176" s="63"/>
      <c r="J176" s="63"/>
      <c r="K176" s="57"/>
      <c r="L176" s="57"/>
      <c r="M176" s="58"/>
      <c r="N176" s="58"/>
    </row>
    <row r="177" spans="1:14" x14ac:dyDescent="0.25">
      <c r="A177" s="3"/>
      <c r="B177" s="3"/>
      <c r="C177" s="3"/>
      <c r="D177" s="3"/>
      <c r="E177" s="59"/>
      <c r="F177" s="50"/>
      <c r="G177" s="62"/>
      <c r="H177" s="62"/>
      <c r="I177" s="63"/>
      <c r="J177" s="63"/>
      <c r="K177" s="57"/>
      <c r="L177" s="57"/>
      <c r="M177" s="58"/>
      <c r="N177" s="58"/>
    </row>
    <row r="178" spans="1:14" x14ac:dyDescent="0.25">
      <c r="A178" s="3"/>
      <c r="B178" s="3"/>
      <c r="C178" s="3"/>
      <c r="D178" s="3"/>
      <c r="E178" s="59"/>
      <c r="F178" s="50"/>
      <c r="G178" s="62"/>
      <c r="H178" s="62"/>
      <c r="I178" s="63"/>
      <c r="J178" s="63"/>
      <c r="K178" s="57"/>
      <c r="L178" s="57"/>
      <c r="M178" s="58"/>
      <c r="N178" s="58"/>
    </row>
    <row r="179" spans="1:14" x14ac:dyDescent="0.25">
      <c r="A179" s="3"/>
      <c r="B179" s="3"/>
      <c r="C179" s="3"/>
      <c r="D179" s="3"/>
      <c r="E179" s="59"/>
      <c r="F179" s="50"/>
      <c r="G179" s="62"/>
      <c r="H179" s="62"/>
      <c r="I179" s="63"/>
      <c r="J179" s="63"/>
      <c r="K179" s="57"/>
      <c r="L179" s="57"/>
      <c r="M179" s="58"/>
      <c r="N179" s="58"/>
    </row>
    <row r="180" spans="1:14" x14ac:dyDescent="0.25">
      <c r="A180" s="3"/>
      <c r="B180" s="3"/>
      <c r="C180" s="3"/>
      <c r="D180" s="3"/>
      <c r="E180" s="59"/>
      <c r="F180" s="50"/>
      <c r="G180" s="62"/>
      <c r="H180" s="62"/>
      <c r="I180" s="63"/>
      <c r="J180" s="63"/>
      <c r="K180" s="57"/>
      <c r="L180" s="57"/>
      <c r="M180" s="58"/>
      <c r="N180" s="58"/>
    </row>
    <row r="181" spans="1:14" x14ac:dyDescent="0.25">
      <c r="A181" s="3"/>
      <c r="B181" s="3"/>
      <c r="C181" s="3"/>
      <c r="D181" s="3"/>
      <c r="E181" s="59"/>
      <c r="F181" s="50"/>
      <c r="G181" s="62"/>
      <c r="H181" s="62"/>
      <c r="I181" s="63"/>
      <c r="J181" s="63"/>
      <c r="K181" s="57"/>
      <c r="L181" s="57"/>
      <c r="M181" s="58"/>
      <c r="N181" s="58"/>
    </row>
    <row r="182" spans="1:14" x14ac:dyDescent="0.25">
      <c r="A182" s="3"/>
      <c r="B182" s="3"/>
      <c r="C182" s="3"/>
      <c r="D182" s="3"/>
      <c r="E182" s="59"/>
      <c r="F182" s="50"/>
      <c r="G182" s="62"/>
      <c r="H182" s="62"/>
      <c r="I182" s="63"/>
      <c r="J182" s="63"/>
      <c r="K182" s="57"/>
      <c r="L182" s="57"/>
      <c r="M182" s="58"/>
      <c r="N182" s="58"/>
    </row>
    <row r="183" spans="1:14" x14ac:dyDescent="0.25">
      <c r="A183" s="3"/>
      <c r="B183" s="3"/>
      <c r="C183" s="3"/>
      <c r="D183" s="3"/>
      <c r="E183" s="59"/>
      <c r="F183" s="50"/>
      <c r="G183" s="62"/>
      <c r="H183" s="62"/>
      <c r="I183" s="63"/>
      <c r="J183" s="63"/>
      <c r="K183" s="57"/>
      <c r="L183" s="57"/>
      <c r="M183" s="58"/>
      <c r="N183" s="58"/>
    </row>
    <row r="184" spans="1:14" x14ac:dyDescent="0.25">
      <c r="A184" s="3"/>
      <c r="B184" s="3"/>
      <c r="C184" s="3"/>
      <c r="D184" s="3"/>
      <c r="E184" s="59"/>
      <c r="F184" s="50"/>
      <c r="G184" s="62"/>
      <c r="H184" s="62"/>
      <c r="I184" s="63"/>
      <c r="J184" s="63"/>
      <c r="K184" s="57"/>
      <c r="L184" s="57"/>
      <c r="M184" s="58"/>
      <c r="N184" s="58"/>
    </row>
    <row r="185" spans="1:14" x14ac:dyDescent="0.25">
      <c r="A185" s="3"/>
      <c r="B185" s="3"/>
      <c r="C185" s="3"/>
      <c r="D185" s="3"/>
      <c r="E185" s="59"/>
      <c r="F185" s="50"/>
      <c r="G185" s="62"/>
      <c r="H185" s="62"/>
      <c r="I185" s="63"/>
      <c r="J185" s="63"/>
      <c r="K185" s="57"/>
      <c r="L185" s="57"/>
      <c r="M185" s="58"/>
      <c r="N185" s="58"/>
    </row>
    <row r="186" spans="1:14" x14ac:dyDescent="0.25">
      <c r="A186" s="3"/>
      <c r="B186" s="3"/>
      <c r="C186" s="3"/>
      <c r="D186" s="3"/>
      <c r="E186" s="59"/>
      <c r="F186" s="50"/>
      <c r="G186" s="62"/>
      <c r="H186" s="62"/>
      <c r="I186" s="63"/>
      <c r="J186" s="63"/>
      <c r="K186" s="57"/>
      <c r="L186" s="57"/>
      <c r="M186" s="58"/>
      <c r="N186" s="58"/>
    </row>
    <row r="187" spans="1:14" x14ac:dyDescent="0.25">
      <c r="A187" s="3"/>
      <c r="B187" s="3"/>
      <c r="C187" s="3"/>
      <c r="D187" s="3"/>
      <c r="E187" s="59"/>
      <c r="F187" s="50"/>
      <c r="G187" s="62"/>
      <c r="H187" s="62"/>
      <c r="I187" s="63"/>
      <c r="J187" s="63"/>
      <c r="K187" s="57"/>
      <c r="L187" s="57"/>
      <c r="M187" s="58"/>
      <c r="N187" s="58"/>
    </row>
    <row r="188" spans="1:14" x14ac:dyDescent="0.25">
      <c r="A188" s="3"/>
      <c r="B188" s="3"/>
      <c r="C188" s="3"/>
      <c r="D188" s="3"/>
      <c r="E188" s="59"/>
      <c r="F188" s="50"/>
      <c r="G188" s="62"/>
      <c r="H188" s="62"/>
      <c r="I188" s="63"/>
      <c r="J188" s="63"/>
      <c r="K188" s="57"/>
      <c r="L188" s="57"/>
      <c r="M188" s="58"/>
      <c r="N188" s="58"/>
    </row>
    <row r="189" spans="1:14" x14ac:dyDescent="0.25">
      <c r="A189" s="3"/>
      <c r="B189" s="3"/>
      <c r="C189" s="3"/>
      <c r="D189" s="3"/>
      <c r="E189" s="59"/>
      <c r="F189" s="50"/>
      <c r="G189" s="62"/>
      <c r="H189" s="62"/>
      <c r="I189" s="63"/>
      <c r="J189" s="63"/>
      <c r="K189" s="57"/>
      <c r="L189" s="57"/>
      <c r="M189" s="58"/>
      <c r="N189" s="58"/>
    </row>
    <row r="190" spans="1:14" x14ac:dyDescent="0.25">
      <c r="A190" s="3"/>
      <c r="B190" s="3"/>
      <c r="C190" s="3"/>
      <c r="D190" s="3"/>
      <c r="E190" s="59"/>
      <c r="F190" s="50"/>
      <c r="G190" s="62"/>
      <c r="H190" s="62"/>
      <c r="I190" s="63"/>
      <c r="J190" s="63"/>
      <c r="K190" s="57"/>
      <c r="L190" s="57"/>
      <c r="M190" s="58"/>
      <c r="N190" s="58"/>
    </row>
    <row r="191" spans="1:14" x14ac:dyDescent="0.25">
      <c r="A191" s="3"/>
      <c r="B191" s="3"/>
      <c r="C191" s="3"/>
      <c r="D191" s="3"/>
      <c r="E191" s="59"/>
      <c r="F191" s="50"/>
      <c r="G191" s="62"/>
      <c r="H191" s="62"/>
      <c r="I191" s="63"/>
      <c r="J191" s="63"/>
      <c r="K191" s="57"/>
      <c r="L191" s="57"/>
      <c r="M191" s="58"/>
      <c r="N191" s="58"/>
    </row>
    <row r="192" spans="1:14" x14ac:dyDescent="0.25">
      <c r="A192" s="3"/>
      <c r="B192" s="3"/>
      <c r="C192" s="3"/>
      <c r="D192" s="3"/>
      <c r="E192" s="59"/>
      <c r="F192" s="50"/>
      <c r="G192" s="62"/>
      <c r="H192" s="62"/>
      <c r="I192" s="63"/>
      <c r="J192" s="63"/>
      <c r="K192" s="57"/>
      <c r="L192" s="57"/>
      <c r="M192" s="58"/>
      <c r="N192" s="58"/>
    </row>
    <row r="193" spans="1:14" x14ac:dyDescent="0.25">
      <c r="A193" s="3"/>
      <c r="B193" s="3"/>
      <c r="C193" s="3"/>
      <c r="D193" s="3"/>
      <c r="E193" s="59"/>
      <c r="F193" s="50"/>
      <c r="G193" s="62"/>
      <c r="H193" s="62"/>
      <c r="I193" s="63"/>
      <c r="J193" s="63"/>
      <c r="K193" s="57"/>
      <c r="L193" s="57"/>
      <c r="M193" s="58"/>
      <c r="N193" s="58"/>
    </row>
    <row r="194" spans="1:14" x14ac:dyDescent="0.25">
      <c r="A194" s="3"/>
      <c r="B194" s="3"/>
      <c r="C194" s="3"/>
      <c r="D194" s="3"/>
      <c r="E194" s="59"/>
      <c r="F194" s="50"/>
      <c r="G194" s="62"/>
      <c r="H194" s="62"/>
      <c r="I194" s="63"/>
      <c r="J194" s="63"/>
      <c r="K194" s="57"/>
      <c r="L194" s="57"/>
      <c r="M194" s="58"/>
      <c r="N194" s="58"/>
    </row>
    <row r="195" spans="1:14" x14ac:dyDescent="0.25">
      <c r="A195" s="3"/>
      <c r="B195" s="3"/>
      <c r="C195" s="3"/>
      <c r="D195" s="3"/>
      <c r="E195" s="59"/>
      <c r="F195" s="50"/>
      <c r="G195" s="62"/>
      <c r="H195" s="62"/>
      <c r="I195" s="63"/>
      <c r="J195" s="63"/>
      <c r="K195" s="57"/>
      <c r="L195" s="57"/>
      <c r="M195" s="58"/>
      <c r="N195" s="58"/>
    </row>
    <row r="196" spans="1:14" x14ac:dyDescent="0.25">
      <c r="A196" s="3"/>
      <c r="B196" s="3"/>
      <c r="C196" s="3"/>
      <c r="D196" s="3"/>
      <c r="E196" s="59"/>
      <c r="F196" s="50"/>
      <c r="G196" s="62"/>
      <c r="H196" s="62"/>
      <c r="I196" s="63"/>
      <c r="J196" s="63"/>
      <c r="K196" s="57"/>
      <c r="L196" s="57"/>
      <c r="M196" s="58"/>
      <c r="N196" s="58"/>
    </row>
    <row r="197" spans="1:14" x14ac:dyDescent="0.25">
      <c r="A197" s="3"/>
      <c r="B197" s="3"/>
      <c r="C197" s="3"/>
      <c r="D197" s="3"/>
      <c r="E197" s="59"/>
      <c r="F197" s="50"/>
      <c r="G197" s="62"/>
      <c r="H197" s="62"/>
      <c r="I197" s="63"/>
      <c r="J197" s="63"/>
      <c r="K197" s="57"/>
      <c r="L197" s="57"/>
      <c r="M197" s="58"/>
      <c r="N197" s="58"/>
    </row>
  </sheetData>
  <sortState xmlns:xlrd2="http://schemas.microsoft.com/office/spreadsheetml/2017/richdata2" ref="A2:N197">
    <sortCondition ref="A1:A197"/>
  </sortState>
  <conditionalFormatting sqref="F2:F197">
    <cfRule type="expression" dxfId="527" priority="541">
      <formula>$E2="Yes"</formula>
    </cfRule>
  </conditionalFormatting>
  <conditionalFormatting sqref="H10:H17 H19 H21 G23:H25 G36:H41 G80:H83 G71:H76 G107:H110 G98:H103 G45:H56 G2:G117">
    <cfRule type="expression" dxfId="526" priority="540">
      <formula>OR($E2="Yes",#REF!&lt;&gt;"% Bounds")</formula>
    </cfRule>
  </conditionalFormatting>
  <conditionalFormatting sqref="H2:H117">
    <cfRule type="expression" dxfId="525" priority="539">
      <formula>OR($E2="Yes",#REF!&lt;&gt;"% Bounds")</formula>
    </cfRule>
  </conditionalFormatting>
  <conditionalFormatting sqref="I2 I10:L24 I34:L34 I54:L56 I36:L41">
    <cfRule type="expression" dxfId="524" priority="538">
      <formula>OR($E2="Yes",#REF!&lt;&gt;"$ Bounds")</formula>
    </cfRule>
  </conditionalFormatting>
  <conditionalFormatting sqref="J2">
    <cfRule type="expression" dxfId="523" priority="537">
      <formula>OR($E2="Yes",#REF!&lt;&gt;"$ Bounds")</formula>
    </cfRule>
  </conditionalFormatting>
  <conditionalFormatting sqref="H3">
    <cfRule type="expression" dxfId="522" priority="536">
      <formula>OR($E3="Yes",#REF!&lt;&gt;"% Bounds")</formula>
    </cfRule>
  </conditionalFormatting>
  <conditionalFormatting sqref="I3">
    <cfRule type="expression" dxfId="521" priority="535">
      <formula>OR($E3="Yes",#REF!&lt;&gt;"$ Bounds")</formula>
    </cfRule>
  </conditionalFormatting>
  <conditionalFormatting sqref="J3:L3">
    <cfRule type="expression" dxfId="520" priority="534">
      <formula>OR($E3="Yes",#REF!&lt;&gt;"$ Bounds")</formula>
    </cfRule>
  </conditionalFormatting>
  <conditionalFormatting sqref="H4">
    <cfRule type="expression" dxfId="519" priority="533">
      <formula>OR($E4="Yes",#REF!&lt;&gt;"% Bounds")</formula>
    </cfRule>
  </conditionalFormatting>
  <conditionalFormatting sqref="I4:I7">
    <cfRule type="expression" dxfId="518" priority="532">
      <formula>OR($E4="Yes",#REF!&lt;&gt;"$ Bounds")</formula>
    </cfRule>
  </conditionalFormatting>
  <conditionalFormatting sqref="H5">
    <cfRule type="expression" dxfId="517" priority="531">
      <formula>OR($E5="Yes",#REF!&lt;&gt;"% Bounds")</formula>
    </cfRule>
  </conditionalFormatting>
  <conditionalFormatting sqref="H6">
    <cfRule type="expression" dxfId="516" priority="530">
      <formula>OR($E6="Yes",#REF!&lt;&gt;"% Bounds")</formula>
    </cfRule>
  </conditionalFormatting>
  <conditionalFormatting sqref="H7">
    <cfRule type="expression" dxfId="515" priority="529">
      <formula>OR($E7="Yes",#REF!&lt;&gt;"% Bounds")</formula>
    </cfRule>
  </conditionalFormatting>
  <conditionalFormatting sqref="H8">
    <cfRule type="expression" dxfId="514" priority="528">
      <formula>OR($E8="Yes",#REF!&lt;&gt;"% Bounds")</formula>
    </cfRule>
  </conditionalFormatting>
  <conditionalFormatting sqref="J8:L8">
    <cfRule type="expression" dxfId="513" priority="527">
      <formula>OR($E8="Yes",#REF!&lt;&gt;"$ Bounds")</formula>
    </cfRule>
  </conditionalFormatting>
  <conditionalFormatting sqref="H9">
    <cfRule type="expression" dxfId="512" priority="526">
      <formula>OR($E9="Yes",#REF!&lt;&gt;"% Bounds")</formula>
    </cfRule>
  </conditionalFormatting>
  <conditionalFormatting sqref="J9:L9">
    <cfRule type="expression" dxfId="511" priority="525">
      <formula>OR($E9="Yes",#REF!&lt;&gt;"$ Bounds")</formula>
    </cfRule>
  </conditionalFormatting>
  <conditionalFormatting sqref="H33">
    <cfRule type="expression" dxfId="510" priority="524">
      <formula>OR($E33="Yes",#REF!&lt;&gt;"% Bounds")</formula>
    </cfRule>
  </conditionalFormatting>
  <conditionalFormatting sqref="H18">
    <cfRule type="expression" dxfId="509" priority="523">
      <formula>OR($E18="Yes",#REF!&lt;&gt;"% Bounds")</formula>
    </cfRule>
  </conditionalFormatting>
  <conditionalFormatting sqref="H20">
    <cfRule type="expression" dxfId="508" priority="522">
      <formula>OR($E20="Yes",#REF!&lt;&gt;"% Bounds")</formula>
    </cfRule>
  </conditionalFormatting>
  <conditionalFormatting sqref="I25">
    <cfRule type="expression" dxfId="507" priority="521">
      <formula>OR($E25="Yes",#REF!&lt;&gt;"$ Bounds")</formula>
    </cfRule>
  </conditionalFormatting>
  <conditionalFormatting sqref="J25:L25">
    <cfRule type="expression" dxfId="506" priority="520">
      <formula>OR($E25="Yes",#REF!&lt;&gt;"$ Bounds")</formula>
    </cfRule>
  </conditionalFormatting>
  <conditionalFormatting sqref="H26">
    <cfRule type="expression" dxfId="505" priority="519">
      <formula>OR($E26="Yes",#REF!&lt;&gt;"% Bounds")</formula>
    </cfRule>
  </conditionalFormatting>
  <conditionalFormatting sqref="I26">
    <cfRule type="expression" dxfId="504" priority="518">
      <formula>OR($E26="Yes",#REF!&lt;&gt;"$ Bounds")</formula>
    </cfRule>
  </conditionalFormatting>
  <conditionalFormatting sqref="J26:L26">
    <cfRule type="expression" dxfId="503" priority="517">
      <formula>OR($E26="Yes",#REF!&lt;&gt;"$ Bounds")</formula>
    </cfRule>
  </conditionalFormatting>
  <conditionalFormatting sqref="I27">
    <cfRule type="expression" dxfId="502" priority="516">
      <formula>OR($E27="Yes",#REF!&lt;&gt;"$ Bounds")</formula>
    </cfRule>
  </conditionalFormatting>
  <conditionalFormatting sqref="J27:L27">
    <cfRule type="expression" dxfId="501" priority="515">
      <formula>OR($E27="Yes",#REF!&lt;&gt;"$ Bounds")</formula>
    </cfRule>
  </conditionalFormatting>
  <conditionalFormatting sqref="I28:I117">
    <cfRule type="expression" dxfId="500" priority="514">
      <formula>OR($E28="Yes",#REF!&lt;&gt;"$ Bounds")</formula>
    </cfRule>
  </conditionalFormatting>
  <conditionalFormatting sqref="J28:L63">
    <cfRule type="expression" dxfId="499" priority="513">
      <formula>OR($E28="Yes",#REF!&lt;&gt;"$ Bounds")</formula>
    </cfRule>
  </conditionalFormatting>
  <conditionalFormatting sqref="H29">
    <cfRule type="expression" dxfId="498" priority="512">
      <formula>OR($E29="Yes",#REF!&lt;&gt;"% Bounds")</formula>
    </cfRule>
  </conditionalFormatting>
  <conditionalFormatting sqref="I29">
    <cfRule type="expression" dxfId="497" priority="511">
      <formula>OR($E29="Yes",#REF!&lt;&gt;"$ Bounds")</formula>
    </cfRule>
  </conditionalFormatting>
  <conditionalFormatting sqref="J29:L29">
    <cfRule type="expression" dxfId="496" priority="510">
      <formula>OR($E29="Yes",#REF!&lt;&gt;"$ Bounds")</formula>
    </cfRule>
  </conditionalFormatting>
  <conditionalFormatting sqref="I30">
    <cfRule type="expression" dxfId="495" priority="509">
      <formula>OR($E30="Yes",#REF!&lt;&gt;"$ Bounds")</formula>
    </cfRule>
  </conditionalFormatting>
  <conditionalFormatting sqref="J30:L30">
    <cfRule type="expression" dxfId="494" priority="508">
      <formula>OR($E30="Yes",#REF!&lt;&gt;"$ Bounds")</formula>
    </cfRule>
  </conditionalFormatting>
  <conditionalFormatting sqref="I31">
    <cfRule type="expression" dxfId="493" priority="507">
      <formula>OR($E31="Yes",#REF!&lt;&gt;"$ Bounds")</formula>
    </cfRule>
  </conditionalFormatting>
  <conditionalFormatting sqref="J31:L31">
    <cfRule type="expression" dxfId="492" priority="506">
      <formula>OR($E31="Yes",#REF!&lt;&gt;"$ Bounds")</formula>
    </cfRule>
  </conditionalFormatting>
  <conditionalFormatting sqref="H32">
    <cfRule type="expression" dxfId="491" priority="505">
      <formula>OR($E32="Yes",#REF!&lt;&gt;"% Bounds")</formula>
    </cfRule>
  </conditionalFormatting>
  <conditionalFormatting sqref="I32">
    <cfRule type="expression" dxfId="490" priority="504">
      <formula>OR($E32="Yes",#REF!&lt;&gt;"$ Bounds")</formula>
    </cfRule>
  </conditionalFormatting>
  <conditionalFormatting sqref="J32:L32">
    <cfRule type="expression" dxfId="489" priority="503">
      <formula>OR($E32="Yes",#REF!&lt;&gt;"$ Bounds")</formula>
    </cfRule>
  </conditionalFormatting>
  <conditionalFormatting sqref="I33">
    <cfRule type="expression" dxfId="488" priority="502">
      <formula>OR($E33="Yes",#REF!&lt;&gt;"$ Bounds")</formula>
    </cfRule>
  </conditionalFormatting>
  <conditionalFormatting sqref="J33:L33">
    <cfRule type="expression" dxfId="487" priority="501">
      <formula>OR($E33="Yes",#REF!&lt;&gt;"$ Bounds")</formula>
    </cfRule>
  </conditionalFormatting>
  <conditionalFormatting sqref="I42">
    <cfRule type="expression" dxfId="486" priority="500">
      <formula>OR($E42="Yes",#REF!&lt;&gt;"$ Bounds")</formula>
    </cfRule>
  </conditionalFormatting>
  <conditionalFormatting sqref="J42:L44">
    <cfRule type="expression" dxfId="485" priority="499">
      <formula>OR($E42="Yes",#REF!&lt;&gt;"$ Bounds")</formula>
    </cfRule>
  </conditionalFormatting>
  <conditionalFormatting sqref="I43">
    <cfRule type="expression" dxfId="484" priority="498">
      <formula>OR($E43="Yes",#REF!&lt;&gt;"$ Bounds")</formula>
    </cfRule>
  </conditionalFormatting>
  <conditionalFormatting sqref="I45:I53">
    <cfRule type="expression" dxfId="483" priority="497">
      <formula>OR($E45="Yes",#REF!&lt;&gt;"$ Bounds")</formula>
    </cfRule>
  </conditionalFormatting>
  <conditionalFormatting sqref="J45:L53">
    <cfRule type="expression" dxfId="482" priority="496">
      <formula>OR($E45="Yes",#REF!&lt;&gt;"$ Bounds")</formula>
    </cfRule>
  </conditionalFormatting>
  <conditionalFormatting sqref="G22">
    <cfRule type="expression" dxfId="481" priority="495">
      <formula>OR($E22="Yes",#REF!&lt;&gt;"% Bounds")</formula>
    </cfRule>
  </conditionalFormatting>
  <conditionalFormatting sqref="H22">
    <cfRule type="expression" dxfId="480" priority="494">
      <formula>OR($E22="Yes",#REF!&lt;&gt;"% Bounds")</formula>
    </cfRule>
  </conditionalFormatting>
  <conditionalFormatting sqref="G27">
    <cfRule type="expression" dxfId="479" priority="493">
      <formula>OR($E27="Yes",#REF!&lt;&gt;"% Bounds")</formula>
    </cfRule>
  </conditionalFormatting>
  <conditionalFormatting sqref="H27">
    <cfRule type="expression" dxfId="478" priority="492">
      <formula>OR($E27="Yes",#REF!&lt;&gt;"% Bounds")</formula>
    </cfRule>
  </conditionalFormatting>
  <conditionalFormatting sqref="G28:G117">
    <cfRule type="expression" dxfId="477" priority="491">
      <formula>OR($E28="Yes",#REF!&lt;&gt;"% Bounds")</formula>
    </cfRule>
  </conditionalFormatting>
  <conditionalFormatting sqref="H28:H117">
    <cfRule type="expression" dxfId="476" priority="490">
      <formula>OR($E28="Yes",#REF!&lt;&gt;"% Bounds")</formula>
    </cfRule>
  </conditionalFormatting>
  <conditionalFormatting sqref="G42:G43">
    <cfRule type="expression" dxfId="475" priority="489">
      <formula>OR($E42="Yes",#REF!&lt;&gt;"% Bounds")</formula>
    </cfRule>
  </conditionalFormatting>
  <conditionalFormatting sqref="H42:H43">
    <cfRule type="expression" dxfId="474" priority="488">
      <formula>OR($E42="Yes",#REF!&lt;&gt;"% Bounds")</formula>
    </cfRule>
  </conditionalFormatting>
  <conditionalFormatting sqref="G34">
    <cfRule type="expression" dxfId="473" priority="487">
      <formula>OR($E34="Yes",#REF!&lt;&gt;"% Bounds")</formula>
    </cfRule>
  </conditionalFormatting>
  <conditionalFormatting sqref="H34">
    <cfRule type="expression" dxfId="472" priority="486">
      <formula>OR($E34="Yes",#REF!&lt;&gt;"% Bounds")</formula>
    </cfRule>
  </conditionalFormatting>
  <conditionalFormatting sqref="G30">
    <cfRule type="expression" dxfId="471" priority="485">
      <formula>OR($E30="Yes",#REF!&lt;&gt;"% Bounds")</formula>
    </cfRule>
  </conditionalFormatting>
  <conditionalFormatting sqref="H30">
    <cfRule type="expression" dxfId="470" priority="484">
      <formula>OR($E30="Yes",#REF!&lt;&gt;"% Bounds")</formula>
    </cfRule>
  </conditionalFormatting>
  <conditionalFormatting sqref="G31">
    <cfRule type="expression" dxfId="469" priority="483">
      <formula>OR($E31="Yes",#REF!&lt;&gt;"% Bounds")</formula>
    </cfRule>
  </conditionalFormatting>
  <conditionalFormatting sqref="H31">
    <cfRule type="expression" dxfId="468" priority="482">
      <formula>OR($E31="Yes",#REF!&lt;&gt;"% Bounds")</formula>
    </cfRule>
  </conditionalFormatting>
  <conditionalFormatting sqref="G44">
    <cfRule type="expression" dxfId="467" priority="481">
      <formula>OR($E44="Yes",#REF!&lt;&gt;"% Bounds")</formula>
    </cfRule>
  </conditionalFormatting>
  <conditionalFormatting sqref="H44">
    <cfRule type="expression" dxfId="466" priority="480">
      <formula>OR($E44="Yes",#REF!&lt;&gt;"% Bounds")</formula>
    </cfRule>
  </conditionalFormatting>
  <conditionalFormatting sqref="I44">
    <cfRule type="expression" dxfId="465" priority="479">
      <formula>OR($E44="Yes",#REF!&lt;&gt;"$ Bounds")</formula>
    </cfRule>
  </conditionalFormatting>
  <conditionalFormatting sqref="I8">
    <cfRule type="expression" dxfId="464" priority="478">
      <formula>OR($E8="Yes",#REF!&lt;&gt;"$ Bounds")</formula>
    </cfRule>
  </conditionalFormatting>
  <conditionalFormatting sqref="I9">
    <cfRule type="expression" dxfId="463" priority="477">
      <formula>OR($E9="Yes",#REF!&lt;&gt;"$ Bounds")</formula>
    </cfRule>
  </conditionalFormatting>
  <conditionalFormatting sqref="J4:L7">
    <cfRule type="expression" dxfId="462" priority="476">
      <formula>OR($E4="Yes",#REF!&lt;&gt;"$ Bounds")</formula>
    </cfRule>
  </conditionalFormatting>
  <conditionalFormatting sqref="I35:L35">
    <cfRule type="expression" dxfId="461" priority="475">
      <formula>OR($E35="Yes",#REF!&lt;&gt;"$ Bounds")</formula>
    </cfRule>
  </conditionalFormatting>
  <conditionalFormatting sqref="G35">
    <cfRule type="expression" dxfId="460" priority="474">
      <formula>OR($E35="Yes",#REF!&lt;&gt;"% Bounds")</formula>
    </cfRule>
  </conditionalFormatting>
  <conditionalFormatting sqref="H35">
    <cfRule type="expression" dxfId="459" priority="473">
      <formula>OR($E35="Yes",#REF!&lt;&gt;"% Bounds")</formula>
    </cfRule>
  </conditionalFormatting>
  <conditionalFormatting sqref="G57:G63 G84:G90">
    <cfRule type="expression" dxfId="458" priority="472">
      <formula>OR($E57="Yes",#REF!&lt;&gt;"% Bounds")</formula>
    </cfRule>
  </conditionalFormatting>
  <conditionalFormatting sqref="H57">
    <cfRule type="expression" dxfId="457" priority="471">
      <formula>OR($E57="Yes",#REF!&lt;&gt;"% Bounds")</formula>
    </cfRule>
  </conditionalFormatting>
  <conditionalFormatting sqref="I57">
    <cfRule type="expression" dxfId="456" priority="470">
      <formula>OR($E57="Yes",#REF!&lt;&gt;"$ Bounds")</formula>
    </cfRule>
  </conditionalFormatting>
  <conditionalFormatting sqref="J57:L57">
    <cfRule type="expression" dxfId="455" priority="469">
      <formula>OR($E57="Yes",#REF!&lt;&gt;"$ Bounds")</formula>
    </cfRule>
  </conditionalFormatting>
  <conditionalFormatting sqref="H58">
    <cfRule type="expression" dxfId="454" priority="468">
      <formula>OR($E58="Yes",#REF!&lt;&gt;"% Bounds")</formula>
    </cfRule>
  </conditionalFormatting>
  <conditionalFormatting sqref="I58">
    <cfRule type="expression" dxfId="453" priority="467">
      <formula>OR($E58="Yes",#REF!&lt;&gt;"$ Bounds")</formula>
    </cfRule>
  </conditionalFormatting>
  <conditionalFormatting sqref="J58:L58">
    <cfRule type="expression" dxfId="452" priority="466">
      <formula>OR($E58="Yes",#REF!&lt;&gt;"$ Bounds")</formula>
    </cfRule>
  </conditionalFormatting>
  <conditionalFormatting sqref="H59">
    <cfRule type="expression" dxfId="451" priority="465">
      <formula>OR($E59="Yes",#REF!&lt;&gt;"% Bounds")</formula>
    </cfRule>
  </conditionalFormatting>
  <conditionalFormatting sqref="I59:I62">
    <cfRule type="expression" dxfId="450" priority="464">
      <formula>OR($E59="Yes",#REF!&lt;&gt;"$ Bounds")</formula>
    </cfRule>
  </conditionalFormatting>
  <conditionalFormatting sqref="H60">
    <cfRule type="expression" dxfId="449" priority="463">
      <formula>OR($E60="Yes",#REF!&lt;&gt;"% Bounds")</formula>
    </cfRule>
  </conditionalFormatting>
  <conditionalFormatting sqref="H61">
    <cfRule type="expression" dxfId="448" priority="462">
      <formula>OR($E61="Yes",#REF!&lt;&gt;"% Bounds")</formula>
    </cfRule>
  </conditionalFormatting>
  <conditionalFormatting sqref="H62">
    <cfRule type="expression" dxfId="447" priority="461">
      <formula>OR($E62="Yes",#REF!&lt;&gt;"% Bounds")</formula>
    </cfRule>
  </conditionalFormatting>
  <conditionalFormatting sqref="H63">
    <cfRule type="expression" dxfId="446" priority="460">
      <formula>OR($E63="Yes",#REF!&lt;&gt;"% Bounds")</formula>
    </cfRule>
  </conditionalFormatting>
  <conditionalFormatting sqref="J63:L63">
    <cfRule type="expression" dxfId="445" priority="459">
      <formula>OR($E63="Yes",#REF!&lt;&gt;"$ Bounds")</formula>
    </cfRule>
  </conditionalFormatting>
  <conditionalFormatting sqref="I63">
    <cfRule type="expression" dxfId="444" priority="410">
      <formula>OR($E63="Yes",#REF!&lt;&gt;"$ Bounds")</formula>
    </cfRule>
  </conditionalFormatting>
  <conditionalFormatting sqref="J59:L62">
    <cfRule type="expression" dxfId="443" priority="408">
      <formula>OR($E59="Yes",#REF!&lt;&gt;"$ Bounds")</formula>
    </cfRule>
  </conditionalFormatting>
  <conditionalFormatting sqref="G128 G131 G134:G135 G118:G123 H118:H119 H121 H123 G125:H127 G138:H143 G147:H150">
    <cfRule type="expression" dxfId="442" priority="403">
      <formula>OR($E118="Yes",#REF!&lt;&gt;"% Bounds")</formula>
    </cfRule>
  </conditionalFormatting>
  <conditionalFormatting sqref="I136:L136 I148:L150 I138:L143 I118:L126">
    <cfRule type="expression" dxfId="441" priority="401">
      <formula>OR($E118="Yes",#REF!&lt;&gt;"$ Bounds")</formula>
    </cfRule>
  </conditionalFormatting>
  <conditionalFormatting sqref="H135">
    <cfRule type="expression" dxfId="440" priority="387">
      <formula>OR($E135="Yes",#REF!&lt;&gt;"% Bounds")</formula>
    </cfRule>
  </conditionalFormatting>
  <conditionalFormatting sqref="H120">
    <cfRule type="expression" dxfId="439" priority="386">
      <formula>OR($E120="Yes",#REF!&lt;&gt;"% Bounds")</formula>
    </cfRule>
  </conditionalFormatting>
  <conditionalFormatting sqref="H122">
    <cfRule type="expression" dxfId="438" priority="385">
      <formula>OR($E122="Yes",#REF!&lt;&gt;"% Bounds")</formula>
    </cfRule>
  </conditionalFormatting>
  <conditionalFormatting sqref="I127">
    <cfRule type="expression" dxfId="437" priority="384">
      <formula>OR($E127="Yes",#REF!&lt;&gt;"$ Bounds")</formula>
    </cfRule>
  </conditionalFormatting>
  <conditionalFormatting sqref="J127:L127">
    <cfRule type="expression" dxfId="436" priority="383">
      <formula>OR($E127="Yes",#REF!&lt;&gt;"$ Bounds")</formula>
    </cfRule>
  </conditionalFormatting>
  <conditionalFormatting sqref="H128">
    <cfRule type="expression" dxfId="435" priority="382">
      <formula>OR($E128="Yes",#REF!&lt;&gt;"% Bounds")</formula>
    </cfRule>
  </conditionalFormatting>
  <conditionalFormatting sqref="I128">
    <cfRule type="expression" dxfId="434" priority="381">
      <formula>OR($E128="Yes",#REF!&lt;&gt;"$ Bounds")</formula>
    </cfRule>
  </conditionalFormatting>
  <conditionalFormatting sqref="J128:L128">
    <cfRule type="expression" dxfId="433" priority="380">
      <formula>OR($E128="Yes",#REF!&lt;&gt;"$ Bounds")</formula>
    </cfRule>
  </conditionalFormatting>
  <conditionalFormatting sqref="I129">
    <cfRule type="expression" dxfId="432" priority="379">
      <formula>OR($E129="Yes",#REF!&lt;&gt;"$ Bounds")</formula>
    </cfRule>
  </conditionalFormatting>
  <conditionalFormatting sqref="J129:L129">
    <cfRule type="expression" dxfId="431" priority="378">
      <formula>OR($E129="Yes",#REF!&lt;&gt;"$ Bounds")</formula>
    </cfRule>
  </conditionalFormatting>
  <conditionalFormatting sqref="I130">
    <cfRule type="expression" dxfId="430" priority="377">
      <formula>OR($E130="Yes",#REF!&lt;&gt;"$ Bounds")</formula>
    </cfRule>
  </conditionalFormatting>
  <conditionalFormatting sqref="J130:L130">
    <cfRule type="expression" dxfId="429" priority="376">
      <formula>OR($E130="Yes",#REF!&lt;&gt;"$ Bounds")</formula>
    </cfRule>
  </conditionalFormatting>
  <conditionalFormatting sqref="H131">
    <cfRule type="expression" dxfId="428" priority="375">
      <formula>OR($E131="Yes",#REF!&lt;&gt;"% Bounds")</formula>
    </cfRule>
  </conditionalFormatting>
  <conditionalFormatting sqref="I131">
    <cfRule type="expression" dxfId="427" priority="374">
      <formula>OR($E131="Yes",#REF!&lt;&gt;"$ Bounds")</formula>
    </cfRule>
  </conditionalFormatting>
  <conditionalFormatting sqref="J131:L131">
    <cfRule type="expression" dxfId="426" priority="373">
      <formula>OR($E131="Yes",#REF!&lt;&gt;"$ Bounds")</formula>
    </cfRule>
  </conditionalFormatting>
  <conditionalFormatting sqref="I132">
    <cfRule type="expression" dxfId="425" priority="372">
      <formula>OR($E132="Yes",#REF!&lt;&gt;"$ Bounds")</formula>
    </cfRule>
  </conditionalFormatting>
  <conditionalFormatting sqref="J132:L132">
    <cfRule type="expression" dxfId="424" priority="371">
      <formula>OR($E132="Yes",#REF!&lt;&gt;"$ Bounds")</formula>
    </cfRule>
  </conditionalFormatting>
  <conditionalFormatting sqref="I133">
    <cfRule type="expression" dxfId="423" priority="370">
      <formula>OR($E133="Yes",#REF!&lt;&gt;"$ Bounds")</formula>
    </cfRule>
  </conditionalFormatting>
  <conditionalFormatting sqref="J133:L133">
    <cfRule type="expression" dxfId="422" priority="369">
      <formula>OR($E133="Yes",#REF!&lt;&gt;"$ Bounds")</formula>
    </cfRule>
  </conditionalFormatting>
  <conditionalFormatting sqref="H134">
    <cfRule type="expression" dxfId="421" priority="368">
      <formula>OR($E134="Yes",#REF!&lt;&gt;"% Bounds")</formula>
    </cfRule>
  </conditionalFormatting>
  <conditionalFormatting sqref="I134">
    <cfRule type="expression" dxfId="420" priority="367">
      <formula>OR($E134="Yes",#REF!&lt;&gt;"$ Bounds")</formula>
    </cfRule>
  </conditionalFormatting>
  <conditionalFormatting sqref="J134:L134">
    <cfRule type="expression" dxfId="419" priority="366">
      <formula>OR($E134="Yes",#REF!&lt;&gt;"$ Bounds")</formula>
    </cfRule>
  </conditionalFormatting>
  <conditionalFormatting sqref="I135">
    <cfRule type="expression" dxfId="418" priority="365">
      <formula>OR($E135="Yes",#REF!&lt;&gt;"$ Bounds")</formula>
    </cfRule>
  </conditionalFormatting>
  <conditionalFormatting sqref="J135:L135">
    <cfRule type="expression" dxfId="417" priority="364">
      <formula>OR($E135="Yes",#REF!&lt;&gt;"$ Bounds")</formula>
    </cfRule>
  </conditionalFormatting>
  <conditionalFormatting sqref="I144">
    <cfRule type="expression" dxfId="416" priority="363">
      <formula>OR($E144="Yes",#REF!&lt;&gt;"$ Bounds")</formula>
    </cfRule>
  </conditionalFormatting>
  <conditionalFormatting sqref="J144:L146 J147:J149">
    <cfRule type="expression" dxfId="415" priority="362">
      <formula>OR($E144="Yes",#REF!&lt;&gt;"$ Bounds")</formula>
    </cfRule>
  </conditionalFormatting>
  <conditionalFormatting sqref="I145">
    <cfRule type="expression" dxfId="414" priority="361">
      <formula>OR($E145="Yes",#REF!&lt;&gt;"$ Bounds")</formula>
    </cfRule>
  </conditionalFormatting>
  <conditionalFormatting sqref="I147">
    <cfRule type="expression" dxfId="413" priority="360">
      <formula>OR($E147="Yes",#REF!&lt;&gt;"$ Bounds")</formula>
    </cfRule>
  </conditionalFormatting>
  <conditionalFormatting sqref="J147:L147">
    <cfRule type="expression" dxfId="412" priority="359">
      <formula>OR($E147="Yes",#REF!&lt;&gt;"$ Bounds")</formula>
    </cfRule>
  </conditionalFormatting>
  <conditionalFormatting sqref="G124">
    <cfRule type="expression" dxfId="411" priority="358">
      <formula>OR($E124="Yes",#REF!&lt;&gt;"% Bounds")</formula>
    </cfRule>
  </conditionalFormatting>
  <conditionalFormatting sqref="H124">
    <cfRule type="expression" dxfId="410" priority="357">
      <formula>OR($E124="Yes",#REF!&lt;&gt;"% Bounds")</formula>
    </cfRule>
  </conditionalFormatting>
  <conditionalFormatting sqref="G129">
    <cfRule type="expression" dxfId="409" priority="356">
      <formula>OR($E129="Yes",#REF!&lt;&gt;"% Bounds")</formula>
    </cfRule>
  </conditionalFormatting>
  <conditionalFormatting sqref="H129">
    <cfRule type="expression" dxfId="408" priority="355">
      <formula>OR($E129="Yes",#REF!&lt;&gt;"% Bounds")</formula>
    </cfRule>
  </conditionalFormatting>
  <conditionalFormatting sqref="G130">
    <cfRule type="expression" dxfId="407" priority="354">
      <formula>OR($E130="Yes",#REF!&lt;&gt;"% Bounds")</formula>
    </cfRule>
  </conditionalFormatting>
  <conditionalFormatting sqref="H130">
    <cfRule type="expression" dxfId="406" priority="353">
      <formula>OR($E130="Yes",#REF!&lt;&gt;"% Bounds")</formula>
    </cfRule>
  </conditionalFormatting>
  <conditionalFormatting sqref="G144:G145">
    <cfRule type="expression" dxfId="405" priority="352">
      <formula>OR($E144="Yes",#REF!&lt;&gt;"% Bounds")</formula>
    </cfRule>
  </conditionalFormatting>
  <conditionalFormatting sqref="H144:H145">
    <cfRule type="expression" dxfId="404" priority="351">
      <formula>OR($E144="Yes",#REF!&lt;&gt;"% Bounds")</formula>
    </cfRule>
  </conditionalFormatting>
  <conditionalFormatting sqref="G136">
    <cfRule type="expression" dxfId="403" priority="350">
      <formula>OR($E136="Yes",#REF!&lt;&gt;"% Bounds")</formula>
    </cfRule>
  </conditionalFormatting>
  <conditionalFormatting sqref="H136">
    <cfRule type="expression" dxfId="402" priority="349">
      <formula>OR($E136="Yes",#REF!&lt;&gt;"% Bounds")</formula>
    </cfRule>
  </conditionalFormatting>
  <conditionalFormatting sqref="G132">
    <cfRule type="expression" dxfId="401" priority="348">
      <formula>OR($E132="Yes",#REF!&lt;&gt;"% Bounds")</formula>
    </cfRule>
  </conditionalFormatting>
  <conditionalFormatting sqref="H132">
    <cfRule type="expression" dxfId="400" priority="347">
      <formula>OR($E132="Yes",#REF!&lt;&gt;"% Bounds")</formula>
    </cfRule>
  </conditionalFormatting>
  <conditionalFormatting sqref="G133">
    <cfRule type="expression" dxfId="399" priority="346">
      <formula>OR($E133="Yes",#REF!&lt;&gt;"% Bounds")</formula>
    </cfRule>
  </conditionalFormatting>
  <conditionalFormatting sqref="H133">
    <cfRule type="expression" dxfId="398" priority="345">
      <formula>OR($E133="Yes",#REF!&lt;&gt;"% Bounds")</formula>
    </cfRule>
  </conditionalFormatting>
  <conditionalFormatting sqref="G146">
    <cfRule type="expression" dxfId="397" priority="344">
      <formula>OR($E146="Yes",#REF!&lt;&gt;"% Bounds")</formula>
    </cfRule>
  </conditionalFormatting>
  <conditionalFormatting sqref="H146">
    <cfRule type="expression" dxfId="396" priority="343">
      <formula>OR($E146="Yes",#REF!&lt;&gt;"% Bounds")</formula>
    </cfRule>
  </conditionalFormatting>
  <conditionalFormatting sqref="I146">
    <cfRule type="expression" dxfId="395" priority="342">
      <formula>OR($E146="Yes",#REF!&lt;&gt;"$ Bounds")</formula>
    </cfRule>
  </conditionalFormatting>
  <conditionalFormatting sqref="I137:L137">
    <cfRule type="expression" dxfId="394" priority="338">
      <formula>OR($E137="Yes",#REF!&lt;&gt;"$ Bounds")</formula>
    </cfRule>
  </conditionalFormatting>
  <conditionalFormatting sqref="G137">
    <cfRule type="expression" dxfId="393" priority="337">
      <formula>OR($E137="Yes",#REF!&lt;&gt;"% Bounds")</formula>
    </cfRule>
  </conditionalFormatting>
  <conditionalFormatting sqref="H137">
    <cfRule type="expression" dxfId="392" priority="336">
      <formula>OR($E137="Yes",#REF!&lt;&gt;"% Bounds")</formula>
    </cfRule>
  </conditionalFormatting>
  <conditionalFormatting sqref="G175 G178 G181:G182 G151:G170 H159:H166 H168 H170 G172:H174 G185:H190 G194:H197">
    <cfRule type="expression" dxfId="391" priority="334">
      <formula>OR($E151="Yes",#REF!&lt;&gt;"% Bounds")</formula>
    </cfRule>
  </conditionalFormatting>
  <conditionalFormatting sqref="H151">
    <cfRule type="expression" dxfId="390" priority="333">
      <formula>OR($E151="Yes",#REF!&lt;&gt;"% Bounds")</formula>
    </cfRule>
  </conditionalFormatting>
  <conditionalFormatting sqref="I151 I159:L173 I183:L183 I195:L197 I185:L190">
    <cfRule type="expression" dxfId="389" priority="332">
      <formula>OR($E151="Yes",#REF!&lt;&gt;"$ Bounds")</formula>
    </cfRule>
  </conditionalFormatting>
  <conditionalFormatting sqref="J151:L151">
    <cfRule type="expression" dxfId="388" priority="331">
      <formula>OR($E151="Yes",#REF!&lt;&gt;"$ Bounds")</formula>
    </cfRule>
  </conditionalFormatting>
  <conditionalFormatting sqref="H152">
    <cfRule type="expression" dxfId="387" priority="330">
      <formula>OR($E152="Yes",#REF!&lt;&gt;"% Bounds")</formula>
    </cfRule>
  </conditionalFormatting>
  <conditionalFormatting sqref="I152">
    <cfRule type="expression" dxfId="386" priority="329">
      <formula>OR($E152="Yes",#REF!&lt;&gt;"$ Bounds")</formula>
    </cfRule>
  </conditionalFormatting>
  <conditionalFormatting sqref="J152:L152">
    <cfRule type="expression" dxfId="385" priority="328">
      <formula>OR($E152="Yes",#REF!&lt;&gt;"$ Bounds")</formula>
    </cfRule>
  </conditionalFormatting>
  <conditionalFormatting sqref="H153">
    <cfRule type="expression" dxfId="384" priority="327">
      <formula>OR($E153="Yes",#REF!&lt;&gt;"% Bounds")</formula>
    </cfRule>
  </conditionalFormatting>
  <conditionalFormatting sqref="I153:I156">
    <cfRule type="expression" dxfId="383" priority="326">
      <formula>OR($E153="Yes",#REF!&lt;&gt;"$ Bounds")</formula>
    </cfRule>
  </conditionalFormatting>
  <conditionalFormatting sqref="H154">
    <cfRule type="expression" dxfId="382" priority="325">
      <formula>OR($E154="Yes",#REF!&lt;&gt;"% Bounds")</formula>
    </cfRule>
  </conditionalFormatting>
  <conditionalFormatting sqref="H155">
    <cfRule type="expression" dxfId="381" priority="324">
      <formula>OR($E155="Yes",#REF!&lt;&gt;"% Bounds")</formula>
    </cfRule>
  </conditionalFormatting>
  <conditionalFormatting sqref="H156">
    <cfRule type="expression" dxfId="380" priority="323">
      <formula>OR($E156="Yes",#REF!&lt;&gt;"% Bounds")</formula>
    </cfRule>
  </conditionalFormatting>
  <conditionalFormatting sqref="H157">
    <cfRule type="expression" dxfId="379" priority="322">
      <formula>OR($E157="Yes",#REF!&lt;&gt;"% Bounds")</formula>
    </cfRule>
  </conditionalFormatting>
  <conditionalFormatting sqref="J157:L157">
    <cfRule type="expression" dxfId="378" priority="321">
      <formula>OR($E157="Yes",#REF!&lt;&gt;"$ Bounds")</formula>
    </cfRule>
  </conditionalFormatting>
  <conditionalFormatting sqref="H158">
    <cfRule type="expression" dxfId="377" priority="320">
      <formula>OR($E158="Yes",#REF!&lt;&gt;"% Bounds")</formula>
    </cfRule>
  </conditionalFormatting>
  <conditionalFormatting sqref="J158:L158">
    <cfRule type="expression" dxfId="376" priority="319">
      <formula>OR($E158="Yes",#REF!&lt;&gt;"$ Bounds")</formula>
    </cfRule>
  </conditionalFormatting>
  <conditionalFormatting sqref="H182">
    <cfRule type="expression" dxfId="375" priority="318">
      <formula>OR($E182="Yes",#REF!&lt;&gt;"% Bounds")</formula>
    </cfRule>
  </conditionalFormatting>
  <conditionalFormatting sqref="H167">
    <cfRule type="expression" dxfId="374" priority="317">
      <formula>OR($E167="Yes",#REF!&lt;&gt;"% Bounds")</formula>
    </cfRule>
  </conditionalFormatting>
  <conditionalFormatting sqref="H169">
    <cfRule type="expression" dxfId="373" priority="316">
      <formula>OR($E169="Yes",#REF!&lt;&gt;"% Bounds")</formula>
    </cfRule>
  </conditionalFormatting>
  <conditionalFormatting sqref="I174">
    <cfRule type="expression" dxfId="372" priority="315">
      <formula>OR($E174="Yes",#REF!&lt;&gt;"$ Bounds")</formula>
    </cfRule>
  </conditionalFormatting>
  <conditionalFormatting sqref="J174:L174">
    <cfRule type="expression" dxfId="371" priority="314">
      <formula>OR($E174="Yes",#REF!&lt;&gt;"$ Bounds")</formula>
    </cfRule>
  </conditionalFormatting>
  <conditionalFormatting sqref="H175">
    <cfRule type="expression" dxfId="370" priority="313">
      <formula>OR($E175="Yes",#REF!&lt;&gt;"% Bounds")</formula>
    </cfRule>
  </conditionalFormatting>
  <conditionalFormatting sqref="I175">
    <cfRule type="expression" dxfId="369" priority="312">
      <formula>OR($E175="Yes",#REF!&lt;&gt;"$ Bounds")</formula>
    </cfRule>
  </conditionalFormatting>
  <conditionalFormatting sqref="J175:L175">
    <cfRule type="expression" dxfId="368" priority="311">
      <formula>OR($E175="Yes",#REF!&lt;&gt;"$ Bounds")</formula>
    </cfRule>
  </conditionalFormatting>
  <conditionalFormatting sqref="I176">
    <cfRule type="expression" dxfId="367" priority="310">
      <formula>OR($E176="Yes",#REF!&lt;&gt;"$ Bounds")</formula>
    </cfRule>
  </conditionalFormatting>
  <conditionalFormatting sqref="J176:L176">
    <cfRule type="expression" dxfId="366" priority="309">
      <formula>OR($E176="Yes",#REF!&lt;&gt;"$ Bounds")</formula>
    </cfRule>
  </conditionalFormatting>
  <conditionalFormatting sqref="I177">
    <cfRule type="expression" dxfId="365" priority="308">
      <formula>OR($E177="Yes",#REF!&lt;&gt;"$ Bounds")</formula>
    </cfRule>
  </conditionalFormatting>
  <conditionalFormatting sqref="J177:L177">
    <cfRule type="expression" dxfId="364" priority="307">
      <formula>OR($E177="Yes",#REF!&lt;&gt;"$ Bounds")</formula>
    </cfRule>
  </conditionalFormatting>
  <conditionalFormatting sqref="H178">
    <cfRule type="expression" dxfId="363" priority="306">
      <formula>OR($E178="Yes",#REF!&lt;&gt;"% Bounds")</formula>
    </cfRule>
  </conditionalFormatting>
  <conditionalFormatting sqref="I178">
    <cfRule type="expression" dxfId="362" priority="305">
      <formula>OR($E178="Yes",#REF!&lt;&gt;"$ Bounds")</formula>
    </cfRule>
  </conditionalFormatting>
  <conditionalFormatting sqref="J178:L178">
    <cfRule type="expression" dxfId="361" priority="304">
      <formula>OR($E178="Yes",#REF!&lt;&gt;"$ Bounds")</formula>
    </cfRule>
  </conditionalFormatting>
  <conditionalFormatting sqref="I179">
    <cfRule type="expression" dxfId="360" priority="303">
      <formula>OR($E179="Yes",#REF!&lt;&gt;"$ Bounds")</formula>
    </cfRule>
  </conditionalFormatting>
  <conditionalFormatting sqref="J179:L179">
    <cfRule type="expression" dxfId="359" priority="302">
      <formula>OR($E179="Yes",#REF!&lt;&gt;"$ Bounds")</formula>
    </cfRule>
  </conditionalFormatting>
  <conditionalFormatting sqref="I180">
    <cfRule type="expression" dxfId="358" priority="301">
      <formula>OR($E180="Yes",#REF!&lt;&gt;"$ Bounds")</formula>
    </cfRule>
  </conditionalFormatting>
  <conditionalFormatting sqref="J180:L180">
    <cfRule type="expression" dxfId="357" priority="300">
      <formula>OR($E180="Yes",#REF!&lt;&gt;"$ Bounds")</formula>
    </cfRule>
  </conditionalFormatting>
  <conditionalFormatting sqref="H181">
    <cfRule type="expression" dxfId="356" priority="299">
      <formula>OR($E181="Yes",#REF!&lt;&gt;"% Bounds")</formula>
    </cfRule>
  </conditionalFormatting>
  <conditionalFormatting sqref="I181">
    <cfRule type="expression" dxfId="355" priority="298">
      <formula>OR($E181="Yes",#REF!&lt;&gt;"$ Bounds")</formula>
    </cfRule>
  </conditionalFormatting>
  <conditionalFormatting sqref="J181:L181">
    <cfRule type="expression" dxfId="354" priority="297">
      <formula>OR($E181="Yes",#REF!&lt;&gt;"$ Bounds")</formula>
    </cfRule>
  </conditionalFormatting>
  <conditionalFormatting sqref="I182">
    <cfRule type="expression" dxfId="353" priority="296">
      <formula>OR($E182="Yes",#REF!&lt;&gt;"$ Bounds")</formula>
    </cfRule>
  </conditionalFormatting>
  <conditionalFormatting sqref="J182:L182">
    <cfRule type="expression" dxfId="352" priority="295">
      <formula>OR($E182="Yes",#REF!&lt;&gt;"$ Bounds")</formula>
    </cfRule>
  </conditionalFormatting>
  <conditionalFormatting sqref="I191">
    <cfRule type="expression" dxfId="351" priority="294">
      <formula>OR($E191="Yes",#REF!&lt;&gt;"$ Bounds")</formula>
    </cfRule>
  </conditionalFormatting>
  <conditionalFormatting sqref="J191:L193">
    <cfRule type="expression" dxfId="350" priority="293">
      <formula>OR($E191="Yes",#REF!&lt;&gt;"$ Bounds")</formula>
    </cfRule>
  </conditionalFormatting>
  <conditionalFormatting sqref="I192">
    <cfRule type="expression" dxfId="349" priority="292">
      <formula>OR($E192="Yes",#REF!&lt;&gt;"$ Bounds")</formula>
    </cfRule>
  </conditionalFormatting>
  <conditionalFormatting sqref="I194">
    <cfRule type="expression" dxfId="348" priority="291">
      <formula>OR($E194="Yes",#REF!&lt;&gt;"$ Bounds")</formula>
    </cfRule>
  </conditionalFormatting>
  <conditionalFormatting sqref="J194:L194">
    <cfRule type="expression" dxfId="347" priority="290">
      <formula>OR($E194="Yes",#REF!&lt;&gt;"$ Bounds")</formula>
    </cfRule>
  </conditionalFormatting>
  <conditionalFormatting sqref="G171">
    <cfRule type="expression" dxfId="346" priority="289">
      <formula>OR($E171="Yes",#REF!&lt;&gt;"% Bounds")</formula>
    </cfRule>
  </conditionalFormatting>
  <conditionalFormatting sqref="H171">
    <cfRule type="expression" dxfId="345" priority="288">
      <formula>OR($E171="Yes",#REF!&lt;&gt;"% Bounds")</formula>
    </cfRule>
  </conditionalFormatting>
  <conditionalFormatting sqref="G176">
    <cfRule type="expression" dxfId="344" priority="287">
      <formula>OR($E176="Yes",#REF!&lt;&gt;"% Bounds")</formula>
    </cfRule>
  </conditionalFormatting>
  <conditionalFormatting sqref="H176">
    <cfRule type="expression" dxfId="343" priority="286">
      <formula>OR($E176="Yes",#REF!&lt;&gt;"% Bounds")</formula>
    </cfRule>
  </conditionalFormatting>
  <conditionalFormatting sqref="G177">
    <cfRule type="expression" dxfId="342" priority="285">
      <formula>OR($E177="Yes",#REF!&lt;&gt;"% Bounds")</formula>
    </cfRule>
  </conditionalFormatting>
  <conditionalFormatting sqref="H177">
    <cfRule type="expression" dxfId="341" priority="284">
      <formula>OR($E177="Yes",#REF!&lt;&gt;"% Bounds")</formula>
    </cfRule>
  </conditionalFormatting>
  <conditionalFormatting sqref="G191:G192">
    <cfRule type="expression" dxfId="340" priority="283">
      <formula>OR($E191="Yes",#REF!&lt;&gt;"% Bounds")</formula>
    </cfRule>
  </conditionalFormatting>
  <conditionalFormatting sqref="H191:H192">
    <cfRule type="expression" dxfId="339" priority="282">
      <formula>OR($E191="Yes",#REF!&lt;&gt;"% Bounds")</formula>
    </cfRule>
  </conditionalFormatting>
  <conditionalFormatting sqref="G183">
    <cfRule type="expression" dxfId="338" priority="281">
      <formula>OR($E183="Yes",#REF!&lt;&gt;"% Bounds")</formula>
    </cfRule>
  </conditionalFormatting>
  <conditionalFormatting sqref="H183">
    <cfRule type="expression" dxfId="337" priority="280">
      <formula>OR($E183="Yes",#REF!&lt;&gt;"% Bounds")</formula>
    </cfRule>
  </conditionalFormatting>
  <conditionalFormatting sqref="G179">
    <cfRule type="expression" dxfId="336" priority="279">
      <formula>OR($E179="Yes",#REF!&lt;&gt;"% Bounds")</formula>
    </cfRule>
  </conditionalFormatting>
  <conditionalFormatting sqref="H179">
    <cfRule type="expression" dxfId="335" priority="278">
      <formula>OR($E179="Yes",#REF!&lt;&gt;"% Bounds")</formula>
    </cfRule>
  </conditionalFormatting>
  <conditionalFormatting sqref="G180">
    <cfRule type="expression" dxfId="334" priority="277">
      <formula>OR($E180="Yes",#REF!&lt;&gt;"% Bounds")</formula>
    </cfRule>
  </conditionalFormatting>
  <conditionalFormatting sqref="H180">
    <cfRule type="expression" dxfId="333" priority="276">
      <formula>OR($E180="Yes",#REF!&lt;&gt;"% Bounds")</formula>
    </cfRule>
  </conditionalFormatting>
  <conditionalFormatting sqref="G193">
    <cfRule type="expression" dxfId="332" priority="275">
      <formula>OR($E193="Yes",#REF!&lt;&gt;"% Bounds")</formula>
    </cfRule>
  </conditionalFormatting>
  <conditionalFormatting sqref="H193">
    <cfRule type="expression" dxfId="331" priority="274">
      <formula>OR($E193="Yes",#REF!&lt;&gt;"% Bounds")</formula>
    </cfRule>
  </conditionalFormatting>
  <conditionalFormatting sqref="I193">
    <cfRule type="expression" dxfId="330" priority="273">
      <formula>OR($E193="Yes",#REF!&lt;&gt;"$ Bounds")</formula>
    </cfRule>
  </conditionalFormatting>
  <conditionalFormatting sqref="I157">
    <cfRule type="expression" dxfId="329" priority="272">
      <formula>OR($E157="Yes",#REF!&lt;&gt;"$ Bounds")</formula>
    </cfRule>
  </conditionalFormatting>
  <conditionalFormatting sqref="I158">
    <cfRule type="expression" dxfId="328" priority="271">
      <formula>OR($E158="Yes",#REF!&lt;&gt;"$ Bounds")</formula>
    </cfRule>
  </conditionalFormatting>
  <conditionalFormatting sqref="J153:L156">
    <cfRule type="expression" dxfId="327" priority="270">
      <formula>OR($E153="Yes",#REF!&lt;&gt;"$ Bounds")</formula>
    </cfRule>
  </conditionalFormatting>
  <conditionalFormatting sqref="I184:L184">
    <cfRule type="expression" dxfId="326" priority="269">
      <formula>OR($E184="Yes",#REF!&lt;&gt;"$ Bounds")</formula>
    </cfRule>
  </conditionalFormatting>
  <conditionalFormatting sqref="G184">
    <cfRule type="expression" dxfId="325" priority="268">
      <formula>OR($E184="Yes",#REF!&lt;&gt;"% Bounds")</formula>
    </cfRule>
  </conditionalFormatting>
  <conditionalFormatting sqref="H184">
    <cfRule type="expression" dxfId="324" priority="267">
      <formula>OR($E184="Yes",#REF!&lt;&gt;"% Bounds")</formula>
    </cfRule>
  </conditionalFormatting>
  <conditionalFormatting sqref="G3:L197 G2:J2">
    <cfRule type="expression" dxfId="323" priority="266">
      <formula>$E2="Yes"</formula>
    </cfRule>
  </conditionalFormatting>
  <conditionalFormatting sqref="K2:L197">
    <cfRule type="expression" dxfId="322" priority="106">
      <formula>OR($E2="Yes",#REF!&lt;&gt;"$ Bounds")</formula>
    </cfRule>
  </conditionalFormatting>
  <conditionalFormatting sqref="K2:L197">
    <cfRule type="expression" dxfId="321" priority="105">
      <formula>$E2="Yes"</formula>
    </cfRule>
  </conditionalFormatting>
  <conditionalFormatting sqref="M2:M197">
    <cfRule type="expression" dxfId="320" priority="103">
      <formula>$E2="Yes"</formula>
    </cfRule>
  </conditionalFormatting>
  <conditionalFormatting sqref="M2:M197">
    <cfRule type="expression" dxfId="319" priority="104">
      <formula>OR($E2="Yes",#REF!&lt;&gt;"$ Bounds")</formula>
    </cfRule>
  </conditionalFormatting>
  <conditionalFormatting sqref="N2:N197">
    <cfRule type="expression" dxfId="318" priority="101">
      <formula>$E2="Yes"</formula>
    </cfRule>
  </conditionalFormatting>
  <conditionalFormatting sqref="N2:N197">
    <cfRule type="expression" dxfId="317" priority="102">
      <formula>OR($E2="Yes",#REF!&lt;&gt;"$ Bounds")</formula>
    </cfRule>
  </conditionalFormatting>
  <conditionalFormatting sqref="I69:L69 I81:L83 I71:L76">
    <cfRule type="expression" dxfId="316" priority="100">
      <formula>OR($E69="Yes",#REF!&lt;&gt;"$ Bounds")</formula>
    </cfRule>
  </conditionalFormatting>
  <conditionalFormatting sqref="H68">
    <cfRule type="expression" dxfId="315" priority="99">
      <formula>OR($E68="Yes",#REF!&lt;&gt;"% Bounds")</formula>
    </cfRule>
  </conditionalFormatting>
  <conditionalFormatting sqref="J64:L90">
    <cfRule type="expression" dxfId="314" priority="98">
      <formula>OR($E64="Yes",#REF!&lt;&gt;"$ Bounds")</formula>
    </cfRule>
  </conditionalFormatting>
  <conditionalFormatting sqref="H64">
    <cfRule type="expression" dxfId="313" priority="97">
      <formula>OR($E64="Yes",#REF!&lt;&gt;"% Bounds")</formula>
    </cfRule>
  </conditionalFormatting>
  <conditionalFormatting sqref="I64">
    <cfRule type="expression" dxfId="312" priority="96">
      <formula>OR($E64="Yes",#REF!&lt;&gt;"$ Bounds")</formula>
    </cfRule>
  </conditionalFormatting>
  <conditionalFormatting sqref="J64:L64">
    <cfRule type="expression" dxfId="311" priority="95">
      <formula>OR($E64="Yes",#REF!&lt;&gt;"$ Bounds")</formula>
    </cfRule>
  </conditionalFormatting>
  <conditionalFormatting sqref="I65">
    <cfRule type="expression" dxfId="310" priority="94">
      <formula>OR($E65="Yes",#REF!&lt;&gt;"$ Bounds")</formula>
    </cfRule>
  </conditionalFormatting>
  <conditionalFormatting sqref="J65:L65">
    <cfRule type="expression" dxfId="309" priority="93">
      <formula>OR($E65="Yes",#REF!&lt;&gt;"$ Bounds")</formula>
    </cfRule>
  </conditionalFormatting>
  <conditionalFormatting sqref="I66">
    <cfRule type="expression" dxfId="308" priority="92">
      <formula>OR($E66="Yes",#REF!&lt;&gt;"$ Bounds")</formula>
    </cfRule>
  </conditionalFormatting>
  <conditionalFormatting sqref="J66:L66">
    <cfRule type="expression" dxfId="307" priority="91">
      <formula>OR($E66="Yes",#REF!&lt;&gt;"$ Bounds")</formula>
    </cfRule>
  </conditionalFormatting>
  <conditionalFormatting sqref="H67">
    <cfRule type="expression" dxfId="306" priority="90">
      <formula>OR($E67="Yes",#REF!&lt;&gt;"% Bounds")</formula>
    </cfRule>
  </conditionalFormatting>
  <conditionalFormatting sqref="I67">
    <cfRule type="expression" dxfId="305" priority="89">
      <formula>OR($E67="Yes",#REF!&lt;&gt;"$ Bounds")</formula>
    </cfRule>
  </conditionalFormatting>
  <conditionalFormatting sqref="J67:L67">
    <cfRule type="expression" dxfId="304" priority="88">
      <formula>OR($E67="Yes",#REF!&lt;&gt;"$ Bounds")</formula>
    </cfRule>
  </conditionalFormatting>
  <conditionalFormatting sqref="I68">
    <cfRule type="expression" dxfId="303" priority="87">
      <formula>OR($E68="Yes",#REF!&lt;&gt;"$ Bounds")</formula>
    </cfRule>
  </conditionalFormatting>
  <conditionalFormatting sqref="J68:L68">
    <cfRule type="expression" dxfId="302" priority="86">
      <formula>OR($E68="Yes",#REF!&lt;&gt;"$ Bounds")</formula>
    </cfRule>
  </conditionalFormatting>
  <conditionalFormatting sqref="I77">
    <cfRule type="expression" dxfId="301" priority="85">
      <formula>OR($E77="Yes",#REF!&lt;&gt;"$ Bounds")</formula>
    </cfRule>
  </conditionalFormatting>
  <conditionalFormatting sqref="J77:L79">
    <cfRule type="expression" dxfId="300" priority="84">
      <formula>OR($E77="Yes",#REF!&lt;&gt;"$ Bounds")</formula>
    </cfRule>
  </conditionalFormatting>
  <conditionalFormatting sqref="I78">
    <cfRule type="expression" dxfId="299" priority="83">
      <formula>OR($E78="Yes",#REF!&lt;&gt;"$ Bounds")</formula>
    </cfRule>
  </conditionalFormatting>
  <conditionalFormatting sqref="I80">
    <cfRule type="expression" dxfId="298" priority="82">
      <formula>OR($E80="Yes",#REF!&lt;&gt;"$ Bounds")</formula>
    </cfRule>
  </conditionalFormatting>
  <conditionalFormatting sqref="J80:L80">
    <cfRule type="expression" dxfId="297" priority="81">
      <formula>OR($E80="Yes",#REF!&lt;&gt;"$ Bounds")</formula>
    </cfRule>
  </conditionalFormatting>
  <conditionalFormatting sqref="G77:G78">
    <cfRule type="expression" dxfId="296" priority="80">
      <formula>OR($E77="Yes",#REF!&lt;&gt;"% Bounds")</formula>
    </cfRule>
  </conditionalFormatting>
  <conditionalFormatting sqref="H77:H78">
    <cfRule type="expression" dxfId="295" priority="79">
      <formula>OR($E77="Yes",#REF!&lt;&gt;"% Bounds")</formula>
    </cfRule>
  </conditionalFormatting>
  <conditionalFormatting sqref="G69">
    <cfRule type="expression" dxfId="294" priority="78">
      <formula>OR($E69="Yes",#REF!&lt;&gt;"% Bounds")</formula>
    </cfRule>
  </conditionalFormatting>
  <conditionalFormatting sqref="H69">
    <cfRule type="expression" dxfId="293" priority="77">
      <formula>OR($E69="Yes",#REF!&lt;&gt;"% Bounds")</formula>
    </cfRule>
  </conditionalFormatting>
  <conditionalFormatting sqref="G65">
    <cfRule type="expression" dxfId="292" priority="76">
      <formula>OR($E65="Yes",#REF!&lt;&gt;"% Bounds")</formula>
    </cfRule>
  </conditionalFormatting>
  <conditionalFormatting sqref="H65">
    <cfRule type="expression" dxfId="291" priority="75">
      <formula>OR($E65="Yes",#REF!&lt;&gt;"% Bounds")</formula>
    </cfRule>
  </conditionalFormatting>
  <conditionalFormatting sqref="G66">
    <cfRule type="expression" dxfId="290" priority="74">
      <formula>OR($E66="Yes",#REF!&lt;&gt;"% Bounds")</formula>
    </cfRule>
  </conditionalFormatting>
  <conditionalFormatting sqref="H66">
    <cfRule type="expression" dxfId="289" priority="73">
      <formula>OR($E66="Yes",#REF!&lt;&gt;"% Bounds")</formula>
    </cfRule>
  </conditionalFormatting>
  <conditionalFormatting sqref="G79">
    <cfRule type="expression" dxfId="288" priority="72">
      <formula>OR($E79="Yes",#REF!&lt;&gt;"% Bounds")</formula>
    </cfRule>
  </conditionalFormatting>
  <conditionalFormatting sqref="H79">
    <cfRule type="expression" dxfId="287" priority="71">
      <formula>OR($E79="Yes",#REF!&lt;&gt;"% Bounds")</formula>
    </cfRule>
  </conditionalFormatting>
  <conditionalFormatting sqref="I79">
    <cfRule type="expression" dxfId="286" priority="70">
      <formula>OR($E79="Yes",#REF!&lt;&gt;"$ Bounds")</formula>
    </cfRule>
  </conditionalFormatting>
  <conditionalFormatting sqref="I70:L70">
    <cfRule type="expression" dxfId="285" priority="69">
      <formula>OR($E70="Yes",#REF!&lt;&gt;"$ Bounds")</formula>
    </cfRule>
  </conditionalFormatting>
  <conditionalFormatting sqref="G70">
    <cfRule type="expression" dxfId="284" priority="68">
      <formula>OR($E70="Yes",#REF!&lt;&gt;"% Bounds")</formula>
    </cfRule>
  </conditionalFormatting>
  <conditionalFormatting sqref="H70">
    <cfRule type="expression" dxfId="283" priority="67">
      <formula>OR($E70="Yes",#REF!&lt;&gt;"% Bounds")</formula>
    </cfRule>
  </conditionalFormatting>
  <conditionalFormatting sqref="H84">
    <cfRule type="expression" dxfId="282" priority="66">
      <formula>OR($E84="Yes",#REF!&lt;&gt;"% Bounds")</formula>
    </cfRule>
  </conditionalFormatting>
  <conditionalFormatting sqref="I84">
    <cfRule type="expression" dxfId="281" priority="65">
      <formula>OR($E84="Yes",#REF!&lt;&gt;"$ Bounds")</formula>
    </cfRule>
  </conditionalFormatting>
  <conditionalFormatting sqref="J84:L84">
    <cfRule type="expression" dxfId="280" priority="64">
      <formula>OR($E84="Yes",#REF!&lt;&gt;"$ Bounds")</formula>
    </cfRule>
  </conditionalFormatting>
  <conditionalFormatting sqref="H85">
    <cfRule type="expression" dxfId="279" priority="63">
      <formula>OR($E85="Yes",#REF!&lt;&gt;"% Bounds")</formula>
    </cfRule>
  </conditionalFormatting>
  <conditionalFormatting sqref="I85">
    <cfRule type="expression" dxfId="278" priority="62">
      <formula>OR($E85="Yes",#REF!&lt;&gt;"$ Bounds")</formula>
    </cfRule>
  </conditionalFormatting>
  <conditionalFormatting sqref="J85:L85">
    <cfRule type="expression" dxfId="277" priority="61">
      <formula>OR($E85="Yes",#REF!&lt;&gt;"$ Bounds")</formula>
    </cfRule>
  </conditionalFormatting>
  <conditionalFormatting sqref="H86">
    <cfRule type="expression" dxfId="276" priority="60">
      <formula>OR($E86="Yes",#REF!&lt;&gt;"% Bounds")</formula>
    </cfRule>
  </conditionalFormatting>
  <conditionalFormatting sqref="I86:I89">
    <cfRule type="expression" dxfId="275" priority="59">
      <formula>OR($E86="Yes",#REF!&lt;&gt;"$ Bounds")</formula>
    </cfRule>
  </conditionalFormatting>
  <conditionalFormatting sqref="H87">
    <cfRule type="expression" dxfId="274" priority="58">
      <formula>OR($E87="Yes",#REF!&lt;&gt;"% Bounds")</formula>
    </cfRule>
  </conditionalFormatting>
  <conditionalFormatting sqref="H88">
    <cfRule type="expression" dxfId="273" priority="57">
      <formula>OR($E88="Yes",#REF!&lt;&gt;"% Bounds")</formula>
    </cfRule>
  </conditionalFormatting>
  <conditionalFormatting sqref="H89">
    <cfRule type="expression" dxfId="272" priority="56">
      <formula>OR($E89="Yes",#REF!&lt;&gt;"% Bounds")</formula>
    </cfRule>
  </conditionalFormatting>
  <conditionalFormatting sqref="H90">
    <cfRule type="expression" dxfId="271" priority="55">
      <formula>OR($E90="Yes",#REF!&lt;&gt;"% Bounds")</formula>
    </cfRule>
  </conditionalFormatting>
  <conditionalFormatting sqref="J90:L90">
    <cfRule type="expression" dxfId="270" priority="54">
      <formula>OR($E90="Yes",#REF!&lt;&gt;"$ Bounds")</formula>
    </cfRule>
  </conditionalFormatting>
  <conditionalFormatting sqref="I90">
    <cfRule type="expression" dxfId="269" priority="53">
      <formula>OR($E90="Yes",#REF!&lt;&gt;"$ Bounds")</formula>
    </cfRule>
  </conditionalFormatting>
  <conditionalFormatting sqref="J86:L89">
    <cfRule type="expression" dxfId="268" priority="52">
      <formula>OR($E86="Yes",#REF!&lt;&gt;"$ Bounds")</formula>
    </cfRule>
  </conditionalFormatting>
  <conditionalFormatting sqref="G111:G117">
    <cfRule type="expression" dxfId="267" priority="51">
      <formula>OR($E111="Yes",#REF!&lt;&gt;"% Bounds")</formula>
    </cfRule>
  </conditionalFormatting>
  <conditionalFormatting sqref="I96:L96 I108:L110 I98:L103">
    <cfRule type="expression" dxfId="266" priority="50">
      <formula>OR($E96="Yes",#REF!&lt;&gt;"$ Bounds")</formula>
    </cfRule>
  </conditionalFormatting>
  <conditionalFormatting sqref="H95">
    <cfRule type="expression" dxfId="265" priority="49">
      <formula>OR($E95="Yes",#REF!&lt;&gt;"% Bounds")</formula>
    </cfRule>
  </conditionalFormatting>
  <conditionalFormatting sqref="J91:L117">
    <cfRule type="expression" dxfId="264" priority="48">
      <formula>OR($E91="Yes",#REF!&lt;&gt;"$ Bounds")</formula>
    </cfRule>
  </conditionalFormatting>
  <conditionalFormatting sqref="H91">
    <cfRule type="expression" dxfId="263" priority="47">
      <formula>OR($E91="Yes",#REF!&lt;&gt;"% Bounds")</formula>
    </cfRule>
  </conditionalFormatting>
  <conditionalFormatting sqref="I91">
    <cfRule type="expression" dxfId="262" priority="46">
      <formula>OR($E91="Yes",#REF!&lt;&gt;"$ Bounds")</formula>
    </cfRule>
  </conditionalFormatting>
  <conditionalFormatting sqref="J91:L91">
    <cfRule type="expression" dxfId="261" priority="45">
      <formula>OR($E91="Yes",#REF!&lt;&gt;"$ Bounds")</formula>
    </cfRule>
  </conditionalFormatting>
  <conditionalFormatting sqref="I92">
    <cfRule type="expression" dxfId="260" priority="44">
      <formula>OR($E92="Yes",#REF!&lt;&gt;"$ Bounds")</formula>
    </cfRule>
  </conditionalFormatting>
  <conditionalFormatting sqref="J92:L92">
    <cfRule type="expression" dxfId="259" priority="43">
      <formula>OR($E92="Yes",#REF!&lt;&gt;"$ Bounds")</formula>
    </cfRule>
  </conditionalFormatting>
  <conditionalFormatting sqref="I93">
    <cfRule type="expression" dxfId="258" priority="42">
      <formula>OR($E93="Yes",#REF!&lt;&gt;"$ Bounds")</formula>
    </cfRule>
  </conditionalFormatting>
  <conditionalFormatting sqref="J93:L93">
    <cfRule type="expression" dxfId="257" priority="41">
      <formula>OR($E93="Yes",#REF!&lt;&gt;"$ Bounds")</formula>
    </cfRule>
  </conditionalFormatting>
  <conditionalFormatting sqref="H94">
    <cfRule type="expression" dxfId="256" priority="40">
      <formula>OR($E94="Yes",#REF!&lt;&gt;"% Bounds")</formula>
    </cfRule>
  </conditionalFormatting>
  <conditionalFormatting sqref="I94">
    <cfRule type="expression" dxfId="255" priority="39">
      <formula>OR($E94="Yes",#REF!&lt;&gt;"$ Bounds")</formula>
    </cfRule>
  </conditionalFormatting>
  <conditionalFormatting sqref="J94:L94">
    <cfRule type="expression" dxfId="254" priority="38">
      <formula>OR($E94="Yes",#REF!&lt;&gt;"$ Bounds")</formula>
    </cfRule>
  </conditionalFormatting>
  <conditionalFormatting sqref="I95">
    <cfRule type="expression" dxfId="253" priority="37">
      <formula>OR($E95="Yes",#REF!&lt;&gt;"$ Bounds")</formula>
    </cfRule>
  </conditionalFormatting>
  <conditionalFormatting sqref="J95:L95">
    <cfRule type="expression" dxfId="252" priority="36">
      <formula>OR($E95="Yes",#REF!&lt;&gt;"$ Bounds")</formula>
    </cfRule>
  </conditionalFormatting>
  <conditionalFormatting sqref="I104">
    <cfRule type="expression" dxfId="251" priority="35">
      <formula>OR($E104="Yes",#REF!&lt;&gt;"$ Bounds")</formula>
    </cfRule>
  </conditionalFormatting>
  <conditionalFormatting sqref="J104:L106">
    <cfRule type="expression" dxfId="250" priority="34">
      <formula>OR($E104="Yes",#REF!&lt;&gt;"$ Bounds")</formula>
    </cfRule>
  </conditionalFormatting>
  <conditionalFormatting sqref="I105">
    <cfRule type="expression" dxfId="249" priority="33">
      <formula>OR($E105="Yes",#REF!&lt;&gt;"$ Bounds")</formula>
    </cfRule>
  </conditionalFormatting>
  <conditionalFormatting sqref="I107">
    <cfRule type="expression" dxfId="248" priority="32">
      <formula>OR($E107="Yes",#REF!&lt;&gt;"$ Bounds")</formula>
    </cfRule>
  </conditionalFormatting>
  <conditionalFormatting sqref="J107:L107">
    <cfRule type="expression" dxfId="247" priority="31">
      <formula>OR($E107="Yes",#REF!&lt;&gt;"$ Bounds")</formula>
    </cfRule>
  </conditionalFormatting>
  <conditionalFormatting sqref="G104:G105">
    <cfRule type="expression" dxfId="246" priority="30">
      <formula>OR($E104="Yes",#REF!&lt;&gt;"% Bounds")</formula>
    </cfRule>
  </conditionalFormatting>
  <conditionalFormatting sqref="H104:H105">
    <cfRule type="expression" dxfId="245" priority="29">
      <formula>OR($E104="Yes",#REF!&lt;&gt;"% Bounds")</formula>
    </cfRule>
  </conditionalFormatting>
  <conditionalFormatting sqref="G96">
    <cfRule type="expression" dxfId="244" priority="28">
      <formula>OR($E96="Yes",#REF!&lt;&gt;"% Bounds")</formula>
    </cfRule>
  </conditionalFormatting>
  <conditionalFormatting sqref="H96">
    <cfRule type="expression" dxfId="243" priority="27">
      <formula>OR($E96="Yes",#REF!&lt;&gt;"% Bounds")</formula>
    </cfRule>
  </conditionalFormatting>
  <conditionalFormatting sqref="G92">
    <cfRule type="expression" dxfId="242" priority="26">
      <formula>OR($E92="Yes",#REF!&lt;&gt;"% Bounds")</formula>
    </cfRule>
  </conditionalFormatting>
  <conditionalFormatting sqref="H92">
    <cfRule type="expression" dxfId="241" priority="25">
      <formula>OR($E92="Yes",#REF!&lt;&gt;"% Bounds")</formula>
    </cfRule>
  </conditionalFormatting>
  <conditionalFormatting sqref="G93">
    <cfRule type="expression" dxfId="240" priority="24">
      <formula>OR($E93="Yes",#REF!&lt;&gt;"% Bounds")</formula>
    </cfRule>
  </conditionalFormatting>
  <conditionalFormatting sqref="H93">
    <cfRule type="expression" dxfId="239" priority="23">
      <formula>OR($E93="Yes",#REF!&lt;&gt;"% Bounds")</formula>
    </cfRule>
  </conditionalFormatting>
  <conditionalFormatting sqref="G106">
    <cfRule type="expression" dxfId="238" priority="22">
      <formula>OR($E106="Yes",#REF!&lt;&gt;"% Bounds")</formula>
    </cfRule>
  </conditionalFormatting>
  <conditionalFormatting sqref="H106">
    <cfRule type="expression" dxfId="237" priority="21">
      <formula>OR($E106="Yes",#REF!&lt;&gt;"% Bounds")</formula>
    </cfRule>
  </conditionalFormatting>
  <conditionalFormatting sqref="I106">
    <cfRule type="expression" dxfId="236" priority="20">
      <formula>OR($E106="Yes",#REF!&lt;&gt;"$ Bounds")</formula>
    </cfRule>
  </conditionalFormatting>
  <conditionalFormatting sqref="I97:L97">
    <cfRule type="expression" dxfId="235" priority="19">
      <formula>OR($E97="Yes",#REF!&lt;&gt;"$ Bounds")</formula>
    </cfRule>
  </conditionalFormatting>
  <conditionalFormatting sqref="G97">
    <cfRule type="expression" dxfId="234" priority="18">
      <formula>OR($E97="Yes",#REF!&lt;&gt;"% Bounds")</formula>
    </cfRule>
  </conditionalFormatting>
  <conditionalFormatting sqref="H97">
    <cfRule type="expression" dxfId="233" priority="17">
      <formula>OR($E97="Yes",#REF!&lt;&gt;"% Bounds")</formula>
    </cfRule>
  </conditionalFormatting>
  <conditionalFormatting sqref="H111">
    <cfRule type="expression" dxfId="232" priority="16">
      <formula>OR($E111="Yes",#REF!&lt;&gt;"% Bounds")</formula>
    </cfRule>
  </conditionalFormatting>
  <conditionalFormatting sqref="I111">
    <cfRule type="expression" dxfId="231" priority="15">
      <formula>OR($E111="Yes",#REF!&lt;&gt;"$ Bounds")</formula>
    </cfRule>
  </conditionalFormatting>
  <conditionalFormatting sqref="J111:L111">
    <cfRule type="expression" dxfId="230" priority="14">
      <formula>OR($E111="Yes",#REF!&lt;&gt;"$ Bounds")</formula>
    </cfRule>
  </conditionalFormatting>
  <conditionalFormatting sqref="H112">
    <cfRule type="expression" dxfId="229" priority="13">
      <formula>OR($E112="Yes",#REF!&lt;&gt;"% Bounds")</formula>
    </cfRule>
  </conditionalFormatting>
  <conditionalFormatting sqref="I112">
    <cfRule type="expression" dxfId="228" priority="12">
      <formula>OR($E112="Yes",#REF!&lt;&gt;"$ Bounds")</formula>
    </cfRule>
  </conditionalFormatting>
  <conditionalFormatting sqref="J112:L112">
    <cfRule type="expression" dxfId="227" priority="11">
      <formula>OR($E112="Yes",#REF!&lt;&gt;"$ Bounds")</formula>
    </cfRule>
  </conditionalFormatting>
  <conditionalFormatting sqref="H113">
    <cfRule type="expression" dxfId="226" priority="10">
      <formula>OR($E113="Yes",#REF!&lt;&gt;"% Bounds")</formula>
    </cfRule>
  </conditionalFormatting>
  <conditionalFormatting sqref="I113:I116">
    <cfRule type="expression" dxfId="225" priority="9">
      <formula>OR($E113="Yes",#REF!&lt;&gt;"$ Bounds")</formula>
    </cfRule>
  </conditionalFormatting>
  <conditionalFormatting sqref="H114">
    <cfRule type="expression" dxfId="224" priority="8">
      <formula>OR($E114="Yes",#REF!&lt;&gt;"% Bounds")</formula>
    </cfRule>
  </conditionalFormatting>
  <conditionalFormatting sqref="H115">
    <cfRule type="expression" dxfId="223" priority="7">
      <formula>OR($E115="Yes",#REF!&lt;&gt;"% Bounds")</formula>
    </cfRule>
  </conditionalFormatting>
  <conditionalFormatting sqref="H116">
    <cfRule type="expression" dxfId="222" priority="6">
      <formula>OR($E116="Yes",#REF!&lt;&gt;"% Bounds")</formula>
    </cfRule>
  </conditionalFormatting>
  <conditionalFormatting sqref="H117">
    <cfRule type="expression" dxfId="221" priority="5">
      <formula>OR($E117="Yes",#REF!&lt;&gt;"% Bounds")</formula>
    </cfRule>
  </conditionalFormatting>
  <conditionalFormatting sqref="J117:L117">
    <cfRule type="expression" dxfId="220" priority="4">
      <formula>OR($E117="Yes",#REF!&lt;&gt;"$ Bounds")</formula>
    </cfRule>
  </conditionalFormatting>
  <conditionalFormatting sqref="I117">
    <cfRule type="expression" dxfId="219" priority="3">
      <formula>OR($E117="Yes",#REF!&lt;&gt;"$ Bounds")</formula>
    </cfRule>
  </conditionalFormatting>
  <conditionalFormatting sqref="J113:L116">
    <cfRule type="expression" dxfId="218" priority="2">
      <formula>OR($E113="Yes",#REF!&lt;&gt;"$ Bounds")</formula>
    </cfRule>
  </conditionalFormatting>
  <conditionalFormatting sqref="J2">
    <cfRule type="expression" dxfId="1" priority="1">
      <formula>OR($E2="Yes",#REF!&lt;&gt;"$ Bounds")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48"/>
  <sheetViews>
    <sheetView zoomScaleNormal="100" workbookViewId="0">
      <pane xSplit="3" ySplit="1" topLeftCell="D23" activePane="bottomRight" state="frozen"/>
      <selection pane="topRight"/>
      <selection pane="bottomLeft"/>
      <selection pane="bottomRight" activeCell="J40" sqref="J40"/>
    </sheetView>
  </sheetViews>
  <sheetFormatPr defaultRowHeight="15" x14ac:dyDescent="0.25"/>
  <cols>
    <col min="1" max="1" width="24.42578125" customWidth="1"/>
    <col min="2" max="2" width="18" bestFit="1" customWidth="1"/>
    <col min="3" max="3" width="46.5703125" bestFit="1" customWidth="1"/>
    <col min="4" max="4" width="12.5703125" customWidth="1"/>
  </cols>
  <sheetData>
    <row r="1" spans="1:8" s="1" customFormat="1" ht="30" x14ac:dyDescent="0.25">
      <c r="A1" s="8" t="s">
        <v>72</v>
      </c>
      <c r="B1" s="8" t="s">
        <v>56</v>
      </c>
      <c r="C1" s="8" t="s">
        <v>55</v>
      </c>
      <c r="D1" s="9" t="s">
        <v>238</v>
      </c>
      <c r="E1" s="9" t="s">
        <v>252</v>
      </c>
      <c r="F1" s="9" t="s">
        <v>253</v>
      </c>
      <c r="G1" s="9" t="s">
        <v>218</v>
      </c>
      <c r="H1" s="9" t="s">
        <v>70</v>
      </c>
    </row>
    <row r="2" spans="1:8" x14ac:dyDescent="0.25">
      <c r="A2" s="3" t="s">
        <v>190</v>
      </c>
      <c r="B2" s="3" t="s">
        <v>191</v>
      </c>
      <c r="C2" s="3" t="s">
        <v>192</v>
      </c>
      <c r="D2" s="10"/>
      <c r="E2" s="10"/>
      <c r="F2" s="10"/>
      <c r="G2" s="10"/>
      <c r="H2" s="10"/>
    </row>
    <row r="3" spans="1:8" x14ac:dyDescent="0.25">
      <c r="A3" s="3" t="s">
        <v>193</v>
      </c>
      <c r="B3" s="3" t="s">
        <v>194</v>
      </c>
      <c r="C3" s="3" t="s">
        <v>195</v>
      </c>
      <c r="D3" s="10"/>
      <c r="E3" s="10"/>
      <c r="F3" s="10"/>
      <c r="G3" s="10"/>
      <c r="H3" s="10"/>
    </row>
    <row r="4" spans="1:8" x14ac:dyDescent="0.25">
      <c r="A4" s="3" t="s">
        <v>196</v>
      </c>
      <c r="B4" s="3" t="s">
        <v>197</v>
      </c>
      <c r="C4" s="3" t="s">
        <v>198</v>
      </c>
      <c r="D4" s="10"/>
      <c r="E4" s="10"/>
      <c r="F4" s="10"/>
      <c r="G4" s="10"/>
      <c r="H4" s="10"/>
    </row>
    <row r="5" spans="1:8" x14ac:dyDescent="0.25">
      <c r="A5" s="3" t="s">
        <v>199</v>
      </c>
      <c r="B5" s="3" t="s">
        <v>197</v>
      </c>
      <c r="C5" s="3" t="s">
        <v>200</v>
      </c>
      <c r="D5" s="10"/>
      <c r="E5" s="10"/>
      <c r="F5" s="10"/>
      <c r="G5" s="10"/>
      <c r="H5" s="10"/>
    </row>
    <row r="6" spans="1:8" x14ac:dyDescent="0.25">
      <c r="A6" s="3" t="s">
        <v>201</v>
      </c>
      <c r="B6" s="3" t="s">
        <v>202</v>
      </c>
      <c r="C6" s="3" t="s">
        <v>202</v>
      </c>
      <c r="D6" s="10"/>
      <c r="E6" s="10"/>
      <c r="F6" s="10"/>
      <c r="G6" s="10"/>
      <c r="H6" s="10"/>
    </row>
    <row r="7" spans="1:8" x14ac:dyDescent="0.25">
      <c r="A7" s="3" t="s">
        <v>203</v>
      </c>
      <c r="B7" s="3" t="s">
        <v>204</v>
      </c>
      <c r="C7" s="3" t="s">
        <v>205</v>
      </c>
      <c r="D7" s="10"/>
      <c r="E7" s="10">
        <v>1</v>
      </c>
      <c r="F7" s="10"/>
      <c r="G7" s="10"/>
      <c r="H7" s="10"/>
    </row>
    <row r="8" spans="1:8" x14ac:dyDescent="0.25">
      <c r="A8" s="3" t="s">
        <v>206</v>
      </c>
      <c r="B8" s="3" t="s">
        <v>204</v>
      </c>
      <c r="C8" s="3" t="s">
        <v>207</v>
      </c>
      <c r="D8" s="10"/>
      <c r="E8" s="10"/>
      <c r="F8" s="10">
        <v>1</v>
      </c>
      <c r="G8" s="10"/>
      <c r="H8" s="10"/>
    </row>
    <row r="9" spans="1:8" x14ac:dyDescent="0.25">
      <c r="A9" s="3" t="s">
        <v>208</v>
      </c>
      <c r="B9" s="3" t="s">
        <v>209</v>
      </c>
      <c r="C9" s="3" t="s">
        <v>210</v>
      </c>
      <c r="D9" s="10"/>
      <c r="E9" s="10"/>
      <c r="F9" s="10">
        <v>1</v>
      </c>
      <c r="G9" s="10"/>
      <c r="H9" s="10"/>
    </row>
    <row r="10" spans="1:8" x14ac:dyDescent="0.25">
      <c r="A10" s="3" t="s">
        <v>211</v>
      </c>
      <c r="B10" s="3" t="s">
        <v>209</v>
      </c>
      <c r="C10" s="3" t="s">
        <v>212</v>
      </c>
      <c r="D10" s="10"/>
      <c r="E10" s="10"/>
      <c r="F10" s="10"/>
      <c r="G10" s="10"/>
      <c r="H10" s="10"/>
    </row>
    <row r="11" spans="1:8" x14ac:dyDescent="0.25">
      <c r="A11" s="3" t="s">
        <v>213</v>
      </c>
      <c r="B11" s="3" t="s">
        <v>209</v>
      </c>
      <c r="C11" s="3" t="s">
        <v>214</v>
      </c>
      <c r="D11" s="10"/>
      <c r="E11" s="10">
        <v>1</v>
      </c>
      <c r="F11" s="10"/>
      <c r="G11" s="10"/>
      <c r="H11" s="10"/>
    </row>
    <row r="12" spans="1:8" x14ac:dyDescent="0.25">
      <c r="A12" s="3" t="s">
        <v>215</v>
      </c>
      <c r="B12" s="3" t="s">
        <v>209</v>
      </c>
      <c r="C12" s="3" t="s">
        <v>216</v>
      </c>
      <c r="D12" s="10"/>
      <c r="E12" s="10"/>
      <c r="F12" s="10"/>
      <c r="G12" s="10"/>
      <c r="H12" s="10"/>
    </row>
    <row r="13" spans="1:8" x14ac:dyDescent="0.25">
      <c r="A13" s="3" t="s">
        <v>217</v>
      </c>
      <c r="B13" s="3" t="s">
        <v>218</v>
      </c>
      <c r="C13" s="3" t="s">
        <v>219</v>
      </c>
      <c r="D13" s="10"/>
      <c r="E13" s="10"/>
      <c r="F13" s="10"/>
      <c r="G13" s="10">
        <v>1</v>
      </c>
      <c r="H13" s="10"/>
    </row>
    <row r="14" spans="1:8" x14ac:dyDescent="0.25">
      <c r="A14" s="3" t="s">
        <v>220</v>
      </c>
      <c r="B14" s="3" t="s">
        <v>218</v>
      </c>
      <c r="C14" s="3" t="s">
        <v>221</v>
      </c>
      <c r="D14" s="10"/>
      <c r="E14" s="10"/>
      <c r="F14" s="10"/>
      <c r="G14" s="10">
        <v>1</v>
      </c>
      <c r="H14" s="10"/>
    </row>
    <row r="15" spans="1:8" x14ac:dyDescent="0.25">
      <c r="A15" s="3" t="s">
        <v>222</v>
      </c>
      <c r="B15" s="3" t="s">
        <v>223</v>
      </c>
      <c r="C15" s="3" t="s">
        <v>224</v>
      </c>
      <c r="D15" s="10"/>
      <c r="E15" s="10"/>
      <c r="F15" s="10"/>
      <c r="G15" s="10"/>
      <c r="H15" s="10"/>
    </row>
    <row r="16" spans="1:8" x14ac:dyDescent="0.25">
      <c r="A16" s="3" t="s">
        <v>225</v>
      </c>
      <c r="B16" s="3" t="s">
        <v>223</v>
      </c>
      <c r="C16" s="3" t="s">
        <v>226</v>
      </c>
      <c r="D16" s="10"/>
      <c r="E16" s="10"/>
      <c r="F16" s="10"/>
      <c r="G16" s="10"/>
      <c r="H16" s="10"/>
    </row>
    <row r="17" spans="1:8" x14ac:dyDescent="0.25">
      <c r="A17" s="3" t="s">
        <v>227</v>
      </c>
      <c r="B17" s="3" t="s">
        <v>223</v>
      </c>
      <c r="C17" s="3" t="s">
        <v>228</v>
      </c>
      <c r="D17" s="10"/>
      <c r="E17" s="10">
        <v>1</v>
      </c>
      <c r="F17" s="10"/>
      <c r="G17" s="10"/>
      <c r="H17" s="10"/>
    </row>
    <row r="18" spans="1:8" x14ac:dyDescent="0.25">
      <c r="A18" s="3" t="s">
        <v>229</v>
      </c>
      <c r="B18" s="3" t="s">
        <v>223</v>
      </c>
      <c r="C18" s="3" t="s">
        <v>230</v>
      </c>
      <c r="D18" s="10"/>
      <c r="E18" s="10"/>
      <c r="F18" s="10"/>
      <c r="G18" s="10"/>
      <c r="H18" s="10"/>
    </row>
    <row r="19" spans="1:8" x14ac:dyDescent="0.25">
      <c r="A19" s="3" t="s">
        <v>231</v>
      </c>
      <c r="B19" s="3" t="s">
        <v>70</v>
      </c>
      <c r="C19" s="3" t="s">
        <v>232</v>
      </c>
      <c r="D19" s="10"/>
      <c r="E19" s="10"/>
      <c r="F19" s="10"/>
      <c r="G19" s="10"/>
      <c r="H19" s="10">
        <v>1</v>
      </c>
    </row>
    <row r="20" spans="1:8" x14ac:dyDescent="0.25">
      <c r="A20" s="3" t="s">
        <v>233</v>
      </c>
      <c r="B20" s="3" t="s">
        <v>70</v>
      </c>
      <c r="C20" s="3" t="s">
        <v>234</v>
      </c>
      <c r="D20" s="10"/>
      <c r="E20" s="10"/>
      <c r="F20" s="10"/>
      <c r="G20" s="10"/>
      <c r="H20" s="10">
        <v>1</v>
      </c>
    </row>
    <row r="21" spans="1:8" x14ac:dyDescent="0.25">
      <c r="A21" s="3" t="s">
        <v>235</v>
      </c>
      <c r="B21" s="3" t="s">
        <v>70</v>
      </c>
      <c r="C21" s="3" t="s">
        <v>236</v>
      </c>
      <c r="D21" s="10"/>
      <c r="E21" s="10"/>
      <c r="F21" s="10"/>
      <c r="G21" s="10"/>
      <c r="H21" s="10">
        <v>1</v>
      </c>
    </row>
    <row r="22" spans="1:8" x14ac:dyDescent="0.25">
      <c r="A22" s="3" t="s">
        <v>237</v>
      </c>
      <c r="B22" s="3" t="s">
        <v>238</v>
      </c>
      <c r="C22" s="3" t="s">
        <v>239</v>
      </c>
      <c r="D22" s="10">
        <v>1</v>
      </c>
      <c r="E22" s="10"/>
      <c r="F22" s="10"/>
      <c r="G22" s="10"/>
      <c r="H22" s="10"/>
    </row>
    <row r="23" spans="1:8" x14ac:dyDescent="0.25">
      <c r="A23" s="3" t="s">
        <v>240</v>
      </c>
      <c r="B23" s="3" t="s">
        <v>238</v>
      </c>
      <c r="C23" s="3" t="s">
        <v>241</v>
      </c>
      <c r="D23" s="10">
        <v>1</v>
      </c>
      <c r="E23" s="10"/>
      <c r="F23" s="10"/>
      <c r="G23" s="10"/>
      <c r="H23" s="10"/>
    </row>
    <row r="24" spans="1:8" x14ac:dyDescent="0.25">
      <c r="A24" s="3" t="s">
        <v>242</v>
      </c>
      <c r="B24" s="3" t="s">
        <v>238</v>
      </c>
      <c r="C24" s="3" t="s">
        <v>243</v>
      </c>
      <c r="D24" s="10">
        <v>1</v>
      </c>
      <c r="E24" s="10"/>
      <c r="F24" s="10"/>
      <c r="G24" s="10"/>
      <c r="H24" s="10"/>
    </row>
    <row r="25" spans="1:8" x14ac:dyDescent="0.25">
      <c r="A25" s="3" t="s">
        <v>244</v>
      </c>
      <c r="B25" s="3" t="s">
        <v>238</v>
      </c>
      <c r="C25" s="3" t="s">
        <v>245</v>
      </c>
      <c r="D25" s="10">
        <v>1</v>
      </c>
      <c r="E25" s="10"/>
      <c r="F25" s="10"/>
      <c r="G25" s="10"/>
      <c r="H25" s="10"/>
    </row>
    <row r="26" spans="1:8" x14ac:dyDescent="0.25">
      <c r="A26" s="3" t="s">
        <v>246</v>
      </c>
      <c r="B26" s="3" t="s">
        <v>238</v>
      </c>
      <c r="C26" s="3" t="s">
        <v>247</v>
      </c>
      <c r="D26" s="10">
        <v>1</v>
      </c>
      <c r="E26" s="10"/>
      <c r="F26" s="10"/>
      <c r="G26" s="10"/>
      <c r="H26" s="10"/>
    </row>
    <row r="27" spans="1:8" x14ac:dyDescent="0.25">
      <c r="A27" s="3" t="s">
        <v>248</v>
      </c>
      <c r="B27" s="3" t="s">
        <v>238</v>
      </c>
      <c r="C27" s="3" t="s">
        <v>249</v>
      </c>
      <c r="D27" s="10">
        <v>1</v>
      </c>
      <c r="E27" s="10"/>
      <c r="F27" s="10"/>
      <c r="G27" s="10"/>
      <c r="H27" s="10"/>
    </row>
    <row r="28" spans="1:8" x14ac:dyDescent="0.25">
      <c r="A28" s="3" t="s">
        <v>250</v>
      </c>
      <c r="B28" s="3" t="s">
        <v>238</v>
      </c>
      <c r="C28" s="3" t="s">
        <v>251</v>
      </c>
      <c r="D28" s="10">
        <v>1</v>
      </c>
      <c r="E28" s="10"/>
      <c r="F28" s="10"/>
      <c r="G28" s="10"/>
      <c r="H28" s="10"/>
    </row>
    <row r="29" spans="1:8" x14ac:dyDescent="0.25">
      <c r="A29" s="3"/>
      <c r="B29" s="11"/>
      <c r="C29" s="11"/>
      <c r="D29" s="10"/>
    </row>
    <row r="30" spans="1:8" x14ac:dyDescent="0.25">
      <c r="A30" s="3"/>
      <c r="B30" s="11"/>
      <c r="C30" s="11"/>
      <c r="D30" s="10"/>
    </row>
    <row r="31" spans="1:8" x14ac:dyDescent="0.25">
      <c r="A31" s="3"/>
      <c r="B31" s="11"/>
      <c r="C31" s="11"/>
      <c r="D31" s="10"/>
    </row>
    <row r="32" spans="1:8" x14ac:dyDescent="0.25">
      <c r="A32" s="3"/>
      <c r="B32" s="11"/>
      <c r="C32" s="11"/>
      <c r="D32" s="10"/>
    </row>
    <row r="33" spans="1:4" x14ac:dyDescent="0.25">
      <c r="A33" s="3"/>
      <c r="B33" s="11"/>
      <c r="C33" s="11"/>
      <c r="D33" s="10"/>
    </row>
    <row r="34" spans="1:4" x14ac:dyDescent="0.25">
      <c r="A34" s="3"/>
      <c r="B34" s="11"/>
      <c r="C34" s="11"/>
      <c r="D34" s="10"/>
    </row>
    <row r="35" spans="1:4" x14ac:dyDescent="0.25">
      <c r="A35" s="3"/>
      <c r="B35" s="11"/>
      <c r="C35" s="11"/>
      <c r="D35" s="10"/>
    </row>
    <row r="36" spans="1:4" x14ac:dyDescent="0.25">
      <c r="A36" s="3"/>
      <c r="B36" s="11"/>
      <c r="C36" s="11"/>
      <c r="D36" s="10"/>
    </row>
    <row r="37" spans="1:4" x14ac:dyDescent="0.25">
      <c r="A37" s="3"/>
      <c r="B37" s="11"/>
      <c r="C37" s="11"/>
      <c r="D37" s="10"/>
    </row>
    <row r="38" spans="1:4" x14ac:dyDescent="0.25">
      <c r="A38" s="3"/>
      <c r="B38" s="11"/>
      <c r="C38" s="11"/>
      <c r="D38" s="10"/>
    </row>
    <row r="39" spans="1:4" x14ac:dyDescent="0.25">
      <c r="A39" s="3"/>
      <c r="B39" s="11"/>
      <c r="C39" s="11"/>
      <c r="D39" s="10"/>
    </row>
    <row r="40" spans="1:4" x14ac:dyDescent="0.25">
      <c r="A40" s="3"/>
      <c r="B40" s="11"/>
      <c r="C40" s="11"/>
      <c r="D40" s="10"/>
    </row>
    <row r="41" spans="1:4" x14ac:dyDescent="0.25">
      <c r="A41" s="3"/>
      <c r="B41" s="11"/>
      <c r="C41" s="11"/>
      <c r="D41" s="10"/>
    </row>
    <row r="42" spans="1:4" x14ac:dyDescent="0.25">
      <c r="A42" s="3"/>
      <c r="B42" s="11"/>
      <c r="C42" s="11"/>
      <c r="D42" s="10"/>
    </row>
    <row r="43" spans="1:4" x14ac:dyDescent="0.25">
      <c r="A43" s="3"/>
      <c r="B43" s="11"/>
      <c r="C43" s="11"/>
      <c r="D43" s="10"/>
    </row>
    <row r="44" spans="1:4" x14ac:dyDescent="0.25">
      <c r="A44" s="3"/>
      <c r="B44" s="11"/>
      <c r="C44" s="11"/>
      <c r="D44" s="10"/>
    </row>
    <row r="45" spans="1:4" x14ac:dyDescent="0.25">
      <c r="A45" s="3"/>
      <c r="B45" s="11"/>
      <c r="C45" s="11"/>
      <c r="D45" s="10"/>
    </row>
    <row r="46" spans="1:4" x14ac:dyDescent="0.25">
      <c r="A46" s="3"/>
      <c r="B46" s="11"/>
      <c r="C46" s="11"/>
      <c r="D46" s="10"/>
    </row>
    <row r="47" spans="1:4" x14ac:dyDescent="0.25">
      <c r="A47" s="3"/>
      <c r="B47" s="11"/>
      <c r="C47" s="11"/>
      <c r="D47" s="10"/>
    </row>
    <row r="48" spans="1:4" x14ac:dyDescent="0.25">
      <c r="A48" s="3"/>
      <c r="B48" s="11"/>
      <c r="C48" s="11"/>
      <c r="D48" s="10"/>
    </row>
  </sheetData>
  <sortState xmlns:xlrd2="http://schemas.microsoft.com/office/spreadsheetml/2017/richdata2" ref="A2:D48">
    <sortCondition ref="C2:C48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0"/>
  <sheetViews>
    <sheetView tabSelected="1" workbookViewId="0">
      <selection activeCell="A3" sqref="A3"/>
    </sheetView>
  </sheetViews>
  <sheetFormatPr defaultRowHeight="15" x14ac:dyDescent="0.25"/>
  <cols>
    <col min="1" max="1" width="55.140625" bestFit="1" customWidth="1"/>
    <col min="2" max="2" width="7.42578125" bestFit="1" customWidth="1"/>
    <col min="3" max="3" width="15" bestFit="1" customWidth="1"/>
    <col min="4" max="4" width="13.28515625" bestFit="1" customWidth="1"/>
  </cols>
  <sheetData>
    <row r="1" spans="1:4" x14ac:dyDescent="0.25">
      <c r="A1" s="6" t="s">
        <v>71</v>
      </c>
      <c r="B1" s="6" t="s">
        <v>94</v>
      </c>
      <c r="C1" s="6" t="s">
        <v>87</v>
      </c>
      <c r="D1" s="6" t="s">
        <v>89</v>
      </c>
    </row>
    <row r="2" spans="1:4" x14ac:dyDescent="0.25">
      <c r="A2" s="1"/>
      <c r="B2" s="4"/>
      <c r="C2" s="4"/>
      <c r="D2" s="5"/>
    </row>
    <row r="3" spans="1:4" x14ac:dyDescent="0.25">
      <c r="A3" s="1"/>
      <c r="B3" s="4"/>
      <c r="C3" s="4"/>
      <c r="D3" s="5"/>
    </row>
    <row r="4" spans="1:4" x14ac:dyDescent="0.25">
      <c r="A4" s="1"/>
      <c r="B4" s="4"/>
      <c r="C4" s="4"/>
      <c r="D4" s="5"/>
    </row>
    <row r="5" spans="1:4" x14ac:dyDescent="0.25">
      <c r="A5" s="1"/>
      <c r="B5" s="4"/>
      <c r="C5" s="4"/>
      <c r="D5" s="5"/>
    </row>
    <row r="6" spans="1:4" x14ac:dyDescent="0.25">
      <c r="A6" s="1"/>
      <c r="B6" s="4"/>
      <c r="C6" s="4"/>
      <c r="D6" s="5"/>
    </row>
    <row r="7" spans="1:4" x14ac:dyDescent="0.25">
      <c r="A7" s="1"/>
      <c r="D7" s="32"/>
    </row>
    <row r="8" spans="1:4" x14ac:dyDescent="0.25">
      <c r="D8" s="32"/>
    </row>
    <row r="9" spans="1:4" x14ac:dyDescent="0.25">
      <c r="D9" s="31"/>
    </row>
    <row r="10" spans="1:4" x14ac:dyDescent="0.25">
      <c r="D10" s="31"/>
    </row>
    <row r="11" spans="1:4" x14ac:dyDescent="0.25">
      <c r="D11" s="31"/>
    </row>
    <row r="12" spans="1:4" x14ac:dyDescent="0.25">
      <c r="D12" s="31"/>
    </row>
    <row r="13" spans="1:4" x14ac:dyDescent="0.25">
      <c r="D13" s="31"/>
    </row>
    <row r="14" spans="1:4" x14ac:dyDescent="0.25">
      <c r="D14" s="31"/>
    </row>
    <row r="15" spans="1:4" x14ac:dyDescent="0.25">
      <c r="D15" s="31"/>
    </row>
    <row r="16" spans="1:4" x14ac:dyDescent="0.25">
      <c r="D16" s="31"/>
    </row>
    <row r="17" spans="4:4" x14ac:dyDescent="0.25">
      <c r="D17" s="31"/>
    </row>
    <row r="18" spans="4:4" x14ac:dyDescent="0.25">
      <c r="D18" s="31"/>
    </row>
    <row r="19" spans="4:4" x14ac:dyDescent="0.25">
      <c r="D19" s="31"/>
    </row>
    <row r="20" spans="4:4" x14ac:dyDescent="0.25">
      <c r="D20" s="31"/>
    </row>
    <row r="21" spans="4:4" x14ac:dyDescent="0.25">
      <c r="D21" s="31"/>
    </row>
    <row r="22" spans="4:4" x14ac:dyDescent="0.25">
      <c r="D22" s="31"/>
    </row>
    <row r="23" spans="4:4" x14ac:dyDescent="0.25">
      <c r="D23" s="31"/>
    </row>
    <row r="24" spans="4:4" x14ac:dyDescent="0.25">
      <c r="D24" s="31"/>
    </row>
    <row r="25" spans="4:4" x14ac:dyDescent="0.25">
      <c r="D25" s="31"/>
    </row>
    <row r="26" spans="4:4" x14ac:dyDescent="0.25">
      <c r="D26" s="31"/>
    </row>
    <row r="27" spans="4:4" x14ac:dyDescent="0.25">
      <c r="D27" s="31"/>
    </row>
    <row r="28" spans="4:4" x14ac:dyDescent="0.25">
      <c r="D28" s="31"/>
    </row>
    <row r="29" spans="4:4" x14ac:dyDescent="0.25">
      <c r="D29" s="31"/>
    </row>
    <row r="30" spans="4:4" x14ac:dyDescent="0.25">
      <c r="D30" s="31"/>
    </row>
    <row r="31" spans="4:4" x14ac:dyDescent="0.25">
      <c r="D31" s="31"/>
    </row>
    <row r="32" spans="4:4" x14ac:dyDescent="0.25">
      <c r="D32" s="31"/>
    </row>
    <row r="33" spans="4:4" x14ac:dyDescent="0.25">
      <c r="D33" s="31"/>
    </row>
    <row r="34" spans="4:4" x14ac:dyDescent="0.25">
      <c r="D34" s="31"/>
    </row>
    <row r="35" spans="4:4" x14ac:dyDescent="0.25">
      <c r="D35" s="31"/>
    </row>
    <row r="36" spans="4:4" x14ac:dyDescent="0.25">
      <c r="D36" s="31"/>
    </row>
    <row r="37" spans="4:4" x14ac:dyDescent="0.25">
      <c r="D37" s="31"/>
    </row>
    <row r="38" spans="4:4" x14ac:dyDescent="0.25">
      <c r="D38" s="31"/>
    </row>
    <row r="39" spans="4:4" x14ac:dyDescent="0.25">
      <c r="D39" s="31"/>
    </row>
    <row r="40" spans="4:4" x14ac:dyDescent="0.25">
      <c r="D40" s="31"/>
    </row>
    <row r="41" spans="4:4" x14ac:dyDescent="0.25">
      <c r="D41" s="31"/>
    </row>
    <row r="42" spans="4:4" x14ac:dyDescent="0.25">
      <c r="D42" s="31"/>
    </row>
    <row r="43" spans="4:4" x14ac:dyDescent="0.25">
      <c r="D43" s="31"/>
    </row>
    <row r="44" spans="4:4" x14ac:dyDescent="0.25">
      <c r="D44" s="31"/>
    </row>
    <row r="45" spans="4:4" x14ac:dyDescent="0.25">
      <c r="D45" s="31"/>
    </row>
    <row r="46" spans="4:4" x14ac:dyDescent="0.25">
      <c r="D46" s="31"/>
    </row>
    <row r="47" spans="4:4" x14ac:dyDescent="0.25">
      <c r="D47" s="31"/>
    </row>
    <row r="48" spans="4:4" x14ac:dyDescent="0.25">
      <c r="D48" s="31"/>
    </row>
    <row r="49" spans="4:4" x14ac:dyDescent="0.25">
      <c r="D49" s="31"/>
    </row>
    <row r="50" spans="4:4" x14ac:dyDescent="0.25">
      <c r="D50" s="31"/>
    </row>
    <row r="51" spans="4:4" x14ac:dyDescent="0.25">
      <c r="D51" s="31"/>
    </row>
    <row r="52" spans="4:4" x14ac:dyDescent="0.25">
      <c r="D52" s="31"/>
    </row>
    <row r="53" spans="4:4" x14ac:dyDescent="0.25">
      <c r="D53" s="31"/>
    </row>
    <row r="54" spans="4:4" x14ac:dyDescent="0.25">
      <c r="D54" s="31"/>
    </row>
    <row r="55" spans="4:4" x14ac:dyDescent="0.25">
      <c r="D55" s="31"/>
    </row>
    <row r="56" spans="4:4" x14ac:dyDescent="0.25">
      <c r="D56" s="31"/>
    </row>
    <row r="57" spans="4:4" x14ac:dyDescent="0.25">
      <c r="D57" s="31"/>
    </row>
    <row r="58" spans="4:4" x14ac:dyDescent="0.25">
      <c r="D58" s="31"/>
    </row>
    <row r="59" spans="4:4" x14ac:dyDescent="0.25">
      <c r="D59" s="31"/>
    </row>
    <row r="60" spans="4:4" x14ac:dyDescent="0.25">
      <c r="D60" s="31"/>
    </row>
    <row r="61" spans="4:4" x14ac:dyDescent="0.25">
      <c r="D61" s="31"/>
    </row>
    <row r="62" spans="4:4" x14ac:dyDescent="0.25">
      <c r="D62" s="31"/>
    </row>
    <row r="63" spans="4:4" x14ac:dyDescent="0.25">
      <c r="D63" s="31"/>
    </row>
    <row r="64" spans="4:4" x14ac:dyDescent="0.25">
      <c r="D64" s="31"/>
    </row>
    <row r="65" spans="4:4" x14ac:dyDescent="0.25">
      <c r="D65" s="31"/>
    </row>
    <row r="66" spans="4:4" x14ac:dyDescent="0.25">
      <c r="D66" s="31"/>
    </row>
    <row r="67" spans="4:4" x14ac:dyDescent="0.25">
      <c r="D67" s="31"/>
    </row>
    <row r="68" spans="4:4" x14ac:dyDescent="0.25">
      <c r="D68" s="31"/>
    </row>
    <row r="69" spans="4:4" x14ac:dyDescent="0.25">
      <c r="D69" s="31"/>
    </row>
    <row r="70" spans="4:4" x14ac:dyDescent="0.25">
      <c r="D70" s="31"/>
    </row>
    <row r="71" spans="4:4" x14ac:dyDescent="0.25">
      <c r="D71" s="31"/>
    </row>
    <row r="72" spans="4:4" x14ac:dyDescent="0.25">
      <c r="D72" s="31"/>
    </row>
    <row r="73" spans="4:4" x14ac:dyDescent="0.25">
      <c r="D73" s="31"/>
    </row>
    <row r="74" spans="4:4" x14ac:dyDescent="0.25">
      <c r="D74" s="31"/>
    </row>
    <row r="75" spans="4:4" x14ac:dyDescent="0.25">
      <c r="D75" s="31"/>
    </row>
    <row r="76" spans="4:4" x14ac:dyDescent="0.25">
      <c r="D76" s="31"/>
    </row>
    <row r="77" spans="4:4" x14ac:dyDescent="0.25">
      <c r="D77" s="31"/>
    </row>
    <row r="78" spans="4:4" x14ac:dyDescent="0.25">
      <c r="D78" s="31"/>
    </row>
    <row r="79" spans="4:4" x14ac:dyDescent="0.25">
      <c r="D79" s="31"/>
    </row>
    <row r="80" spans="4:4" x14ac:dyDescent="0.25">
      <c r="D80" s="31"/>
    </row>
    <row r="81" spans="4:4" x14ac:dyDescent="0.25">
      <c r="D81" s="31"/>
    </row>
    <row r="82" spans="4:4" x14ac:dyDescent="0.25">
      <c r="D82" s="31"/>
    </row>
    <row r="83" spans="4:4" x14ac:dyDescent="0.25">
      <c r="D83" s="31"/>
    </row>
    <row r="84" spans="4:4" x14ac:dyDescent="0.25">
      <c r="D84" s="31"/>
    </row>
    <row r="85" spans="4:4" x14ac:dyDescent="0.25">
      <c r="D85" s="31"/>
    </row>
    <row r="86" spans="4:4" x14ac:dyDescent="0.25">
      <c r="D86" s="31"/>
    </row>
    <row r="87" spans="4:4" x14ac:dyDescent="0.25">
      <c r="D87" s="31"/>
    </row>
    <row r="88" spans="4:4" x14ac:dyDescent="0.25">
      <c r="D88" s="31"/>
    </row>
    <row r="89" spans="4:4" x14ac:dyDescent="0.25">
      <c r="D89" s="31"/>
    </row>
    <row r="90" spans="4:4" x14ac:dyDescent="0.25">
      <c r="D90" s="31"/>
    </row>
    <row r="91" spans="4:4" x14ac:dyDescent="0.25">
      <c r="D91" s="31"/>
    </row>
    <row r="92" spans="4:4" x14ac:dyDescent="0.25">
      <c r="D92" s="31"/>
    </row>
    <row r="93" spans="4:4" x14ac:dyDescent="0.25">
      <c r="D93" s="31"/>
    </row>
    <row r="94" spans="4:4" x14ac:dyDescent="0.25">
      <c r="D94" s="31"/>
    </row>
    <row r="95" spans="4:4" x14ac:dyDescent="0.25">
      <c r="D95" s="31"/>
    </row>
    <row r="96" spans="4:4" x14ac:dyDescent="0.25">
      <c r="D96" s="31"/>
    </row>
    <row r="97" spans="4:4" x14ac:dyDescent="0.25">
      <c r="D97" s="31"/>
    </row>
    <row r="98" spans="4:4" x14ac:dyDescent="0.25">
      <c r="D98" s="31"/>
    </row>
    <row r="99" spans="4:4" x14ac:dyDescent="0.25">
      <c r="D99" s="31"/>
    </row>
    <row r="100" spans="4:4" x14ac:dyDescent="0.25">
      <c r="D100" s="31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Config!$H$3:$H$4</xm:f>
          </x14:formula1>
          <xm:sqref>C7:C100</xm:sqref>
        </x14:dataValidation>
        <x14:dataValidation type="list" allowBlank="1" showInputMessage="1" showErrorMessage="1" xr:uid="{00000000-0002-0000-0800-000001000000}">
          <x14:formula1>
            <xm:f>Config!$J$3:$J$7</xm:f>
          </x14:formula1>
          <xm:sqref>B7:B24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Main Input</vt:lpstr>
      <vt:lpstr>Optim Input</vt:lpstr>
      <vt:lpstr>Config</vt:lpstr>
      <vt:lpstr>Base Scenario</vt:lpstr>
      <vt:lpstr>Quarterly Calculation</vt:lpstr>
      <vt:lpstr>Individual Bounds - Overall</vt:lpstr>
      <vt:lpstr>Individual Bounds - Quarterly</vt:lpstr>
      <vt:lpstr>Variable Group Definition</vt:lpstr>
      <vt:lpstr>Group Constraints</vt:lpstr>
      <vt:lpstr>Wide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tamal.panja</dc:creator>
  <cp:lastModifiedBy>Roshan Hande</cp:lastModifiedBy>
  <dcterms:created xsi:type="dcterms:W3CDTF">2019-05-27T10:13:41Z</dcterms:created>
  <dcterms:modified xsi:type="dcterms:W3CDTF">2023-12-26T20:15:59Z</dcterms:modified>
</cp:coreProperties>
</file>