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(Inventory)" sheetId="1" r:id="rId4"/>
    <sheet state="visible" name="Impact" sheetId="2" r:id="rId5"/>
    <sheet state="visible" name="Sensitivity Analysis" sheetId="3" r:id="rId6"/>
    <sheet state="visible" name="EPS" sheetId="4" r:id="rId7"/>
    <sheet state="visible" name="Impact Data Vis" sheetId="5" r:id="rId8"/>
    <sheet state="visible" name="PF Diagram" sheetId="6" r:id="rId9"/>
    <sheet state="visible" name="Raw Data" sheetId="7" r:id="rId10"/>
    <sheet state="hidden" name="Question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6">
      <text>
        <t xml:space="preserve">11/08 - from LE or KH:  this gives an emission factor for their grid, can we use this for our LCA
	-Julia Kate Lind</t>
      </text>
    </comment>
    <comment authorId="0" ref="H75">
      <text>
        <t xml:space="preserve">PVC production in China
	-Julia Kate Lind
Fig. 1a
	-Julia Kate Lind</t>
      </text>
    </comment>
    <comment authorId="0" ref="B180">
      <text>
        <t xml:space="preserve">Are we missing this process? It wasn't provided in the data from Dr. Bo but I see pictures of it in their slides
	-Lauren Excell</t>
      </text>
    </comment>
    <comment authorId="0" ref="C122">
      <text>
        <t xml:space="preserve">= area of liner used * weight per unit area
	-Julia Kate Lind</t>
      </text>
    </comment>
    <comment authorId="0" ref="B33">
      <text>
        <t xml:space="preserve">Polyester production process
http://www.madehow.com/Volume-2/Polyester.html
For this analysis, we will use polyester fibers as raw material since they use entirely recycled polyser in their supply chain
	-Kaitlin Highstreet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5">
      <text>
        <t xml:space="preserve">calculated nat'l gas only, subtracted from total to get electricity
	-Julia Kate Lind</t>
      </text>
    </comment>
  </commentList>
</comments>
</file>

<file path=xl/sharedStrings.xml><?xml version="1.0" encoding="utf-8"?>
<sst xmlns="http://schemas.openxmlformats.org/spreadsheetml/2006/main" count="1431" uniqueCount="604">
  <si>
    <t>Description</t>
  </si>
  <si>
    <t>Value</t>
  </si>
  <si>
    <t>Units</t>
  </si>
  <si>
    <t>Notes</t>
  </si>
  <si>
    <t>Raw Material Acquisition</t>
  </si>
  <si>
    <t>Summary of Findings</t>
  </si>
  <si>
    <t>Coconut shells</t>
  </si>
  <si>
    <t>Total Energy (MJ) Used Per Year</t>
  </si>
  <si>
    <t>MJ per year</t>
  </si>
  <si>
    <t>-Coconuts decorticated (rainy day)</t>
  </si>
  <si>
    <t>coconuts processed / day</t>
  </si>
  <si>
    <t>Estimated coolers produced per year</t>
  </si>
  <si>
    <t>Coolers per year</t>
  </si>
  <si>
    <t>-Coconuts decorticated (sunny day)</t>
  </si>
  <si>
    <t>Energy (MJ) Used Per Cooler</t>
  </si>
  <si>
    <t>MJ per cooler</t>
  </si>
  <si>
    <t>-Average coconuts decorticated</t>
  </si>
  <si>
    <t>-Max coconuts per year</t>
  </si>
  <si>
    <t>max coconuts processed / year</t>
  </si>
  <si>
    <t>-Coconuts per year</t>
  </si>
  <si>
    <t>coconuts needed / year</t>
  </si>
  <si>
    <t>Reference values</t>
  </si>
  <si>
    <t>Glue raw materials</t>
  </si>
  <si>
    <r>
      <rPr>
        <color rgb="FF000000"/>
        <u/>
      </rPr>
      <t xml:space="preserve">Source: </t>
    </r>
    <r>
      <rPr>
        <color rgb="FF1155CC"/>
        <u/>
      </rPr>
      <t>https://hnlkg4f5wdw34kx1a1e9ygem-wpengine.netdna-ssl.com/wp-content/uploads/2017/07/4_EPDLA-Life-Cycle-Assessment-LCA-Summary-Report.pdf</t>
    </r>
  </si>
  <si>
    <t>-Final glue product (per cooler)</t>
  </si>
  <si>
    <t>g / cooler</t>
  </si>
  <si>
    <t>Parameter</t>
  </si>
  <si>
    <t>Source</t>
  </si>
  <si>
    <t>-Total glue product per year</t>
  </si>
  <si>
    <t>kg per year</t>
  </si>
  <si>
    <t>Energy content of diesel - truck</t>
  </si>
  <si>
    <t>Btu/ton-mile</t>
  </si>
  <si>
    <t>Franklin Associates, Table A-5, single unit diesel-powered truck</t>
  </si>
  <si>
    <t>-Total PVA per year</t>
  </si>
  <si>
    <t>Energy content of diesel - ocean freighter</t>
  </si>
  <si>
    <t>Franklin Associates, Table A-5, single unit diesel-powered ocean freighter</t>
  </si>
  <si>
    <t>Work hours per year</t>
  </si>
  <si>
    <t>hrs/year</t>
  </si>
  <si>
    <t>calculated from interview notes</t>
  </si>
  <si>
    <t>-Polyvinyl acetate</t>
  </si>
  <si>
    <t>kg / cooler</t>
  </si>
  <si>
    <t>SimaPro</t>
  </si>
  <si>
    <t>Rainy working days per year</t>
  </si>
  <si>
    <t>days / year</t>
  </si>
  <si>
    <t>https://weather-and-climate.com/average-monthly-Rainy-days,Manila,Philippines</t>
  </si>
  <si>
    <t>-Water</t>
  </si>
  <si>
    <t>Sunny working days per year</t>
  </si>
  <si>
    <t>-Polyvinyl acetate (volume per week)</t>
  </si>
  <si>
    <t>liters per week</t>
  </si>
  <si>
    <r>
      <rPr/>
      <t xml:space="preserve">Polyvinyl acetate production process
</t>
    </r>
    <r>
      <rPr>
        <color rgb="FF1155CC"/>
        <u/>
      </rPr>
      <t>https://www.britannica.com/science/polyvinyl-acetate</t>
    </r>
  </si>
  <si>
    <t>kg to tons</t>
  </si>
  <si>
    <t>kg/ton</t>
  </si>
  <si>
    <t>-Polyvinyl acetate (mass per week)</t>
  </si>
  <si>
    <t>kg / week</t>
  </si>
  <si>
    <t>tonnes to tons</t>
  </si>
  <si>
    <t>ton / tonnes</t>
  </si>
  <si>
    <t>--Ethylene</t>
  </si>
  <si>
    <t>component of polyvinyl acetate</t>
  </si>
  <si>
    <t>Ethylene production
-https://www.britannica.com/science/ethylene</t>
  </si>
  <si>
    <t xml:space="preserve">Truck type </t>
  </si>
  <si>
    <t>L engine</t>
  </si>
  <si>
    <t>https://www.isuzucv.com/en/nseries/nseries_diesel</t>
  </si>
  <si>
    <t>---Petroleum</t>
  </si>
  <si>
    <t>component of ethylene</t>
  </si>
  <si>
    <t>Fuel economy of 5.2 L engine</t>
  </si>
  <si>
    <t>mpg (combined)</t>
  </si>
  <si>
    <t>https://www.fueleconomy.gov/feg/PowerSearch.do?action=noform&amp;path=1&amp;year1=2001&amp;year2=2001&amp;make=Dodge&amp;model=Ram%201500%20Pickup%202WD&amp;srchtyp=ymm</t>
  </si>
  <si>
    <t>--Oxygen</t>
  </si>
  <si>
    <t>Coconuts per cooler</t>
  </si>
  <si>
    <t>--Acetic acid</t>
  </si>
  <si>
    <r>
      <rPr/>
      <t xml:space="preserve">Acetic acid production
</t>
    </r>
    <r>
      <rPr>
        <color rgb="FF1155CC"/>
        <u/>
      </rPr>
      <t>https://www.britannica.com/science/acetic-acid</t>
    </r>
  </si>
  <si>
    <t>Weight of coconut husk and shell</t>
  </si>
  <si>
    <t>grams per coconut</t>
  </si>
  <si>
    <t>https://link.springer.com/content/pdf/10.1007/978-1-4613-0433-3_33.pdf</t>
  </si>
  <si>
    <t>Btu to MJ</t>
  </si>
  <si>
    <t>MJ/Btu</t>
  </si>
  <si>
    <t>Conversion factor</t>
  </si>
  <si>
    <t>Raw materials to create PVC (liner)</t>
  </si>
  <si>
    <r>
      <rPr/>
      <t xml:space="preserve">PVC production process
</t>
    </r>
    <r>
      <rPr>
        <color rgb="FF1155CC"/>
        <u/>
      </rPr>
      <t>https://www.teknorapex.com/the-pvc-production-process</t>
    </r>
  </si>
  <si>
    <t>Glue in final product</t>
  </si>
  <si>
    <t>grams per cooler</t>
  </si>
  <si>
    <t>Given by client: 10-12% of a 4 kg cooler, assumed 10%</t>
  </si>
  <si>
    <t>-PVC liner</t>
  </si>
  <si>
    <t>Kilometers in miles</t>
  </si>
  <si>
    <t>km / miles</t>
  </si>
  <si>
    <t>-PVC liner per year</t>
  </si>
  <si>
    <t>Polyester thread density</t>
  </si>
  <si>
    <t>lb / yard</t>
  </si>
  <si>
    <t>Size 92 polyester thread per Fortuna</t>
  </si>
  <si>
    <t>--Petroleum</t>
  </si>
  <si>
    <t>component of PVC</t>
  </si>
  <si>
    <t>kg</t>
  </si>
  <si>
    <t>kg / yard</t>
  </si>
  <si>
    <t>--Chlorine (from sea salt)</t>
  </si>
  <si>
    <t>Polyvinyl acetate density</t>
  </si>
  <si>
    <t>kg / L</t>
  </si>
  <si>
    <t>https://www.polymerdatabase.com/polymers/polyvinylacetate.html</t>
  </si>
  <si>
    <t>--Water</t>
  </si>
  <si>
    <t>liters</t>
  </si>
  <si>
    <t>Polyvinyl acetate weekly volume</t>
  </si>
  <si>
    <t>Client gave 400-600 L range, assume 500</t>
  </si>
  <si>
    <t>Raw materials for polyester (recycled polyester is used)</t>
  </si>
  <si>
    <t>Polyvinyl acetate weekly mass</t>
  </si>
  <si>
    <t>-Polyester webbing</t>
  </si>
  <si>
    <t>kWh to MJ for PH electricity grid</t>
  </si>
  <si>
    <t>MJ input</t>
  </si>
  <si>
    <t>Simapro</t>
  </si>
  <si>
    <t>-Polyester thread</t>
  </si>
  <si>
    <t>yards / cooler</t>
  </si>
  <si>
    <t>kWh output</t>
  </si>
  <si>
    <t>Diesel LHV</t>
  </si>
  <si>
    <t>MJ / kg</t>
  </si>
  <si>
    <t>Fuel oil LHV</t>
  </si>
  <si>
    <t>Natural gas LHV</t>
  </si>
  <si>
    <t>Coconuts per m^2 of final panel</t>
  </si>
  <si>
    <t>coconuts / m^2</t>
  </si>
  <si>
    <t>Transportation - collecting coconuts and taking to factory</t>
  </si>
  <si>
    <t>** Assume all distances in transportation sections are one way**</t>
  </si>
  <si>
    <t>Truck for coconuts</t>
  </si>
  <si>
    <t>Coconuts per year</t>
  </si>
  <si>
    <t>coconuts per year</t>
  </si>
  <si>
    <t>Number of rainy working days per year</t>
  </si>
  <si>
    <t>days</t>
  </si>
  <si>
    <t>Annual Cooler Production Calculation</t>
  </si>
  <si>
    <t>Number of sunny working days per year</t>
  </si>
  <si>
    <t xml:space="preserve">days </t>
  </si>
  <si>
    <t>Based on liner productivity rates</t>
  </si>
  <si>
    <t>Average number of coconuts per day</t>
  </si>
  <si>
    <t>coconuts per day</t>
  </si>
  <si>
    <t>Two trucks carrying 2000 and 4000 coconuts per trip, assume equal amounts of trips</t>
  </si>
  <si>
    <t>Production time per cooler</t>
  </si>
  <si>
    <t>Trips per day per truck</t>
  </si>
  <si>
    <t>Sewing</t>
  </si>
  <si>
    <t>min</t>
  </si>
  <si>
    <t>km per L</t>
  </si>
  <si>
    <t>Heat press</t>
  </si>
  <si>
    <t>Distance per trip</t>
  </si>
  <si>
    <t>km per day total</t>
  </si>
  <si>
    <t>*uncertain value</t>
  </si>
  <si>
    <t>Total time to man. liner (min)</t>
  </si>
  <si>
    <t>Fuel used</t>
  </si>
  <si>
    <t>L per day total</t>
  </si>
  <si>
    <t>based on David + Tamara interview</t>
  </si>
  <si>
    <t>Total time to man. liner (hr)</t>
  </si>
  <si>
    <t>hr</t>
  </si>
  <si>
    <t>Distance per day total</t>
  </si>
  <si>
    <t>km per day</t>
  </si>
  <si>
    <t>Production time per day</t>
  </si>
  <si>
    <t>*assume machines are running continuously</t>
  </si>
  <si>
    <t>Distance per year</t>
  </si>
  <si>
    <t>km per year</t>
  </si>
  <si>
    <t>Liners produced per day</t>
  </si>
  <si>
    <t>liners</t>
  </si>
  <si>
    <t>*assume one liner produced signifies one cooler produced</t>
  </si>
  <si>
    <t>mi per year</t>
  </si>
  <si>
    <t>Work days per year</t>
  </si>
  <si>
    <t>*assume 6 days/week for 52 wks/year</t>
  </si>
  <si>
    <t>Weight of coconuts per day</t>
  </si>
  <si>
    <t>grams per day</t>
  </si>
  <si>
    <t>Coolers produced per year</t>
  </si>
  <si>
    <t>Coolers</t>
  </si>
  <si>
    <t>tons per day</t>
  </si>
  <si>
    <t>Weight of coconuts per year</t>
  </si>
  <si>
    <t>tons per year</t>
  </si>
  <si>
    <t>Energy content of diesel</t>
  </si>
  <si>
    <t>Energy Input by Process</t>
  </si>
  <si>
    <t>Energy used per year (Btu)</t>
  </si>
  <si>
    <t>Btu per year</t>
  </si>
  <si>
    <t>Energy used per year (MJ)</t>
  </si>
  <si>
    <t>N/A</t>
  </si>
  <si>
    <t>Not in scope</t>
  </si>
  <si>
    <t>Transportation - coconuts to Juboken</t>
  </si>
  <si>
    <t>Material Processing</t>
  </si>
  <si>
    <t>Transportation - glue, liner, webbing</t>
  </si>
  <si>
    <t>Manufacturing and Construction</t>
  </si>
  <si>
    <t>Decortification</t>
  </si>
  <si>
    <t>Transportation to Manila</t>
  </si>
  <si>
    <t>Decortification electricity used per year</t>
  </si>
  <si>
    <t>kWh per year</t>
  </si>
  <si>
    <t>Final cooler assembly</t>
  </si>
  <si>
    <t>Assembled by hand</t>
  </si>
  <si>
    <t>Glue generation (?)</t>
  </si>
  <si>
    <t>Transportation to customer</t>
  </si>
  <si>
    <t>Glue used per cooler</t>
  </si>
  <si>
    <t>kg of PVA (plus some water)</t>
  </si>
  <si>
    <t>&lt;- also has impact factors for PVA</t>
  </si>
  <si>
    <t>Primary energy for PVA production</t>
  </si>
  <si>
    <t>MJ per kg</t>
  </si>
  <si>
    <t>https://hnlkg4f5wdw34kx1a1e9ygem-wpengine.netdna-ssl.com/wp-content/uploads/2017/07/4_EPDLA-Life-Cycle-Assessment-LCA-Summary-Report.pdf</t>
  </si>
  <si>
    <t>Water pumping?</t>
  </si>
  <si>
    <t>Mixing on-site</t>
  </si>
  <si>
    <t>PVC Manufacturing</t>
  </si>
  <si>
    <r>
      <rPr/>
      <t xml:space="preserve">*resource from </t>
    </r>
    <r>
      <rPr>
        <color rgb="FF1155CC"/>
        <u/>
      </rPr>
      <t>https://www.sciencedirect.com/science/article/pii/S0959652616318029</t>
    </r>
  </si>
  <si>
    <t>Purification</t>
  </si>
  <si>
    <t xml:space="preserve">    Electricity used for purification for 1 ton PVC</t>
  </si>
  <si>
    <t>kWh / ton</t>
  </si>
  <si>
    <t xml:space="preserve">    Energy used for purification for 1 ton PVC</t>
  </si>
  <si>
    <t>MJ / ton</t>
  </si>
  <si>
    <t>Vinyl Chloride Monomer (VCM) Production</t>
  </si>
  <si>
    <t xml:space="preserve">    Natural gas used for 1 ton of PVC</t>
  </si>
  <si>
    <t>GJ / ton</t>
  </si>
  <si>
    <t xml:space="preserve">    Energy used for VCM prod. for 1 ton of PVC</t>
  </si>
  <si>
    <t>Molding</t>
  </si>
  <si>
    <t xml:space="preserve">    Electricity used for molding for 1 ton PVC</t>
  </si>
  <si>
    <t xml:space="preserve">    Energy used for molding for 1 ton PVC</t>
  </si>
  <si>
    <t>Total Energy Used for 1 ton PVC</t>
  </si>
  <si>
    <t>* = purification + VCM production + molding</t>
  </si>
  <si>
    <t>PVC liner weight used per cooler</t>
  </si>
  <si>
    <t>*from Fortuna PPT presentation</t>
  </si>
  <si>
    <t>Energy used for liner production per cooler</t>
  </si>
  <si>
    <t>MJ/cooler</t>
  </si>
  <si>
    <t>Recycled webbing (recycled polyester, rPET)</t>
  </si>
  <si>
    <t>https://link.springer.com/chapter/10.1007/978-981-13-9578-9_1</t>
  </si>
  <si>
    <t>Energy used to manufacture 0.25 kg of PET</t>
  </si>
  <si>
    <t>MJ / cooler</t>
  </si>
  <si>
    <t>*data from SimaPro (slide 112 in Team Drive SimaPro data)</t>
  </si>
  <si>
    <t>Weight of webbing per cooler</t>
  </si>
  <si>
    <t>Total Energy Used Per Year</t>
  </si>
  <si>
    <t>Transportation - glue, liner, webbing to factory</t>
  </si>
  <si>
    <t>Truck for glue</t>
  </si>
  <si>
    <t>Distance per trip - Manila to Camalig</t>
  </si>
  <si>
    <t>mi</t>
  </si>
  <si>
    <t>Trips per year</t>
  </si>
  <si>
    <t>trips</t>
  </si>
  <si>
    <t>Miles per year</t>
  </si>
  <si>
    <t>miles</t>
  </si>
  <si>
    <t>Amount of glue per trip</t>
  </si>
  <si>
    <t>kg / trip</t>
  </si>
  <si>
    <t>Amount of glue transported per year</t>
  </si>
  <si>
    <t>kg / year</t>
  </si>
  <si>
    <t>tons /year</t>
  </si>
  <si>
    <t>Amount of glue per cooler</t>
  </si>
  <si>
    <t>Glue used per year for cooler</t>
  </si>
  <si>
    <t>tons / year</t>
  </si>
  <si>
    <t>Energy content of fuel</t>
  </si>
  <si>
    <t>Energy used per year to transport cooler-dedicated glue</t>
  </si>
  <si>
    <t>Btu</t>
  </si>
  <si>
    <t>MJ / year</t>
  </si>
  <si>
    <t>Energy per cooler</t>
  </si>
  <si>
    <t>MJ / cooler for glue</t>
  </si>
  <si>
    <t xml:space="preserve">Ocean Freight for liner </t>
  </si>
  <si>
    <t>Trips per year (assume quarterly)</t>
  </si>
  <si>
    <t>times</t>
  </si>
  <si>
    <t>Distance per trip - Guanzhou to Port of Manila</t>
  </si>
  <si>
    <t>*assume 1-way transportation</t>
  </si>
  <si>
    <t>Fuel economy</t>
  </si>
  <si>
    <t>mpg</t>
  </si>
  <si>
    <t>Energy content of gas</t>
  </si>
  <si>
    <t>*assume Panamax standard ocean freighter</t>
  </si>
  <si>
    <t>Weight of liner per trip (kg)</t>
  </si>
  <si>
    <t>* assume standard speeds, which burns about 63,000 gal gas / day</t>
  </si>
  <si>
    <t>Weight of liner per trip (ton)</t>
  </si>
  <si>
    <t>ton</t>
  </si>
  <si>
    <t>Total weight of ship per trip</t>
  </si>
  <si>
    <t>*assume Panamax standard ocean freighter size and capacity</t>
  </si>
  <si>
    <t>Liner weight as % of total weight</t>
  </si>
  <si>
    <t>=(Weight of liner per trip) / (Total weight of ship per trip)</t>
  </si>
  <si>
    <t xml:space="preserve">Energy used per trip </t>
  </si>
  <si>
    <t>MJ / trip</t>
  </si>
  <si>
    <t>=(Distance per trip)*(Total weight of ship per trip)*(Energy content of gas)*(0.001055 MJ/Btu)</t>
  </si>
  <si>
    <t>Energy fraction used to transport liner per trip</t>
  </si>
  <si>
    <t>=(Distance per trip)*(Total weight of ship per trip)*(Energy content of gas)*(Liner weight %)*(0.001055 MJ/Btu)</t>
  </si>
  <si>
    <t>Energy fraction used to transport liner per year</t>
  </si>
  <si>
    <t>=(Energy fraction used to transport liner per trip)*(4 trips per year)</t>
  </si>
  <si>
    <t xml:space="preserve">Truck for liner </t>
  </si>
  <si>
    <t>*Assume diesel-fueled truck, 5.2L engine</t>
  </si>
  <si>
    <t>minimum provided by Fortuna - assume always ordering min</t>
  </si>
  <si>
    <t>Energy used per trip</t>
  </si>
  <si>
    <t>MJ</t>
  </si>
  <si>
    <t>=(Distance per trip)*(Weight of liner per trip)*(Energy content of diesel)*(0.001055 MJ/Btu)</t>
  </si>
  <si>
    <t>Weight of liner per cooler</t>
  </si>
  <si>
    <t>Total energy used per year</t>
  </si>
  <si>
    <t>Truck for webbing - supplier to Hagonoy</t>
  </si>
  <si>
    <t>Distance per trip (Laguna-Binondo-Hagonoy)</t>
  </si>
  <si>
    <t>trips / year</t>
  </si>
  <si>
    <t>miles / year</t>
  </si>
  <si>
    <t>Webbing mass per unit</t>
  </si>
  <si>
    <t>Webbing mass per year</t>
  </si>
  <si>
    <t>Energy used per year</t>
  </si>
  <si>
    <t>Btu / year</t>
  </si>
  <si>
    <t>Ocean freight for polyester thread</t>
  </si>
  <si>
    <t>Distance per trip - Zhejiang to Manila</t>
  </si>
  <si>
    <t>Number of trips per year</t>
  </si>
  <si>
    <t>trips per year</t>
  </si>
  <si>
    <t>miles per year</t>
  </si>
  <si>
    <t>Amount of thread per cooler</t>
  </si>
  <si>
    <t>Polyester thread mass per year</t>
  </si>
  <si>
    <t>Total energy content per year</t>
  </si>
  <si>
    <t>Truck for polyester thread to Hagonoy</t>
  </si>
  <si>
    <t>Distance: Binondo, Manila to Hagonoy, Bulacan</t>
  </si>
  <si>
    <t>mi / year</t>
  </si>
  <si>
    <t>Amount of polyester thread per cooler</t>
  </si>
  <si>
    <t>Total thread transported</t>
  </si>
  <si>
    <t>Total transportation energy used per year</t>
  </si>
  <si>
    <t>https://www.doe.gov.ph/electric-power/2015-2017-national-grid-emission-factor-ngef?ckattempt=1</t>
  </si>
  <si>
    <t>Pressed Coconut Sheets</t>
  </si>
  <si>
    <t>https://drive.google.com/drive/folders/1lU5joNM6T8_FSO56YXPC55oBLdy0sLRD</t>
  </si>
  <si>
    <t>Energy used in stitch fiber &amp; heat press</t>
  </si>
  <si>
    <t>Energy used in cutting</t>
  </si>
  <si>
    <t>Synthetic Liner and Webbing</t>
  </si>
  <si>
    <t>Cutting machine</t>
  </si>
  <si>
    <t>kW</t>
  </si>
  <si>
    <t>Cutting machine rate</t>
  </si>
  <si>
    <t>hours / liner</t>
  </si>
  <si>
    <t>Cutting machine energy / year</t>
  </si>
  <si>
    <t>kWh / year</t>
  </si>
  <si>
    <t>Operating hours</t>
  </si>
  <si>
    <t>hours per day</t>
  </si>
  <si>
    <t>*Assume machines run continuously</t>
  </si>
  <si>
    <t>Sewing Machine</t>
  </si>
  <si>
    <t>W</t>
  </si>
  <si>
    <t>Heat Press</t>
  </si>
  <si>
    <t>Energy for Sewing</t>
  </si>
  <si>
    <t>kWh per day</t>
  </si>
  <si>
    <t>Energy for Heat Press</t>
  </si>
  <si>
    <t>Total energy per year (kWh)</t>
  </si>
  <si>
    <t>Total energy per year (MJ)</t>
  </si>
  <si>
    <t>Transportation - finished products to Manila</t>
  </si>
  <si>
    <t>Truck for Juboken materials to Manila</t>
  </si>
  <si>
    <t>km per trip</t>
  </si>
  <si>
    <t>miles per trip</t>
  </si>
  <si>
    <t>Trips per week</t>
  </si>
  <si>
    <t>trips per week</t>
  </si>
  <si>
    <t>Only accounting for own truck, not backloaded truck</t>
  </si>
  <si>
    <t>Tons of product per trip</t>
  </si>
  <si>
    <t>tons of fiber per trip</t>
  </si>
  <si>
    <t>Fiber only, not including cocopeat</t>
  </si>
  <si>
    <t>Tons of product per year</t>
  </si>
  <si>
    <t>Btu/ton-mi</t>
  </si>
  <si>
    <t>Energy per year (Btu)</t>
  </si>
  <si>
    <t>Energy per year (MJ)</t>
  </si>
  <si>
    <t>Truck for completed liner to Manila</t>
  </si>
  <si>
    <t>Distance: Hagonoy, Bulacan to Baesa, Manila</t>
  </si>
  <si>
    <t>Updated based on Fortuna info</t>
  </si>
  <si>
    <t>Finished liner mass per cooler (straps + liner)</t>
  </si>
  <si>
    <t>Finished liner transported per year</t>
  </si>
  <si>
    <t>tons</t>
  </si>
  <si>
    <t>Energy used per cooler</t>
  </si>
  <si>
    <t>Area of Panel Type 1</t>
  </si>
  <si>
    <t>m2</t>
  </si>
  <si>
    <t>Panel Type 1: 16in x 22in (4)</t>
  </si>
  <si>
    <t>Area of Panel Type 2</t>
  </si>
  <si>
    <t>Panel Type 2: 16in x 16 in (2)</t>
  </si>
  <si>
    <t>No. Type 1 panels req'd per cooler</t>
  </si>
  <si>
    <t>EA</t>
  </si>
  <si>
    <t>No. Type 2 panels req'd per cooler</t>
  </si>
  <si>
    <t>Total material req'd per cooler</t>
  </si>
  <si>
    <t>No energy required - human assembly</t>
  </si>
  <si>
    <t>Transportation - from Manila warehouse to customer</t>
  </si>
  <si>
    <t>Customer picks up at factory</t>
  </si>
  <si>
    <t>Transportation via courier service</t>
  </si>
  <si>
    <t>mi per trip</t>
  </si>
  <si>
    <t>area of Manila is 16.58 mi^2, max trip distance is ~4 miles</t>
  </si>
  <si>
    <t>Percent of coolers using courier service</t>
  </si>
  <si>
    <t>ESTIMATE: perform sensitivity analysis</t>
  </si>
  <si>
    <t>Coolers transported per year</t>
  </si>
  <si>
    <t>coolers per year</t>
  </si>
  <si>
    <t>Weight of product per trip</t>
  </si>
  <si>
    <t>5 kg per cooler</t>
  </si>
  <si>
    <t>Btu/mile per year</t>
  </si>
  <si>
    <t>Assume 1 trip per week</t>
  </si>
  <si>
    <t>Energy per year</t>
  </si>
  <si>
    <t>Use and service</t>
  </si>
  <si>
    <t xml:space="preserve">No additional energy required to use cooler. Energy used by fishing boats and the creation of ice for storage are not in the scope of this project. </t>
  </si>
  <si>
    <t>End of life/disposal</t>
  </si>
  <si>
    <t>Landfill liner</t>
  </si>
  <si>
    <t>Recycle liner</t>
  </si>
  <si>
    <t>https://www.sciencedirect.com/science/article/pii/S0959652618322674?via%3Dihub</t>
  </si>
  <si>
    <t>Landfill water leaching in Manila</t>
  </si>
  <si>
    <t>First source</t>
  </si>
  <si>
    <t>Second source</t>
  </si>
  <si>
    <t>Human health source</t>
  </si>
  <si>
    <t>LCA on solid waste management in several Asian countries</t>
  </si>
  <si>
    <t>https://reader.elsevier.com/reader/sd/pii/S0959652612005148?token=AE4A81B4F0D2A12D9F2AB74FBBEA7A53327D6C4E7BA67651EA844501F3B79C163ABCC6CC61CFE809E2AD252052223B1A</t>
  </si>
  <si>
    <t>Glue Acquisition</t>
  </si>
  <si>
    <t>total (kg)</t>
  </si>
  <si>
    <t>Total coconuts per year</t>
  </si>
  <si>
    <t>coconuts processed / year</t>
  </si>
  <si>
    <t>Impact Categories</t>
  </si>
  <si>
    <t>*all values are per year, assuming 3120 coolers / year</t>
  </si>
  <si>
    <t>total mass</t>
  </si>
  <si>
    <t xml:space="preserve"> </t>
  </si>
  <si>
    <t>Total glue product per year</t>
  </si>
  <si>
    <t>Greenhouse gases</t>
  </si>
  <si>
    <t xml:space="preserve">kg of CO2 </t>
  </si>
  <si>
    <t>unit</t>
  </si>
  <si>
    <t>PVC liner per year</t>
  </si>
  <si>
    <t>Acidification</t>
  </si>
  <si>
    <t>kg of SO2</t>
  </si>
  <si>
    <t>Polyester (webbing) per year</t>
  </si>
  <si>
    <t>Eutrophication</t>
  </si>
  <si>
    <t>kg of PO4</t>
  </si>
  <si>
    <t>kg of CO2 / kg</t>
  </si>
  <si>
    <t>Summer Smog</t>
  </si>
  <si>
    <t>kg of C2H4</t>
  </si>
  <si>
    <t>kg of SO2 / kg</t>
  </si>
  <si>
    <t>Heavy Metals</t>
  </si>
  <si>
    <t>kg of Pb</t>
  </si>
  <si>
    <t>kg of PO4 / kg</t>
  </si>
  <si>
    <t>kg of C2H4 / kg</t>
  </si>
  <si>
    <t>SimaPro Conversion Values</t>
  </si>
  <si>
    <t>kg of Pb / cooler</t>
  </si>
  <si>
    <t>Diesel</t>
  </si>
  <si>
    <t>PVC Acquisition</t>
  </si>
  <si>
    <t>kg of CO2 per kg diesel</t>
  </si>
  <si>
    <t>kg of SO2 per kg diesel</t>
  </si>
  <si>
    <t>kg of PO4 per kg diesel</t>
  </si>
  <si>
    <t>kg of C2H4 per kg diesel</t>
  </si>
  <si>
    <t>kg of Pb per kg diesel</t>
  </si>
  <si>
    <t>kg of CO2 / unit</t>
  </si>
  <si>
    <t>Electricity</t>
  </si>
  <si>
    <t>kg of SO2 / unit</t>
  </si>
  <si>
    <t>kg of CO2 per 3.6 MJ electricity</t>
  </si>
  <si>
    <t>kg of PO4 / unit</t>
  </si>
  <si>
    <t>kg of SO2 per 3.6 MJ electricity</t>
  </si>
  <si>
    <t>kg of C2H4 / unit</t>
  </si>
  <si>
    <t xml:space="preserve">Diesel </t>
  </si>
  <si>
    <t>kg of PO4 per 3.6 MJ electricity</t>
  </si>
  <si>
    <t>kg of Pb / unit</t>
  </si>
  <si>
    <t>Diesel used per year (kg diesel)</t>
  </si>
  <si>
    <t>kg of C2H4 per 3.6 MJ electricity</t>
  </si>
  <si>
    <t>kg of Pb per 3.6 MJ electricity</t>
  </si>
  <si>
    <t>Polyester Acquisition</t>
  </si>
  <si>
    <t>Fuel Oil</t>
  </si>
  <si>
    <t>kg of CO2 per kg fuel oil</t>
  </si>
  <si>
    <t>kg of SO2 per kg fuel oil</t>
  </si>
  <si>
    <t>kg of PO4 per kg fuel oil</t>
  </si>
  <si>
    <t>kg of C2H4 per kg fuel oil</t>
  </si>
  <si>
    <t>kg of Pb per kg fuel oil</t>
  </si>
  <si>
    <t>Natural Gas</t>
  </si>
  <si>
    <t>kg of CO2 per kg nat gas</t>
  </si>
  <si>
    <t>kg of SO2 per kg nat gas</t>
  </si>
  <si>
    <t>Electric energy</t>
  </si>
  <si>
    <t>kg of PO4 per kg nat gas</t>
  </si>
  <si>
    <t>Nat gas energy</t>
  </si>
  <si>
    <t>kg of C2H4 per kg nat gas</t>
  </si>
  <si>
    <t>Coconut Acquisition</t>
  </si>
  <si>
    <t>kg of Pb per kg nat gas</t>
  </si>
  <si>
    <t>Energy for truck transport per year</t>
  </si>
  <si>
    <t xml:space="preserve">MJ per year </t>
  </si>
  <si>
    <t>Diesel for truck transport per year</t>
  </si>
  <si>
    <t>Energy for ocean freight per year</t>
  </si>
  <si>
    <t>Fuel oil</t>
  </si>
  <si>
    <t>Fuel oil for ocean freight per year</t>
  </si>
  <si>
    <t>Diesel fuel per year</t>
  </si>
  <si>
    <t>BASELINE</t>
  </si>
  <si>
    <t>Increase cooler output by 20% --&gt; 3744 coolers / year</t>
  </si>
  <si>
    <t>Decrease cooler output by 20% - 2496 coolers / year</t>
  </si>
  <si>
    <t>Energy (MJ)</t>
  </si>
  <si>
    <t>Low</t>
  </si>
  <si>
    <t>High</t>
  </si>
  <si>
    <t>Coolers / Year</t>
  </si>
  <si>
    <t>Size of Cooler</t>
  </si>
  <si>
    <t>PVC Input</t>
  </si>
  <si>
    <t>Greenhouse Gases (kg CO2)</t>
  </si>
  <si>
    <t>*all values are per year, assuming 3744 coolers / year</t>
  </si>
  <si>
    <t>*all values are per year, assuming 2496 / year</t>
  </si>
  <si>
    <t>Acidification (kg SO2)</t>
  </si>
  <si>
    <t>Increase size of cooler to 20x20x24</t>
  </si>
  <si>
    <t>Decrease size of cooler to 14x14x18</t>
  </si>
  <si>
    <t>Eutrophication (kg PO4)</t>
  </si>
  <si>
    <t>Summer smog (kg C2H4)</t>
  </si>
  <si>
    <t>Heavy metals (kg Pb)</t>
  </si>
  <si>
    <t>Increase PVC needed by 15%</t>
  </si>
  <si>
    <t>Decrease PVC needed by 15%</t>
  </si>
  <si>
    <t>Percentage Difference</t>
  </si>
  <si>
    <t>EPS / Fortuna</t>
  </si>
  <si>
    <t>EPS/EPS</t>
  </si>
  <si>
    <t>EPS</t>
  </si>
  <si>
    <t>Fortuna</t>
  </si>
  <si>
    <t>Raw Material Acquisition - 3120 Fortuna Coolers / year</t>
  </si>
  <si>
    <t>Raw Material Acquisition - 81,120 EPS Coolers / year</t>
  </si>
  <si>
    <t>According to Mega Packaging Corporation,</t>
  </si>
  <si>
    <t>they currently manufacture and sell a Fish Pack with the following specification:</t>
  </si>
  <si>
    <t>Length</t>
  </si>
  <si>
    <t>in</t>
  </si>
  <si>
    <t>Width</t>
  </si>
  <si>
    <t>Depth</t>
  </si>
  <si>
    <t>Thickness</t>
  </si>
  <si>
    <t>(rough estimate)</t>
  </si>
  <si>
    <t>Volume of the Body</t>
  </si>
  <si>
    <t>in3</t>
  </si>
  <si>
    <t>Volume of the Cover</t>
  </si>
  <si>
    <t>Density</t>
  </si>
  <si>
    <t>kg / m3</t>
  </si>
  <si>
    <t>Weight of the Body</t>
  </si>
  <si>
    <t>Weight of the Cover</t>
  </si>
  <si>
    <t xml:space="preserve">From Sima Pro, </t>
  </si>
  <si>
    <t>kg of CO2</t>
  </si>
  <si>
    <t>per kg of EPS</t>
  </si>
  <si>
    <t>If we consider the useful life of Fortuna vs EPS cooler, we know that:</t>
  </si>
  <si>
    <t>Fortuna = 1 year</t>
  </si>
  <si>
    <t>EPS = 2 weeks</t>
  </si>
  <si>
    <t>So, in 1 year, we would have 1 Fortuna Cooler vs 26 EPS Cooler</t>
  </si>
  <si>
    <t>Number of EPS Cooler</t>
  </si>
  <si>
    <t>Total Weight</t>
  </si>
  <si>
    <t>Total Impact</t>
  </si>
  <si>
    <t>Greenhouse gases (CO2)</t>
  </si>
  <si>
    <t>Greenhouse Gases</t>
  </si>
  <si>
    <t>Acidification (SO2)</t>
  </si>
  <si>
    <t>Raw Material Acq.</t>
  </si>
  <si>
    <t>Eutrophication (PO4)</t>
  </si>
  <si>
    <t>Coconuts to Juboken</t>
  </si>
  <si>
    <t>Summer Smog (C2H4)</t>
  </si>
  <si>
    <t>Heavy Metals (Pb)</t>
  </si>
  <si>
    <t>Glue, liner, webbing to factory</t>
  </si>
  <si>
    <t xml:space="preserve">Manufacturing </t>
  </si>
  <si>
    <t>Transport to Manila</t>
  </si>
  <si>
    <t>Assembly in Manila</t>
  </si>
  <si>
    <t>Transport to customer</t>
  </si>
  <si>
    <t>Total Impact Per Cooler</t>
  </si>
  <si>
    <t>Data Acquistion</t>
  </si>
  <si>
    <t>Pull from simapro:</t>
  </si>
  <si>
    <t>energy of coconut husk, Electricity grid LCI, polyvinyl acetate, polyester (webbing), nylon (thread)</t>
  </si>
  <si>
    <t>1. Coconut Fiber</t>
  </si>
  <si>
    <t>1.1 Machines</t>
  </si>
  <si>
    <t>1.1.0 Fuel</t>
  </si>
  <si>
    <t>Energy from Combusted Material</t>
  </si>
  <si>
    <t>kg of agri. waste / day</t>
  </si>
  <si>
    <t>(incl. pili nut shell waste from candy factories, coconut leaves waste)</t>
  </si>
  <si>
    <t>1.1.1 Decortitating</t>
  </si>
  <si>
    <t>Operating Energy</t>
  </si>
  <si>
    <t>Input</t>
  </si>
  <si>
    <t>husks/day</t>
  </si>
  <si>
    <t>Frequency</t>
  </si>
  <si>
    <t>days/week</t>
  </si>
  <si>
    <t>1.1.2 Stitch Fiber and Heat Press</t>
  </si>
  <si>
    <t>Output</t>
  </si>
  <si>
    <t>m2/hr</t>
  </si>
  <si>
    <t>*</t>
  </si>
  <si>
    <t>1.1.3 Cutting</t>
  </si>
  <si>
    <t>1.1.4 Final Output</t>
  </si>
  <si>
    <t>Produced</t>
  </si>
  <si>
    <t>m2 of single layer/day</t>
  </si>
  <si>
    <t>*Note that a Fortuna Cooler has a four-layer coir.</t>
  </si>
  <si>
    <t>1.1.5 Electricty Bill</t>
  </si>
  <si>
    <t>Minimum</t>
  </si>
  <si>
    <t>dollars / month</t>
  </si>
  <si>
    <t>Maximum</t>
  </si>
  <si>
    <t>Energy Unit Cost</t>
  </si>
  <si>
    <t>dollars / kWh</t>
  </si>
  <si>
    <t>1.2 Transportation: Local</t>
  </si>
  <si>
    <t>One-way Distance</t>
  </si>
  <si>
    <t>km</t>
  </si>
  <si>
    <t>Fuel</t>
  </si>
  <si>
    <t>liters of diesel / day</t>
  </si>
  <si>
    <t>Load</t>
  </si>
  <si>
    <t>coconut husks / day</t>
  </si>
  <si>
    <t>Truck Load</t>
  </si>
  <si>
    <t>coconut husks / truck</t>
  </si>
  <si>
    <t>Number of Daily Filled Trucks</t>
  </si>
  <si>
    <t>truck load / day</t>
  </si>
  <si>
    <t>1.3 Transportation to Manila</t>
  </si>
  <si>
    <t>time / week</t>
  </si>
  <si>
    <t>diesel per trip</t>
  </si>
  <si>
    <t>Weight</t>
  </si>
  <si>
    <t>tons / truck</t>
  </si>
  <si>
    <t>Number of Trucks</t>
  </si>
  <si>
    <t>2. Binding Agent - Synthetic</t>
  </si>
  <si>
    <t>Usage</t>
  </si>
  <si>
    <t>3. Liner and Webbing</t>
  </si>
  <si>
    <t>Machines used</t>
  </si>
  <si>
    <t>Sewing machine: 250 W, 15 min/liner
Heat press: 5KW, 30min/liner</t>
  </si>
  <si>
    <t>Working hours</t>
  </si>
  <si>
    <t>8am - 5pm with 1.5 hours break</t>
  </si>
  <si>
    <t>From SimaPro - PH electricity grid</t>
  </si>
  <si>
    <t>PH grid emissions factors in Analysis -&gt; PH Electricity LCI -&gt; Phillipine Electricity Mix.pptx</t>
  </si>
  <si>
    <t>Source (?)</t>
  </si>
  <si>
    <t>https://www.doe.gov.ph/sites/default/files/pdf/energy_statistics/2019_power_statistic_01_summary.pdf</t>
  </si>
  <si>
    <t>Still pending 10/19</t>
  </si>
  <si>
    <t>Questions 10/20</t>
  </si>
  <si>
    <t>Ownership</t>
  </si>
  <si>
    <t>-water content in binder?</t>
  </si>
  <si>
    <t>Juboken</t>
  </si>
  <si>
    <t>-percent of polyvinyl acetate (400-600 L) used for this product</t>
  </si>
  <si>
    <t>-in LCA Data file, how much liner and webbing are transported per week?</t>
  </si>
  <si>
    <t>marked complete, but still need info / Haganoy</t>
  </si>
  <si>
    <t>-how many final coolers are sold per year?</t>
  </si>
  <si>
    <t>Cocopeat:</t>
  </si>
  <si>
    <t>1) What is it? i.e. is it used for the panels?</t>
  </si>
  <si>
    <t>2) Is it a co-product created during the panel fabrication process?</t>
  </si>
  <si>
    <t>3) Is it sold in Manila or disposed of?</t>
  </si>
  <si>
    <t>4) For shared manufacturing processes w/ the panels, how much is produced?</t>
  </si>
  <si>
    <t>KH pending questions - transportation related</t>
  </si>
  <si>
    <t>General</t>
  </si>
  <si>
    <t>-Number of coolers per year (non Covid)</t>
  </si>
  <si>
    <t>Binder / polyvinyl acetate</t>
  </si>
  <si>
    <t>-Type of truck for glue transport - Manila to Camalig (engine size + fuel type?)</t>
  </si>
  <si>
    <t>-Is the 400-600 L of shipped glue the final product (i.e. PVA + water) or only PVA and mixed onsite?</t>
  </si>
  <si>
    <t>Webbing</t>
  </si>
  <si>
    <t>-How much webbing (mass) is shipped in a container load?</t>
  </si>
  <si>
    <t>-Are these trucked shipments approximately every 3 months?</t>
  </si>
  <si>
    <t>-What types of trucks are used to transport webbing in the Philippines?</t>
  </si>
  <si>
    <t>-Confirming webbing transportation chain: Laguna to Binondo to Hagonoy, assembled with nylon thread, trucked to Baesa?</t>
  </si>
  <si>
    <t>-Is the same sewing machine used for liner and webbing? How long is it in operation for webbing? (data already provided for liner)</t>
  </si>
  <si>
    <t>Nylon thread</t>
  </si>
  <si>
    <t>-Where in China is this produced?</t>
  </si>
  <si>
    <t>-Any information on how it is shipped via ocean freight - origin city in China? To Manila?</t>
  </si>
  <si>
    <t>-Frequency of ocean freight - every three months?</t>
  </si>
  <si>
    <t>-How much nylon (mass) is shipped in a container load?</t>
  </si>
  <si>
    <t>-What weight/size of nylon is used?</t>
  </si>
  <si>
    <t>-Confirming nylon transportation chain: ocean from China (exact location TBD) to Manila, trucked to Hagonoy, assembled, then trucked with webbing to Baesa?</t>
  </si>
  <si>
    <t>-Type of truck used for nylon transportation in Philippines - type of fuel?</t>
  </si>
  <si>
    <t>-Frequency of truck transport - same as ocean freight or more frequent?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</si>
</sst>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"/>
    <numFmt numFmtId="165" formatCode="0.000000000"/>
    <numFmt numFmtId="166" formatCode="0.0000000"/>
    <numFmt numFmtId="167" formatCode="0.0000"/>
    <numFmt numFmtId="168" formatCode="0.00000"/>
    <numFmt numFmtId="169" formatCode="0.0000%"/>
    <numFmt numFmtId="170" formatCode="#,##0.0000"/>
    <numFmt numFmtId="171" formatCode="0.000"/>
    <numFmt numFmtId="172" formatCode="#,##0.0"/>
    <numFmt numFmtId="173" formatCode="#,##0.000000000"/>
    <numFmt numFmtId="174" formatCode="0.0%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sz val="10.0"/>
      <color rgb="FF3C4043"/>
      <name val="Arial"/>
    </font>
    <font>
      <u/>
      <color rgb="FF0000FF"/>
    </font>
    <font>
      <sz val="11.0"/>
      <color rgb="FF3C4043"/>
      <name val="Roboto"/>
    </font>
    <font>
      <u/>
      <color rgb="FF0000FF"/>
    </font>
    <font>
      <color rgb="FF000000"/>
      <name val="Arial"/>
    </font>
    <font>
      <u/>
      <color rgb="FF0000FF"/>
    </font>
    <font>
      <i/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1155CC"/>
    </font>
    <font>
      <sz val="9.0"/>
      <color rgb="FF000000"/>
      <name val="Arial"/>
    </font>
    <font>
      <u/>
      <color rgb="FF0000FF"/>
    </font>
    <font>
      <sz val="8.0"/>
      <color rgb="FF000000"/>
      <name val="Arial"/>
    </font>
    <font>
      <u/>
      <color rgb="FF0000FF"/>
    </font>
    <font>
      <u/>
      <color rgb="FF1155CC"/>
    </font>
    <font>
      <i/>
      <color theme="1"/>
      <name val="Arial"/>
    </font>
    <font>
      <b/>
      <i/>
      <u/>
      <color rgb="FF000000"/>
      <name val="Arial"/>
      <scheme val="minor"/>
    </font>
    <font>
      <color rgb="FF000000"/>
      <name val="Arial"/>
      <scheme val="minor"/>
    </font>
    <font>
      <b/>
      <u/>
      <color rgb="FF000000"/>
      <name val="Arial"/>
      <scheme val="minor"/>
    </font>
    <font>
      <b/>
      <u/>
      <color theme="1"/>
      <name val="Arial"/>
      <scheme val="minor"/>
    </font>
    <font>
      <u/>
      <color rgb="FF0000FF"/>
    </font>
    <font>
      <b/>
      <i/>
      <color theme="1"/>
      <name val="Arial"/>
      <scheme val="minor"/>
    </font>
    <font>
      <b/>
      <i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1" numFmtId="0" xfId="0" applyBorder="1" applyFont="1"/>
    <xf borderId="5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1" xfId="0" applyBorder="1" applyFont="1" applyNumberForma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8" fillId="0" fontId="1" numFmtId="0" xfId="0" applyBorder="1" applyFont="1"/>
    <xf borderId="8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164" xfId="0" applyBorder="1" applyFont="1" applyNumberForma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9" fillId="3" fontId="2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8" fillId="0" fontId="4" numFmtId="0" xfId="0" applyAlignment="1" applyBorder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8" fillId="0" fontId="2" numFmtId="0" xfId="0" applyAlignment="1" applyBorder="1" applyFont="1">
      <alignment readingOrder="0"/>
    </xf>
    <xf borderId="8" fillId="0" fontId="5" numFmtId="0" xfId="0" applyAlignment="1" applyBorder="1" applyFont="1">
      <alignment horizontal="left" readingOrder="0" shrinkToFit="0" wrapText="0"/>
    </xf>
    <xf borderId="7" fillId="0" fontId="1" numFmtId="0" xfId="0" applyAlignment="1" applyBorder="1" applyFont="1">
      <alignment readingOrder="0" shrinkToFit="0" wrapText="0"/>
    </xf>
    <xf borderId="7" fillId="0" fontId="1" numFmtId="0" xfId="0" applyBorder="1" applyFont="1"/>
    <xf borderId="8" fillId="0" fontId="6" numFmtId="0" xfId="0" applyAlignment="1" applyBorder="1" applyFont="1">
      <alignment readingOrder="0" shrinkToFit="0" wrapText="0"/>
    </xf>
    <xf borderId="8" fillId="0" fontId="7" numFmtId="0" xfId="0" applyAlignment="1" applyBorder="1" applyFont="1">
      <alignment horizontal="left" readingOrder="0" shrinkToFit="0" wrapText="0"/>
    </xf>
    <xf borderId="8" fillId="0" fontId="8" numFmtId="0" xfId="0" applyAlignment="1" applyBorder="1" applyFont="1">
      <alignment readingOrder="0"/>
    </xf>
    <xf borderId="8" fillId="0" fontId="1" numFmtId="0" xfId="0" applyAlignment="1" applyBorder="1" applyFont="1">
      <alignment readingOrder="0" shrinkToFit="0" wrapText="0"/>
    </xf>
    <xf borderId="0" fillId="0" fontId="9" numFmtId="0" xfId="0" applyAlignment="1" applyFont="1">
      <alignment horizontal="left" readingOrder="0"/>
    </xf>
    <xf borderId="8" fillId="0" fontId="1" numFmtId="0" xfId="0" applyAlignment="1" applyBorder="1" applyFont="1">
      <alignment shrinkToFit="0" wrapText="0"/>
    </xf>
    <xf borderId="0" fillId="0" fontId="10" numFmtId="0" xfId="0" applyAlignment="1" applyFont="1">
      <alignment readingOrder="0"/>
    </xf>
    <xf borderId="8" fillId="0" fontId="1" numFmtId="0" xfId="0" applyAlignment="1" applyBorder="1" applyFont="1">
      <alignment readingOrder="0" shrinkToFit="0" wrapText="0"/>
    </xf>
    <xf borderId="0" fillId="0" fontId="1" numFmtId="165" xfId="0" applyAlignment="1" applyFont="1" applyNumberFormat="1">
      <alignment readingOrder="0"/>
    </xf>
    <xf borderId="7" fillId="0" fontId="1" numFmtId="0" xfId="0" applyAlignment="1" applyBorder="1" applyFont="1">
      <alignment horizontal="left" readingOrder="0"/>
    </xf>
    <xf borderId="5" fillId="0" fontId="1" numFmtId="166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9" fillId="5" fontId="2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1" numFmtId="2" xfId="0" applyFont="1" applyNumberFormat="1"/>
    <xf borderId="7" fillId="0" fontId="1" numFmtId="0" xfId="0" applyAlignment="1" applyBorder="1" applyFont="1">
      <alignment horizontal="right" readingOrder="0"/>
    </xf>
    <xf borderId="8" fillId="0" fontId="11" numFmtId="0" xfId="0" applyAlignment="1" applyBorder="1" applyFont="1">
      <alignment readingOrder="0"/>
    </xf>
    <xf borderId="0" fillId="0" fontId="1" numFmtId="1" xfId="0" applyFont="1" applyNumberForma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horizontal="center"/>
    </xf>
    <xf borderId="1" fillId="5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6" fillId="5" fontId="2" numFmtId="0" xfId="0" applyAlignment="1" applyBorder="1" applyFont="1">
      <alignment horizontal="center" readingOrder="0"/>
    </xf>
    <xf borderId="0" fillId="0" fontId="2" numFmtId="167" xfId="0" applyFont="1" applyNumberFormat="1"/>
    <xf borderId="0" fillId="0" fontId="1" numFmtId="0" xfId="0" applyAlignment="1" applyFont="1">
      <alignment readingOrder="0"/>
    </xf>
    <xf borderId="0" fillId="0" fontId="1" numFmtId="167" xfId="0" applyFont="1" applyNumberFormat="1"/>
    <xf borderId="4" fillId="0" fontId="1" numFmtId="0" xfId="0" applyBorder="1" applyFont="1"/>
    <xf borderId="1" fillId="0" fontId="2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2" numFmtId="0" xfId="0" applyAlignment="1" applyFont="1">
      <alignment vertical="bottom"/>
    </xf>
    <xf borderId="7" fillId="0" fontId="13" numFmtId="0" xfId="0" applyAlignment="1" applyBorder="1" applyFont="1">
      <alignment readingOrder="0" vertical="bottom"/>
    </xf>
    <xf borderId="8" fillId="0" fontId="12" numFmtId="0" xfId="0" applyAlignment="1" applyBorder="1" applyFont="1">
      <alignment shrinkToFit="0" vertical="bottom" wrapText="0"/>
    </xf>
    <xf borderId="7" fillId="0" fontId="12" numFmtId="0" xfId="0" applyAlignment="1" applyBorder="1" applyFont="1">
      <alignment readingOrder="0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vertical="bottom"/>
    </xf>
    <xf borderId="8" fillId="0" fontId="12" numFmtId="0" xfId="0" applyAlignment="1" applyBorder="1" applyFont="1">
      <alignment readingOrder="0" shrinkToFit="0" vertical="bottom" wrapText="0"/>
    </xf>
    <xf borderId="0" fillId="0" fontId="12" numFmtId="164" xfId="0" applyAlignment="1" applyFont="1" applyNumberFormat="1">
      <alignment vertical="bottom"/>
    </xf>
    <xf borderId="7" fillId="0" fontId="12" numFmtId="0" xfId="0" applyAlignment="1" applyBorder="1" applyFont="1">
      <alignment vertical="bottom"/>
    </xf>
    <xf borderId="0" fillId="0" fontId="12" numFmtId="168" xfId="0" applyAlignment="1" applyFont="1" applyNumberFormat="1">
      <alignment vertical="bottom"/>
    </xf>
    <xf borderId="0" fillId="0" fontId="12" numFmtId="0" xfId="0" applyAlignment="1" applyFont="1">
      <alignment horizontal="right" readingOrder="0" vertical="bottom"/>
    </xf>
    <xf borderId="8" fillId="0" fontId="14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horizontal="right" vertical="bottom"/>
    </xf>
    <xf borderId="0" fillId="0" fontId="12" numFmtId="2" xfId="0" applyAlignment="1" applyFont="1" applyNumberFormat="1">
      <alignment horizontal="right" readingOrder="0" vertical="bottom"/>
    </xf>
    <xf borderId="8" fillId="0" fontId="15" numFmtId="0" xfId="0" applyAlignment="1" applyBorder="1" applyFont="1">
      <alignment readingOrder="0" shrinkToFit="0" wrapText="0"/>
    </xf>
    <xf borderId="0" fillId="0" fontId="12" numFmtId="169" xfId="0" applyAlignment="1" applyFont="1" applyNumberFormat="1">
      <alignment horizontal="right" vertical="bottom"/>
    </xf>
    <xf quotePrefix="1" borderId="8" fillId="0" fontId="12" numFmtId="0" xfId="0" applyAlignment="1" applyBorder="1" applyFont="1">
      <alignment readingOrder="0" shrinkToFit="0" vertical="bottom" wrapText="0"/>
    </xf>
    <xf borderId="0" fillId="0" fontId="12" numFmtId="4" xfId="0" applyAlignment="1" applyFont="1" applyNumberFormat="1">
      <alignment horizontal="right" vertical="bottom"/>
    </xf>
    <xf borderId="0" fillId="0" fontId="12" numFmtId="4" xfId="0" applyAlignment="1" applyFont="1" applyNumberFormat="1">
      <alignment vertical="bottom"/>
    </xf>
    <xf borderId="0" fillId="0" fontId="13" numFmtId="4" xfId="0" applyAlignment="1" applyFont="1" applyNumberFormat="1">
      <alignment vertical="bottom"/>
    </xf>
    <xf borderId="0" fillId="0" fontId="13" numFmtId="0" xfId="0" applyAlignment="1" applyFont="1">
      <alignment readingOrder="0" vertical="bottom"/>
    </xf>
    <xf quotePrefix="1" borderId="8" fillId="0" fontId="1" numFmtId="0" xfId="0" applyAlignment="1" applyBorder="1" applyFont="1">
      <alignment readingOrder="0" shrinkToFit="0" wrapText="0"/>
    </xf>
    <xf borderId="0" fillId="0" fontId="13" numFmtId="170" xfId="0" applyAlignment="1" applyFont="1" applyNumberFormat="1">
      <alignment vertical="bottom"/>
    </xf>
    <xf borderId="0" fillId="6" fontId="16" numFmtId="0" xfId="0" applyAlignment="1" applyFill="1" applyFont="1">
      <alignment horizontal="left" readingOrder="0"/>
    </xf>
    <xf borderId="0" fillId="0" fontId="1" numFmtId="4" xfId="0" applyFont="1" applyNumberFormat="1"/>
    <xf borderId="0" fillId="0" fontId="2" numFmtId="2" xfId="0" applyFont="1" applyNumberFormat="1"/>
    <xf borderId="0" fillId="0" fontId="1" numFmtId="164" xfId="0" applyFont="1" applyNumberFormat="1"/>
    <xf borderId="0" fillId="0" fontId="1" numFmtId="166" xfId="0" applyFont="1" applyNumberFormat="1"/>
    <xf borderId="1" fillId="0" fontId="1" numFmtId="0" xfId="0" applyBorder="1" applyFont="1"/>
    <xf borderId="3" fillId="0" fontId="17" numFmtId="0" xfId="0" applyAlignment="1" applyBorder="1" applyFont="1">
      <alignment readingOrder="0" shrinkToFit="0" wrapText="0"/>
    </xf>
    <xf borderId="8" fillId="0" fontId="9" numFmtId="0" xfId="0" applyAlignment="1" applyBorder="1" applyFont="1">
      <alignment horizontal="left" readingOrder="0" shrinkToFit="0" wrapText="0"/>
    </xf>
    <xf borderId="0" fillId="6" fontId="18" numFmtId="0" xfId="0" applyAlignment="1" applyFont="1">
      <alignment horizontal="left" readingOrder="0"/>
    </xf>
    <xf borderId="7" fillId="0" fontId="1" numFmtId="0" xfId="0" applyAlignment="1" applyBorder="1" applyFont="1">
      <alignment readingOrder="0"/>
    </xf>
    <xf borderId="7" fillId="0" fontId="9" numFmtId="0" xfId="0" applyAlignment="1" applyBorder="1" applyFont="1">
      <alignment horizontal="left" readingOrder="0"/>
    </xf>
    <xf borderId="8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2" numFmtId="0" xfId="0" applyAlignment="1" applyBorder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8" fillId="0" fontId="12" numFmtId="0" xfId="0" applyAlignment="1" applyBorder="1" applyFont="1">
      <alignment vertical="bottom"/>
    </xf>
    <xf borderId="0" fillId="0" fontId="1" numFmtId="171" xfId="0" applyFont="1" applyNumberFormat="1"/>
    <xf borderId="5" fillId="0" fontId="2" numFmtId="171" xfId="0" applyAlignment="1" applyBorder="1" applyFont="1" applyNumberFormat="1">
      <alignment readingOrder="0"/>
    </xf>
    <xf borderId="0" fillId="0" fontId="1" numFmtId="9" xfId="0" applyAlignment="1" applyFont="1" applyNumberFormat="1">
      <alignment readingOrder="0"/>
    </xf>
    <xf borderId="9" fillId="7" fontId="2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readingOrder="0" shrinkToFit="0" wrapText="1"/>
    </xf>
    <xf borderId="5" fillId="0" fontId="3" numFmtId="0" xfId="0" applyBorder="1" applyFont="1"/>
    <xf borderId="9" fillId="8" fontId="2" numFmtId="0" xfId="0" applyAlignment="1" applyBorder="1" applyFill="1" applyFont="1">
      <alignment horizontal="center" readingOrder="0"/>
    </xf>
    <xf borderId="0" fillId="0" fontId="19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0" numFmtId="0" xfId="0" applyAlignment="1" applyFont="1">
      <alignment readingOrder="0" shrinkToFit="0" wrapText="0"/>
    </xf>
    <xf borderId="1" fillId="2" fontId="13" numFmtId="0" xfId="0" applyAlignment="1" applyBorder="1" applyFont="1">
      <alignment horizontal="center" readingOrder="0" vertical="bottom"/>
    </xf>
    <xf borderId="7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4" fillId="2" fontId="13" numFmtId="0" xfId="0" applyAlignment="1" applyBorder="1" applyFont="1">
      <alignment horizontal="center" vertical="bottom"/>
    </xf>
    <xf borderId="5" fillId="2" fontId="13" numFmtId="0" xfId="0" applyAlignment="1" applyBorder="1" applyFont="1">
      <alignment horizontal="center" vertical="bottom"/>
    </xf>
    <xf borderId="6" fillId="2" fontId="13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8" fillId="0" fontId="12" numFmtId="0" xfId="0" applyAlignment="1" applyBorder="1" applyFont="1">
      <alignment readingOrder="0" shrinkToFit="0" vertical="bottom" wrapText="0"/>
    </xf>
    <xf borderId="7" fillId="0" fontId="21" numFmtId="0" xfId="0" applyAlignment="1" applyBorder="1" applyFont="1">
      <alignment readingOrder="0" vertical="bottom"/>
    </xf>
    <xf borderId="8" fillId="0" fontId="12" numFmtId="0" xfId="0" applyAlignment="1" applyBorder="1" applyFont="1">
      <alignment vertical="bottom"/>
    </xf>
    <xf borderId="0" fillId="0" fontId="1" numFmtId="172" xfId="0" applyFont="1" applyNumberFormat="1"/>
    <xf borderId="7" fillId="0" fontId="21" numFmtId="0" xfId="0" applyAlignment="1" applyBorder="1" applyFont="1">
      <alignment vertical="bottom"/>
    </xf>
    <xf borderId="7" fillId="0" fontId="11" numFmtId="0" xfId="0" applyAlignment="1" applyBorder="1" applyFont="1">
      <alignment readingOrder="0"/>
    </xf>
    <xf borderId="5" fillId="0" fontId="1" numFmtId="172" xfId="0" applyBorder="1" applyFont="1" applyNumberFormat="1"/>
    <xf borderId="4" fillId="0" fontId="12" numFmtId="0" xfId="0" applyAlignment="1" applyBorder="1" applyFont="1">
      <alignment vertical="bottom"/>
    </xf>
    <xf borderId="5" fillId="0" fontId="12" numFmtId="11" xfId="0" applyAlignment="1" applyBorder="1" applyFont="1" applyNumberFormat="1">
      <alignment readingOrder="0" vertical="bottom"/>
    </xf>
    <xf borderId="5" fillId="0" fontId="12" numFmtId="0" xfId="0" applyAlignment="1" applyBorder="1" applyFont="1">
      <alignment readingOrder="0" vertical="bottom"/>
    </xf>
    <xf borderId="8" fillId="0" fontId="12" numFmtId="11" xfId="0" applyAlignment="1" applyBorder="1" applyFont="1" applyNumberFormat="1">
      <alignment vertical="bottom"/>
    </xf>
    <xf borderId="8" fillId="3" fontId="2" numFmtId="0" xfId="0" applyAlignment="1" applyBorder="1" applyFont="1">
      <alignment readingOrder="0"/>
    </xf>
    <xf borderId="5" fillId="0" fontId="1" numFmtId="4" xfId="0" applyBorder="1" applyFont="1" applyNumberFormat="1"/>
    <xf borderId="9" fillId="0" fontId="11" numFmtId="0" xfId="0" applyAlignment="1" applyBorder="1" applyFont="1">
      <alignment horizontal="center" readingOrder="0"/>
    </xf>
    <xf borderId="6" fillId="0" fontId="12" numFmtId="11" xfId="0" applyAlignment="1" applyBorder="1" applyFont="1" applyNumberFormat="1">
      <alignment vertical="bottom"/>
    </xf>
    <xf borderId="0" fillId="0" fontId="12" numFmtId="166" xfId="0" applyAlignment="1" applyFont="1" applyNumberFormat="1">
      <alignment horizontal="right" readingOrder="0" vertical="bottom"/>
    </xf>
    <xf borderId="6" fillId="0" fontId="1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5" fillId="0" fontId="1" numFmtId="173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2" numFmtId="0" xfId="0" applyAlignment="1" applyBorder="1" applyFont="1">
      <alignment readingOrder="0" vertical="bottom"/>
    </xf>
    <xf borderId="3" fillId="0" fontId="12" numFmtId="0" xfId="0" applyAlignment="1" applyBorder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9" fillId="2" fontId="13" numFmtId="0" xfId="0" applyAlignment="1" applyBorder="1" applyFont="1">
      <alignment horizontal="center" vertical="bottom"/>
    </xf>
    <xf borderId="12" fillId="2" fontId="13" numFmtId="0" xfId="0" applyAlignment="1" applyBorder="1" applyFont="1">
      <alignment horizontal="center" vertical="bottom"/>
    </xf>
    <xf borderId="12" fillId="2" fontId="13" numFmtId="0" xfId="0" applyAlignment="1" applyBorder="1" applyFont="1">
      <alignment vertical="bottom"/>
    </xf>
    <xf borderId="12" fillId="0" fontId="12" numFmtId="0" xfId="0" applyAlignment="1" applyBorder="1" applyFont="1">
      <alignment shrinkToFit="0" vertical="bottom" wrapText="0"/>
    </xf>
    <xf borderId="12" fillId="0" fontId="12" numFmtId="1" xfId="0" applyAlignment="1" applyBorder="1" applyFont="1" applyNumberFormat="1">
      <alignment horizontal="right" vertical="bottom"/>
    </xf>
    <xf borderId="12" fillId="0" fontId="12" numFmtId="0" xfId="0" applyAlignment="1" applyBorder="1" applyFont="1">
      <alignment vertical="bottom"/>
    </xf>
    <xf borderId="12" fillId="0" fontId="21" numFmtId="0" xfId="0" applyAlignment="1" applyBorder="1" applyFont="1">
      <alignment vertical="bottom"/>
    </xf>
    <xf borderId="12" fillId="0" fontId="12" numFmtId="0" xfId="0" applyAlignment="1" applyBorder="1" applyFont="1">
      <alignment readingOrder="0" shrinkToFit="0" vertical="bottom" wrapText="0"/>
    </xf>
    <xf borderId="12" fillId="0" fontId="12" numFmtId="0" xfId="0" applyAlignment="1" applyBorder="1" applyFont="1">
      <alignment horizontal="right" vertical="bottom"/>
    </xf>
    <xf borderId="12" fillId="0" fontId="12" numFmtId="4" xfId="0" applyAlignment="1" applyBorder="1" applyFont="1" applyNumberFormat="1">
      <alignment horizontal="right" vertical="bottom"/>
    </xf>
    <xf borderId="12" fillId="0" fontId="12" numFmtId="164" xfId="0" applyAlignment="1" applyBorder="1" applyFont="1" applyNumberFormat="1">
      <alignment horizontal="right" vertical="bottom"/>
    </xf>
    <xf borderId="12" fillId="0" fontId="12" numFmtId="172" xfId="0" applyAlignment="1" applyBorder="1" applyFont="1" applyNumberFormat="1">
      <alignment horizontal="right" vertical="bottom"/>
    </xf>
    <xf borderId="9" fillId="3" fontId="13" numFmtId="0" xfId="0" applyAlignment="1" applyBorder="1" applyFont="1">
      <alignment horizontal="center" vertical="bottom"/>
    </xf>
    <xf borderId="0" fillId="9" fontId="1" numFmtId="0" xfId="0" applyFill="1" applyFont="1"/>
    <xf borderId="0" fillId="9" fontId="1" numFmtId="0" xfId="0" applyAlignment="1" applyFont="1">
      <alignment readingOrder="0"/>
    </xf>
    <xf borderId="12" fillId="3" fontId="13" numFmtId="0" xfId="0" applyAlignment="1" applyBorder="1" applyFont="1">
      <alignment horizontal="center" vertical="bottom"/>
    </xf>
    <xf borderId="0" fillId="9" fontId="1" numFmtId="1" xfId="0" applyFont="1" applyNumberFormat="1"/>
    <xf borderId="0" fillId="8" fontId="1" numFmtId="0" xfId="0" applyFont="1"/>
    <xf borderId="0" fillId="8" fontId="1" numFmtId="0" xfId="0" applyAlignment="1" applyFont="1">
      <alignment readingOrder="0"/>
    </xf>
    <xf borderId="12" fillId="3" fontId="13" numFmtId="0" xfId="0" applyAlignment="1" applyBorder="1" applyFont="1">
      <alignment vertical="bottom"/>
    </xf>
    <xf borderId="0" fillId="8" fontId="1" numFmtId="4" xfId="0" applyFont="1" applyNumberFormat="1"/>
    <xf borderId="0" fillId="9" fontId="1" numFmtId="172" xfId="0" applyFont="1" applyNumberFormat="1"/>
    <xf borderId="0" fillId="8" fontId="1" numFmtId="172" xfId="0" applyFont="1" applyNumberFormat="1"/>
    <xf borderId="1" fillId="5" fontId="2" numFmtId="0" xfId="0" applyAlignment="1" applyBorder="1" applyFont="1">
      <alignment horizontal="center" readingOrder="0"/>
    </xf>
    <xf borderId="0" fillId="0" fontId="1" numFmtId="4" xfId="0" applyAlignment="1" applyFont="1" applyNumberFormat="1">
      <alignment readingOrder="0"/>
    </xf>
    <xf borderId="5" fillId="0" fontId="1" numFmtId="4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borderId="12" fillId="10" fontId="1" numFmtId="0" xfId="0" applyAlignment="1" applyBorder="1" applyFill="1" applyFont="1">
      <alignment readingOrder="0"/>
    </xf>
    <xf borderId="0" fillId="0" fontId="11" numFmtId="0" xfId="0" applyAlignment="1" applyFont="1">
      <alignment readingOrder="0"/>
    </xf>
    <xf borderId="12" fillId="0" fontId="1" numFmtId="0" xfId="0" applyBorder="1" applyFont="1"/>
    <xf borderId="12" fillId="0" fontId="1" numFmtId="167" xfId="0" applyBorder="1" applyFont="1" applyNumberFormat="1"/>
    <xf borderId="12" fillId="0" fontId="1" numFmtId="0" xfId="0" applyAlignment="1" applyBorder="1" applyFont="1">
      <alignment readingOrder="0"/>
    </xf>
    <xf borderId="0" fillId="6" fontId="9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22" numFmtId="0" xfId="0" applyAlignment="1" applyFont="1">
      <alignment horizontal="left" readingOrder="0" shrinkToFit="0" wrapText="0"/>
    </xf>
    <xf borderId="0" fillId="0" fontId="23" numFmtId="0" xfId="0" applyAlignment="1" applyFont="1">
      <alignment horizontal="left" shrinkToFit="0" wrapText="0"/>
    </xf>
    <xf borderId="0" fillId="0" fontId="24" numFmtId="0" xfId="0" applyAlignment="1" applyFont="1">
      <alignment horizontal="left" readingOrder="0" shrinkToFit="0" wrapText="0"/>
    </xf>
    <xf borderId="0" fillId="0" fontId="23" numFmtId="0" xfId="0" applyAlignment="1" applyFont="1">
      <alignment horizontal="left" readingOrder="0" shrinkToFit="0" wrapText="0"/>
    </xf>
    <xf borderId="0" fillId="0" fontId="25" numFmtId="0" xfId="0" applyAlignment="1" applyFont="1">
      <alignment readingOrder="0"/>
    </xf>
    <xf borderId="0" fillId="0" fontId="1" numFmtId="174" xfId="0" applyAlignment="1" applyFont="1" applyNumberFormat="1">
      <alignment readingOrder="0"/>
    </xf>
    <xf borderId="0" fillId="0" fontId="1" numFmtId="174" xfId="0" applyFont="1" applyNumberFormat="1"/>
    <xf borderId="0" fillId="0" fontId="26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9" fontId="1" numFmtId="0" xfId="0" applyAlignment="1" applyFont="1">
      <alignment readingOrder="0" shrinkToFit="0" wrapText="0"/>
    </xf>
    <xf borderId="0" fillId="9" fontId="27" numFmtId="0" xfId="0" applyAlignment="1" applyFont="1">
      <alignment readingOrder="0" shrinkToFit="0" wrapText="0"/>
    </xf>
    <xf borderId="0" fillId="9" fontId="28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/>
    </xf>
    <xf borderId="0" fillId="7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EPS and Fortuna Comparison by Impact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EPS!$O$4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EPS!$N$5:$N$9</c:f>
            </c:strRef>
          </c:cat>
          <c:val>
            <c:numRef>
              <c:f>EPS!$O$5:$O$9</c:f>
              <c:numCache/>
            </c:numRef>
          </c:val>
        </c:ser>
        <c:ser>
          <c:idx val="1"/>
          <c:order val="1"/>
          <c:tx>
            <c:strRef>
              <c:f>EPS!$P$4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EPS!$N$5:$N$9</c:f>
            </c:strRef>
          </c:cat>
          <c:val>
            <c:numRef>
              <c:f>EPS!$P$5:$P$9</c:f>
              <c:numCache/>
            </c:numRef>
          </c:val>
        </c:ser>
        <c:axId val="1110145704"/>
        <c:axId val="1666084757"/>
      </c:barChart>
      <c:catAx>
        <c:axId val="11101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Impact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084757"/>
      </c:catAx>
      <c:valAx>
        <c:axId val="1666084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Impact with Respect to Fortuna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145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Total Impact Per Year (assuming 3120 coolers per year)</a:t>
            </a:r>
          </a:p>
        </c:rich>
      </c:tx>
      <c:layout>
        <c:manualLayout>
          <c:xMode val="edge"/>
          <c:yMode val="edge"/>
          <c:x val="0.03091666666666667"/>
          <c:y val="0.023045822102425877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#,##0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Vis'!$A$4:$A$8</c:f>
            </c:strRef>
          </c:cat>
          <c:val>
            <c:numRef>
              <c:f>'Impact Data Vis'!$B$4:$B$8</c:f>
              <c:numCache/>
            </c:numRef>
          </c:val>
        </c:ser>
        <c:axId val="1752667123"/>
        <c:axId val="1924204417"/>
      </c:barChart>
      <c:catAx>
        <c:axId val="175266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Impact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204417"/>
      </c:catAx>
      <c:valAx>
        <c:axId val="192420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of pollutant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667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Total Impact Per Fortuna Cooler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#,##0.00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Vis'!$A$20:$A$24</c:f>
            </c:strRef>
          </c:cat>
          <c:val>
            <c:numRef>
              <c:f>'Impact Data Vis'!$B$20:$B$24</c:f>
              <c:numCache/>
            </c:numRef>
          </c:val>
        </c:ser>
        <c:axId val="1365734943"/>
        <c:axId val="1127168958"/>
      </c:barChart>
      <c:catAx>
        <c:axId val="136573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Impact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168958"/>
      </c:catAx>
      <c:valAx>
        <c:axId val="1127168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of pollutant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734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Greenhouse Gas Impact by Life Cycle Activity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Vis'!$J$5:$J$12</c:f>
            </c:strRef>
          </c:cat>
          <c:val>
            <c:numRef>
              <c:f>'Impact Data Vis'!$K$5:$K$12</c:f>
              <c:numCache/>
            </c:numRef>
          </c:val>
        </c:ser>
        <c:axId val="770652309"/>
        <c:axId val="1900614212"/>
      </c:barChart>
      <c:catAx>
        <c:axId val="77065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614212"/>
      </c:catAx>
      <c:valAx>
        <c:axId val="1900614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CO2 eq per year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652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Acidification Impact by Life Cycle Activity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Vis'!$J$26:$J$33</c:f>
            </c:strRef>
          </c:cat>
          <c:val>
            <c:numRef>
              <c:f>'Impact Data Vis'!$K$26:$K$33</c:f>
              <c:numCache/>
            </c:numRef>
          </c:val>
        </c:ser>
        <c:axId val="498012739"/>
        <c:axId val="1652837784"/>
      </c:barChart>
      <c:catAx>
        <c:axId val="498012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37784"/>
      </c:catAx>
      <c:valAx>
        <c:axId val="1652837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SO2 per year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012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 Eutrophication Impact by Life Cycle Activity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Vis'!$J$48:$J$55</c:f>
            </c:strRef>
          </c:cat>
          <c:val>
            <c:numRef>
              <c:f>'Impact Data Vis'!$K$48:$K$55</c:f>
              <c:numCache/>
            </c:numRef>
          </c:val>
        </c:ser>
        <c:axId val="47137407"/>
        <c:axId val="1538526913"/>
      </c:barChart>
      <c:catAx>
        <c:axId val="4713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26913"/>
      </c:catAx>
      <c:valAx>
        <c:axId val="153852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PO4 per year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37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 Summer Smog Impact by Life Cycle Activity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'Impact Data Vis'!$K$69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Vis'!$J$70:$J$77</c:f>
            </c:strRef>
          </c:cat>
          <c:val>
            <c:numRef>
              <c:f>'Impact Data Vis'!$K$70:$K$77</c:f>
              <c:numCache/>
            </c:numRef>
          </c:val>
        </c:ser>
        <c:axId val="1518533500"/>
        <c:axId val="2017731436"/>
      </c:barChart>
      <c:catAx>
        <c:axId val="151853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31436"/>
      </c:catAx>
      <c:valAx>
        <c:axId val="2017731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C2H4 per year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3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 Heavy Metals Impact by Life Cycle Activity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'Impact Data Vis'!$J$92:$J$99</c:f>
            </c:strRef>
          </c:cat>
          <c:val>
            <c:numRef>
              <c:f>'Impact Data Vis'!$K$92:$K$99</c:f>
              <c:numCache/>
            </c:numRef>
          </c:val>
        </c:ser>
        <c:axId val="1257548675"/>
        <c:axId val="2052902146"/>
      </c:barChart>
      <c:catAx>
        <c:axId val="1257548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902146"/>
      </c:catAx>
      <c:valAx>
        <c:axId val="2052902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Kilograms Pb per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548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5" Type="http://schemas.openxmlformats.org/officeDocument/2006/relationships/image" Target="../media/image7.png"/><Relationship Id="rId6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180975</xdr:rowOff>
    </xdr:from>
    <xdr:ext cx="4181475" cy="25241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13</xdr:row>
      <xdr:rowOff>180975</xdr:rowOff>
    </xdr:from>
    <xdr:ext cx="4181475" cy="2524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26</xdr:row>
      <xdr:rowOff>180975</xdr:rowOff>
    </xdr:from>
    <xdr:ext cx="4181475" cy="25241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40</xdr:row>
      <xdr:rowOff>-19050</xdr:rowOff>
    </xdr:from>
    <xdr:ext cx="4181475" cy="252412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52</xdr:row>
      <xdr:rowOff>180975</xdr:rowOff>
    </xdr:from>
    <xdr:ext cx="4181475" cy="25241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65</xdr:row>
      <xdr:rowOff>180975</xdr:rowOff>
    </xdr:from>
    <xdr:ext cx="4181475" cy="25241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114300</xdr:colOff>
      <xdr:row>18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0</xdr:row>
      <xdr:rowOff>85725</xdr:rowOff>
    </xdr:from>
    <xdr:ext cx="5715000" cy="4562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57150</xdr:colOff>
      <xdr:row>23</xdr:row>
      <xdr:rowOff>47625</xdr:rowOff>
    </xdr:from>
    <xdr:ext cx="5715000" cy="4343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57150</xdr:colOff>
      <xdr:row>44</xdr:row>
      <xdr:rowOff>133350</xdr:rowOff>
    </xdr:from>
    <xdr:ext cx="5715000" cy="4467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57150</xdr:colOff>
      <xdr:row>67</xdr:row>
      <xdr:rowOff>0</xdr:rowOff>
    </xdr:from>
    <xdr:ext cx="5715000" cy="4467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57150</xdr:colOff>
      <xdr:row>89</xdr:row>
      <xdr:rowOff>66675</xdr:rowOff>
    </xdr:from>
    <xdr:ext cx="5715000" cy="4400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06450" cy="9544050"/>
    <xdr:pic>
      <xdr:nvPicPr>
        <xdr:cNvPr id="0" name="image9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200025</xdr:rowOff>
    </xdr:from>
    <xdr:ext cx="4105275" cy="41052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1676400</xdr:colOff>
      <xdr:row>49</xdr:row>
      <xdr:rowOff>200025</xdr:rowOff>
    </xdr:from>
    <xdr:ext cx="4105275" cy="41052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eader.elsevier.com/reader/sd/pii/S0265931X12000331?token=346BA85E3ADE12A8269D3AE32F24FC0ECC343796785C3BFED072BC8E953247277ACEF0392E1F5E07D6F312D1FC4E6A95" TargetMode="External"/><Relationship Id="rId22" Type="http://schemas.openxmlformats.org/officeDocument/2006/relationships/hyperlink" Target="https://www.researchgate.net/profile/Van_Ryan_Kristopher_Galarpe/publication/286216455_Opportunities_and_Threats_to_Adjacent_Community_in_a_Sanitary_Landfill_Philippines/links/59087430a6fdcc496162b183/Opportunities-and-Threats-to-Adjacent-Community-in-a-Sanitary-Landfill-Philippines.pdf" TargetMode="External"/><Relationship Id="rId21" Type="http://schemas.openxmlformats.org/officeDocument/2006/relationships/hyperlink" Target="https://ovcre.uplb.edu.ph/journals-uplb/index.php/JESAM/article/view/202/188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s://reader.elsevier.com/reader/sd/pii/S0959652612005148?token=AE4A81B4F0D2A12D9F2AB74FBBEA7A53327D6C4E7BA67651EA844501F3B79C163ABCC6CC61CFE809E2AD252052223B1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nlkg4f5wdw34kx1a1e9ygem-wpengine.netdna-ssl.com/wp-content/uploads/2017/07/4_EPDLA-Life-Cycle-Assessment-LCA-Summary-Report.pdf" TargetMode="External"/><Relationship Id="rId3" Type="http://schemas.openxmlformats.org/officeDocument/2006/relationships/hyperlink" Target="https://weather-and-climate.com/average-monthly-Rainy-days,Manila,Philippines" TargetMode="External"/><Relationship Id="rId4" Type="http://schemas.openxmlformats.org/officeDocument/2006/relationships/hyperlink" Target="https://www.britannica.com/science/polyvinyl-acetate" TargetMode="External"/><Relationship Id="rId9" Type="http://schemas.openxmlformats.org/officeDocument/2006/relationships/hyperlink" Target="https://www.teknorapex.com/the-pvc-production-process" TargetMode="External"/><Relationship Id="rId25" Type="http://schemas.openxmlformats.org/officeDocument/2006/relationships/vmlDrawing" Target="../drawings/vmlDrawing1.vml"/><Relationship Id="rId5" Type="http://schemas.openxmlformats.org/officeDocument/2006/relationships/hyperlink" Target="https://www.isuzucv.com/en/nseries/nseries_diesel" TargetMode="External"/><Relationship Id="rId6" Type="http://schemas.openxmlformats.org/officeDocument/2006/relationships/hyperlink" Target="https://www.fueleconomy.gov/feg/PowerSearch.do?action=noform&amp;path=1&amp;year1=2001&amp;year2=2001&amp;make=Dodge&amp;model=Ram%201500%20Pickup%202WD&amp;srchtyp=ymm" TargetMode="External"/><Relationship Id="rId7" Type="http://schemas.openxmlformats.org/officeDocument/2006/relationships/hyperlink" Target="https://www.britannica.com/science/acetic-acid" TargetMode="External"/><Relationship Id="rId8" Type="http://schemas.openxmlformats.org/officeDocument/2006/relationships/hyperlink" Target="https://link.springer.com/content/pdf/10.1007/978-1-4613-0433-3_33.pdf" TargetMode="External"/><Relationship Id="rId11" Type="http://schemas.openxmlformats.org/officeDocument/2006/relationships/hyperlink" Target="https://hnlkg4f5wdw34kx1a1e9ygem-wpengine.netdna-ssl.com/wp-content/uploads/2017/07/4_EPDLA-Life-Cycle-Assessment-LCA-Summary-Report.pdf" TargetMode="External"/><Relationship Id="rId10" Type="http://schemas.openxmlformats.org/officeDocument/2006/relationships/hyperlink" Target="https://www.polymerdatabase.com/polymers/polyvinylacetate.html" TargetMode="External"/><Relationship Id="rId13" Type="http://schemas.openxmlformats.org/officeDocument/2006/relationships/hyperlink" Target="https://link.springer.com/chapter/10.1007/978-981-13-9578-9_1" TargetMode="External"/><Relationship Id="rId12" Type="http://schemas.openxmlformats.org/officeDocument/2006/relationships/hyperlink" Target="https://www.sciencedirect.com/science/article/pii/S0959652616318029" TargetMode="External"/><Relationship Id="rId15" Type="http://schemas.openxmlformats.org/officeDocument/2006/relationships/hyperlink" Target="https://www.freightwaves.com/news/how-many-gallons-of-fuel-does-a-container-ship-carry" TargetMode="External"/><Relationship Id="rId14" Type="http://schemas.openxmlformats.org/officeDocument/2006/relationships/hyperlink" Target="https://www.freightwaves.com/news/how-many-gallons-of-fuel-does-a-container-ship-carry" TargetMode="External"/><Relationship Id="rId17" Type="http://schemas.openxmlformats.org/officeDocument/2006/relationships/hyperlink" Target="https://www.doe.gov.ph/electric-power/2015-2017-national-grid-emission-factor-ngef?ckattempt=1" TargetMode="External"/><Relationship Id="rId16" Type="http://schemas.openxmlformats.org/officeDocument/2006/relationships/hyperlink" Target="https://web.archive.org/web/20120224003817/http://www.lr.org/Images/30%20ship%20sizes_tcm155-173543.pdf" TargetMode="External"/><Relationship Id="rId19" Type="http://schemas.openxmlformats.org/officeDocument/2006/relationships/hyperlink" Target="https://www.sciencedirect.com/science/article/pii/S0959652618322674?via%3Dihub" TargetMode="External"/><Relationship Id="rId18" Type="http://schemas.openxmlformats.org/officeDocument/2006/relationships/hyperlink" Target="https://drive.google.com/drive/folders/1lU5joNM6T8_FSO56YXPC55oBLdy0sLR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e.gov.ph/sites/default/files/pdf/energy_statistics/2019_power_statistic_01_summary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7.38"/>
    <col customWidth="1" min="3" max="3" width="20.25"/>
    <col customWidth="1" min="4" max="5" width="13.13"/>
    <col customWidth="1" min="6" max="6" width="7.88"/>
    <col customWidth="1" min="7" max="7" width="12.38"/>
    <col customWidth="1" min="8" max="8" width="16.75"/>
    <col customWidth="1" min="9" max="9" width="22.13"/>
    <col customWidth="1" min="10" max="10" width="19.63"/>
    <col customWidth="1" min="11" max="11" width="19.75"/>
    <col customWidth="1" min="12" max="12" width="17.5"/>
    <col customWidth="1" min="16" max="16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3">
      <c r="B3" s="2" t="s">
        <v>4</v>
      </c>
      <c r="C3" s="3"/>
      <c r="D3" s="3"/>
      <c r="E3" s="4"/>
      <c r="F3" s="5"/>
      <c r="G3" s="6" t="s">
        <v>5</v>
      </c>
      <c r="H3" s="3"/>
      <c r="I3" s="3"/>
      <c r="J3" s="3"/>
      <c r="K3" s="4"/>
    </row>
    <row r="4">
      <c r="B4" s="7" t="s">
        <v>0</v>
      </c>
      <c r="C4" s="8" t="s">
        <v>1</v>
      </c>
      <c r="D4" s="8" t="s">
        <v>2</v>
      </c>
      <c r="E4" s="9" t="s">
        <v>3</v>
      </c>
      <c r="F4" s="1"/>
      <c r="G4" s="10" t="s">
        <v>0</v>
      </c>
      <c r="H4" s="11"/>
      <c r="I4" s="12" t="s">
        <v>1</v>
      </c>
      <c r="J4" s="12" t="s">
        <v>2</v>
      </c>
      <c r="K4" s="13" t="s">
        <v>3</v>
      </c>
    </row>
    <row r="5">
      <c r="B5" s="14" t="s">
        <v>6</v>
      </c>
      <c r="C5" s="1"/>
      <c r="D5" s="1"/>
      <c r="E5" s="15"/>
      <c r="F5" s="1"/>
      <c r="G5" s="16" t="s">
        <v>7</v>
      </c>
      <c r="H5" s="17"/>
      <c r="I5" s="18">
        <f>C59+C88+C172+C195+C223+C235+C250</f>
        <v>19077308.59</v>
      </c>
      <c r="J5" s="19" t="s">
        <v>8</v>
      </c>
      <c r="K5" s="20"/>
    </row>
    <row r="6">
      <c r="B6" s="21" t="s">
        <v>9</v>
      </c>
      <c r="C6" s="1">
        <v>8000.0</v>
      </c>
      <c r="D6" s="22" t="s">
        <v>10</v>
      </c>
      <c r="E6" s="15"/>
      <c r="G6" s="21" t="s">
        <v>11</v>
      </c>
      <c r="I6" s="23">
        <f>I54</f>
        <v>3120</v>
      </c>
      <c r="J6" s="1" t="s">
        <v>12</v>
      </c>
      <c r="K6" s="24"/>
    </row>
    <row r="7">
      <c r="B7" s="21" t="s">
        <v>13</v>
      </c>
      <c r="C7" s="1">
        <v>16000.0</v>
      </c>
      <c r="D7" s="22" t="s">
        <v>10</v>
      </c>
      <c r="E7" s="25"/>
      <c r="G7" s="26" t="s">
        <v>14</v>
      </c>
      <c r="H7" s="27"/>
      <c r="I7" s="28">
        <f>I5/I6</f>
        <v>6114.521984</v>
      </c>
      <c r="J7" s="29" t="s">
        <v>15</v>
      </c>
      <c r="K7" s="30"/>
    </row>
    <row r="8">
      <c r="B8" s="21" t="s">
        <v>16</v>
      </c>
      <c r="C8" s="31">
        <f>(C6*I17+I18*C7)/(I17+I18)</f>
        <v>12704.40252</v>
      </c>
      <c r="D8" s="22" t="s">
        <v>10</v>
      </c>
      <c r="E8" s="25"/>
    </row>
    <row r="9">
      <c r="B9" s="21" t="s">
        <v>17</v>
      </c>
      <c r="C9" s="1">
        <f>C6*I17+I18*C7</f>
        <v>4040000</v>
      </c>
      <c r="D9" s="22" t="s">
        <v>18</v>
      </c>
      <c r="E9" s="25"/>
    </row>
    <row r="10">
      <c r="B10" s="21" t="s">
        <v>19</v>
      </c>
      <c r="C10" s="1">
        <f>I6*I23</f>
        <v>109200</v>
      </c>
      <c r="D10" s="22" t="s">
        <v>20</v>
      </c>
      <c r="E10" s="25"/>
    </row>
    <row r="11">
      <c r="B11" s="21"/>
      <c r="C11" s="1"/>
      <c r="D11" s="32"/>
      <c r="E11" s="25"/>
      <c r="G11" s="33" t="s">
        <v>21</v>
      </c>
      <c r="H11" s="34"/>
      <c r="I11" s="34"/>
      <c r="J11" s="34"/>
      <c r="K11" s="35"/>
    </row>
    <row r="12">
      <c r="B12" s="14" t="s">
        <v>22</v>
      </c>
      <c r="E12" s="36" t="s">
        <v>23</v>
      </c>
      <c r="G12" s="21"/>
      <c r="I12" s="1"/>
      <c r="J12" s="1"/>
      <c r="K12" s="15"/>
    </row>
    <row r="13">
      <c r="B13" s="21" t="s">
        <v>24</v>
      </c>
      <c r="C13" s="1">
        <v>400.0</v>
      </c>
      <c r="D13" s="1" t="s">
        <v>25</v>
      </c>
      <c r="E13" s="15"/>
      <c r="G13" s="14" t="s">
        <v>26</v>
      </c>
      <c r="H13" s="37"/>
      <c r="I13" s="38" t="s">
        <v>1</v>
      </c>
      <c r="J13" s="38" t="s">
        <v>2</v>
      </c>
      <c r="K13" s="39" t="s">
        <v>27</v>
      </c>
      <c r="Q13" s="1"/>
    </row>
    <row r="14">
      <c r="B14" s="21" t="s">
        <v>28</v>
      </c>
      <c r="C14" s="1">
        <f>C13*I54/1000</f>
        <v>1248</v>
      </c>
      <c r="D14" s="1" t="s">
        <v>29</v>
      </c>
      <c r="E14" s="15"/>
      <c r="F14" s="1"/>
      <c r="G14" s="21" t="s">
        <v>30</v>
      </c>
      <c r="I14" s="1">
        <v>4129.0</v>
      </c>
      <c r="J14" s="1" t="s">
        <v>31</v>
      </c>
      <c r="K14" s="40" t="s">
        <v>32</v>
      </c>
      <c r="Q14" s="1"/>
    </row>
    <row r="15">
      <c r="B15" s="21" t="s">
        <v>33</v>
      </c>
      <c r="C15" s="1">
        <f>C14*2/3</f>
        <v>832</v>
      </c>
      <c r="D15" s="1" t="s">
        <v>29</v>
      </c>
      <c r="E15" s="15"/>
      <c r="F15" s="1"/>
      <c r="G15" s="41" t="s">
        <v>34</v>
      </c>
      <c r="I15" s="1">
        <v>23.0</v>
      </c>
      <c r="J15" s="1" t="s">
        <v>31</v>
      </c>
      <c r="K15" s="40" t="s">
        <v>35</v>
      </c>
      <c r="Q15" s="1"/>
    </row>
    <row r="16">
      <c r="B16" s="42"/>
      <c r="E16" s="15"/>
      <c r="G16" s="21" t="s">
        <v>36</v>
      </c>
      <c r="I16" s="23">
        <f>7.5*6*52</f>
        <v>2340</v>
      </c>
      <c r="J16" s="1" t="s">
        <v>37</v>
      </c>
      <c r="K16" s="40" t="s">
        <v>38</v>
      </c>
    </row>
    <row r="17">
      <c r="B17" s="21" t="s">
        <v>39</v>
      </c>
      <c r="C17" s="1">
        <v>0.267</v>
      </c>
      <c r="D17" s="1" t="s">
        <v>40</v>
      </c>
      <c r="E17" s="15" t="s">
        <v>41</v>
      </c>
      <c r="F17" s="1"/>
      <c r="G17" s="21" t="s">
        <v>42</v>
      </c>
      <c r="I17" s="1">
        <v>131.0</v>
      </c>
      <c r="J17" s="1" t="s">
        <v>43</v>
      </c>
      <c r="K17" s="43" t="s">
        <v>44</v>
      </c>
    </row>
    <row r="18" ht="15.75" customHeight="1">
      <c r="B18" s="21" t="s">
        <v>45</v>
      </c>
      <c r="C18" s="1">
        <v>0.133</v>
      </c>
      <c r="D18" s="1" t="s">
        <v>40</v>
      </c>
      <c r="E18" s="15"/>
      <c r="F18" s="1"/>
      <c r="G18" s="21" t="s">
        <v>46</v>
      </c>
      <c r="I18" s="1">
        <v>187.0</v>
      </c>
      <c r="J18" s="1" t="s">
        <v>43</v>
      </c>
      <c r="K18" s="44"/>
    </row>
    <row r="19">
      <c r="B19" s="21" t="s">
        <v>47</v>
      </c>
      <c r="C19" s="1">
        <f t="shared" ref="C19:C20" si="1">I31</f>
        <v>500</v>
      </c>
      <c r="D19" s="1" t="s">
        <v>48</v>
      </c>
      <c r="E19" s="45" t="s">
        <v>49</v>
      </c>
      <c r="F19" s="1"/>
      <c r="G19" s="21" t="s">
        <v>50</v>
      </c>
      <c r="I19" s="1">
        <v>907.185</v>
      </c>
      <c r="J19" s="1" t="s">
        <v>51</v>
      </c>
      <c r="K19" s="46"/>
    </row>
    <row r="20" ht="15.75" customHeight="1">
      <c r="B20" s="21" t="s">
        <v>52</v>
      </c>
      <c r="C20" s="1">
        <f t="shared" si="1"/>
        <v>595</v>
      </c>
      <c r="D20" s="1" t="s">
        <v>53</v>
      </c>
      <c r="E20" s="15"/>
      <c r="G20" s="21" t="s">
        <v>54</v>
      </c>
      <c r="I20" s="1">
        <v>1.10231</v>
      </c>
      <c r="J20" s="1" t="s">
        <v>55</v>
      </c>
      <c r="K20" s="46"/>
    </row>
    <row r="21">
      <c r="B21" s="21" t="s">
        <v>56</v>
      </c>
      <c r="C21" s="1" t="s">
        <v>57</v>
      </c>
      <c r="E21" s="15" t="s">
        <v>58</v>
      </c>
      <c r="G21" s="21" t="s">
        <v>59</v>
      </c>
      <c r="I21" s="1">
        <v>5.2</v>
      </c>
      <c r="J21" s="47" t="s">
        <v>60</v>
      </c>
      <c r="K21" s="43" t="s">
        <v>61</v>
      </c>
    </row>
    <row r="22">
      <c r="B22" s="21" t="s">
        <v>62</v>
      </c>
      <c r="C22" s="1" t="s">
        <v>63</v>
      </c>
      <c r="E22" s="24"/>
      <c r="G22" s="21" t="s">
        <v>64</v>
      </c>
      <c r="I22" s="1">
        <v>14.0</v>
      </c>
      <c r="J22" s="1" t="s">
        <v>65</v>
      </c>
      <c r="K22" s="43" t="s">
        <v>66</v>
      </c>
    </row>
    <row r="23" ht="15.75" customHeight="1">
      <c r="B23" s="21" t="s">
        <v>67</v>
      </c>
      <c r="C23" s="1" t="s">
        <v>57</v>
      </c>
      <c r="E23" s="24"/>
      <c r="G23" s="21" t="s">
        <v>68</v>
      </c>
      <c r="I23" s="1">
        <v>35.0</v>
      </c>
      <c r="K23" s="48"/>
    </row>
    <row r="24">
      <c r="B24" s="21" t="s">
        <v>69</v>
      </c>
      <c r="C24" s="1" t="s">
        <v>57</v>
      </c>
      <c r="E24" s="49" t="s">
        <v>70</v>
      </c>
      <c r="G24" s="21" t="s">
        <v>71</v>
      </c>
      <c r="I24" s="23">
        <f>330+155</f>
        <v>485</v>
      </c>
      <c r="J24" s="1" t="s">
        <v>72</v>
      </c>
      <c r="K24" s="43" t="s">
        <v>73</v>
      </c>
    </row>
    <row r="25" ht="15.75" customHeight="1">
      <c r="B25" s="42"/>
      <c r="G25" s="21" t="s">
        <v>74</v>
      </c>
      <c r="I25" s="1">
        <f>1055/10^6</f>
        <v>0.001055</v>
      </c>
      <c r="J25" s="1" t="s">
        <v>75</v>
      </c>
      <c r="K25" s="46" t="s">
        <v>76</v>
      </c>
    </row>
    <row r="26">
      <c r="B26" s="14" t="s">
        <v>77</v>
      </c>
      <c r="E26" s="45" t="s">
        <v>78</v>
      </c>
      <c r="G26" s="21" t="s">
        <v>79</v>
      </c>
      <c r="I26" s="1">
        <v>400.0</v>
      </c>
      <c r="J26" s="1" t="s">
        <v>80</v>
      </c>
      <c r="K26" s="46" t="s">
        <v>81</v>
      </c>
    </row>
    <row r="27">
      <c r="B27" s="21" t="s">
        <v>82</v>
      </c>
      <c r="C27" s="1">
        <f>0.9</f>
        <v>0.9</v>
      </c>
      <c r="D27" s="1" t="s">
        <v>40</v>
      </c>
      <c r="E27" s="15" t="s">
        <v>41</v>
      </c>
      <c r="G27" s="21" t="s">
        <v>83</v>
      </c>
      <c r="I27" s="1">
        <v>1.609</v>
      </c>
      <c r="J27" s="1" t="s">
        <v>84</v>
      </c>
      <c r="K27" s="48"/>
    </row>
    <row r="28">
      <c r="B28" s="21" t="s">
        <v>85</v>
      </c>
      <c r="C28" s="23">
        <f>C27*I54</f>
        <v>2808</v>
      </c>
      <c r="D28" s="1" t="s">
        <v>29</v>
      </c>
      <c r="E28" s="15"/>
      <c r="G28" s="21" t="s">
        <v>86</v>
      </c>
      <c r="I28" s="1">
        <f>2.22*10^-4</f>
        <v>0.000222</v>
      </c>
      <c r="J28" s="1" t="s">
        <v>87</v>
      </c>
      <c r="K28" s="50" t="s">
        <v>88</v>
      </c>
    </row>
    <row r="29">
      <c r="B29" s="21" t="s">
        <v>89</v>
      </c>
      <c r="C29" s="1" t="s">
        <v>90</v>
      </c>
      <c r="D29" s="1" t="s">
        <v>91</v>
      </c>
      <c r="E29" s="15"/>
      <c r="G29" s="21" t="s">
        <v>86</v>
      </c>
      <c r="I29" s="51">
        <f>I28*0.4535924</f>
        <v>0.0001006975128</v>
      </c>
      <c r="J29" s="1" t="s">
        <v>92</v>
      </c>
      <c r="K29" s="50" t="s">
        <v>88</v>
      </c>
    </row>
    <row r="30">
      <c r="B30" s="21" t="s">
        <v>93</v>
      </c>
      <c r="C30" s="1" t="s">
        <v>90</v>
      </c>
      <c r="D30" s="1" t="s">
        <v>91</v>
      </c>
      <c r="E30" s="15"/>
      <c r="G30" s="21" t="s">
        <v>94</v>
      </c>
      <c r="I30" s="1">
        <v>1.19</v>
      </c>
      <c r="J30" s="1" t="s">
        <v>95</v>
      </c>
      <c r="K30" s="43" t="s">
        <v>96</v>
      </c>
    </row>
    <row r="31">
      <c r="B31" s="21" t="s">
        <v>97</v>
      </c>
      <c r="C31" s="1" t="s">
        <v>90</v>
      </c>
      <c r="D31" s="1" t="s">
        <v>98</v>
      </c>
      <c r="E31" s="24"/>
      <c r="G31" s="21" t="s">
        <v>99</v>
      </c>
      <c r="I31" s="1">
        <v>500.0</v>
      </c>
      <c r="J31" s="1" t="s">
        <v>98</v>
      </c>
      <c r="K31" s="46" t="s">
        <v>100</v>
      </c>
    </row>
    <row r="32">
      <c r="B32" s="14" t="s">
        <v>101</v>
      </c>
      <c r="E32" s="24"/>
      <c r="G32" s="21" t="s">
        <v>102</v>
      </c>
      <c r="I32" s="23">
        <f>I30*I31</f>
        <v>595</v>
      </c>
      <c r="J32" s="1" t="s">
        <v>91</v>
      </c>
      <c r="K32" s="24"/>
    </row>
    <row r="33">
      <c r="B33" s="21" t="s">
        <v>103</v>
      </c>
      <c r="C33" s="1">
        <v>0.25</v>
      </c>
      <c r="D33" s="1" t="s">
        <v>40</v>
      </c>
      <c r="E33" s="15" t="s">
        <v>41</v>
      </c>
      <c r="G33" s="52" t="s">
        <v>104</v>
      </c>
      <c r="I33" s="1">
        <v>3.6</v>
      </c>
      <c r="J33" s="1" t="s">
        <v>105</v>
      </c>
      <c r="K33" s="15" t="s">
        <v>106</v>
      </c>
    </row>
    <row r="34">
      <c r="B34" s="21" t="s">
        <v>107</v>
      </c>
      <c r="C34" s="1">
        <v>6.0</v>
      </c>
      <c r="D34" s="1" t="s">
        <v>108</v>
      </c>
      <c r="E34" s="15" t="s">
        <v>41</v>
      </c>
      <c r="F34" s="1"/>
      <c r="G34" s="42"/>
      <c r="I34" s="1">
        <v>1.0</v>
      </c>
      <c r="J34" s="1" t="s">
        <v>109</v>
      </c>
      <c r="K34" s="24"/>
    </row>
    <row r="35">
      <c r="B35" s="26" t="s">
        <v>107</v>
      </c>
      <c r="C35" s="53">
        <f>6*I29</f>
        <v>0.0006041850768</v>
      </c>
      <c r="D35" s="29" t="s">
        <v>40</v>
      </c>
      <c r="E35" s="54"/>
      <c r="G35" s="21" t="s">
        <v>110</v>
      </c>
      <c r="I35" s="1">
        <v>43.0</v>
      </c>
      <c r="J35" s="1" t="s">
        <v>111</v>
      </c>
      <c r="K35" s="24"/>
    </row>
    <row r="36">
      <c r="G36" s="21" t="s">
        <v>112</v>
      </c>
      <c r="I36" s="1">
        <v>42.0</v>
      </c>
      <c r="J36" s="1" t="s">
        <v>111</v>
      </c>
      <c r="K36" s="24"/>
    </row>
    <row r="37">
      <c r="F37" s="5"/>
      <c r="G37" s="21" t="s">
        <v>113</v>
      </c>
      <c r="I37" s="1">
        <v>47.0</v>
      </c>
      <c r="J37" s="1" t="s">
        <v>111</v>
      </c>
      <c r="K37" s="24"/>
    </row>
    <row r="38">
      <c r="G38" s="21" t="s">
        <v>114</v>
      </c>
      <c r="I38" s="23">
        <f>35/1.239</f>
        <v>28.24858757</v>
      </c>
      <c r="J38" s="1" t="s">
        <v>115</v>
      </c>
      <c r="K38" s="24"/>
    </row>
    <row r="39">
      <c r="B39" s="55" t="s">
        <v>116</v>
      </c>
      <c r="C39" s="3"/>
      <c r="D39" s="3"/>
      <c r="E39" s="4"/>
      <c r="G39" s="21"/>
      <c r="K39" s="24"/>
    </row>
    <row r="40">
      <c r="B40" s="56" t="s">
        <v>0</v>
      </c>
      <c r="C40" s="57" t="s">
        <v>1</v>
      </c>
      <c r="D40" s="57" t="s">
        <v>2</v>
      </c>
      <c r="E40" s="58" t="s">
        <v>3</v>
      </c>
      <c r="F40" s="1"/>
      <c r="G40" s="26" t="s">
        <v>117</v>
      </c>
      <c r="H40" s="27"/>
      <c r="I40" s="27"/>
      <c r="J40" s="27"/>
      <c r="K40" s="30"/>
    </row>
    <row r="41">
      <c r="B41" s="14" t="s">
        <v>118</v>
      </c>
      <c r="E41" s="24"/>
      <c r="F41" s="1"/>
    </row>
    <row r="42">
      <c r="B42" s="21" t="s">
        <v>119</v>
      </c>
      <c r="C42" s="23">
        <f>C10</f>
        <v>109200</v>
      </c>
      <c r="D42" s="1" t="s">
        <v>120</v>
      </c>
      <c r="E42" s="15"/>
    </row>
    <row r="43">
      <c r="B43" s="21" t="s">
        <v>121</v>
      </c>
      <c r="C43" s="1">
        <v>131.0</v>
      </c>
      <c r="D43" s="1" t="s">
        <v>122</v>
      </c>
      <c r="E43" s="15"/>
      <c r="F43" s="1"/>
      <c r="G43" s="59" t="s">
        <v>123</v>
      </c>
      <c r="H43" s="34"/>
      <c r="I43" s="34"/>
      <c r="J43" s="34"/>
      <c r="K43" s="35"/>
    </row>
    <row r="44">
      <c r="B44" s="21" t="s">
        <v>124</v>
      </c>
      <c r="C44" s="1">
        <v>187.0</v>
      </c>
      <c r="D44" s="1" t="s">
        <v>125</v>
      </c>
      <c r="E44" s="15"/>
      <c r="F44" s="1"/>
      <c r="G44" s="60" t="s">
        <v>126</v>
      </c>
      <c r="H44" s="3"/>
      <c r="I44" s="3"/>
      <c r="J44" s="3"/>
      <c r="K44" s="4"/>
    </row>
    <row r="45">
      <c r="B45" s="21" t="s">
        <v>127</v>
      </c>
      <c r="C45" s="31">
        <f>C42/(C43+C44)</f>
        <v>343.3962264</v>
      </c>
      <c r="D45" s="1" t="s">
        <v>128</v>
      </c>
      <c r="E45" s="15"/>
      <c r="F45" s="1"/>
      <c r="G45" s="14" t="s">
        <v>26</v>
      </c>
      <c r="H45" s="37"/>
      <c r="I45" s="5" t="s">
        <v>1</v>
      </c>
      <c r="J45" s="5" t="s">
        <v>2</v>
      </c>
      <c r="K45" s="61" t="s">
        <v>27</v>
      </c>
    </row>
    <row r="46">
      <c r="B46" s="21" t="s">
        <v>129</v>
      </c>
      <c r="D46" s="1"/>
      <c r="E46" s="15"/>
      <c r="F46" s="1"/>
      <c r="G46" s="21" t="s">
        <v>130</v>
      </c>
      <c r="K46" s="24"/>
    </row>
    <row r="47">
      <c r="B47" s="42"/>
      <c r="C47" s="62">
        <f>C45/6000</f>
        <v>0.0572327044</v>
      </c>
      <c r="D47" s="1" t="s">
        <v>131</v>
      </c>
      <c r="E47" s="15"/>
      <c r="F47" s="1"/>
      <c r="G47" s="63" t="s">
        <v>132</v>
      </c>
      <c r="I47" s="1">
        <v>15.0</v>
      </c>
      <c r="J47" s="1" t="s">
        <v>133</v>
      </c>
      <c r="K47" s="24"/>
    </row>
    <row r="48">
      <c r="B48" s="21" t="s">
        <v>64</v>
      </c>
      <c r="C48" s="1">
        <v>5.95</v>
      </c>
      <c r="D48" s="1" t="s">
        <v>134</v>
      </c>
      <c r="E48" s="15"/>
      <c r="F48" s="1"/>
      <c r="G48" s="63" t="s">
        <v>135</v>
      </c>
      <c r="I48" s="1">
        <v>30.0</v>
      </c>
      <c r="J48" s="1" t="s">
        <v>133</v>
      </c>
      <c r="K48" s="24"/>
    </row>
    <row r="49">
      <c r="B49" s="21" t="s">
        <v>136</v>
      </c>
      <c r="C49" s="23">
        <f>C50*C48</f>
        <v>892.5</v>
      </c>
      <c r="D49" s="1" t="s">
        <v>137</v>
      </c>
      <c r="E49" s="64" t="s">
        <v>138</v>
      </c>
      <c r="F49" s="1"/>
      <c r="G49" s="52" t="s">
        <v>139</v>
      </c>
      <c r="I49" s="23">
        <f>sum(I47:I48)</f>
        <v>45</v>
      </c>
      <c r="J49" s="1" t="s">
        <v>133</v>
      </c>
      <c r="K49" s="24"/>
    </row>
    <row r="50">
      <c r="B50" s="21" t="s">
        <v>140</v>
      </c>
      <c r="C50" s="1">
        <v>150.0</v>
      </c>
      <c r="D50" s="1" t="s">
        <v>141</v>
      </c>
      <c r="E50" s="15" t="s">
        <v>142</v>
      </c>
      <c r="F50" s="1"/>
      <c r="G50" s="21" t="s">
        <v>143</v>
      </c>
      <c r="I50" s="23">
        <f>I49/60</f>
        <v>0.75</v>
      </c>
      <c r="J50" s="1" t="s">
        <v>144</v>
      </c>
      <c r="K50" s="24"/>
    </row>
    <row r="51">
      <c r="B51" s="21" t="s">
        <v>145</v>
      </c>
      <c r="C51" s="62">
        <f>C49*C47</f>
        <v>51.08018868</v>
      </c>
      <c r="D51" s="1" t="s">
        <v>146</v>
      </c>
      <c r="E51" s="15"/>
      <c r="G51" s="21" t="s">
        <v>147</v>
      </c>
      <c r="I51" s="1">
        <v>7.5</v>
      </c>
      <c r="J51" s="1" t="s">
        <v>144</v>
      </c>
      <c r="K51" s="46" t="s">
        <v>148</v>
      </c>
    </row>
    <row r="52">
      <c r="B52" s="21" t="s">
        <v>149</v>
      </c>
      <c r="C52" s="65">
        <f>C51*6*52</f>
        <v>15937.01887</v>
      </c>
      <c r="D52" s="1" t="s">
        <v>150</v>
      </c>
      <c r="E52" s="24"/>
      <c r="F52" s="1"/>
      <c r="G52" s="21" t="s">
        <v>151</v>
      </c>
      <c r="I52" s="23">
        <f>I51/I50</f>
        <v>10</v>
      </c>
      <c r="J52" s="1" t="s">
        <v>152</v>
      </c>
      <c r="K52" s="46" t="s">
        <v>153</v>
      </c>
    </row>
    <row r="53">
      <c r="B53" s="21" t="s">
        <v>149</v>
      </c>
      <c r="C53" s="1">
        <f>C52/1.609
</f>
        <v>9904.921608</v>
      </c>
      <c r="D53" s="1" t="s">
        <v>154</v>
      </c>
      <c r="E53" s="15"/>
      <c r="G53" s="21" t="s">
        <v>155</v>
      </c>
      <c r="I53" s="23">
        <f>6*52</f>
        <v>312</v>
      </c>
      <c r="J53" s="1" t="s">
        <v>122</v>
      </c>
      <c r="K53" s="46" t="s">
        <v>156</v>
      </c>
    </row>
    <row r="54">
      <c r="B54" s="21" t="s">
        <v>157</v>
      </c>
      <c r="C54" s="31">
        <f>C45*I24</f>
        <v>166547.1698</v>
      </c>
      <c r="D54" s="1" t="s">
        <v>158</v>
      </c>
      <c r="E54" s="24"/>
      <c r="F54" s="1"/>
      <c r="G54" s="66" t="s">
        <v>159</v>
      </c>
      <c r="H54" s="67"/>
      <c r="I54" s="67">
        <f>I52*I53</f>
        <v>3120</v>
      </c>
      <c r="J54" s="68" t="s">
        <v>160</v>
      </c>
      <c r="K54" s="30"/>
    </row>
    <row r="55">
      <c r="B55" s="21" t="s">
        <v>157</v>
      </c>
      <c r="C55" s="1">
        <f>C54/907185</f>
        <v>0.1835867765</v>
      </c>
      <c r="D55" s="1" t="s">
        <v>161</v>
      </c>
      <c r="E55" s="15"/>
      <c r="F55" s="1"/>
      <c r="G55" s="1"/>
    </row>
    <row r="56">
      <c r="B56" s="21" t="s">
        <v>162</v>
      </c>
      <c r="C56" s="31">
        <f>C55*6*52</f>
        <v>57.27907426</v>
      </c>
      <c r="D56" s="1" t="s">
        <v>163</v>
      </c>
      <c r="E56" s="15"/>
      <c r="F56" s="1"/>
      <c r="G56" s="1"/>
    </row>
    <row r="57">
      <c r="B57" s="21" t="s">
        <v>164</v>
      </c>
      <c r="C57" s="23">
        <f>I14</f>
        <v>4129</v>
      </c>
      <c r="D57" s="1" t="s">
        <v>31</v>
      </c>
      <c r="E57" s="15"/>
      <c r="F57" s="1"/>
      <c r="H57" s="6" t="s">
        <v>165</v>
      </c>
      <c r="I57" s="3"/>
      <c r="J57" s="3"/>
      <c r="K57" s="4"/>
    </row>
    <row r="58">
      <c r="B58" s="21" t="s">
        <v>166</v>
      </c>
      <c r="C58" s="23">
        <f>C57*C53*C56</f>
        <v>2342566433</v>
      </c>
      <c r="D58" s="1" t="s">
        <v>167</v>
      </c>
      <c r="E58" s="24"/>
      <c r="F58" s="1"/>
      <c r="H58" s="10" t="s">
        <v>0</v>
      </c>
      <c r="I58" s="12" t="s">
        <v>1</v>
      </c>
      <c r="J58" s="12" t="s">
        <v>2</v>
      </c>
      <c r="K58" s="13" t="s">
        <v>3</v>
      </c>
    </row>
    <row r="59">
      <c r="B59" s="66" t="s">
        <v>168</v>
      </c>
      <c r="C59" s="67">
        <f>C58*I25</f>
        <v>2471407.587</v>
      </c>
      <c r="D59" s="68" t="s">
        <v>8</v>
      </c>
      <c r="E59" s="54"/>
      <c r="G59" s="1"/>
      <c r="H59" s="1" t="s">
        <v>4</v>
      </c>
      <c r="I59" s="69">
        <v>0.0</v>
      </c>
      <c r="J59" s="1" t="s">
        <v>169</v>
      </c>
      <c r="K59" s="1" t="s">
        <v>170</v>
      </c>
    </row>
    <row r="60">
      <c r="G60" s="1"/>
      <c r="H60" s="1" t="s">
        <v>171</v>
      </c>
      <c r="I60" s="62">
        <f>C59</f>
        <v>2471407.587</v>
      </c>
      <c r="J60" s="1" t="s">
        <v>8</v>
      </c>
    </row>
    <row r="61">
      <c r="F61" s="70"/>
      <c r="G61" s="1"/>
      <c r="H61" s="1" t="s">
        <v>172</v>
      </c>
      <c r="I61" s="62">
        <f>C88</f>
        <v>219505.3853</v>
      </c>
      <c r="J61" s="1" t="s">
        <v>8</v>
      </c>
    </row>
    <row r="62">
      <c r="B62" s="71" t="s">
        <v>172</v>
      </c>
      <c r="C62" s="3"/>
      <c r="D62" s="3"/>
      <c r="E62" s="4"/>
      <c r="G62" s="1"/>
      <c r="H62" s="1" t="s">
        <v>173</v>
      </c>
      <c r="I62" s="62">
        <f>C172</f>
        <v>1298738.386</v>
      </c>
      <c r="J62" s="1" t="s">
        <v>8</v>
      </c>
    </row>
    <row r="63">
      <c r="B63" s="72" t="s">
        <v>0</v>
      </c>
      <c r="C63" s="73" t="s">
        <v>1</v>
      </c>
      <c r="D63" s="73" t="s">
        <v>2</v>
      </c>
      <c r="E63" s="74" t="s">
        <v>3</v>
      </c>
      <c r="G63" s="1"/>
      <c r="H63" s="1" t="s">
        <v>174</v>
      </c>
      <c r="I63" s="62">
        <f>C195</f>
        <v>444157.0848</v>
      </c>
      <c r="J63" s="1" t="s">
        <v>8</v>
      </c>
    </row>
    <row r="64">
      <c r="B64" s="14" t="s">
        <v>175</v>
      </c>
      <c r="C64" s="37">
        <f>C65*I33</f>
        <v>188444.88</v>
      </c>
      <c r="D64" s="38" t="s">
        <v>8</v>
      </c>
      <c r="E64" s="24"/>
      <c r="F64" s="1"/>
      <c r="H64" s="1" t="s">
        <v>176</v>
      </c>
      <c r="I64" s="62">
        <f>C223</f>
        <v>14641379.95</v>
      </c>
      <c r="J64" s="1" t="s">
        <v>8</v>
      </c>
    </row>
    <row r="65">
      <c r="B65" s="21" t="s">
        <v>177</v>
      </c>
      <c r="C65" s="23">
        <f>I16*'Raw Data'!F8</f>
        <v>52345.8</v>
      </c>
      <c r="D65" s="1" t="s">
        <v>178</v>
      </c>
      <c r="E65" s="15"/>
      <c r="F65" s="1"/>
      <c r="H65" s="1" t="s">
        <v>179</v>
      </c>
      <c r="I65" s="62">
        <f>C235</f>
        <v>0</v>
      </c>
      <c r="J65" s="1" t="s">
        <v>8</v>
      </c>
      <c r="K65" s="1" t="s">
        <v>180</v>
      </c>
    </row>
    <row r="66">
      <c r="B66" s="14" t="s">
        <v>181</v>
      </c>
      <c r="C66" s="37">
        <f>C67*I54*C68</f>
        <v>25241.112</v>
      </c>
      <c r="D66" s="38" t="s">
        <v>8</v>
      </c>
      <c r="E66" s="15"/>
      <c r="F66" s="1"/>
      <c r="G66" s="70"/>
      <c r="H66" s="1" t="s">
        <v>182</v>
      </c>
      <c r="I66" s="62">
        <f>C250</f>
        <v>2120.198558</v>
      </c>
      <c r="J66" s="1" t="s">
        <v>8</v>
      </c>
    </row>
    <row r="67">
      <c r="B67" s="21" t="s">
        <v>183</v>
      </c>
      <c r="C67" s="1">
        <f>C17</f>
        <v>0.267</v>
      </c>
      <c r="D67" s="1" t="s">
        <v>184</v>
      </c>
      <c r="E67" s="15"/>
      <c r="F67" s="38" t="s">
        <v>185</v>
      </c>
    </row>
    <row r="68">
      <c r="B68" s="21" t="s">
        <v>186</v>
      </c>
      <c r="C68" s="1">
        <v>30.3</v>
      </c>
      <c r="D68" s="1" t="s">
        <v>187</v>
      </c>
      <c r="E68" s="43" t="s">
        <v>188</v>
      </c>
      <c r="F68" s="1"/>
    </row>
    <row r="69">
      <c r="B69" s="21" t="s">
        <v>189</v>
      </c>
      <c r="D69" s="1"/>
      <c r="E69" s="15"/>
      <c r="F69" s="1"/>
      <c r="G69" s="1"/>
    </row>
    <row r="70">
      <c r="B70" s="21" t="s">
        <v>190</v>
      </c>
      <c r="D70" s="1"/>
      <c r="E70" s="15"/>
      <c r="F70" s="1"/>
      <c r="G70" s="1"/>
    </row>
    <row r="71">
      <c r="B71" s="14" t="s">
        <v>191</v>
      </c>
      <c r="C71" s="75">
        <f>C83*I54</f>
        <v>5119.608459</v>
      </c>
      <c r="D71" s="38" t="s">
        <v>8</v>
      </c>
      <c r="E71" s="36" t="s">
        <v>192</v>
      </c>
      <c r="F71" s="1"/>
      <c r="G71" s="1"/>
    </row>
    <row r="72">
      <c r="B72" s="21" t="s">
        <v>193</v>
      </c>
      <c r="C72" s="1"/>
      <c r="D72" s="1"/>
      <c r="E72" s="24"/>
      <c r="F72" s="1"/>
      <c r="G72" s="1"/>
    </row>
    <row r="73">
      <c r="B73" s="21" t="s">
        <v>194</v>
      </c>
      <c r="C73" s="1">
        <v>40.0</v>
      </c>
      <c r="D73" s="1" t="s">
        <v>195</v>
      </c>
      <c r="E73" s="24"/>
      <c r="F73" s="1"/>
      <c r="G73" s="1"/>
    </row>
    <row r="74">
      <c r="B74" s="21" t="s">
        <v>196</v>
      </c>
      <c r="C74" s="23">
        <f>C73*I33</f>
        <v>144</v>
      </c>
      <c r="D74" s="1" t="s">
        <v>197</v>
      </c>
      <c r="E74" s="24"/>
      <c r="F74" s="1"/>
      <c r="G74" s="1"/>
    </row>
    <row r="75">
      <c r="B75" s="21" t="s">
        <v>198</v>
      </c>
      <c r="D75" s="1"/>
      <c r="E75" s="24"/>
      <c r="F75" s="1"/>
      <c r="G75" s="1"/>
      <c r="H75" s="76"/>
    </row>
    <row r="76">
      <c r="B76" s="21" t="s">
        <v>199</v>
      </c>
      <c r="C76" s="1">
        <v>1.06</v>
      </c>
      <c r="D76" s="1" t="s">
        <v>200</v>
      </c>
      <c r="E76" s="24"/>
      <c r="F76" s="1"/>
      <c r="G76" s="1"/>
    </row>
    <row r="77">
      <c r="B77" s="21" t="s">
        <v>201</v>
      </c>
      <c r="C77" s="23">
        <f>C76*1000</f>
        <v>1060</v>
      </c>
      <c r="D77" s="1" t="s">
        <v>197</v>
      </c>
      <c r="E77" s="24"/>
      <c r="F77" s="1"/>
      <c r="G77" s="1"/>
    </row>
    <row r="78">
      <c r="B78" s="21" t="s">
        <v>202</v>
      </c>
      <c r="D78" s="1"/>
      <c r="E78" s="24"/>
      <c r="F78" s="1"/>
      <c r="G78" s="1"/>
    </row>
    <row r="79">
      <c r="B79" s="21" t="s">
        <v>203</v>
      </c>
      <c r="C79" s="1">
        <v>125.0</v>
      </c>
      <c r="D79" s="1" t="s">
        <v>195</v>
      </c>
      <c r="E79" s="24"/>
      <c r="F79" s="1"/>
      <c r="G79" s="1"/>
    </row>
    <row r="80">
      <c r="B80" s="21" t="s">
        <v>204</v>
      </c>
      <c r="C80" s="23">
        <f>C79*I33</f>
        <v>450</v>
      </c>
      <c r="D80" s="1" t="s">
        <v>197</v>
      </c>
      <c r="E80" s="24"/>
      <c r="F80" s="1"/>
      <c r="G80" s="1"/>
    </row>
    <row r="81">
      <c r="B81" s="21" t="s">
        <v>205</v>
      </c>
      <c r="C81" s="23">
        <f>sum(C74,C77,C80)</f>
        <v>1654</v>
      </c>
      <c r="D81" s="1" t="s">
        <v>197</v>
      </c>
      <c r="E81" s="46" t="s">
        <v>206</v>
      </c>
      <c r="F81" s="1"/>
      <c r="G81" s="1"/>
    </row>
    <row r="82">
      <c r="B82" s="21" t="s">
        <v>207</v>
      </c>
      <c r="C82" s="1">
        <f>C27</f>
        <v>0.9</v>
      </c>
      <c r="D82" s="1" t="s">
        <v>40</v>
      </c>
      <c r="E82" s="46" t="s">
        <v>208</v>
      </c>
      <c r="F82" s="1"/>
      <c r="G82" s="1"/>
    </row>
    <row r="83">
      <c r="B83" s="21" t="s">
        <v>209</v>
      </c>
      <c r="C83" s="77">
        <f>(C81/I19)*C82</f>
        <v>1.640900147</v>
      </c>
      <c r="D83" s="1" t="s">
        <v>210</v>
      </c>
      <c r="E83" s="48"/>
      <c r="F83" s="1"/>
      <c r="G83" s="1"/>
    </row>
    <row r="84">
      <c r="B84" s="14" t="s">
        <v>211</v>
      </c>
      <c r="C84" s="37">
        <f>C85*I54</f>
        <v>699.7848</v>
      </c>
      <c r="D84" s="38" t="s">
        <v>8</v>
      </c>
      <c r="E84" s="43" t="s">
        <v>212</v>
      </c>
      <c r="G84" s="1"/>
    </row>
    <row r="85">
      <c r="B85" s="21" t="s">
        <v>213</v>
      </c>
      <c r="C85" s="23">
        <f>0.217+0.00729</f>
        <v>0.22429</v>
      </c>
      <c r="D85" s="1" t="s">
        <v>214</v>
      </c>
      <c r="E85" s="46" t="s">
        <v>215</v>
      </c>
    </row>
    <row r="86">
      <c r="B86" s="21" t="s">
        <v>216</v>
      </c>
      <c r="C86" s="1">
        <v>0.25</v>
      </c>
      <c r="D86" s="1" t="s">
        <v>40</v>
      </c>
      <c r="E86" s="24"/>
    </row>
    <row r="87">
      <c r="B87" s="42"/>
      <c r="E87" s="24"/>
      <c r="G87" s="1"/>
    </row>
    <row r="88">
      <c r="B88" s="14" t="s">
        <v>217</v>
      </c>
      <c r="C88" s="75">
        <f>C64+C71+C84+C66</f>
        <v>219505.3853</v>
      </c>
      <c r="D88" s="38" t="s">
        <v>8</v>
      </c>
      <c r="E88" s="24"/>
    </row>
    <row r="89">
      <c r="B89" s="78"/>
      <c r="C89" s="27"/>
      <c r="D89" s="27"/>
      <c r="E89" s="30"/>
    </row>
    <row r="91">
      <c r="F91" s="5"/>
    </row>
    <row r="92">
      <c r="B92" s="55" t="s">
        <v>218</v>
      </c>
      <c r="C92" s="3"/>
      <c r="D92" s="3"/>
      <c r="E92" s="4"/>
    </row>
    <row r="93">
      <c r="B93" s="56" t="s">
        <v>0</v>
      </c>
      <c r="C93" s="57" t="s">
        <v>1</v>
      </c>
      <c r="D93" s="57" t="s">
        <v>2</v>
      </c>
      <c r="E93" s="58" t="s">
        <v>3</v>
      </c>
    </row>
    <row r="94">
      <c r="B94" s="79" t="s">
        <v>219</v>
      </c>
      <c r="C94" s="17"/>
      <c r="D94" s="17"/>
      <c r="E94" s="20"/>
      <c r="F94" s="1"/>
    </row>
    <row r="95">
      <c r="B95" s="21" t="s">
        <v>220</v>
      </c>
      <c r="C95" s="80">
        <f>458.5*0.621371</f>
        <v>284.8986035</v>
      </c>
      <c r="D95" s="1" t="s">
        <v>221</v>
      </c>
      <c r="E95" s="46"/>
      <c r="F95" s="1"/>
    </row>
    <row r="96">
      <c r="B96" s="21" t="s">
        <v>222</v>
      </c>
      <c r="C96" s="1">
        <v>52.0</v>
      </c>
      <c r="D96" s="1" t="s">
        <v>223</v>
      </c>
      <c r="E96" s="46"/>
      <c r="F96" s="1"/>
      <c r="G96" s="5"/>
    </row>
    <row r="97">
      <c r="B97" s="21" t="s">
        <v>224</v>
      </c>
      <c r="C97" s="69">
        <f>C95*C96</f>
        <v>14814.72738</v>
      </c>
      <c r="D97" s="1" t="s">
        <v>225</v>
      </c>
      <c r="E97" s="46"/>
      <c r="F97" s="1"/>
    </row>
    <row r="98">
      <c r="B98" s="21" t="s">
        <v>226</v>
      </c>
      <c r="C98" s="1">
        <f>I32</f>
        <v>595</v>
      </c>
      <c r="D98" s="1" t="s">
        <v>227</v>
      </c>
      <c r="E98" s="46"/>
      <c r="F98" s="1"/>
    </row>
    <row r="99">
      <c r="B99" s="21" t="s">
        <v>228</v>
      </c>
      <c r="C99" s="1">
        <f>C98*C96</f>
        <v>30940</v>
      </c>
      <c r="D99" s="1" t="s">
        <v>229</v>
      </c>
      <c r="E99" s="46"/>
      <c r="F99" s="1"/>
      <c r="G99" s="1"/>
    </row>
    <row r="100">
      <c r="B100" s="21" t="s">
        <v>228</v>
      </c>
      <c r="C100" s="69">
        <f>C99/I19</f>
        <v>34.10550219</v>
      </c>
      <c r="D100" s="1" t="s">
        <v>230</v>
      </c>
      <c r="E100" s="46"/>
      <c r="G100" s="1"/>
    </row>
    <row r="101">
      <c r="B101" s="21" t="s">
        <v>231</v>
      </c>
      <c r="C101" s="1">
        <v>0.4</v>
      </c>
      <c r="D101" s="1" t="s">
        <v>40</v>
      </c>
      <c r="E101" s="46"/>
      <c r="G101" s="1"/>
    </row>
    <row r="102">
      <c r="B102" s="21" t="s">
        <v>232</v>
      </c>
      <c r="C102" s="1">
        <f>0.4*I54</f>
        <v>1248</v>
      </c>
      <c r="D102" s="1" t="s">
        <v>229</v>
      </c>
      <c r="E102" s="46"/>
      <c r="G102" s="1"/>
    </row>
    <row r="103">
      <c r="B103" s="21" t="s">
        <v>232</v>
      </c>
      <c r="C103" s="1">
        <f>C102/I19</f>
        <v>1.375684122</v>
      </c>
      <c r="D103" s="1" t="s">
        <v>233</v>
      </c>
      <c r="E103" s="46"/>
      <c r="F103" s="1"/>
      <c r="G103" s="1"/>
    </row>
    <row r="104">
      <c r="B104" s="21" t="s">
        <v>234</v>
      </c>
      <c r="C104" s="1">
        <v>4129.0</v>
      </c>
      <c r="D104" s="1" t="s">
        <v>31</v>
      </c>
      <c r="E104" s="46"/>
      <c r="G104" s="1"/>
    </row>
    <row r="105">
      <c r="B105" s="21" t="s">
        <v>235</v>
      </c>
      <c r="C105" s="1">
        <f>C97*C103*C104</f>
        <v>84150610.6</v>
      </c>
      <c r="D105" s="1" t="s">
        <v>236</v>
      </c>
      <c r="E105" s="46"/>
    </row>
    <row r="106">
      <c r="B106" s="14" t="s">
        <v>235</v>
      </c>
      <c r="C106" s="37">
        <f>C105*I25</f>
        <v>88778.89419</v>
      </c>
      <c r="D106" s="38" t="s">
        <v>237</v>
      </c>
      <c r="E106" s="46"/>
      <c r="F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</row>
    <row r="107">
      <c r="B107" s="14" t="s">
        <v>238</v>
      </c>
      <c r="C107" s="38">
        <f>C106/I54</f>
        <v>28.45477378</v>
      </c>
      <c r="D107" s="38" t="s">
        <v>239</v>
      </c>
      <c r="E107" s="46"/>
      <c r="F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</row>
    <row r="108">
      <c r="A108" s="81"/>
      <c r="B108" s="42"/>
      <c r="E108" s="48"/>
      <c r="F108" s="81"/>
      <c r="G108" s="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</row>
    <row r="109">
      <c r="A109" s="81"/>
      <c r="B109" s="82" t="s">
        <v>240</v>
      </c>
      <c r="C109" s="81"/>
      <c r="D109" s="81"/>
      <c r="E109" s="83"/>
      <c r="F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</row>
    <row r="110">
      <c r="A110" s="81"/>
      <c r="B110" s="84" t="s">
        <v>241</v>
      </c>
      <c r="C110" s="85">
        <v>4.0</v>
      </c>
      <c r="D110" s="86" t="s">
        <v>242</v>
      </c>
      <c r="E110" s="87"/>
      <c r="F110" s="86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</row>
    <row r="111">
      <c r="A111" s="81"/>
      <c r="B111" s="84" t="s">
        <v>243</v>
      </c>
      <c r="C111" s="85">
        <v>1100.0</v>
      </c>
      <c r="D111" s="81" t="s">
        <v>221</v>
      </c>
      <c r="E111" s="87" t="s">
        <v>244</v>
      </c>
      <c r="F111" s="81"/>
      <c r="G111" s="81"/>
      <c r="H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</row>
    <row r="112">
      <c r="A112" s="81"/>
      <c r="B112" s="84" t="s">
        <v>149</v>
      </c>
      <c r="C112" s="88">
        <f>C111*C110</f>
        <v>4400</v>
      </c>
      <c r="D112" s="86" t="s">
        <v>221</v>
      </c>
      <c r="E112" s="48"/>
      <c r="F112" s="81"/>
      <c r="G112" s="81"/>
      <c r="H112" s="81"/>
      <c r="I112" s="86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</row>
    <row r="113">
      <c r="A113" s="81"/>
      <c r="B113" s="89" t="s">
        <v>245</v>
      </c>
      <c r="C113" s="90">
        <f>1100/(63000*4)</f>
        <v>0.004365079365</v>
      </c>
      <c r="D113" s="81" t="s">
        <v>246</v>
      </c>
      <c r="E113" s="48"/>
      <c r="F113" s="81"/>
      <c r="G113" s="81"/>
      <c r="H113" s="86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</row>
    <row r="114">
      <c r="A114" s="81"/>
      <c r="B114" s="84" t="s">
        <v>247</v>
      </c>
      <c r="C114" s="91">
        <f>I15</f>
        <v>23</v>
      </c>
      <c r="D114" s="81" t="s">
        <v>31</v>
      </c>
      <c r="E114" s="92" t="s">
        <v>248</v>
      </c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</row>
    <row r="115">
      <c r="A115" s="81"/>
      <c r="B115" s="84" t="s">
        <v>249</v>
      </c>
      <c r="C115" s="93">
        <v>1500.0</v>
      </c>
      <c r="D115" s="81" t="s">
        <v>91</v>
      </c>
      <c r="E115" s="92" t="s">
        <v>250</v>
      </c>
      <c r="G115" s="81"/>
      <c r="I115" s="81"/>
      <c r="J115" s="81"/>
      <c r="K115" s="81"/>
      <c r="L115" s="81"/>
      <c r="M115" s="81"/>
      <c r="N115" s="81"/>
      <c r="O115" s="81"/>
      <c r="P115" s="81"/>
    </row>
    <row r="116">
      <c r="A116" s="81"/>
      <c r="B116" s="84" t="s">
        <v>251</v>
      </c>
      <c r="C116" s="94">
        <f>C115/I19</f>
        <v>1.653466493</v>
      </c>
      <c r="D116" s="86" t="s">
        <v>252</v>
      </c>
      <c r="E116" s="48"/>
      <c r="G116" s="81"/>
      <c r="I116" s="81"/>
      <c r="J116" s="81"/>
      <c r="K116" s="81"/>
      <c r="L116" s="81"/>
      <c r="M116" s="81"/>
      <c r="N116" s="81"/>
      <c r="O116" s="81"/>
      <c r="P116" s="81"/>
    </row>
    <row r="117">
      <c r="A117" s="81"/>
      <c r="B117" s="84" t="s">
        <v>253</v>
      </c>
      <c r="C117" s="91">
        <f>52000*I20</f>
        <v>57320.12</v>
      </c>
      <c r="D117" s="86" t="s">
        <v>252</v>
      </c>
      <c r="E117" s="95" t="s">
        <v>254</v>
      </c>
      <c r="F117" s="81"/>
      <c r="G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</row>
    <row r="118">
      <c r="A118" s="81"/>
      <c r="B118" s="84" t="s">
        <v>255</v>
      </c>
      <c r="C118" s="96">
        <f>C116/C117</f>
        <v>0.00002884617988</v>
      </c>
      <c r="D118" s="86"/>
      <c r="E118" s="97" t="s">
        <v>256</v>
      </c>
      <c r="F118" s="81"/>
      <c r="G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</row>
    <row r="119">
      <c r="A119" s="81"/>
      <c r="B119" s="84" t="s">
        <v>257</v>
      </c>
      <c r="C119" s="98">
        <f>(C111*C117)*C114*I25</f>
        <v>1529959.983</v>
      </c>
      <c r="D119" s="86" t="s">
        <v>258</v>
      </c>
      <c r="E119" s="97" t="s">
        <v>259</v>
      </c>
      <c r="G119" s="81"/>
      <c r="I119" s="81"/>
      <c r="J119" s="81"/>
      <c r="K119" s="81"/>
      <c r="L119" s="81"/>
      <c r="M119" s="81"/>
      <c r="N119" s="81"/>
      <c r="O119" s="81"/>
      <c r="P119" s="81"/>
    </row>
    <row r="120">
      <c r="A120" s="81"/>
      <c r="B120" s="84" t="s">
        <v>260</v>
      </c>
      <c r="C120" s="99">
        <f>C119*C118</f>
        <v>44.13350088</v>
      </c>
      <c r="D120" s="86" t="s">
        <v>258</v>
      </c>
      <c r="E120" s="97" t="s">
        <v>261</v>
      </c>
      <c r="F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</row>
    <row r="121">
      <c r="A121" s="81"/>
      <c r="B121" s="82" t="s">
        <v>262</v>
      </c>
      <c r="C121" s="100">
        <f>C120*4</f>
        <v>176.5340035</v>
      </c>
      <c r="D121" s="101" t="s">
        <v>237</v>
      </c>
      <c r="E121" s="102" t="s">
        <v>263</v>
      </c>
    </row>
    <row r="122">
      <c r="A122" s="1"/>
      <c r="B122" s="82" t="s">
        <v>238</v>
      </c>
      <c r="C122" s="103">
        <f>C121/I54</f>
        <v>0.05658141139</v>
      </c>
      <c r="D122" s="101" t="s">
        <v>214</v>
      </c>
      <c r="E122" s="48"/>
      <c r="F122" s="1"/>
      <c r="G122" s="81"/>
      <c r="J122" s="81"/>
      <c r="K122" s="81"/>
    </row>
    <row r="123">
      <c r="B123" s="14"/>
      <c r="E123" s="48"/>
      <c r="F123" s="1"/>
      <c r="G123" s="81"/>
      <c r="J123" s="81"/>
      <c r="K123" s="81"/>
    </row>
    <row r="124">
      <c r="B124" s="14" t="s">
        <v>264</v>
      </c>
      <c r="E124" s="48"/>
      <c r="F124" s="1"/>
    </row>
    <row r="125">
      <c r="B125" s="21" t="s">
        <v>220</v>
      </c>
      <c r="C125" s="80">
        <f>458.5*0.621371</f>
        <v>284.8986035</v>
      </c>
      <c r="D125" s="1" t="s">
        <v>221</v>
      </c>
      <c r="E125" s="48"/>
      <c r="F125" s="1"/>
      <c r="G125" s="81"/>
      <c r="J125" s="81"/>
      <c r="K125" s="81"/>
    </row>
    <row r="126">
      <c r="B126" s="21" t="s">
        <v>64</v>
      </c>
      <c r="C126" s="23">
        <f>I22</f>
        <v>14</v>
      </c>
      <c r="D126" s="1" t="s">
        <v>246</v>
      </c>
      <c r="E126" s="46" t="s">
        <v>265</v>
      </c>
    </row>
    <row r="127">
      <c r="B127" s="21" t="s">
        <v>164</v>
      </c>
      <c r="C127" s="23">
        <f>I14</f>
        <v>4129</v>
      </c>
      <c r="D127" s="1" t="s">
        <v>31</v>
      </c>
      <c r="E127" s="48"/>
      <c r="F127" s="1"/>
      <c r="G127" s="1"/>
    </row>
    <row r="128">
      <c r="A128" s="81"/>
      <c r="B128" s="84" t="s">
        <v>249</v>
      </c>
      <c r="C128" s="1">
        <v>1500.0</v>
      </c>
      <c r="D128" s="1" t="s">
        <v>91</v>
      </c>
      <c r="E128" s="46" t="s">
        <v>266</v>
      </c>
      <c r="G128" s="1"/>
      <c r="I128" s="104"/>
    </row>
    <row r="129">
      <c r="B129" s="84" t="s">
        <v>251</v>
      </c>
      <c r="C129" s="94">
        <f>C128/I19</f>
        <v>1.653466493</v>
      </c>
      <c r="D129" s="86" t="s">
        <v>252</v>
      </c>
      <c r="E129" s="48"/>
      <c r="G129" s="1"/>
      <c r="L129" s="81"/>
      <c r="M129" s="81"/>
      <c r="N129" s="81"/>
      <c r="O129" s="81"/>
      <c r="P129" s="81"/>
    </row>
    <row r="130">
      <c r="B130" s="21" t="s">
        <v>267</v>
      </c>
      <c r="C130" s="105">
        <f>C127*C129*C125*I25</f>
        <v>2052.026955</v>
      </c>
      <c r="D130" s="1" t="s">
        <v>268</v>
      </c>
      <c r="E130" s="102" t="s">
        <v>269</v>
      </c>
      <c r="G130" s="1"/>
    </row>
    <row r="131">
      <c r="B131" s="21" t="s">
        <v>222</v>
      </c>
      <c r="C131" s="1">
        <v>4.0</v>
      </c>
      <c r="D131" s="1" t="s">
        <v>223</v>
      </c>
      <c r="E131" s="15"/>
    </row>
    <row r="132">
      <c r="B132" s="21" t="s">
        <v>270</v>
      </c>
      <c r="C132" s="1">
        <v>0.75</v>
      </c>
      <c r="D132" s="1" t="s">
        <v>40</v>
      </c>
      <c r="E132" s="15"/>
      <c r="G132" s="1"/>
    </row>
    <row r="133">
      <c r="B133" s="14" t="s">
        <v>271</v>
      </c>
      <c r="C133" s="38">
        <f>C130*C131</f>
        <v>8208.107821</v>
      </c>
      <c r="D133" s="38" t="s">
        <v>237</v>
      </c>
      <c r="E133" s="15"/>
    </row>
    <row r="134">
      <c r="B134" s="14" t="s">
        <v>238</v>
      </c>
      <c r="C134" s="106">
        <f>C133/I54</f>
        <v>2.630803789</v>
      </c>
      <c r="D134" s="38" t="s">
        <v>214</v>
      </c>
      <c r="E134" s="15"/>
      <c r="F134" s="1"/>
    </row>
    <row r="135">
      <c r="B135" s="42"/>
      <c r="E135" s="24"/>
      <c r="F135" s="1"/>
    </row>
    <row r="136">
      <c r="B136" s="14" t="s">
        <v>272</v>
      </c>
      <c r="E136" s="24"/>
      <c r="F136" s="1"/>
    </row>
    <row r="137">
      <c r="B137" s="21" t="s">
        <v>273</v>
      </c>
      <c r="C137" s="107">
        <f>355.3*0.621371</f>
        <v>220.7731163</v>
      </c>
      <c r="D137" s="1" t="s">
        <v>225</v>
      </c>
      <c r="E137" s="15"/>
      <c r="F137" s="1"/>
    </row>
    <row r="138">
      <c r="B138" s="21" t="s">
        <v>222</v>
      </c>
      <c r="C138" s="1">
        <v>6.0</v>
      </c>
      <c r="D138" s="1" t="s">
        <v>274</v>
      </c>
      <c r="E138" s="15"/>
      <c r="F138" s="1"/>
    </row>
    <row r="139">
      <c r="B139" s="21" t="s">
        <v>149</v>
      </c>
      <c r="C139" s="23">
        <f>C137*C138</f>
        <v>1324.638698</v>
      </c>
      <c r="D139" s="1" t="s">
        <v>275</v>
      </c>
      <c r="E139" s="15"/>
      <c r="G139" s="1"/>
    </row>
    <row r="140">
      <c r="B140" s="21" t="s">
        <v>276</v>
      </c>
      <c r="C140" s="1">
        <v>0.25</v>
      </c>
      <c r="D140" s="1" t="s">
        <v>91</v>
      </c>
      <c r="E140" s="24"/>
      <c r="G140" s="1"/>
    </row>
    <row r="141">
      <c r="B141" s="21" t="s">
        <v>277</v>
      </c>
      <c r="C141" s="1">
        <f>C140*I54</f>
        <v>780</v>
      </c>
      <c r="D141" s="1" t="s">
        <v>229</v>
      </c>
      <c r="E141" s="24"/>
      <c r="G141" s="1"/>
    </row>
    <row r="142">
      <c r="B142" s="21" t="s">
        <v>277</v>
      </c>
      <c r="C142" s="1">
        <f>C141/I19</f>
        <v>0.8598025761</v>
      </c>
      <c r="D142" s="1" t="s">
        <v>233</v>
      </c>
      <c r="E142" s="24"/>
      <c r="G142" s="1"/>
    </row>
    <row r="143">
      <c r="B143" s="21" t="s">
        <v>247</v>
      </c>
      <c r="C143" s="1">
        <v>4129.0</v>
      </c>
      <c r="D143" s="1" t="s">
        <v>31</v>
      </c>
      <c r="E143" s="24"/>
      <c r="G143" s="1"/>
    </row>
    <row r="144">
      <c r="B144" s="21" t="s">
        <v>278</v>
      </c>
      <c r="C144" s="23">
        <f>C143*C142*C139</f>
        <v>4702632.741</v>
      </c>
      <c r="D144" s="1" t="s">
        <v>279</v>
      </c>
      <c r="E144" s="15"/>
      <c r="F144" s="1"/>
    </row>
    <row r="145">
      <c r="B145" s="14" t="s">
        <v>278</v>
      </c>
      <c r="C145" s="37">
        <f>C144*I25</f>
        <v>4961.277541</v>
      </c>
      <c r="D145" s="38" t="s">
        <v>237</v>
      </c>
      <c r="E145" s="15"/>
      <c r="F145" s="1"/>
    </row>
    <row r="146">
      <c r="B146" s="14" t="s">
        <v>238</v>
      </c>
      <c r="C146" s="37">
        <f>C145/I54</f>
        <v>1.590153058</v>
      </c>
      <c r="D146" s="38" t="s">
        <v>214</v>
      </c>
      <c r="E146" s="15"/>
      <c r="F146" s="1"/>
    </row>
    <row r="147">
      <c r="B147" s="21"/>
      <c r="D147" s="1"/>
      <c r="E147" s="15"/>
      <c r="F147" s="1"/>
    </row>
    <row r="148">
      <c r="B148" s="14" t="s">
        <v>280</v>
      </c>
      <c r="D148" s="1"/>
      <c r="E148" s="15"/>
      <c r="F148" s="1"/>
    </row>
    <row r="149">
      <c r="B149" s="21" t="s">
        <v>281</v>
      </c>
      <c r="C149" s="1">
        <v>1300.0</v>
      </c>
      <c r="D149" s="1" t="s">
        <v>221</v>
      </c>
      <c r="E149" s="15"/>
      <c r="F149" s="1"/>
      <c r="G149" s="1"/>
    </row>
    <row r="150">
      <c r="B150" s="21" t="s">
        <v>282</v>
      </c>
      <c r="C150" s="1">
        <v>4.0</v>
      </c>
      <c r="D150" s="1" t="s">
        <v>283</v>
      </c>
      <c r="E150" s="15"/>
      <c r="F150" s="1"/>
      <c r="G150" s="1"/>
    </row>
    <row r="151">
      <c r="B151" s="21" t="s">
        <v>224</v>
      </c>
      <c r="C151" s="1">
        <f>C149*C150</f>
        <v>5200</v>
      </c>
      <c r="D151" s="1" t="s">
        <v>284</v>
      </c>
      <c r="E151" s="15"/>
      <c r="F151" s="1"/>
      <c r="G151" s="1"/>
    </row>
    <row r="152">
      <c r="B152" s="21" t="s">
        <v>285</v>
      </c>
      <c r="C152" s="108">
        <f>C35</f>
        <v>0.0006041850768</v>
      </c>
      <c r="D152" s="1" t="s">
        <v>91</v>
      </c>
      <c r="E152" s="15"/>
      <c r="F152" s="1"/>
      <c r="G152" s="1"/>
    </row>
    <row r="153">
      <c r="B153" s="21" t="s">
        <v>286</v>
      </c>
      <c r="C153" s="1">
        <f>C152*I54</f>
        <v>1.88505744</v>
      </c>
      <c r="D153" s="1" t="s">
        <v>229</v>
      </c>
      <c r="E153" s="15"/>
      <c r="F153" s="1"/>
      <c r="G153" s="1"/>
    </row>
    <row r="154">
      <c r="B154" s="21" t="s">
        <v>286</v>
      </c>
      <c r="C154" s="1">
        <f>C153/I19</f>
        <v>0.002077919542</v>
      </c>
      <c r="D154" s="1" t="s">
        <v>233</v>
      </c>
      <c r="E154" s="15"/>
      <c r="F154" s="1"/>
      <c r="G154" s="1"/>
    </row>
    <row r="155">
      <c r="B155" s="21" t="s">
        <v>234</v>
      </c>
      <c r="C155" s="1">
        <v>23.0</v>
      </c>
      <c r="D155" s="1" t="s">
        <v>31</v>
      </c>
      <c r="E155" s="15"/>
      <c r="F155" s="1"/>
      <c r="G155" s="1"/>
    </row>
    <row r="156">
      <c r="B156" s="21" t="s">
        <v>287</v>
      </c>
      <c r="C156" s="1">
        <f>C155*C154*C151</f>
        <v>248.5191772</v>
      </c>
      <c r="D156" s="1" t="s">
        <v>236</v>
      </c>
      <c r="E156" s="15"/>
      <c r="F156" s="1"/>
      <c r="G156" s="1"/>
    </row>
    <row r="157">
      <c r="B157" s="14" t="s">
        <v>287</v>
      </c>
      <c r="C157" s="38">
        <f>C156*I25</f>
        <v>0.262187732</v>
      </c>
      <c r="D157" s="38" t="s">
        <v>237</v>
      </c>
      <c r="E157" s="15"/>
      <c r="F157" s="1"/>
      <c r="G157" s="1"/>
    </row>
    <row r="158">
      <c r="B158" s="14" t="s">
        <v>238</v>
      </c>
      <c r="C158" s="38">
        <f>C157/I54</f>
        <v>0.00008403452947</v>
      </c>
      <c r="D158" s="38" t="s">
        <v>214</v>
      </c>
      <c r="E158" s="15"/>
      <c r="F158" s="1"/>
      <c r="G158" s="1"/>
    </row>
    <row r="159">
      <c r="B159" s="21"/>
      <c r="D159" s="1"/>
      <c r="E159" s="15"/>
      <c r="F159" s="1"/>
      <c r="G159" s="1"/>
    </row>
    <row r="160">
      <c r="B160" s="14" t="s">
        <v>288</v>
      </c>
      <c r="D160" s="1"/>
      <c r="E160" s="15"/>
      <c r="F160" s="1"/>
      <c r="G160" s="1"/>
    </row>
    <row r="161">
      <c r="B161" s="21" t="s">
        <v>289</v>
      </c>
      <c r="C161" s="107">
        <f>59.2*0.621371</f>
        <v>36.7851632</v>
      </c>
      <c r="D161" s="1" t="s">
        <v>221</v>
      </c>
      <c r="E161" s="15"/>
      <c r="F161" s="1"/>
      <c r="G161" s="1"/>
    </row>
    <row r="162">
      <c r="B162" s="21" t="s">
        <v>282</v>
      </c>
      <c r="C162" s="1">
        <v>4.0</v>
      </c>
      <c r="D162" s="1" t="s">
        <v>274</v>
      </c>
      <c r="E162" s="15"/>
      <c r="F162" s="1"/>
      <c r="G162" s="1"/>
    </row>
    <row r="163">
      <c r="B163" s="21" t="s">
        <v>224</v>
      </c>
      <c r="C163" s="1">
        <f>C161*C162</f>
        <v>147.1406528</v>
      </c>
      <c r="D163" s="1" t="s">
        <v>290</v>
      </c>
      <c r="E163" s="15"/>
      <c r="F163" s="1"/>
      <c r="G163" s="1"/>
    </row>
    <row r="164">
      <c r="B164" s="21" t="s">
        <v>291</v>
      </c>
      <c r="C164" s="108">
        <f>C35</f>
        <v>0.0006041850768</v>
      </c>
      <c r="D164" s="1" t="s">
        <v>91</v>
      </c>
      <c r="E164" s="15"/>
      <c r="F164" s="1"/>
      <c r="G164" s="1"/>
    </row>
    <row r="165">
      <c r="B165" s="21" t="s">
        <v>292</v>
      </c>
      <c r="C165" s="1">
        <f>C164*I54</f>
        <v>1.88505744</v>
      </c>
      <c r="D165" s="1" t="s">
        <v>229</v>
      </c>
      <c r="E165" s="15"/>
      <c r="F165" s="1"/>
      <c r="G165" s="1"/>
    </row>
    <row r="166">
      <c r="B166" s="21" t="s">
        <v>292</v>
      </c>
      <c r="C166" s="1">
        <f>C165/I19</f>
        <v>0.002077919542</v>
      </c>
      <c r="D166" s="1" t="s">
        <v>233</v>
      </c>
      <c r="E166" s="15"/>
      <c r="F166" s="1"/>
      <c r="G166" s="1"/>
    </row>
    <row r="167">
      <c r="B167" s="21" t="s">
        <v>234</v>
      </c>
      <c r="C167" s="1">
        <v>4129.0</v>
      </c>
      <c r="D167" s="1" t="s">
        <v>31</v>
      </c>
      <c r="E167" s="15"/>
      <c r="F167" s="1"/>
      <c r="G167" s="1"/>
    </row>
    <row r="168">
      <c r="B168" s="21" t="s">
        <v>271</v>
      </c>
      <c r="C168" s="1">
        <f>C167*C166*C163</f>
        <v>1262.427042</v>
      </c>
      <c r="D168" s="1" t="s">
        <v>279</v>
      </c>
      <c r="E168" s="15"/>
      <c r="F168" s="1"/>
      <c r="G168" s="1"/>
    </row>
    <row r="169">
      <c r="B169" s="14" t="s">
        <v>271</v>
      </c>
      <c r="C169" s="37">
        <f>C168/I25</f>
        <v>1196613.31</v>
      </c>
      <c r="D169" s="38" t="s">
        <v>237</v>
      </c>
      <c r="E169" s="15"/>
      <c r="F169" s="1"/>
      <c r="G169" s="1"/>
    </row>
    <row r="170">
      <c r="B170" s="14" t="s">
        <v>238</v>
      </c>
      <c r="C170" s="38">
        <f>C169/I54</f>
        <v>383.529907</v>
      </c>
      <c r="D170" s="38" t="s">
        <v>214</v>
      </c>
      <c r="E170" s="15"/>
      <c r="G170" s="1"/>
    </row>
    <row r="171">
      <c r="B171" s="42"/>
      <c r="E171" s="24"/>
      <c r="G171" s="1"/>
    </row>
    <row r="172">
      <c r="B172" s="66" t="s">
        <v>293</v>
      </c>
      <c r="C172" s="67">
        <f>SUM(C106,C121,C133,C145,C157,C169)</f>
        <v>1298738.386</v>
      </c>
      <c r="D172" s="68" t="s">
        <v>237</v>
      </c>
      <c r="E172" s="30"/>
      <c r="G172" s="1"/>
    </row>
    <row r="173">
      <c r="F173" s="5"/>
      <c r="G173" s="1"/>
    </row>
    <row r="174">
      <c r="B174" s="6" t="s">
        <v>174</v>
      </c>
      <c r="C174" s="3"/>
      <c r="D174" s="3"/>
      <c r="E174" s="4"/>
      <c r="G174" s="1"/>
    </row>
    <row r="175">
      <c r="B175" s="10" t="s">
        <v>0</v>
      </c>
      <c r="C175" s="12" t="s">
        <v>1</v>
      </c>
      <c r="D175" s="12" t="s">
        <v>2</v>
      </c>
      <c r="E175" s="13" t="s">
        <v>3</v>
      </c>
    </row>
    <row r="176">
      <c r="B176" s="109"/>
      <c r="C176" s="17"/>
      <c r="D176" s="17"/>
      <c r="E176" s="110" t="s">
        <v>294</v>
      </c>
    </row>
    <row r="177">
      <c r="B177" s="14" t="s">
        <v>295</v>
      </c>
      <c r="E177" s="43" t="s">
        <v>296</v>
      </c>
      <c r="F177" s="1"/>
    </row>
    <row r="178">
      <c r="B178" s="21" t="s">
        <v>297</v>
      </c>
      <c r="C178" s="23">
        <f>'Raw Data'!F12*10.5*3*52</f>
        <v>109926.18</v>
      </c>
      <c r="D178" s="1" t="s">
        <v>178</v>
      </c>
      <c r="E178" s="46"/>
      <c r="F178" s="1"/>
      <c r="G178" s="5"/>
    </row>
    <row r="179">
      <c r="B179" s="21" t="s">
        <v>297</v>
      </c>
      <c r="C179" s="37">
        <f>C178*I33</f>
        <v>395734.248</v>
      </c>
      <c r="D179" s="38" t="s">
        <v>8</v>
      </c>
      <c r="E179" s="46"/>
      <c r="F179" s="1"/>
      <c r="H179" s="1"/>
    </row>
    <row r="180">
      <c r="B180" s="21" t="s">
        <v>298</v>
      </c>
      <c r="C180" s="23">
        <f>'Raw Data'!F16*7.5*'Raw Data'!F17*52</f>
        <v>1162.98</v>
      </c>
      <c r="D180" s="1" t="s">
        <v>178</v>
      </c>
      <c r="E180" s="46"/>
      <c r="F180" s="1"/>
      <c r="H180" s="1"/>
    </row>
    <row r="181">
      <c r="B181" s="21" t="s">
        <v>298</v>
      </c>
      <c r="C181" s="37">
        <f>C180*I33</f>
        <v>4186.728</v>
      </c>
      <c r="D181" s="38" t="s">
        <v>8</v>
      </c>
      <c r="E181" s="46"/>
    </row>
    <row r="182">
      <c r="B182" s="14"/>
      <c r="E182" s="48"/>
      <c r="G182" s="1"/>
    </row>
    <row r="183">
      <c r="B183" s="14" t="s">
        <v>299</v>
      </c>
      <c r="E183" s="48"/>
      <c r="F183" s="1"/>
      <c r="G183" s="1"/>
    </row>
    <row r="184">
      <c r="B184" s="21" t="s">
        <v>300</v>
      </c>
      <c r="C184" s="1">
        <v>0.9</v>
      </c>
      <c r="D184" s="1" t="s">
        <v>301</v>
      </c>
      <c r="E184" s="111"/>
      <c r="G184" s="1"/>
      <c r="J184" s="112"/>
    </row>
    <row r="185">
      <c r="B185" s="21" t="s">
        <v>302</v>
      </c>
      <c r="C185" s="1">
        <v>0.001</v>
      </c>
      <c r="D185" s="1" t="s">
        <v>303</v>
      </c>
      <c r="E185" s="111"/>
      <c r="G185" s="1"/>
      <c r="J185" s="112"/>
    </row>
    <row r="186">
      <c r="B186" s="21" t="s">
        <v>304</v>
      </c>
      <c r="C186" s="1">
        <f>C184*C185*I54</f>
        <v>2.808</v>
      </c>
      <c r="D186" s="1" t="s">
        <v>305</v>
      </c>
      <c r="E186" s="111"/>
      <c r="G186" s="1"/>
      <c r="J186" s="112"/>
    </row>
    <row r="187">
      <c r="B187" s="21" t="s">
        <v>306</v>
      </c>
      <c r="C187" s="1">
        <v>7.5</v>
      </c>
      <c r="D187" s="1" t="s">
        <v>307</v>
      </c>
      <c r="E187" s="111" t="s">
        <v>308</v>
      </c>
      <c r="G187" s="1"/>
      <c r="J187" s="112"/>
    </row>
    <row r="188">
      <c r="B188" s="21" t="s">
        <v>309</v>
      </c>
      <c r="C188" s="1">
        <v>250.0</v>
      </c>
      <c r="D188" s="1" t="s">
        <v>310</v>
      </c>
      <c r="E188" s="24"/>
      <c r="G188" s="1"/>
    </row>
    <row r="189">
      <c r="B189" s="113" t="s">
        <v>311</v>
      </c>
      <c r="C189" s="1">
        <v>5.0</v>
      </c>
      <c r="D189" s="1" t="s">
        <v>301</v>
      </c>
      <c r="E189" s="24"/>
    </row>
    <row r="190">
      <c r="B190" s="21" t="s">
        <v>312</v>
      </c>
      <c r="C190" s="23">
        <f>C187*C188/1000</f>
        <v>1.875</v>
      </c>
      <c r="D190" s="1" t="s">
        <v>313</v>
      </c>
      <c r="E190" s="24"/>
    </row>
    <row r="191">
      <c r="B191" s="114" t="s">
        <v>314</v>
      </c>
      <c r="C191" s="23">
        <f>C189*C187</f>
        <v>37.5</v>
      </c>
      <c r="D191" s="1" t="s">
        <v>313</v>
      </c>
      <c r="E191" s="24"/>
    </row>
    <row r="192">
      <c r="B192" s="21" t="s">
        <v>315</v>
      </c>
      <c r="C192" s="23">
        <f>(C190+C191)*6*52+C186</f>
        <v>12287.808</v>
      </c>
      <c r="D192" s="1" t="s">
        <v>178</v>
      </c>
      <c r="E192" s="24"/>
    </row>
    <row r="193">
      <c r="B193" s="21" t="s">
        <v>316</v>
      </c>
      <c r="C193" s="37">
        <f>C192*I33</f>
        <v>44236.1088</v>
      </c>
      <c r="D193" s="38" t="s">
        <v>8</v>
      </c>
      <c r="E193" s="24"/>
    </row>
    <row r="194">
      <c r="B194" s="21"/>
      <c r="C194" s="37"/>
      <c r="D194" s="38"/>
      <c r="E194" s="24"/>
    </row>
    <row r="195">
      <c r="B195" s="66" t="s">
        <v>217</v>
      </c>
      <c r="C195" s="67">
        <f>C193+C181+C179</f>
        <v>444157.0848</v>
      </c>
      <c r="D195" s="68" t="s">
        <v>8</v>
      </c>
      <c r="E195" s="30"/>
    </row>
    <row r="197">
      <c r="F197" s="5"/>
    </row>
    <row r="198">
      <c r="B198" s="55" t="s">
        <v>317</v>
      </c>
      <c r="C198" s="3"/>
      <c r="D198" s="3"/>
      <c r="E198" s="4"/>
    </row>
    <row r="199">
      <c r="B199" s="56" t="s">
        <v>0</v>
      </c>
      <c r="C199" s="57" t="s">
        <v>1</v>
      </c>
      <c r="D199" s="57" t="s">
        <v>2</v>
      </c>
      <c r="E199" s="58" t="s">
        <v>3</v>
      </c>
    </row>
    <row r="200">
      <c r="B200" s="79" t="s">
        <v>318</v>
      </c>
      <c r="C200" s="17"/>
      <c r="D200" s="17"/>
      <c r="E200" s="20"/>
    </row>
    <row r="201">
      <c r="B201" s="21" t="s">
        <v>136</v>
      </c>
      <c r="C201" s="1">
        <v>500.0</v>
      </c>
      <c r="D201" s="1" t="s">
        <v>319</v>
      </c>
      <c r="E201" s="24"/>
      <c r="F201" s="1"/>
    </row>
    <row r="202">
      <c r="B202" s="21" t="s">
        <v>136</v>
      </c>
      <c r="C202" s="1">
        <f>C201/1.609
</f>
        <v>310.7520199</v>
      </c>
      <c r="D202" s="1" t="s">
        <v>320</v>
      </c>
      <c r="E202" s="15"/>
      <c r="F202" s="1"/>
      <c r="G202" s="5"/>
    </row>
    <row r="203">
      <c r="B203" s="21" t="s">
        <v>321</v>
      </c>
      <c r="C203" s="1">
        <v>1.0</v>
      </c>
      <c r="D203" s="1" t="s">
        <v>322</v>
      </c>
      <c r="E203" s="15" t="s">
        <v>323</v>
      </c>
      <c r="F203" s="1"/>
    </row>
    <row r="204">
      <c r="B204" s="21" t="s">
        <v>149</v>
      </c>
      <c r="C204" s="23">
        <f>C202*C203*52</f>
        <v>16159.10503</v>
      </c>
      <c r="D204" s="1" t="s">
        <v>284</v>
      </c>
      <c r="E204" s="15"/>
      <c r="F204" s="1"/>
    </row>
    <row r="205">
      <c r="B205" s="21" t="s">
        <v>324</v>
      </c>
      <c r="C205" s="1">
        <v>4.0</v>
      </c>
      <c r="D205" s="1" t="s">
        <v>325</v>
      </c>
      <c r="E205" s="115" t="s">
        <v>326</v>
      </c>
      <c r="G205" s="1"/>
    </row>
    <row r="206">
      <c r="B206" s="116" t="s">
        <v>327</v>
      </c>
      <c r="C206" s="23">
        <f>C205*C203*52</f>
        <v>208</v>
      </c>
      <c r="D206" s="1" t="s">
        <v>163</v>
      </c>
      <c r="E206" s="24"/>
      <c r="G206" s="1"/>
    </row>
    <row r="207">
      <c r="B207" s="21" t="s">
        <v>164</v>
      </c>
      <c r="C207" s="1">
        <f>I14</f>
        <v>4129</v>
      </c>
      <c r="D207" s="1" t="s">
        <v>328</v>
      </c>
      <c r="E207" s="24"/>
      <c r="F207" s="1"/>
      <c r="G207" s="1"/>
    </row>
    <row r="208">
      <c r="B208" s="21" t="s">
        <v>329</v>
      </c>
      <c r="C208" s="23">
        <f>C207*C206*C204</f>
        <v>13877956495</v>
      </c>
      <c r="D208" s="1" t="s">
        <v>167</v>
      </c>
      <c r="E208" s="15"/>
      <c r="F208" s="1"/>
      <c r="G208" s="1"/>
    </row>
    <row r="209">
      <c r="B209" s="21" t="s">
        <v>330</v>
      </c>
      <c r="C209" s="37">
        <f>C208*I25</f>
        <v>14641244.1</v>
      </c>
      <c r="D209" s="38" t="s">
        <v>8</v>
      </c>
      <c r="E209" s="15"/>
      <c r="F209" s="1"/>
      <c r="G209" s="1"/>
    </row>
    <row r="210">
      <c r="B210" s="21"/>
      <c r="D210" s="1"/>
      <c r="E210" s="15"/>
      <c r="F210" s="1"/>
    </row>
    <row r="211">
      <c r="B211" s="14" t="s">
        <v>331</v>
      </c>
      <c r="D211" s="1"/>
      <c r="E211" s="15"/>
      <c r="F211" s="1"/>
    </row>
    <row r="212">
      <c r="B212" s="117" t="s">
        <v>332</v>
      </c>
      <c r="C212" s="118">
        <f>50.7*0.621371</f>
        <v>31.5035097</v>
      </c>
      <c r="D212" s="119" t="s">
        <v>221</v>
      </c>
      <c r="E212" s="120"/>
      <c r="F212" s="1"/>
      <c r="G212" s="1"/>
    </row>
    <row r="213">
      <c r="B213" s="21" t="s">
        <v>282</v>
      </c>
      <c r="C213" s="80">
        <v>12.0</v>
      </c>
      <c r="D213" s="1" t="s">
        <v>274</v>
      </c>
      <c r="E213" s="15" t="s">
        <v>333</v>
      </c>
      <c r="F213" s="1"/>
      <c r="G213" s="1"/>
    </row>
    <row r="214">
      <c r="B214" s="21" t="s">
        <v>224</v>
      </c>
      <c r="C214" s="80">
        <f>C212*C213</f>
        <v>378.0421164</v>
      </c>
      <c r="D214" s="1" t="s">
        <v>290</v>
      </c>
      <c r="E214" s="15"/>
      <c r="F214" s="1"/>
      <c r="G214" s="1"/>
    </row>
    <row r="215">
      <c r="B215" s="21" t="s">
        <v>334</v>
      </c>
      <c r="C215" s="69">
        <v>1.0</v>
      </c>
      <c r="D215" s="1" t="s">
        <v>91</v>
      </c>
      <c r="E215" s="15"/>
      <c r="F215" s="1"/>
      <c r="G215" s="1"/>
    </row>
    <row r="216">
      <c r="B216" s="21" t="s">
        <v>335</v>
      </c>
      <c r="C216" s="80">
        <f>C215*I54</f>
        <v>3120</v>
      </c>
      <c r="D216" s="1" t="s">
        <v>91</v>
      </c>
      <c r="E216" s="15"/>
      <c r="F216" s="1"/>
      <c r="G216" s="1"/>
    </row>
    <row r="217">
      <c r="B217" s="21" t="s">
        <v>335</v>
      </c>
      <c r="C217" s="80">
        <f>C216/I19</f>
        <v>3.439210304</v>
      </c>
      <c r="D217" s="1" t="s">
        <v>336</v>
      </c>
      <c r="E217" s="15"/>
      <c r="F217" s="1"/>
      <c r="G217" s="1"/>
    </row>
    <row r="218">
      <c r="B218" s="21" t="s">
        <v>234</v>
      </c>
      <c r="C218" s="1">
        <v>4129.0</v>
      </c>
      <c r="D218" s="1" t="s">
        <v>31</v>
      </c>
      <c r="E218" s="15"/>
      <c r="F218" s="1"/>
      <c r="G218" s="1"/>
    </row>
    <row r="219">
      <c r="B219" s="21" t="s">
        <v>166</v>
      </c>
      <c r="C219" s="1">
        <f>C217*C216*C213</f>
        <v>128764.0338</v>
      </c>
      <c r="D219" s="1" t="s">
        <v>167</v>
      </c>
      <c r="E219" s="15"/>
      <c r="F219" s="1"/>
      <c r="G219" s="1"/>
    </row>
    <row r="220">
      <c r="B220" s="21" t="s">
        <v>168</v>
      </c>
      <c r="C220" s="38">
        <f>C219*I25</f>
        <v>135.8460557</v>
      </c>
      <c r="D220" s="38" t="s">
        <v>8</v>
      </c>
      <c r="E220" s="15"/>
      <c r="F220" s="1"/>
      <c r="G220" s="1"/>
    </row>
    <row r="221">
      <c r="B221" s="21" t="s">
        <v>337</v>
      </c>
      <c r="C221" s="1">
        <f>C220/I54</f>
        <v>0.04354040245</v>
      </c>
      <c r="D221" s="1" t="s">
        <v>15</v>
      </c>
      <c r="E221" s="15"/>
      <c r="F221" s="1"/>
      <c r="G221" s="1"/>
    </row>
    <row r="222">
      <c r="B222" s="21"/>
      <c r="C222" s="1"/>
      <c r="D222" s="38"/>
      <c r="E222" s="15"/>
      <c r="F222" s="1"/>
      <c r="G222" s="1"/>
    </row>
    <row r="223">
      <c r="B223" s="66" t="s">
        <v>271</v>
      </c>
      <c r="C223" s="68">
        <f>C220+C209</f>
        <v>14641379.95</v>
      </c>
      <c r="D223" s="68" t="s">
        <v>8</v>
      </c>
      <c r="E223" s="54"/>
      <c r="G223" s="1"/>
    </row>
    <row r="224">
      <c r="G224" s="1"/>
    </row>
    <row r="225">
      <c r="F225" s="5"/>
      <c r="G225" s="1"/>
    </row>
    <row r="226">
      <c r="B226" s="6" t="s">
        <v>174</v>
      </c>
      <c r="C226" s="3"/>
      <c r="D226" s="3"/>
      <c r="E226" s="4"/>
      <c r="G226" s="1"/>
    </row>
    <row r="227">
      <c r="B227" s="10" t="s">
        <v>0</v>
      </c>
      <c r="C227" s="12" t="s">
        <v>1</v>
      </c>
      <c r="D227" s="12" t="s">
        <v>2</v>
      </c>
      <c r="E227" s="13" t="s">
        <v>3</v>
      </c>
      <c r="G227" s="1"/>
    </row>
    <row r="228">
      <c r="B228" s="14" t="s">
        <v>179</v>
      </c>
      <c r="E228" s="24"/>
    </row>
    <row r="229">
      <c r="B229" s="21" t="s">
        <v>338</v>
      </c>
      <c r="C229" s="121">
        <f>(16*0.0254)*(22*0.0254)</f>
        <v>0.22709632</v>
      </c>
      <c r="D229" s="1" t="s">
        <v>339</v>
      </c>
      <c r="E229" s="46" t="s">
        <v>340</v>
      </c>
      <c r="F229" s="1"/>
    </row>
    <row r="230">
      <c r="B230" s="21" t="s">
        <v>341</v>
      </c>
      <c r="C230" s="121">
        <f>(16*0.0254)*(16*0.0254)</f>
        <v>0.16516096</v>
      </c>
      <c r="D230" s="1" t="s">
        <v>339</v>
      </c>
      <c r="E230" s="46" t="s">
        <v>342</v>
      </c>
      <c r="G230" s="5"/>
    </row>
    <row r="231">
      <c r="B231" s="21" t="s">
        <v>343</v>
      </c>
      <c r="C231" s="1">
        <v>4.0</v>
      </c>
      <c r="D231" s="1" t="s">
        <v>344</v>
      </c>
      <c r="E231" s="15"/>
    </row>
    <row r="232">
      <c r="B232" s="21" t="s">
        <v>345</v>
      </c>
      <c r="C232" s="1">
        <v>2.0</v>
      </c>
      <c r="D232" s="1" t="s">
        <v>344</v>
      </c>
      <c r="E232" s="15"/>
    </row>
    <row r="233">
      <c r="B233" s="21" t="s">
        <v>346</v>
      </c>
      <c r="C233" s="121">
        <f>C231*C229+C230*C232</f>
        <v>1.2387072</v>
      </c>
      <c r="D233" s="1" t="s">
        <v>339</v>
      </c>
      <c r="E233" s="15"/>
    </row>
    <row r="234">
      <c r="B234" s="42"/>
      <c r="E234" s="15"/>
    </row>
    <row r="235">
      <c r="B235" s="26" t="s">
        <v>347</v>
      </c>
      <c r="C235" s="122">
        <v>0.0</v>
      </c>
      <c r="D235" s="68" t="s">
        <v>8</v>
      </c>
      <c r="E235" s="54"/>
    </row>
    <row r="237">
      <c r="F237" s="5"/>
    </row>
    <row r="238">
      <c r="B238" s="55" t="s">
        <v>348</v>
      </c>
      <c r="C238" s="3"/>
      <c r="D238" s="3"/>
      <c r="E238" s="4"/>
    </row>
    <row r="239">
      <c r="B239" s="56" t="s">
        <v>0</v>
      </c>
      <c r="C239" s="57" t="s">
        <v>1</v>
      </c>
      <c r="D239" s="57" t="s">
        <v>2</v>
      </c>
      <c r="E239" s="58" t="s">
        <v>3</v>
      </c>
      <c r="F239" s="1"/>
    </row>
    <row r="240">
      <c r="B240" s="14" t="s">
        <v>349</v>
      </c>
      <c r="C240" s="1">
        <v>0.0</v>
      </c>
      <c r="D240" s="1" t="s">
        <v>268</v>
      </c>
      <c r="E240" s="15"/>
    </row>
    <row r="241">
      <c r="B241" s="42"/>
      <c r="E241" s="24"/>
    </row>
    <row r="242">
      <c r="B242" s="14" t="s">
        <v>350</v>
      </c>
      <c r="E242" s="24"/>
      <c r="F242" s="1"/>
      <c r="G242" s="5"/>
    </row>
    <row r="243">
      <c r="B243" s="21" t="s">
        <v>136</v>
      </c>
      <c r="C243" s="1">
        <v>4.0</v>
      </c>
      <c r="D243" s="1" t="s">
        <v>351</v>
      </c>
      <c r="E243" s="46" t="s">
        <v>352</v>
      </c>
      <c r="F243" s="1"/>
    </row>
    <row r="244">
      <c r="B244" s="21" t="s">
        <v>353</v>
      </c>
      <c r="C244" s="123">
        <v>0.15</v>
      </c>
      <c r="D244" s="38" t="s">
        <v>354</v>
      </c>
      <c r="E244" s="46"/>
      <c r="F244" s="1"/>
      <c r="G244" s="1"/>
    </row>
    <row r="245">
      <c r="B245" s="21" t="s">
        <v>355</v>
      </c>
      <c r="C245" s="1">
        <f>I54*C244</f>
        <v>468</v>
      </c>
      <c r="D245" s="1" t="s">
        <v>356</v>
      </c>
      <c r="E245" s="46"/>
      <c r="F245" s="1"/>
    </row>
    <row r="246">
      <c r="B246" s="21" t="s">
        <v>357</v>
      </c>
      <c r="C246" s="1">
        <f>C245*5*0.001</f>
        <v>2.34</v>
      </c>
      <c r="D246" s="1" t="s">
        <v>163</v>
      </c>
      <c r="E246" s="46" t="s">
        <v>358</v>
      </c>
      <c r="F246" s="1"/>
    </row>
    <row r="247">
      <c r="B247" s="21" t="s">
        <v>164</v>
      </c>
      <c r="C247" s="23">
        <f>I14</f>
        <v>4129</v>
      </c>
      <c r="D247" s="1" t="s">
        <v>31</v>
      </c>
      <c r="E247" s="24"/>
      <c r="F247" s="1"/>
      <c r="G247" s="1"/>
    </row>
    <row r="248">
      <c r="B248" s="21" t="s">
        <v>267</v>
      </c>
      <c r="C248" s="23">
        <f>C247*C246</f>
        <v>9661.86</v>
      </c>
      <c r="D248" s="1" t="s">
        <v>359</v>
      </c>
      <c r="E248" s="15"/>
      <c r="F248" s="1"/>
      <c r="G248" s="1"/>
    </row>
    <row r="249">
      <c r="B249" s="21" t="s">
        <v>360</v>
      </c>
      <c r="C249" s="23">
        <f>C248*C243*52</f>
        <v>2009666.88</v>
      </c>
      <c r="D249" s="1" t="s">
        <v>167</v>
      </c>
      <c r="E249" s="15"/>
      <c r="F249" s="1"/>
      <c r="G249" s="1"/>
    </row>
    <row r="250">
      <c r="B250" s="66" t="s">
        <v>361</v>
      </c>
      <c r="C250" s="67">
        <f>C249*I25</f>
        <v>2120.198558</v>
      </c>
      <c r="D250" s="68" t="s">
        <v>8</v>
      </c>
      <c r="E250" s="30"/>
      <c r="G250" s="1"/>
    </row>
    <row r="251">
      <c r="G251" s="1"/>
    </row>
    <row r="252">
      <c r="F252" s="5"/>
      <c r="G252" s="1"/>
    </row>
    <row r="253">
      <c r="B253" s="124" t="s">
        <v>362</v>
      </c>
      <c r="C253" s="34"/>
      <c r="D253" s="34"/>
      <c r="E253" s="35"/>
      <c r="G253" s="1"/>
    </row>
    <row r="254">
      <c r="B254" s="125" t="s">
        <v>363</v>
      </c>
      <c r="C254" s="126"/>
      <c r="D254" s="126"/>
      <c r="E254" s="30"/>
      <c r="G254" s="1"/>
    </row>
    <row r="256">
      <c r="F256" s="5"/>
    </row>
    <row r="257">
      <c r="B257" s="127" t="s">
        <v>364</v>
      </c>
      <c r="C257" s="34"/>
      <c r="D257" s="34"/>
      <c r="E257" s="35"/>
      <c r="G257" s="5"/>
    </row>
    <row r="258">
      <c r="B258" s="16" t="s">
        <v>365</v>
      </c>
      <c r="C258" s="17"/>
      <c r="D258" s="17"/>
      <c r="E258" s="20"/>
    </row>
    <row r="259">
      <c r="B259" s="21" t="s">
        <v>366</v>
      </c>
      <c r="C259" s="128" t="s">
        <v>367</v>
      </c>
      <c r="D259" s="129"/>
      <c r="E259" s="48"/>
    </row>
    <row r="260">
      <c r="B260" s="21" t="s">
        <v>368</v>
      </c>
      <c r="C260" s="130" t="s">
        <v>369</v>
      </c>
      <c r="D260" s="130" t="s">
        <v>370</v>
      </c>
      <c r="E260" s="95" t="s">
        <v>371</v>
      </c>
    </row>
    <row r="261">
      <c r="B261" s="21" t="s">
        <v>372</v>
      </c>
      <c r="C261" s="128" t="s">
        <v>373</v>
      </c>
      <c r="D261" s="129"/>
      <c r="E261" s="48"/>
      <c r="G261" s="5"/>
    </row>
    <row r="262">
      <c r="B262" s="78"/>
      <c r="C262" s="27"/>
      <c r="D262" s="27"/>
      <c r="E262" s="30"/>
    </row>
  </sheetData>
  <mergeCells count="17">
    <mergeCell ref="B3:E3"/>
    <mergeCell ref="G3:K3"/>
    <mergeCell ref="G11:K11"/>
    <mergeCell ref="G33:H33"/>
    <mergeCell ref="B39:E39"/>
    <mergeCell ref="G43:K43"/>
    <mergeCell ref="G44:K44"/>
    <mergeCell ref="B253:E253"/>
    <mergeCell ref="B254:D254"/>
    <mergeCell ref="B257:E257"/>
    <mergeCell ref="H57:K57"/>
    <mergeCell ref="B62:E62"/>
    <mergeCell ref="B92:E92"/>
    <mergeCell ref="B174:E174"/>
    <mergeCell ref="B198:E198"/>
    <mergeCell ref="B226:E226"/>
    <mergeCell ref="B238:E238"/>
  </mergeCells>
  <hyperlinks>
    <hyperlink r:id="rId2" ref="E12"/>
    <hyperlink r:id="rId3" ref="K17"/>
    <hyperlink r:id="rId4" ref="E19"/>
    <hyperlink r:id="rId5" ref="K21"/>
    <hyperlink r:id="rId6" ref="K22"/>
    <hyperlink r:id="rId7" ref="E24"/>
    <hyperlink r:id="rId8" ref="K24"/>
    <hyperlink r:id="rId9" ref="E26"/>
    <hyperlink r:id="rId10" ref="K30"/>
    <hyperlink r:id="rId11" ref="E68"/>
    <hyperlink r:id="rId12" ref="E71"/>
    <hyperlink r:id="rId13" ref="E84"/>
    <hyperlink r:id="rId14" location=":~:text=Most%20ship%20engines%20have%20been,per%20day%20at%20that%20speed." ref="E114"/>
    <hyperlink r:id="rId15" location=":~:text=Most%20ship%20engines%20have%20been,per%20day%20at%20that%20speed." ref="E115"/>
    <hyperlink r:id="rId16" ref="E117"/>
    <hyperlink r:id="rId17" ref="E176"/>
    <hyperlink r:id="rId18" ref="E177"/>
    <hyperlink r:id="rId19" ref="C259"/>
    <hyperlink r:id="rId20" ref="C260"/>
    <hyperlink r:id="rId21" ref="D260"/>
    <hyperlink r:id="rId22" ref="E260"/>
    <hyperlink r:id="rId23" ref="C261"/>
  </hyperlinks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30.25"/>
    <col customWidth="1" min="3" max="3" width="15.25"/>
    <col customWidth="1" min="6" max="6" width="5.88"/>
    <col customWidth="1" min="7" max="7" width="18.75"/>
    <col customWidth="1" min="8" max="8" width="16.5"/>
    <col customWidth="1" min="11" max="11" width="5.5"/>
    <col customWidth="1" min="12" max="12" width="26.88"/>
    <col customWidth="1" min="14" max="14" width="15.63"/>
  </cols>
  <sheetData>
    <row r="2">
      <c r="B2" s="2" t="s">
        <v>4</v>
      </c>
      <c r="C2" s="3"/>
      <c r="D2" s="3"/>
      <c r="E2" s="4"/>
      <c r="G2" s="6" t="s">
        <v>5</v>
      </c>
      <c r="H2" s="3"/>
      <c r="I2" s="3"/>
      <c r="J2" s="4"/>
      <c r="L2" s="131" t="s">
        <v>374</v>
      </c>
      <c r="M2" s="3"/>
      <c r="N2" s="3"/>
      <c r="O2" s="4"/>
    </row>
    <row r="3">
      <c r="B3" s="7" t="s">
        <v>0</v>
      </c>
      <c r="C3" s="8" t="s">
        <v>1</v>
      </c>
      <c r="D3" s="8" t="s">
        <v>2</v>
      </c>
      <c r="E3" s="9" t="s">
        <v>3</v>
      </c>
      <c r="G3" s="132" t="s">
        <v>0</v>
      </c>
      <c r="H3" s="133" t="s">
        <v>1</v>
      </c>
      <c r="I3" s="134" t="s">
        <v>2</v>
      </c>
      <c r="J3" s="135" t="s">
        <v>3</v>
      </c>
      <c r="L3" s="136" t="s">
        <v>0</v>
      </c>
      <c r="M3" s="137" t="s">
        <v>1</v>
      </c>
      <c r="N3" s="137" t="s">
        <v>2</v>
      </c>
      <c r="O3" s="138" t="s">
        <v>375</v>
      </c>
    </row>
    <row r="4">
      <c r="B4" s="21" t="s">
        <v>376</v>
      </c>
      <c r="C4" s="1">
        <f>'Main (Inventory)'!C10</f>
        <v>109200</v>
      </c>
      <c r="D4" s="22" t="s">
        <v>377</v>
      </c>
      <c r="E4" s="15"/>
      <c r="G4" s="139" t="s">
        <v>378</v>
      </c>
      <c r="H4" s="140" t="s">
        <v>379</v>
      </c>
      <c r="J4" s="24"/>
      <c r="L4" s="21" t="s">
        <v>380</v>
      </c>
      <c r="M4" s="1">
        <f>C5</f>
        <v>1248</v>
      </c>
      <c r="N4" s="86" t="s">
        <v>91</v>
      </c>
      <c r="O4" s="141" t="s">
        <v>381</v>
      </c>
    </row>
    <row r="5">
      <c r="B5" s="21" t="s">
        <v>382</v>
      </c>
      <c r="C5" s="1">
        <f>'Main (Inventory)'!C14</f>
        <v>1248</v>
      </c>
      <c r="D5" s="1" t="s">
        <v>29</v>
      </c>
      <c r="E5" s="15"/>
      <c r="G5" s="21" t="s">
        <v>383</v>
      </c>
      <c r="H5" s="105">
        <f t="shared" ref="H5:H9" si="1">C9+C25+C37+C50+C60+C75+C85+C96</f>
        <v>398485.4551</v>
      </c>
      <c r="I5" s="1" t="s">
        <v>384</v>
      </c>
      <c r="J5" s="24"/>
      <c r="L5" s="142" t="s">
        <v>385</v>
      </c>
      <c r="M5" s="91">
        <v>0.267</v>
      </c>
      <c r="N5" s="86" t="s">
        <v>91</v>
      </c>
      <c r="O5" s="143"/>
    </row>
    <row r="6">
      <c r="B6" s="21" t="s">
        <v>386</v>
      </c>
      <c r="C6" s="23">
        <f>'Main (Inventory)'!C28</f>
        <v>2808</v>
      </c>
      <c r="D6" s="1" t="s">
        <v>29</v>
      </c>
      <c r="E6" s="15"/>
      <c r="G6" s="21" t="s">
        <v>387</v>
      </c>
      <c r="H6" s="144">
        <f t="shared" si="1"/>
        <v>6647.783946</v>
      </c>
      <c r="I6" s="1" t="s">
        <v>388</v>
      </c>
      <c r="J6" s="24"/>
      <c r="L6" s="145" t="s">
        <v>378</v>
      </c>
      <c r="N6" s="81"/>
      <c r="O6" s="143"/>
    </row>
    <row r="7">
      <c r="B7" s="21" t="s">
        <v>389</v>
      </c>
      <c r="C7" s="23">
        <f>('Main (Inventory)'!C33+'Main (Inventory)'!C35)*'Main (Inventory)'!I54</f>
        <v>781.8850574</v>
      </c>
      <c r="D7" s="1" t="s">
        <v>29</v>
      </c>
      <c r="E7" s="15"/>
      <c r="G7" s="21" t="s">
        <v>390</v>
      </c>
      <c r="H7" s="144">
        <f t="shared" si="1"/>
        <v>613.4654765</v>
      </c>
      <c r="I7" s="1" t="s">
        <v>391</v>
      </c>
      <c r="J7" s="24"/>
      <c r="L7" s="89" t="s">
        <v>383</v>
      </c>
      <c r="M7" s="1">
        <v>1.0</v>
      </c>
      <c r="N7" s="86" t="s">
        <v>392</v>
      </c>
      <c r="O7" s="143">
        <f>M7*'Main (Inventory)'!C$67*'Main (Inventory)'!I$54</f>
        <v>833.04</v>
      </c>
    </row>
    <row r="8">
      <c r="B8" s="146" t="s">
        <v>378</v>
      </c>
      <c r="E8" s="24"/>
      <c r="G8" s="21" t="s">
        <v>393</v>
      </c>
      <c r="H8" s="144">
        <f t="shared" si="1"/>
        <v>5361.532528</v>
      </c>
      <c r="I8" s="1" t="s">
        <v>394</v>
      </c>
      <c r="J8" s="24"/>
      <c r="L8" s="89" t="s">
        <v>387</v>
      </c>
      <c r="M8" s="1">
        <v>3.3</v>
      </c>
      <c r="N8" s="86" t="s">
        <v>395</v>
      </c>
      <c r="O8" s="143">
        <f>M8*'Main (Inventory)'!C$67*'Main (Inventory)'!I$54</f>
        <v>2749.032</v>
      </c>
    </row>
    <row r="9">
      <c r="B9" s="21" t="s">
        <v>383</v>
      </c>
      <c r="C9" s="105">
        <f t="shared" ref="C9:C13" si="2">O7+O18+O29+O40</f>
        <v>14842.72432</v>
      </c>
      <c r="D9" s="1" t="s">
        <v>384</v>
      </c>
      <c r="E9" s="24"/>
      <c r="G9" s="26" t="s">
        <v>396</v>
      </c>
      <c r="H9" s="147">
        <f t="shared" si="1"/>
        <v>4.213369865</v>
      </c>
      <c r="I9" s="29" t="s">
        <v>397</v>
      </c>
      <c r="J9" s="30"/>
      <c r="L9" s="89" t="s">
        <v>390</v>
      </c>
      <c r="M9" s="1">
        <v>0.4</v>
      </c>
      <c r="N9" s="86" t="s">
        <v>398</v>
      </c>
      <c r="O9" s="143">
        <f>M9*'Main (Inventory)'!C$67*'Main (Inventory)'!I$54</f>
        <v>333.216</v>
      </c>
    </row>
    <row r="10">
      <c r="B10" s="21" t="s">
        <v>387</v>
      </c>
      <c r="C10" s="105">
        <f t="shared" si="2"/>
        <v>2907.928874</v>
      </c>
      <c r="D10" s="1" t="s">
        <v>388</v>
      </c>
      <c r="E10" s="24"/>
      <c r="L10" s="89" t="s">
        <v>393</v>
      </c>
      <c r="M10" s="1">
        <v>0.3</v>
      </c>
      <c r="N10" s="86" t="s">
        <v>399</v>
      </c>
      <c r="O10" s="143">
        <f>M10*'Main (Inventory)'!C$67*'Main (Inventory)'!I$54</f>
        <v>249.912</v>
      </c>
    </row>
    <row r="11">
      <c r="B11" s="21" t="s">
        <v>390</v>
      </c>
      <c r="C11" s="105">
        <f t="shared" si="2"/>
        <v>400.0035108</v>
      </c>
      <c r="D11" s="1" t="s">
        <v>391</v>
      </c>
      <c r="E11" s="24"/>
      <c r="G11" s="6" t="s">
        <v>400</v>
      </c>
      <c r="H11" s="3"/>
      <c r="I11" s="3"/>
      <c r="J11" s="4"/>
      <c r="L11" s="148" t="s">
        <v>396</v>
      </c>
      <c r="M11" s="149">
        <v>2.55E-5</v>
      </c>
      <c r="N11" s="150" t="s">
        <v>401</v>
      </c>
      <c r="O11" s="151">
        <f>M11*'Main (Inventory)'!I$54</f>
        <v>0.07956</v>
      </c>
    </row>
    <row r="12">
      <c r="B12" s="21" t="s">
        <v>393</v>
      </c>
      <c r="C12" s="105">
        <f t="shared" si="2"/>
        <v>268.4784292</v>
      </c>
      <c r="D12" s="1" t="s">
        <v>394</v>
      </c>
      <c r="E12" s="24"/>
      <c r="G12" s="132" t="s">
        <v>0</v>
      </c>
      <c r="H12" s="133" t="s">
        <v>1</v>
      </c>
      <c r="I12" s="133" t="s">
        <v>2</v>
      </c>
      <c r="J12" s="152" t="s">
        <v>3</v>
      </c>
    </row>
    <row r="13">
      <c r="B13" s="26" t="s">
        <v>396</v>
      </c>
      <c r="C13" s="153">
        <f t="shared" si="2"/>
        <v>0.5217797875</v>
      </c>
      <c r="D13" s="29" t="s">
        <v>397</v>
      </c>
      <c r="E13" s="30"/>
      <c r="G13" s="154" t="s">
        <v>402</v>
      </c>
      <c r="H13" s="34"/>
      <c r="I13" s="34"/>
      <c r="J13" s="35"/>
      <c r="L13" s="131" t="s">
        <v>403</v>
      </c>
      <c r="M13" s="3"/>
      <c r="N13" s="3"/>
      <c r="O13" s="4"/>
    </row>
    <row r="14">
      <c r="G14" s="21" t="s">
        <v>383</v>
      </c>
      <c r="H14" s="1">
        <v>0.537</v>
      </c>
      <c r="I14" s="1" t="s">
        <v>404</v>
      </c>
      <c r="J14" s="24"/>
      <c r="L14" s="136" t="s">
        <v>0</v>
      </c>
      <c r="M14" s="137" t="s">
        <v>1</v>
      </c>
      <c r="N14" s="137" t="s">
        <v>2</v>
      </c>
      <c r="O14" s="138" t="s">
        <v>375</v>
      </c>
    </row>
    <row r="15">
      <c r="A15" s="1"/>
      <c r="B15" s="5"/>
      <c r="C15" s="5"/>
      <c r="D15" s="5"/>
      <c r="E15" s="5"/>
      <c r="G15" s="21" t="s">
        <v>387</v>
      </c>
      <c r="H15" s="1">
        <v>0.00376</v>
      </c>
      <c r="I15" s="1" t="s">
        <v>405</v>
      </c>
      <c r="J15" s="24"/>
      <c r="L15" s="21" t="s">
        <v>380</v>
      </c>
      <c r="M15" s="1">
        <v>2808.0</v>
      </c>
      <c r="N15" s="86" t="s">
        <v>91</v>
      </c>
      <c r="O15" s="141" t="s">
        <v>381</v>
      </c>
    </row>
    <row r="16">
      <c r="B16" s="55" t="s">
        <v>116</v>
      </c>
      <c r="C16" s="3"/>
      <c r="D16" s="3"/>
      <c r="E16" s="4"/>
      <c r="G16" s="21" t="s">
        <v>390</v>
      </c>
      <c r="H16" s="1">
        <v>4.02E-4</v>
      </c>
      <c r="I16" s="1" t="s">
        <v>406</v>
      </c>
      <c r="J16" s="24"/>
      <c r="L16" s="142" t="s">
        <v>385</v>
      </c>
      <c r="M16" s="91">
        <v>0.9</v>
      </c>
      <c r="N16" s="86" t="s">
        <v>91</v>
      </c>
      <c r="O16" s="143"/>
    </row>
    <row r="17">
      <c r="B17" s="56" t="s">
        <v>0</v>
      </c>
      <c r="C17" s="57" t="s">
        <v>1</v>
      </c>
      <c r="D17" s="57" t="s">
        <v>2</v>
      </c>
      <c r="E17" s="58" t="s">
        <v>3</v>
      </c>
      <c r="G17" s="21" t="s">
        <v>393</v>
      </c>
      <c r="H17" s="1">
        <v>0.00112</v>
      </c>
      <c r="I17" s="1" t="s">
        <v>407</v>
      </c>
      <c r="J17" s="24"/>
      <c r="L17" s="145" t="s">
        <v>378</v>
      </c>
      <c r="N17" s="81"/>
      <c r="O17" s="143"/>
    </row>
    <row r="18">
      <c r="B18" s="16" t="s">
        <v>149</v>
      </c>
      <c r="C18" s="19">
        <f>'Main (Inventory)'!C53</f>
        <v>9904.921608</v>
      </c>
      <c r="D18" s="19" t="s">
        <v>154</v>
      </c>
      <c r="E18" s="20"/>
      <c r="G18" s="21" t="s">
        <v>396</v>
      </c>
      <c r="H18" s="23">
        <f>6.7*10^-6</f>
        <v>0.0000067</v>
      </c>
      <c r="I18" s="1" t="s">
        <v>408</v>
      </c>
      <c r="J18" s="24"/>
      <c r="L18" s="89" t="s">
        <v>383</v>
      </c>
      <c r="M18" s="1">
        <v>2.2</v>
      </c>
      <c r="N18" s="86" t="s">
        <v>409</v>
      </c>
      <c r="O18" s="143">
        <f>M18*'Main (Inventory)'!I$54</f>
        <v>6864</v>
      </c>
    </row>
    <row r="19">
      <c r="B19" s="21" t="s">
        <v>162</v>
      </c>
      <c r="C19" s="31">
        <f>'Main (Inventory)'!C56</f>
        <v>57.27907426</v>
      </c>
      <c r="D19" s="1" t="s">
        <v>163</v>
      </c>
      <c r="E19" s="24"/>
      <c r="G19" s="154" t="s">
        <v>410</v>
      </c>
      <c r="H19" s="34"/>
      <c r="I19" s="34"/>
      <c r="J19" s="35"/>
      <c r="L19" s="89" t="s">
        <v>387</v>
      </c>
      <c r="M19" s="1">
        <v>0.00638</v>
      </c>
      <c r="N19" s="86" t="s">
        <v>411</v>
      </c>
      <c r="O19" s="143">
        <f>M19*'Main (Inventory)'!I$54</f>
        <v>19.9056</v>
      </c>
    </row>
    <row r="20">
      <c r="B20" s="21" t="s">
        <v>164</v>
      </c>
      <c r="C20" s="23">
        <f>'Main (Inventory)'!C57</f>
        <v>4129</v>
      </c>
      <c r="D20" s="1" t="s">
        <v>31</v>
      </c>
      <c r="E20" s="24"/>
      <c r="G20" s="21" t="s">
        <v>383</v>
      </c>
      <c r="H20" s="1">
        <v>0.837</v>
      </c>
      <c r="I20" s="1" t="s">
        <v>412</v>
      </c>
      <c r="J20" s="24"/>
      <c r="L20" s="89" t="s">
        <v>390</v>
      </c>
      <c r="M20" s="1">
        <v>0.00112</v>
      </c>
      <c r="N20" s="86" t="s">
        <v>413</v>
      </c>
      <c r="O20" s="143">
        <f>M20*'Main (Inventory)'!I$54</f>
        <v>3.4944</v>
      </c>
    </row>
    <row r="21">
      <c r="B21" s="21" t="s">
        <v>166</v>
      </c>
      <c r="C21" s="23">
        <f>'Main (Inventory)'!C58</f>
        <v>2342566433</v>
      </c>
      <c r="D21" s="1" t="s">
        <v>167</v>
      </c>
      <c r="E21" s="24"/>
      <c r="G21" s="21" t="s">
        <v>387</v>
      </c>
      <c r="H21" s="1">
        <v>0.0116</v>
      </c>
      <c r="I21" s="1" t="s">
        <v>414</v>
      </c>
      <c r="J21" s="24"/>
      <c r="L21" s="89" t="s">
        <v>393</v>
      </c>
      <c r="M21" s="1">
        <v>0.00247</v>
      </c>
      <c r="N21" s="86" t="s">
        <v>415</v>
      </c>
      <c r="O21" s="143">
        <f>M21*'Main (Inventory)'!I$54</f>
        <v>7.7064</v>
      </c>
    </row>
    <row r="22">
      <c r="B22" s="21" t="s">
        <v>168</v>
      </c>
      <c r="C22" s="23">
        <f>'Main (Inventory)'!C59</f>
        <v>2471407.587</v>
      </c>
      <c r="D22" s="1" t="s">
        <v>8</v>
      </c>
      <c r="E22" s="15" t="s">
        <v>416</v>
      </c>
      <c r="G22" s="21" t="s">
        <v>390</v>
      </c>
      <c r="H22" s="1">
        <v>2.25E-4</v>
      </c>
      <c r="I22" s="1" t="s">
        <v>417</v>
      </c>
      <c r="J22" s="24"/>
      <c r="L22" s="148" t="s">
        <v>396</v>
      </c>
      <c r="M22" s="149">
        <v>9.8E-5</v>
      </c>
      <c r="N22" s="150" t="s">
        <v>418</v>
      </c>
      <c r="O22" s="155">
        <f>M22*'Main (Inventory)'!I$54</f>
        <v>0.30576</v>
      </c>
    </row>
    <row r="23">
      <c r="B23" s="113" t="s">
        <v>419</v>
      </c>
      <c r="C23" s="23">
        <f>C22/'Main (Inventory)'!I35</f>
        <v>57474.59504</v>
      </c>
      <c r="D23" s="1" t="s">
        <v>29</v>
      </c>
      <c r="E23" s="15"/>
      <c r="G23" s="21" t="s">
        <v>393</v>
      </c>
      <c r="H23" s="1">
        <f>7.77*10^(-5)</f>
        <v>0.0000777</v>
      </c>
      <c r="I23" s="1" t="s">
        <v>420</v>
      </c>
      <c r="J23" s="24"/>
    </row>
    <row r="24">
      <c r="B24" s="146" t="s">
        <v>378</v>
      </c>
      <c r="E24" s="24"/>
      <c r="G24" s="21" t="s">
        <v>396</v>
      </c>
      <c r="H24" s="23">
        <f>4.48*10^(-6)</f>
        <v>0.00000448</v>
      </c>
      <c r="I24" s="1" t="s">
        <v>421</v>
      </c>
      <c r="J24" s="24"/>
      <c r="L24" s="131" t="s">
        <v>422</v>
      </c>
      <c r="M24" s="3"/>
      <c r="N24" s="3"/>
      <c r="O24" s="4"/>
    </row>
    <row r="25">
      <c r="B25" s="21" t="s">
        <v>383</v>
      </c>
      <c r="C25" s="23">
        <f t="shared" ref="C25:C29" si="3">$C$23*H14</f>
        <v>30863.85754</v>
      </c>
      <c r="D25" s="1" t="s">
        <v>384</v>
      </c>
      <c r="E25" s="24"/>
      <c r="G25" s="154" t="s">
        <v>423</v>
      </c>
      <c r="H25" s="34"/>
      <c r="I25" s="34"/>
      <c r="J25" s="35"/>
      <c r="L25" s="136" t="s">
        <v>0</v>
      </c>
      <c r="M25" s="137" t="s">
        <v>1</v>
      </c>
      <c r="N25" s="137" t="s">
        <v>2</v>
      </c>
      <c r="O25" s="138" t="s">
        <v>375</v>
      </c>
    </row>
    <row r="26">
      <c r="B26" s="21" t="s">
        <v>387</v>
      </c>
      <c r="C26" s="23">
        <f t="shared" si="3"/>
        <v>216.1044773</v>
      </c>
      <c r="D26" s="1" t="s">
        <v>388</v>
      </c>
      <c r="E26" s="24"/>
      <c r="G26" s="21" t="s">
        <v>383</v>
      </c>
      <c r="H26" s="1">
        <v>0.558</v>
      </c>
      <c r="I26" s="1" t="s">
        <v>424</v>
      </c>
      <c r="J26" s="24"/>
      <c r="L26" s="21" t="s">
        <v>380</v>
      </c>
      <c r="M26" s="23">
        <f>C7</f>
        <v>781.8850574</v>
      </c>
      <c r="N26" s="86" t="s">
        <v>91</v>
      </c>
      <c r="O26" s="141" t="s">
        <v>381</v>
      </c>
    </row>
    <row r="27">
      <c r="B27" s="21" t="s">
        <v>390</v>
      </c>
      <c r="C27" s="23">
        <f t="shared" si="3"/>
        <v>23.10478721</v>
      </c>
      <c r="D27" s="1" t="s">
        <v>391</v>
      </c>
      <c r="E27" s="24"/>
      <c r="G27" s="21" t="s">
        <v>387</v>
      </c>
      <c r="H27" s="1">
        <v>0.00462</v>
      </c>
      <c r="I27" s="1" t="s">
        <v>425</v>
      </c>
      <c r="J27" s="24"/>
      <c r="L27" s="142" t="s">
        <v>385</v>
      </c>
      <c r="M27" s="156">
        <f>'Main (Inventory)'!C33+'Main (Inventory)'!C35</f>
        <v>0.2506041851</v>
      </c>
      <c r="N27" s="86" t="s">
        <v>91</v>
      </c>
      <c r="O27" s="143"/>
    </row>
    <row r="28">
      <c r="B28" s="21" t="s">
        <v>393</v>
      </c>
      <c r="C28" s="23">
        <f t="shared" si="3"/>
        <v>64.37154644</v>
      </c>
      <c r="D28" s="1" t="s">
        <v>394</v>
      </c>
      <c r="E28" s="24"/>
      <c r="G28" s="21" t="s">
        <v>390</v>
      </c>
      <c r="H28" s="1">
        <v>4.17E-4</v>
      </c>
      <c r="I28" s="1" t="s">
        <v>426</v>
      </c>
      <c r="J28" s="24"/>
      <c r="L28" s="145" t="s">
        <v>378</v>
      </c>
      <c r="N28" s="81"/>
      <c r="O28" s="143"/>
    </row>
    <row r="29">
      <c r="B29" s="26" t="s">
        <v>396</v>
      </c>
      <c r="C29" s="27">
        <f t="shared" si="3"/>
        <v>0.3850797868</v>
      </c>
      <c r="D29" s="29" t="s">
        <v>397</v>
      </c>
      <c r="E29" s="30"/>
      <c r="G29" s="21" t="s">
        <v>393</v>
      </c>
      <c r="H29" s="1">
        <v>0.00369</v>
      </c>
      <c r="I29" s="1" t="s">
        <v>427</v>
      </c>
      <c r="J29" s="24"/>
      <c r="L29" s="89" t="s">
        <v>383</v>
      </c>
      <c r="M29" s="1">
        <f>(M$27/'Main (Inventory)'!C$33)*1.4</f>
        <v>1.403383436</v>
      </c>
      <c r="N29" s="86" t="s">
        <v>409</v>
      </c>
      <c r="O29" s="143">
        <f>M29*'Main (Inventory)'!I$54</f>
        <v>4378.556322</v>
      </c>
    </row>
    <row r="30">
      <c r="G30" s="21" t="s">
        <v>396</v>
      </c>
      <c r="H30" s="23">
        <f>6.33*10^-6</f>
        <v>0.00000633</v>
      </c>
      <c r="I30" s="1" t="s">
        <v>428</v>
      </c>
      <c r="J30" s="24"/>
      <c r="L30" s="89" t="s">
        <v>387</v>
      </c>
      <c r="M30" s="1">
        <f>(M$27/'Main (Inventory)'!C$33)*0.00558</f>
        <v>0.005593485411</v>
      </c>
      <c r="N30" s="86" t="s">
        <v>411</v>
      </c>
      <c r="O30" s="143">
        <f>M30*'Main (Inventory)'!I$54</f>
        <v>17.45167448</v>
      </c>
    </row>
    <row r="31">
      <c r="B31" s="71" t="s">
        <v>172</v>
      </c>
      <c r="C31" s="3"/>
      <c r="D31" s="3"/>
      <c r="E31" s="4"/>
      <c r="G31" s="154" t="s">
        <v>429</v>
      </c>
      <c r="H31" s="34"/>
      <c r="I31" s="34"/>
      <c r="J31" s="35"/>
      <c r="L31" s="89" t="s">
        <v>390</v>
      </c>
      <c r="M31" s="1">
        <f>(M$27/'Main (Inventory)'!C$33)*0.00176</f>
        <v>0.001764253463</v>
      </c>
      <c r="N31" s="86" t="s">
        <v>413</v>
      </c>
      <c r="O31" s="143">
        <f>M31*'Main (Inventory)'!I$54</f>
        <v>5.504470804</v>
      </c>
    </row>
    <row r="32">
      <c r="B32" s="72" t="s">
        <v>0</v>
      </c>
      <c r="C32" s="73" t="s">
        <v>1</v>
      </c>
      <c r="D32" s="73" t="s">
        <v>2</v>
      </c>
      <c r="E32" s="74" t="s">
        <v>3</v>
      </c>
      <c r="G32" s="21" t="s">
        <v>383</v>
      </c>
      <c r="H32" s="1">
        <v>0.363</v>
      </c>
      <c r="I32" s="1" t="s">
        <v>430</v>
      </c>
      <c r="J32" s="24"/>
      <c r="L32" s="89" t="s">
        <v>393</v>
      </c>
      <c r="M32" s="1">
        <f>(M$27/'Main (Inventory)'!C$33)*0.00338</f>
        <v>0.003388168582</v>
      </c>
      <c r="N32" s="86" t="s">
        <v>415</v>
      </c>
      <c r="O32" s="143">
        <f>M32*'Main (Inventory)'!I$54</f>
        <v>10.57108598</v>
      </c>
    </row>
    <row r="33">
      <c r="B33" s="21" t="s">
        <v>217</v>
      </c>
      <c r="C33" s="77">
        <f>'Main (Inventory)'!C88</f>
        <v>219505.3853</v>
      </c>
      <c r="D33" s="1" t="s">
        <v>8</v>
      </c>
      <c r="E33" s="15"/>
      <c r="G33" s="21" t="s">
        <v>387</v>
      </c>
      <c r="H33" s="1">
        <v>0.00143</v>
      </c>
      <c r="I33" s="1" t="s">
        <v>431</v>
      </c>
      <c r="J33" s="24"/>
      <c r="L33" s="148" t="s">
        <v>396</v>
      </c>
      <c r="M33" s="29">
        <f>(M$27/'Main (Inventory)'!C$33)*4.13*10^-5</f>
        <v>0.00004139981137</v>
      </c>
      <c r="N33" s="150" t="s">
        <v>418</v>
      </c>
      <c r="O33" s="157">
        <f>M33*'Main (Inventory)'!I$54</f>
        <v>0.1291674115</v>
      </c>
    </row>
    <row r="34">
      <c r="B34" s="21" t="s">
        <v>432</v>
      </c>
      <c r="C34" s="77">
        <f>C33-C35</f>
        <v>216771.2131</v>
      </c>
      <c r="D34" s="1" t="s">
        <v>8</v>
      </c>
      <c r="E34" s="15" t="s">
        <v>410</v>
      </c>
      <c r="G34" s="21" t="s">
        <v>390</v>
      </c>
      <c r="H34" s="1">
        <v>1.51E-4</v>
      </c>
      <c r="I34" s="1" t="s">
        <v>433</v>
      </c>
      <c r="J34" s="24"/>
    </row>
    <row r="35">
      <c r="B35" s="21" t="s">
        <v>434</v>
      </c>
      <c r="C35" s="158">
        <v>2734.17219200053</v>
      </c>
      <c r="D35" s="1" t="s">
        <v>8</v>
      </c>
      <c r="E35" s="15" t="s">
        <v>429</v>
      </c>
      <c r="G35" s="21" t="s">
        <v>393</v>
      </c>
      <c r="H35" s="1">
        <v>2.63E-4</v>
      </c>
      <c r="I35" s="1" t="s">
        <v>435</v>
      </c>
      <c r="J35" s="24"/>
      <c r="L35" s="131" t="s">
        <v>436</v>
      </c>
      <c r="M35" s="3"/>
      <c r="N35" s="3"/>
      <c r="O35" s="4"/>
    </row>
    <row r="36">
      <c r="B36" s="146" t="s">
        <v>378</v>
      </c>
      <c r="E36" s="24"/>
      <c r="F36" s="159"/>
      <c r="G36" s="26" t="s">
        <v>396</v>
      </c>
      <c r="H36" s="160">
        <v>4.18E-7</v>
      </c>
      <c r="I36" s="29" t="s">
        <v>437</v>
      </c>
      <c r="J36" s="30"/>
      <c r="L36" s="136" t="s">
        <v>0</v>
      </c>
      <c r="M36" s="137" t="s">
        <v>1</v>
      </c>
      <c r="N36" s="137" t="s">
        <v>2</v>
      </c>
      <c r="O36" s="138" t="s">
        <v>375</v>
      </c>
    </row>
    <row r="37">
      <c r="B37" s="21" t="s">
        <v>383</v>
      </c>
      <c r="C37" s="23">
        <f>(H20*$C$34)/3.6+(H32*$C$35)/'Main (Inventory)'!I37</f>
        <v>50420.42416</v>
      </c>
      <c r="D37" s="1" t="s">
        <v>384</v>
      </c>
      <c r="E37" s="24"/>
      <c r="L37" s="16" t="s">
        <v>380</v>
      </c>
      <c r="M37" s="161">
        <v>109200.0</v>
      </c>
      <c r="N37" s="162" t="s">
        <v>91</v>
      </c>
      <c r="O37" s="163" t="s">
        <v>381</v>
      </c>
    </row>
    <row r="38">
      <c r="B38" s="21" t="s">
        <v>387</v>
      </c>
      <c r="C38" s="23">
        <f>(H21*$C$34)/3.6+(H33*$C$35)/'Main (Inventory)'!I37</f>
        <v>698.5682085</v>
      </c>
      <c r="D38" s="1" t="s">
        <v>388</v>
      </c>
      <c r="E38" s="24"/>
      <c r="L38" s="142" t="s">
        <v>385</v>
      </c>
      <c r="M38" s="91">
        <v>4.545E-4</v>
      </c>
      <c r="N38" s="86" t="s">
        <v>91</v>
      </c>
      <c r="O38" s="143"/>
    </row>
    <row r="39">
      <c r="B39" s="21" t="s">
        <v>390</v>
      </c>
      <c r="C39" s="23">
        <f>(H22*$C$34)/3.6+(H34*$C$35)/'Main (Inventory)'!I37</f>
        <v>13.55698507</v>
      </c>
      <c r="D39" s="1" t="s">
        <v>391</v>
      </c>
      <c r="E39" s="24"/>
      <c r="L39" s="145" t="s">
        <v>378</v>
      </c>
      <c r="N39" s="81"/>
      <c r="O39" s="143"/>
    </row>
    <row r="40">
      <c r="B40" s="21" t="s">
        <v>393</v>
      </c>
      <c r="C40" s="23">
        <f>(H14*$C$25)/3.6+(H35*$C$26)/'Main (Inventory)'!I37</f>
        <v>4603.859958</v>
      </c>
      <c r="D40" s="1" t="s">
        <v>394</v>
      </c>
      <c r="E40" s="24"/>
      <c r="L40" s="89" t="s">
        <v>383</v>
      </c>
      <c r="M40" s="1">
        <v>1.81</v>
      </c>
      <c r="N40" s="86" t="s">
        <v>409</v>
      </c>
      <c r="O40" s="143">
        <f>M40*'Main (Inventory)'!I$54*0.49</f>
        <v>2767.128</v>
      </c>
    </row>
    <row r="41">
      <c r="B41" s="26" t="s">
        <v>396</v>
      </c>
      <c r="C41" s="27">
        <f>(H24*$C$34)/3.6+(H36*$C$35)/'Main (Inventory)'!I37</f>
        <v>0.2697840485</v>
      </c>
      <c r="D41" s="29" t="s">
        <v>397</v>
      </c>
      <c r="E41" s="30"/>
      <c r="L41" s="89" t="s">
        <v>387</v>
      </c>
      <c r="M41" s="164">
        <v>0.0795</v>
      </c>
      <c r="N41" s="86" t="s">
        <v>411</v>
      </c>
      <c r="O41" s="151">
        <f>M41*'Main (Inventory)'!I$54*0.49</f>
        <v>121.5396</v>
      </c>
    </row>
    <row r="42">
      <c r="L42" s="89" t="s">
        <v>390</v>
      </c>
      <c r="M42" s="164">
        <v>0.0378</v>
      </c>
      <c r="N42" s="86" t="s">
        <v>413</v>
      </c>
      <c r="O42" s="151">
        <f>M42*'Main (Inventory)'!I$54*0.49</f>
        <v>57.78864</v>
      </c>
    </row>
    <row r="43">
      <c r="B43" s="55" t="s">
        <v>218</v>
      </c>
      <c r="C43" s="3"/>
      <c r="D43" s="3"/>
      <c r="E43" s="4"/>
      <c r="L43" s="89" t="s">
        <v>393</v>
      </c>
      <c r="M43" s="164">
        <v>1.89E-4</v>
      </c>
      <c r="N43" s="86" t="s">
        <v>415</v>
      </c>
      <c r="O43" s="151">
        <f>M43*'Main (Inventory)'!I$54*0.49</f>
        <v>0.2889432</v>
      </c>
    </row>
    <row r="44">
      <c r="B44" s="56" t="s">
        <v>0</v>
      </c>
      <c r="C44" s="57" t="s">
        <v>1</v>
      </c>
      <c r="D44" s="57" t="s">
        <v>2</v>
      </c>
      <c r="E44" s="58" t="s">
        <v>3</v>
      </c>
      <c r="L44" s="148" t="s">
        <v>396</v>
      </c>
      <c r="M44" s="149">
        <v>4.77E-6</v>
      </c>
      <c r="N44" s="150" t="s">
        <v>418</v>
      </c>
      <c r="O44" s="155">
        <f>M44*'Main (Inventory)'!I$54*0.49</f>
        <v>0.007292376</v>
      </c>
    </row>
    <row r="45">
      <c r="B45" s="21" t="s">
        <v>438</v>
      </c>
      <c r="C45" s="23">
        <f>'Main (Inventory)'!C106+'Main (Inventory)'!C133+'Main (Inventory)'!C145+'Main (Inventory)'!C169</f>
        <v>1298561.589</v>
      </c>
      <c r="D45" s="1" t="s">
        <v>439</v>
      </c>
      <c r="E45" s="15" t="s">
        <v>402</v>
      </c>
    </row>
    <row r="46">
      <c r="A46" s="1"/>
      <c r="B46" s="21" t="s">
        <v>440</v>
      </c>
      <c r="C46" s="23">
        <f>C45/'Main (Inventory)'!I35</f>
        <v>30199.10673</v>
      </c>
      <c r="D46" s="1" t="s">
        <v>29</v>
      </c>
      <c r="E46" s="15"/>
    </row>
    <row r="47">
      <c r="B47" s="21" t="s">
        <v>441</v>
      </c>
      <c r="C47" s="105">
        <f>'Main (Inventory)'!C157+'Main (Inventory)'!C121</f>
        <v>176.7961913</v>
      </c>
      <c r="D47" s="1" t="s">
        <v>439</v>
      </c>
      <c r="E47" s="15" t="s">
        <v>442</v>
      </c>
    </row>
    <row r="48">
      <c r="A48" s="1"/>
      <c r="B48" s="21" t="s">
        <v>443</v>
      </c>
      <c r="C48" s="23">
        <f>C47/'Main (Inventory)'!I36</f>
        <v>4.209433125</v>
      </c>
      <c r="D48" s="1" t="s">
        <v>29</v>
      </c>
      <c r="E48" s="15"/>
    </row>
    <row r="49">
      <c r="B49" s="146" t="s">
        <v>378</v>
      </c>
      <c r="E49" s="24"/>
    </row>
    <row r="50">
      <c r="B50" s="21" t="s">
        <v>383</v>
      </c>
      <c r="C50" s="23">
        <f t="shared" ref="C50:C54" si="4">$C$46*H14+$C$48*H32</f>
        <v>16218.44834</v>
      </c>
      <c r="D50" s="1" t="s">
        <v>384</v>
      </c>
      <c r="E50" s="24"/>
    </row>
    <row r="51">
      <c r="B51" s="21" t="s">
        <v>387</v>
      </c>
      <c r="C51" s="23">
        <f t="shared" si="4"/>
        <v>113.5546608</v>
      </c>
      <c r="D51" s="1" t="s">
        <v>388</v>
      </c>
      <c r="E51" s="24"/>
    </row>
    <row r="52">
      <c r="B52" s="21" t="s">
        <v>390</v>
      </c>
      <c r="C52" s="23">
        <f t="shared" si="4"/>
        <v>12.14067653</v>
      </c>
      <c r="D52" s="1" t="s">
        <v>391</v>
      </c>
      <c r="E52" s="24"/>
    </row>
    <row r="53">
      <c r="B53" s="21" t="s">
        <v>393</v>
      </c>
      <c r="C53" s="23">
        <f t="shared" si="4"/>
        <v>33.82410662</v>
      </c>
      <c r="D53" s="1" t="s">
        <v>394</v>
      </c>
      <c r="E53" s="24"/>
    </row>
    <row r="54">
      <c r="B54" s="26" t="s">
        <v>396</v>
      </c>
      <c r="C54" s="27">
        <f t="shared" si="4"/>
        <v>0.2023357746</v>
      </c>
      <c r="D54" s="29" t="s">
        <v>397</v>
      </c>
      <c r="E54" s="30"/>
    </row>
    <row r="56">
      <c r="B56" s="6" t="s">
        <v>174</v>
      </c>
      <c r="C56" s="3"/>
      <c r="D56" s="3"/>
      <c r="E56" s="4"/>
    </row>
    <row r="57">
      <c r="B57" s="10" t="s">
        <v>0</v>
      </c>
      <c r="C57" s="12" t="s">
        <v>1</v>
      </c>
      <c r="D57" s="12" t="s">
        <v>2</v>
      </c>
      <c r="E57" s="13" t="s">
        <v>3</v>
      </c>
    </row>
    <row r="58">
      <c r="B58" s="21" t="s">
        <v>217</v>
      </c>
      <c r="C58" s="23">
        <f>'Main (Inventory)'!C195</f>
        <v>444157.0848</v>
      </c>
      <c r="D58" s="1" t="s">
        <v>8</v>
      </c>
      <c r="E58" s="15" t="s">
        <v>410</v>
      </c>
    </row>
    <row r="59">
      <c r="B59" s="146" t="s">
        <v>378</v>
      </c>
      <c r="E59" s="24"/>
    </row>
    <row r="60">
      <c r="B60" s="21" t="s">
        <v>383</v>
      </c>
      <c r="C60" s="23">
        <f t="shared" ref="C60:C64" si="5">H20*$C$58/3.6</f>
        <v>103266.5222</v>
      </c>
      <c r="D60" s="1" t="s">
        <v>384</v>
      </c>
      <c r="E60" s="24"/>
    </row>
    <row r="61">
      <c r="B61" s="21" t="s">
        <v>387</v>
      </c>
      <c r="C61" s="23">
        <f t="shared" si="5"/>
        <v>1431.172829</v>
      </c>
      <c r="D61" s="1" t="s">
        <v>388</v>
      </c>
      <c r="E61" s="24"/>
    </row>
    <row r="62">
      <c r="B62" s="21" t="s">
        <v>390</v>
      </c>
      <c r="C62" s="23">
        <f t="shared" si="5"/>
        <v>27.7598178</v>
      </c>
      <c r="D62" s="1" t="s">
        <v>391</v>
      </c>
      <c r="E62" s="24"/>
    </row>
    <row r="63">
      <c r="B63" s="21" t="s">
        <v>393</v>
      </c>
      <c r="C63" s="23">
        <f t="shared" si="5"/>
        <v>9.586390414</v>
      </c>
      <c r="D63" s="1" t="s">
        <v>394</v>
      </c>
      <c r="E63" s="24"/>
    </row>
    <row r="64">
      <c r="B64" s="26" t="s">
        <v>396</v>
      </c>
      <c r="C64" s="27">
        <f t="shared" si="5"/>
        <v>0.5527288166</v>
      </c>
      <c r="D64" s="29" t="s">
        <v>397</v>
      </c>
      <c r="E64" s="30"/>
    </row>
    <row r="66">
      <c r="B66" s="55" t="s">
        <v>317</v>
      </c>
      <c r="C66" s="3"/>
      <c r="D66" s="3"/>
      <c r="E66" s="4"/>
    </row>
    <row r="67">
      <c r="B67" s="56" t="s">
        <v>0</v>
      </c>
      <c r="C67" s="57" t="s">
        <v>1</v>
      </c>
      <c r="D67" s="57" t="s">
        <v>2</v>
      </c>
      <c r="E67" s="58" t="s">
        <v>3</v>
      </c>
    </row>
    <row r="68">
      <c r="B68" s="21" t="s">
        <v>149</v>
      </c>
      <c r="C68" s="107">
        <f>'Main (Inventory)'!C204+'Main (Inventory)'!C214</f>
        <v>16537.14715</v>
      </c>
      <c r="D68" s="1" t="s">
        <v>284</v>
      </c>
      <c r="E68" s="24"/>
    </row>
    <row r="69">
      <c r="B69" s="116" t="s">
        <v>327</v>
      </c>
      <c r="C69" s="107">
        <f>'Main (Inventory)'!C206+'Main (Inventory)'!C217</f>
        <v>211.4392103</v>
      </c>
      <c r="D69" s="1" t="s">
        <v>163</v>
      </c>
      <c r="E69" s="24"/>
    </row>
    <row r="70">
      <c r="B70" s="21" t="s">
        <v>164</v>
      </c>
      <c r="C70" s="1">
        <f>'Main (Inventory)'!C207</f>
        <v>4129</v>
      </c>
      <c r="D70" s="1" t="s">
        <v>328</v>
      </c>
      <c r="E70" s="24"/>
    </row>
    <row r="71">
      <c r="B71" s="21" t="s">
        <v>329</v>
      </c>
      <c r="C71" s="23">
        <f>'Main (Inventory)'!C208+'Main (Inventory)'!C219</f>
        <v>13878085259</v>
      </c>
      <c r="D71" s="1" t="s">
        <v>167</v>
      </c>
      <c r="E71" s="24"/>
    </row>
    <row r="72">
      <c r="B72" s="21" t="s">
        <v>330</v>
      </c>
      <c r="C72" s="23">
        <f>'Main (Inventory)'!C209+'Main (Inventory)'!C220</f>
        <v>14641379.95</v>
      </c>
      <c r="D72" s="1" t="s">
        <v>8</v>
      </c>
      <c r="E72" s="15" t="s">
        <v>402</v>
      </c>
    </row>
    <row r="73">
      <c r="A73" s="1"/>
      <c r="B73" s="21" t="s">
        <v>419</v>
      </c>
      <c r="C73" s="23">
        <f>C72/'Main (Inventory)'!I35</f>
        <v>340497.2081</v>
      </c>
      <c r="D73" s="1" t="s">
        <v>29</v>
      </c>
      <c r="E73" s="15"/>
    </row>
    <row r="74">
      <c r="B74" s="146" t="s">
        <v>378</v>
      </c>
      <c r="E74" s="24"/>
    </row>
    <row r="75">
      <c r="B75" s="21" t="s">
        <v>383</v>
      </c>
      <c r="C75" s="23">
        <f t="shared" ref="C75:C79" si="6">$C$73*H14</f>
        <v>182847.0007</v>
      </c>
      <c r="D75" s="1" t="s">
        <v>384</v>
      </c>
      <c r="E75" s="15"/>
    </row>
    <row r="76">
      <c r="B76" s="21" t="s">
        <v>387</v>
      </c>
      <c r="C76" s="23">
        <f t="shared" si="6"/>
        <v>1280.269502</v>
      </c>
      <c r="D76" s="1" t="s">
        <v>388</v>
      </c>
      <c r="E76" s="15"/>
    </row>
    <row r="77">
      <c r="B77" s="21" t="s">
        <v>390</v>
      </c>
      <c r="C77" s="23">
        <f t="shared" si="6"/>
        <v>136.8798777</v>
      </c>
      <c r="D77" s="1" t="s">
        <v>391</v>
      </c>
      <c r="E77" s="15"/>
    </row>
    <row r="78">
      <c r="B78" s="21" t="s">
        <v>393</v>
      </c>
      <c r="C78" s="23">
        <f t="shared" si="6"/>
        <v>381.3568731</v>
      </c>
      <c r="D78" s="1" t="s">
        <v>394</v>
      </c>
      <c r="E78" s="15"/>
    </row>
    <row r="79">
      <c r="B79" s="26" t="s">
        <v>396</v>
      </c>
      <c r="C79" s="27">
        <f t="shared" si="6"/>
        <v>2.281331294</v>
      </c>
      <c r="D79" s="29" t="s">
        <v>397</v>
      </c>
      <c r="E79" s="30"/>
    </row>
    <row r="81">
      <c r="B81" s="6" t="s">
        <v>174</v>
      </c>
      <c r="C81" s="3"/>
      <c r="D81" s="3"/>
      <c r="E81" s="4"/>
    </row>
    <row r="82">
      <c r="B82" s="10" t="s">
        <v>0</v>
      </c>
      <c r="C82" s="12" t="s">
        <v>1</v>
      </c>
      <c r="D82" s="12" t="s">
        <v>2</v>
      </c>
      <c r="E82" s="13" t="s">
        <v>3</v>
      </c>
    </row>
    <row r="83">
      <c r="B83" s="21" t="s">
        <v>347</v>
      </c>
      <c r="C83" s="165">
        <v>0.0</v>
      </c>
      <c r="D83" s="1" t="s">
        <v>8</v>
      </c>
      <c r="E83" s="24"/>
    </row>
    <row r="84">
      <c r="B84" s="146" t="s">
        <v>378</v>
      </c>
      <c r="E84" s="24"/>
    </row>
    <row r="85">
      <c r="B85" s="21" t="s">
        <v>383</v>
      </c>
      <c r="C85" s="1">
        <v>0.0</v>
      </c>
      <c r="D85" s="1" t="s">
        <v>384</v>
      </c>
      <c r="E85" s="24"/>
    </row>
    <row r="86">
      <c r="B86" s="21" t="s">
        <v>387</v>
      </c>
      <c r="C86" s="1">
        <v>0.0</v>
      </c>
      <c r="D86" s="1" t="s">
        <v>388</v>
      </c>
      <c r="E86" s="24"/>
    </row>
    <row r="87">
      <c r="B87" s="21" t="s">
        <v>390</v>
      </c>
      <c r="C87" s="1">
        <v>0.0</v>
      </c>
      <c r="D87" s="1" t="s">
        <v>391</v>
      </c>
      <c r="E87" s="24"/>
    </row>
    <row r="88">
      <c r="B88" s="21" t="s">
        <v>393</v>
      </c>
      <c r="C88" s="1">
        <v>0.0</v>
      </c>
      <c r="D88" s="1" t="s">
        <v>394</v>
      </c>
      <c r="E88" s="24"/>
    </row>
    <row r="89">
      <c r="B89" s="26" t="s">
        <v>396</v>
      </c>
      <c r="C89" s="29">
        <v>0.0</v>
      </c>
      <c r="D89" s="29" t="s">
        <v>397</v>
      </c>
      <c r="E89" s="30"/>
    </row>
    <row r="91">
      <c r="B91" s="55" t="s">
        <v>348</v>
      </c>
      <c r="C91" s="3"/>
      <c r="D91" s="3"/>
      <c r="E91" s="4"/>
    </row>
    <row r="92">
      <c r="B92" s="56" t="s">
        <v>0</v>
      </c>
      <c r="C92" s="57" t="s">
        <v>1</v>
      </c>
      <c r="D92" s="57" t="s">
        <v>2</v>
      </c>
      <c r="E92" s="58" t="s">
        <v>3</v>
      </c>
    </row>
    <row r="93">
      <c r="B93" s="21" t="s">
        <v>361</v>
      </c>
      <c r="C93" s="23">
        <f>'Main (Inventory)'!C250</f>
        <v>2120.198558</v>
      </c>
      <c r="D93" s="1" t="s">
        <v>8</v>
      </c>
      <c r="E93" s="15" t="s">
        <v>402</v>
      </c>
    </row>
    <row r="94">
      <c r="A94" s="1"/>
      <c r="B94" s="21" t="s">
        <v>444</v>
      </c>
      <c r="C94" s="23">
        <f>C93/'Main (Inventory)'!I35</f>
        <v>49.30694322</v>
      </c>
      <c r="D94" s="1" t="s">
        <v>29</v>
      </c>
      <c r="E94" s="15"/>
    </row>
    <row r="95">
      <c r="B95" s="146" t="s">
        <v>378</v>
      </c>
      <c r="E95" s="24"/>
    </row>
    <row r="96">
      <c r="B96" s="21" t="s">
        <v>383</v>
      </c>
      <c r="C96" s="23">
        <f t="shared" ref="C96:C100" si="7">$C$94*H14</f>
        <v>26.47782851</v>
      </c>
      <c r="D96" s="1" t="s">
        <v>384</v>
      </c>
      <c r="E96" s="24"/>
    </row>
    <row r="97">
      <c r="B97" s="21" t="s">
        <v>387</v>
      </c>
      <c r="C97" s="23">
        <f t="shared" si="7"/>
        <v>0.1853941065</v>
      </c>
      <c r="D97" s="1" t="s">
        <v>388</v>
      </c>
      <c r="E97" s="24"/>
    </row>
    <row r="98">
      <c r="B98" s="21" t="s">
        <v>390</v>
      </c>
      <c r="C98" s="23">
        <f t="shared" si="7"/>
        <v>0.01982139117</v>
      </c>
      <c r="D98" s="1" t="s">
        <v>391</v>
      </c>
      <c r="E98" s="24"/>
    </row>
    <row r="99">
      <c r="B99" s="21" t="s">
        <v>393</v>
      </c>
      <c r="C99" s="23">
        <f t="shared" si="7"/>
        <v>0.0552237764</v>
      </c>
      <c r="D99" s="1" t="s">
        <v>394</v>
      </c>
      <c r="E99" s="24"/>
    </row>
    <row r="100">
      <c r="B100" s="26" t="s">
        <v>396</v>
      </c>
      <c r="C100" s="27">
        <f t="shared" si="7"/>
        <v>0.0003303565196</v>
      </c>
      <c r="D100" s="29" t="s">
        <v>397</v>
      </c>
      <c r="E100" s="30"/>
    </row>
    <row r="103">
      <c r="B103" s="124" t="s">
        <v>362</v>
      </c>
      <c r="C103" s="34"/>
      <c r="D103" s="34"/>
      <c r="E103" s="35"/>
    </row>
    <row r="104">
      <c r="B104" s="125" t="s">
        <v>363</v>
      </c>
      <c r="C104" s="126"/>
      <c r="D104" s="126"/>
      <c r="E104" s="30"/>
    </row>
  </sheetData>
  <mergeCells count="20">
    <mergeCell ref="B2:E2"/>
    <mergeCell ref="G2:J2"/>
    <mergeCell ref="L2:O2"/>
    <mergeCell ref="G11:J11"/>
    <mergeCell ref="G13:J13"/>
    <mergeCell ref="B16:E16"/>
    <mergeCell ref="G19:J19"/>
    <mergeCell ref="B56:E56"/>
    <mergeCell ref="B66:E66"/>
    <mergeCell ref="B81:E81"/>
    <mergeCell ref="B91:E91"/>
    <mergeCell ref="B103:E103"/>
    <mergeCell ref="B104:D104"/>
    <mergeCell ref="L13:O13"/>
    <mergeCell ref="L24:O24"/>
    <mergeCell ref="G25:J25"/>
    <mergeCell ref="B31:E31"/>
    <mergeCell ref="G31:J31"/>
    <mergeCell ref="L35:O35"/>
    <mergeCell ref="B43:E4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5.13"/>
    <col customWidth="1" min="5" max="5" width="40.75"/>
    <col customWidth="1" min="7" max="7" width="13.25"/>
    <col customWidth="1" min="9" max="9" width="39.88"/>
  </cols>
  <sheetData>
    <row r="2">
      <c r="E2" s="1" t="s">
        <v>445</v>
      </c>
      <c r="I2" s="158"/>
      <c r="K2" s="158"/>
      <c r="L2" s="158"/>
    </row>
    <row r="3">
      <c r="E3" s="166" t="s">
        <v>5</v>
      </c>
      <c r="F3" s="34"/>
      <c r="G3" s="35"/>
      <c r="I3" s="166" t="s">
        <v>5</v>
      </c>
      <c r="J3" s="34"/>
      <c r="K3" s="35"/>
      <c r="L3" s="158"/>
    </row>
    <row r="4">
      <c r="E4" s="167" t="s">
        <v>0</v>
      </c>
      <c r="F4" s="167" t="s">
        <v>1</v>
      </c>
      <c r="G4" s="167" t="s">
        <v>2</v>
      </c>
      <c r="I4" s="168" t="s">
        <v>0</v>
      </c>
      <c r="J4" s="168" t="s">
        <v>1</v>
      </c>
      <c r="K4" s="168" t="s">
        <v>2</v>
      </c>
      <c r="L4" s="158"/>
    </row>
    <row r="5">
      <c r="E5" s="169" t="s">
        <v>7</v>
      </c>
      <c r="F5" s="170">
        <v>1.9077308588859946E7</v>
      </c>
      <c r="G5" s="171" t="s">
        <v>8</v>
      </c>
      <c r="I5" s="172" t="s">
        <v>378</v>
      </c>
      <c r="J5" s="173" t="s">
        <v>379</v>
      </c>
      <c r="K5" s="171"/>
      <c r="L5" s="158"/>
    </row>
    <row r="6">
      <c r="E6" s="169" t="s">
        <v>11</v>
      </c>
      <c r="F6" s="174">
        <v>3120.0</v>
      </c>
      <c r="G6" s="171" t="s">
        <v>12</v>
      </c>
      <c r="I6" s="171" t="s">
        <v>383</v>
      </c>
      <c r="J6" s="175">
        <v>399120.11031356297</v>
      </c>
      <c r="K6" s="171" t="s">
        <v>384</v>
      </c>
      <c r="L6" s="158"/>
    </row>
    <row r="7">
      <c r="E7" s="169" t="s">
        <v>14</v>
      </c>
      <c r="F7" s="176">
        <v>6114.521983608957</v>
      </c>
      <c r="G7" s="171" t="s">
        <v>15</v>
      </c>
      <c r="I7" s="171" t="s">
        <v>387</v>
      </c>
      <c r="J7" s="177">
        <v>3906.454527126337</v>
      </c>
      <c r="K7" s="171" t="s">
        <v>388</v>
      </c>
      <c r="L7" s="158"/>
    </row>
    <row r="8">
      <c r="I8" s="171" t="s">
        <v>390</v>
      </c>
      <c r="J8" s="177">
        <v>282.62662720158926</v>
      </c>
      <c r="K8" s="171" t="s">
        <v>391</v>
      </c>
      <c r="L8" s="158"/>
    </row>
    <row r="9">
      <c r="I9" s="171" t="s">
        <v>393</v>
      </c>
      <c r="J9" s="177">
        <v>5113.1961277922655</v>
      </c>
      <c r="K9" s="171" t="s">
        <v>394</v>
      </c>
      <c r="L9" s="158"/>
    </row>
    <row r="10">
      <c r="I10" s="171" t="s">
        <v>396</v>
      </c>
      <c r="J10" s="177">
        <v>4.212308020044494</v>
      </c>
      <c r="K10" s="171" t="s">
        <v>397</v>
      </c>
      <c r="L10" s="158"/>
    </row>
    <row r="11">
      <c r="I11" s="158"/>
      <c r="K11" s="158"/>
      <c r="L11" s="158"/>
    </row>
    <row r="12">
      <c r="E12" s="1"/>
      <c r="I12" s="158"/>
      <c r="K12" s="158"/>
      <c r="L12" s="158"/>
    </row>
    <row r="13">
      <c r="E13" s="1" t="s">
        <v>446</v>
      </c>
      <c r="I13" s="1" t="s">
        <v>447</v>
      </c>
    </row>
    <row r="14">
      <c r="E14" s="178" t="s">
        <v>5</v>
      </c>
      <c r="F14" s="34"/>
      <c r="G14" s="35"/>
      <c r="I14" s="178" t="s">
        <v>5</v>
      </c>
      <c r="J14" s="34"/>
      <c r="K14" s="35"/>
      <c r="M14" s="179"/>
      <c r="N14" s="180" t="s">
        <v>448</v>
      </c>
      <c r="O14" s="179"/>
    </row>
    <row r="15">
      <c r="E15" s="181" t="s">
        <v>0</v>
      </c>
      <c r="F15" s="181" t="s">
        <v>1</v>
      </c>
      <c r="G15" s="181" t="s">
        <v>2</v>
      </c>
      <c r="I15" s="181" t="s">
        <v>0</v>
      </c>
      <c r="J15" s="181" t="s">
        <v>1</v>
      </c>
      <c r="K15" s="181" t="s">
        <v>2</v>
      </c>
      <c r="M15" s="179"/>
      <c r="N15" s="180" t="s">
        <v>449</v>
      </c>
      <c r="O15" s="180" t="s">
        <v>450</v>
      </c>
    </row>
    <row r="16">
      <c r="E16" s="169" t="s">
        <v>7</v>
      </c>
      <c r="F16" s="170">
        <v>2.0429496610527653E7</v>
      </c>
      <c r="G16" s="171" t="s">
        <v>8</v>
      </c>
      <c r="I16" s="169" t="s">
        <v>7</v>
      </c>
      <c r="J16" s="170">
        <v>1.7922844041807543E7</v>
      </c>
      <c r="K16" s="171" t="s">
        <v>8</v>
      </c>
      <c r="M16" s="180" t="s">
        <v>451</v>
      </c>
      <c r="N16" s="182">
        <f>J16</f>
        <v>17922844.04</v>
      </c>
      <c r="O16" s="182">
        <f>F16</f>
        <v>20429496.61</v>
      </c>
    </row>
    <row r="17">
      <c r="E17" s="169" t="s">
        <v>11</v>
      </c>
      <c r="F17" s="174">
        <v>3744.0</v>
      </c>
      <c r="G17" s="171" t="s">
        <v>12</v>
      </c>
      <c r="I17" s="169" t="s">
        <v>11</v>
      </c>
      <c r="J17" s="174">
        <v>2496.0</v>
      </c>
      <c r="K17" s="171" t="s">
        <v>12</v>
      </c>
      <c r="M17" s="180" t="s">
        <v>452</v>
      </c>
      <c r="N17" s="182">
        <f>J33</f>
        <v>17917901.4</v>
      </c>
      <c r="O17" s="182">
        <f>F33</f>
        <v>21565667.9</v>
      </c>
    </row>
    <row r="18">
      <c r="E18" s="169" t="s">
        <v>14</v>
      </c>
      <c r="F18" s="176">
        <v>5456.596316914437</v>
      </c>
      <c r="G18" s="171" t="s">
        <v>15</v>
      </c>
      <c r="I18" s="169" t="s">
        <v>14</v>
      </c>
      <c r="J18" s="176">
        <v>7180.62661931392</v>
      </c>
      <c r="K18" s="171" t="s">
        <v>15</v>
      </c>
      <c r="M18" s="180" t="s">
        <v>453</v>
      </c>
      <c r="N18" s="182">
        <f>J50</f>
        <v>19076540.65</v>
      </c>
      <c r="O18" s="182">
        <f>F50</f>
        <v>19078076.53</v>
      </c>
    </row>
    <row r="20">
      <c r="E20" s="178" t="s">
        <v>5</v>
      </c>
      <c r="F20" s="34"/>
      <c r="G20" s="35"/>
      <c r="I20" s="178" t="s">
        <v>5</v>
      </c>
      <c r="J20" s="34"/>
      <c r="K20" s="35"/>
      <c r="M20" s="183"/>
      <c r="N20" s="184" t="s">
        <v>454</v>
      </c>
      <c r="O20" s="183"/>
    </row>
    <row r="21">
      <c r="E21" s="185" t="s">
        <v>0</v>
      </c>
      <c r="F21" s="185" t="s">
        <v>1</v>
      </c>
      <c r="G21" s="185" t="s">
        <v>2</v>
      </c>
      <c r="I21" s="185" t="s">
        <v>0</v>
      </c>
      <c r="J21" s="185" t="s">
        <v>1</v>
      </c>
      <c r="K21" s="185" t="s">
        <v>2</v>
      </c>
      <c r="M21" s="183"/>
      <c r="N21" s="184" t="s">
        <v>449</v>
      </c>
      <c r="O21" s="184" t="s">
        <v>450</v>
      </c>
    </row>
    <row r="22">
      <c r="E22" s="172" t="s">
        <v>378</v>
      </c>
      <c r="F22" s="173" t="s">
        <v>455</v>
      </c>
      <c r="G22" s="171"/>
      <c r="I22" s="172" t="s">
        <v>378</v>
      </c>
      <c r="J22" s="173" t="s">
        <v>456</v>
      </c>
      <c r="K22" s="171"/>
      <c r="M22" s="184" t="s">
        <v>451</v>
      </c>
      <c r="N22" s="186">
        <f>J23</f>
        <v>380398.7804</v>
      </c>
      <c r="O22" s="186">
        <f>F23</f>
        <v>420707.4542</v>
      </c>
    </row>
    <row r="23">
      <c r="E23" s="171" t="s">
        <v>383</v>
      </c>
      <c r="F23" s="175">
        <v>420707.4542341966</v>
      </c>
      <c r="G23" s="171" t="s">
        <v>384</v>
      </c>
      <c r="I23" s="171" t="s">
        <v>383</v>
      </c>
      <c r="J23" s="175">
        <v>380398.78037103347</v>
      </c>
      <c r="K23" s="171" t="s">
        <v>384</v>
      </c>
      <c r="M23" s="184" t="s">
        <v>452</v>
      </c>
      <c r="N23" s="186">
        <f>J40</f>
        <v>382675.3273</v>
      </c>
      <c r="O23" s="186">
        <f>F40</f>
        <v>433723.3743</v>
      </c>
    </row>
    <row r="24">
      <c r="E24" s="171" t="s">
        <v>387</v>
      </c>
      <c r="F24" s="177">
        <v>4080.7914650498988</v>
      </c>
      <c r="G24" s="171" t="s">
        <v>388</v>
      </c>
      <c r="I24" s="171" t="s">
        <v>387</v>
      </c>
      <c r="J24" s="177">
        <v>3754.905736396131</v>
      </c>
      <c r="K24" s="171" t="s">
        <v>388</v>
      </c>
      <c r="M24" s="184" t="s">
        <v>453</v>
      </c>
      <c r="N24" s="186">
        <f>J57</f>
        <v>398110.3488</v>
      </c>
      <c r="O24" s="186">
        <f>F57</f>
        <v>400526.6415</v>
      </c>
    </row>
    <row r="25">
      <c r="E25" s="171" t="s">
        <v>390</v>
      </c>
      <c r="F25" s="177">
        <v>309.4952278596551</v>
      </c>
      <c r="G25" s="171" t="s">
        <v>391</v>
      </c>
      <c r="I25" s="171" t="s">
        <v>390</v>
      </c>
      <c r="J25" s="177">
        <v>257.7131696297249</v>
      </c>
      <c r="K25" s="171" t="s">
        <v>391</v>
      </c>
    </row>
    <row r="26">
      <c r="E26" s="171" t="s">
        <v>393</v>
      </c>
      <c r="F26" s="177">
        <v>7177.980882685731</v>
      </c>
      <c r="G26" s="171" t="s">
        <v>394</v>
      </c>
      <c r="I26" s="171" t="s">
        <v>393</v>
      </c>
      <c r="J26" s="177">
        <v>3421.8701763434588</v>
      </c>
      <c r="K26" s="171" t="s">
        <v>394</v>
      </c>
      <c r="M26" s="179"/>
      <c r="N26" s="180" t="s">
        <v>457</v>
      </c>
      <c r="O26" s="179"/>
    </row>
    <row r="27">
      <c r="E27" s="171" t="s">
        <v>396</v>
      </c>
      <c r="F27" s="177">
        <v>4.535180459694292</v>
      </c>
      <c r="G27" s="171" t="s">
        <v>397</v>
      </c>
      <c r="I27" s="171" t="s">
        <v>396</v>
      </c>
      <c r="J27" s="177">
        <v>3.9223673461068636</v>
      </c>
      <c r="K27" s="171" t="s">
        <v>397</v>
      </c>
      <c r="M27" s="179"/>
      <c r="N27" s="180" t="s">
        <v>449</v>
      </c>
      <c r="O27" s="180" t="s">
        <v>450</v>
      </c>
    </row>
    <row r="28">
      <c r="M28" s="180" t="s">
        <v>451</v>
      </c>
      <c r="N28" s="187">
        <f>J24</f>
        <v>3754.905736</v>
      </c>
      <c r="O28" s="187">
        <f>F24</f>
        <v>4080.791465</v>
      </c>
    </row>
    <row r="29">
      <c r="M29" s="180" t="s">
        <v>452</v>
      </c>
      <c r="N29" s="187">
        <f>J41</f>
        <v>3798.085562</v>
      </c>
      <c r="O29" s="187">
        <f>F41</f>
        <v>4141.771734</v>
      </c>
    </row>
    <row r="30">
      <c r="E30" s="1" t="s">
        <v>458</v>
      </c>
      <c r="I30" s="1" t="s">
        <v>459</v>
      </c>
      <c r="M30" s="180" t="s">
        <v>453</v>
      </c>
      <c r="N30" s="187">
        <f>J58</f>
        <v>3903.743629</v>
      </c>
      <c r="O30" s="187">
        <f>F58</f>
        <v>3914.664264</v>
      </c>
    </row>
    <row r="31">
      <c r="E31" s="178" t="s">
        <v>5</v>
      </c>
      <c r="F31" s="34"/>
      <c r="G31" s="35"/>
      <c r="I31" s="178" t="s">
        <v>5</v>
      </c>
      <c r="J31" s="34"/>
      <c r="K31" s="35"/>
    </row>
    <row r="32">
      <c r="E32" s="181" t="s">
        <v>0</v>
      </c>
      <c r="F32" s="181" t="s">
        <v>1</v>
      </c>
      <c r="G32" s="181" t="s">
        <v>2</v>
      </c>
      <c r="I32" s="181" t="s">
        <v>0</v>
      </c>
      <c r="J32" s="181" t="s">
        <v>1</v>
      </c>
      <c r="K32" s="181" t="s">
        <v>2</v>
      </c>
      <c r="M32" s="183"/>
      <c r="N32" s="184" t="s">
        <v>460</v>
      </c>
      <c r="O32" s="183"/>
    </row>
    <row r="33">
      <c r="E33" s="169" t="s">
        <v>7</v>
      </c>
      <c r="F33" s="170">
        <v>2.1565667895342104E7</v>
      </c>
      <c r="G33" s="171" t="s">
        <v>8</v>
      </c>
      <c r="I33" s="169" t="s">
        <v>7</v>
      </c>
      <c r="J33" s="170">
        <v>1.7917901403231736E7</v>
      </c>
      <c r="K33" s="171" t="s">
        <v>8</v>
      </c>
      <c r="M33" s="183"/>
      <c r="N33" s="184" t="s">
        <v>449</v>
      </c>
      <c r="O33" s="184" t="s">
        <v>450</v>
      </c>
    </row>
    <row r="34">
      <c r="E34" s="169" t="s">
        <v>11</v>
      </c>
      <c r="F34" s="174">
        <v>3120.0</v>
      </c>
      <c r="G34" s="171" t="s">
        <v>12</v>
      </c>
      <c r="I34" s="169" t="s">
        <v>11</v>
      </c>
      <c r="J34" s="174">
        <v>3120.0</v>
      </c>
      <c r="K34" s="171" t="s">
        <v>12</v>
      </c>
      <c r="M34" s="184" t="s">
        <v>451</v>
      </c>
      <c r="N34" s="188">
        <f>J25</f>
        <v>257.7131696</v>
      </c>
      <c r="O34" s="188">
        <f>F25</f>
        <v>309.4952279</v>
      </c>
    </row>
    <row r="35">
      <c r="E35" s="169" t="s">
        <v>14</v>
      </c>
      <c r="F35" s="176">
        <v>6912.073043378879</v>
      </c>
      <c r="G35" s="171" t="s">
        <v>15</v>
      </c>
      <c r="I35" s="169" t="s">
        <v>14</v>
      </c>
      <c r="J35" s="176">
        <v>5742.917116420428</v>
      </c>
      <c r="K35" s="171" t="s">
        <v>15</v>
      </c>
      <c r="M35" s="184" t="s">
        <v>452</v>
      </c>
      <c r="N35" s="188">
        <f>J42</f>
        <v>270.8207501</v>
      </c>
      <c r="O35" s="188">
        <f>F42</f>
        <v>307.512603</v>
      </c>
    </row>
    <row r="36">
      <c r="M36" s="184" t="s">
        <v>453</v>
      </c>
      <c r="N36" s="188">
        <f>J59</f>
        <v>282.1078001</v>
      </c>
      <c r="O36" s="188">
        <f>F59</f>
        <v>283.2521128</v>
      </c>
    </row>
    <row r="37">
      <c r="E37" s="178" t="s">
        <v>5</v>
      </c>
      <c r="F37" s="34"/>
      <c r="G37" s="35"/>
      <c r="I37" s="178" t="s">
        <v>5</v>
      </c>
      <c r="J37" s="34"/>
      <c r="K37" s="35"/>
    </row>
    <row r="38">
      <c r="E38" s="185" t="s">
        <v>0</v>
      </c>
      <c r="F38" s="185" t="s">
        <v>1</v>
      </c>
      <c r="G38" s="185" t="s">
        <v>2</v>
      </c>
      <c r="I38" s="185" t="s">
        <v>0</v>
      </c>
      <c r="J38" s="185" t="s">
        <v>1</v>
      </c>
      <c r="K38" s="185" t="s">
        <v>2</v>
      </c>
      <c r="M38" s="179"/>
      <c r="N38" s="180" t="s">
        <v>461</v>
      </c>
      <c r="O38" s="179"/>
    </row>
    <row r="39">
      <c r="E39" s="172" t="s">
        <v>378</v>
      </c>
      <c r="F39" s="173" t="s">
        <v>379</v>
      </c>
      <c r="G39" s="171"/>
      <c r="I39" s="172" t="s">
        <v>378</v>
      </c>
      <c r="J39" s="173" t="s">
        <v>379</v>
      </c>
      <c r="K39" s="171"/>
      <c r="M39" s="179"/>
      <c r="N39" s="180" t="s">
        <v>449</v>
      </c>
      <c r="O39" s="180" t="s">
        <v>450</v>
      </c>
    </row>
    <row r="40">
      <c r="E40" s="171" t="s">
        <v>383</v>
      </c>
      <c r="F40" s="175">
        <v>433723.37430823274</v>
      </c>
      <c r="G40" s="171" t="s">
        <v>384</v>
      </c>
      <c r="I40" s="171" t="s">
        <v>383</v>
      </c>
      <c r="J40" s="175">
        <v>382675.3273397497</v>
      </c>
      <c r="K40" s="171" t="s">
        <v>384</v>
      </c>
      <c r="M40" s="180" t="s">
        <v>451</v>
      </c>
      <c r="N40" s="187">
        <f>J26</f>
        <v>3421.870176</v>
      </c>
      <c r="O40" s="187">
        <f>F26</f>
        <v>7177.980883</v>
      </c>
    </row>
    <row r="41">
      <c r="E41" s="171" t="s">
        <v>387</v>
      </c>
      <c r="F41" s="177">
        <v>4141.771733772498</v>
      </c>
      <c r="G41" s="171" t="s">
        <v>388</v>
      </c>
      <c r="I41" s="171" t="s">
        <v>387</v>
      </c>
      <c r="J41" s="177">
        <v>3798.08556212047</v>
      </c>
      <c r="K41" s="171" t="s">
        <v>388</v>
      </c>
      <c r="M41" s="180" t="s">
        <v>452</v>
      </c>
      <c r="N41" s="187">
        <f>J43</f>
        <v>2923.728639</v>
      </c>
      <c r="O41" s="187">
        <f>F43</f>
        <v>9812.629329</v>
      </c>
    </row>
    <row r="42">
      <c r="E42" s="171" t="s">
        <v>390</v>
      </c>
      <c r="F42" s="177">
        <v>307.51260300702444</v>
      </c>
      <c r="G42" s="171" t="s">
        <v>391</v>
      </c>
      <c r="I42" s="171" t="s">
        <v>390</v>
      </c>
      <c r="J42" s="177">
        <v>270.82075010917447</v>
      </c>
      <c r="K42" s="171" t="s">
        <v>391</v>
      </c>
      <c r="M42" s="180" t="s">
        <v>453</v>
      </c>
      <c r="N42" s="187">
        <f>J60</f>
        <v>5112.040168</v>
      </c>
      <c r="O42" s="187">
        <f>F60</f>
        <v>5114.352088</v>
      </c>
    </row>
    <row r="43">
      <c r="E43" s="171" t="s">
        <v>393</v>
      </c>
      <c r="F43" s="177">
        <v>9812.629329305788</v>
      </c>
      <c r="G43" s="171" t="s">
        <v>394</v>
      </c>
      <c r="I43" s="171" t="s">
        <v>393</v>
      </c>
      <c r="J43" s="177">
        <v>2923.728638742729</v>
      </c>
      <c r="K43" s="171" t="s">
        <v>394</v>
      </c>
    </row>
    <row r="44">
      <c r="E44" s="171" t="s">
        <v>396</v>
      </c>
      <c r="F44" s="177">
        <v>4.730813200117168</v>
      </c>
      <c r="G44" s="171" t="s">
        <v>397</v>
      </c>
      <c r="I44" s="171" t="s">
        <v>396</v>
      </c>
      <c r="J44" s="177">
        <v>3.94839859529316</v>
      </c>
      <c r="K44" s="171" t="s">
        <v>397</v>
      </c>
      <c r="M44" s="183"/>
      <c r="N44" s="184" t="s">
        <v>462</v>
      </c>
      <c r="O44" s="183"/>
    </row>
    <row r="45">
      <c r="M45" s="183"/>
      <c r="N45" s="184" t="s">
        <v>449</v>
      </c>
      <c r="O45" s="184" t="s">
        <v>450</v>
      </c>
    </row>
    <row r="46">
      <c r="M46" s="184" t="s">
        <v>451</v>
      </c>
      <c r="N46" s="188">
        <f>J27</f>
        <v>3.922367346</v>
      </c>
      <c r="O46" s="188">
        <f>F27</f>
        <v>4.53518046</v>
      </c>
    </row>
    <row r="47">
      <c r="E47" s="1" t="s">
        <v>463</v>
      </c>
      <c r="I47" s="1" t="s">
        <v>464</v>
      </c>
      <c r="M47" s="184" t="s">
        <v>452</v>
      </c>
      <c r="N47" s="188">
        <f>J44</f>
        <v>3.948398595</v>
      </c>
      <c r="O47" s="188">
        <f>F44</f>
        <v>4.7308132</v>
      </c>
    </row>
    <row r="48">
      <c r="E48" s="178" t="s">
        <v>5</v>
      </c>
      <c r="F48" s="34"/>
      <c r="G48" s="35"/>
      <c r="I48" s="178" t="s">
        <v>5</v>
      </c>
      <c r="J48" s="34"/>
      <c r="K48" s="35"/>
      <c r="M48" s="184" t="s">
        <v>453</v>
      </c>
      <c r="N48" s="188">
        <f>J61</f>
        <v>4.166550205</v>
      </c>
      <c r="O48" s="188">
        <f>F61</f>
        <v>4.260189525</v>
      </c>
    </row>
    <row r="49">
      <c r="E49" s="181" t="s">
        <v>0</v>
      </c>
      <c r="F49" s="181" t="s">
        <v>1</v>
      </c>
      <c r="G49" s="181" t="s">
        <v>2</v>
      </c>
      <c r="I49" s="181" t="s">
        <v>0</v>
      </c>
      <c r="J49" s="181" t="s">
        <v>1</v>
      </c>
      <c r="K49" s="181" t="s">
        <v>2</v>
      </c>
    </row>
    <row r="50">
      <c r="E50" s="169" t="s">
        <v>7</v>
      </c>
      <c r="F50" s="170">
        <v>1.9078076530128818E7</v>
      </c>
      <c r="G50" s="171" t="s">
        <v>8</v>
      </c>
      <c r="I50" s="169" t="s">
        <v>7</v>
      </c>
      <c r="J50" s="170">
        <v>1.9076540647591077E7</v>
      </c>
      <c r="K50" s="171" t="s">
        <v>8</v>
      </c>
    </row>
    <row r="51">
      <c r="E51" s="169" t="s">
        <v>11</v>
      </c>
      <c r="F51" s="174">
        <v>3120.0</v>
      </c>
      <c r="G51" s="171" t="s">
        <v>12</v>
      </c>
      <c r="I51" s="169" t="s">
        <v>11</v>
      </c>
      <c r="J51" s="174">
        <v>3120.0</v>
      </c>
      <c r="K51" s="171" t="s">
        <v>12</v>
      </c>
    </row>
    <row r="52">
      <c r="E52" s="169" t="s">
        <v>14</v>
      </c>
      <c r="F52" s="176">
        <v>6114.768118631031</v>
      </c>
      <c r="G52" s="171" t="s">
        <v>15</v>
      </c>
      <c r="I52" s="169" t="s">
        <v>14</v>
      </c>
      <c r="J52" s="176">
        <v>6114.2758485868835</v>
      </c>
      <c r="K52" s="171" t="s">
        <v>15</v>
      </c>
    </row>
    <row r="54">
      <c r="E54" s="178" t="s">
        <v>5</v>
      </c>
      <c r="F54" s="34"/>
      <c r="G54" s="35"/>
      <c r="I54" s="178" t="s">
        <v>5</v>
      </c>
      <c r="J54" s="34"/>
      <c r="K54" s="35"/>
    </row>
    <row r="55">
      <c r="E55" s="185" t="s">
        <v>0</v>
      </c>
      <c r="F55" s="185" t="s">
        <v>1</v>
      </c>
      <c r="G55" s="185" t="s">
        <v>2</v>
      </c>
      <c r="I55" s="185" t="s">
        <v>0</v>
      </c>
      <c r="J55" s="185" t="s">
        <v>1</v>
      </c>
      <c r="K55" s="185" t="s">
        <v>2</v>
      </c>
    </row>
    <row r="56">
      <c r="E56" s="172" t="s">
        <v>378</v>
      </c>
      <c r="F56" s="173" t="s">
        <v>379</v>
      </c>
      <c r="G56" s="171"/>
      <c r="I56" s="172" t="s">
        <v>378</v>
      </c>
      <c r="J56" s="173" t="s">
        <v>379</v>
      </c>
      <c r="K56" s="171"/>
    </row>
    <row r="57">
      <c r="E57" s="171" t="s">
        <v>383</v>
      </c>
      <c r="F57" s="175">
        <v>400526.6414863667</v>
      </c>
      <c r="G57" s="171" t="s">
        <v>384</v>
      </c>
      <c r="I57" s="171" t="s">
        <v>383</v>
      </c>
      <c r="J57" s="175">
        <v>398110.3487963421</v>
      </c>
      <c r="K57" s="171" t="s">
        <v>384</v>
      </c>
    </row>
    <row r="58">
      <c r="E58" s="171" t="s">
        <v>387</v>
      </c>
      <c r="F58" s="177">
        <v>3914.6642639059346</v>
      </c>
      <c r="G58" s="171" t="s">
        <v>388</v>
      </c>
      <c r="I58" s="171" t="s">
        <v>387</v>
      </c>
      <c r="J58" s="177">
        <v>3903.7436290621044</v>
      </c>
      <c r="K58" s="171" t="s">
        <v>388</v>
      </c>
    </row>
    <row r="59">
      <c r="E59" s="171" t="s">
        <v>390</v>
      </c>
      <c r="F59" s="177">
        <v>283.25211278567633</v>
      </c>
      <c r="G59" s="171" t="s">
        <v>391</v>
      </c>
      <c r="I59" s="171" t="s">
        <v>390</v>
      </c>
      <c r="J59" s="177">
        <v>282.10780012706755</v>
      </c>
      <c r="K59" s="171" t="s">
        <v>391</v>
      </c>
    </row>
    <row r="60">
      <c r="E60" s="171" t="s">
        <v>393</v>
      </c>
      <c r="F60" s="177">
        <v>5114.352087792266</v>
      </c>
      <c r="G60" s="171" t="s">
        <v>394</v>
      </c>
      <c r="I60" s="171" t="s">
        <v>393</v>
      </c>
      <c r="J60" s="177">
        <v>5112.0401677922655</v>
      </c>
      <c r="K60" s="171" t="s">
        <v>394</v>
      </c>
    </row>
    <row r="61">
      <c r="E61" s="171" t="s">
        <v>396</v>
      </c>
      <c r="F61" s="177">
        <v>4.260189525007649</v>
      </c>
      <c r="G61" s="171" t="s">
        <v>397</v>
      </c>
      <c r="I61" s="171" t="s">
        <v>396</v>
      </c>
      <c r="J61" s="177">
        <v>4.166550204516239</v>
      </c>
      <c r="K61" s="171" t="s">
        <v>397</v>
      </c>
    </row>
  </sheetData>
  <mergeCells count="14">
    <mergeCell ref="E31:G31"/>
    <mergeCell ref="E37:G37"/>
    <mergeCell ref="I37:K37"/>
    <mergeCell ref="E48:G48"/>
    <mergeCell ref="I48:K48"/>
    <mergeCell ref="E54:G54"/>
    <mergeCell ref="I54:K54"/>
    <mergeCell ref="E3:G3"/>
    <mergeCell ref="I3:K3"/>
    <mergeCell ref="E14:G14"/>
    <mergeCell ref="I14:K14"/>
    <mergeCell ref="E20:G20"/>
    <mergeCell ref="I20:K20"/>
    <mergeCell ref="I31:K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4.63"/>
    <col customWidth="1" min="14" max="14" width="25.25"/>
  </cols>
  <sheetData>
    <row r="2">
      <c r="N2" s="189" t="s">
        <v>465</v>
      </c>
      <c r="O2" s="3"/>
      <c r="P2" s="3"/>
      <c r="Q2" s="4"/>
    </row>
    <row r="3">
      <c r="N3" s="72" t="s">
        <v>0</v>
      </c>
      <c r="O3" s="73" t="s">
        <v>466</v>
      </c>
      <c r="P3" s="73" t="s">
        <v>467</v>
      </c>
      <c r="Q3" s="74" t="s">
        <v>3</v>
      </c>
    </row>
    <row r="4">
      <c r="N4" s="139" t="s">
        <v>378</v>
      </c>
      <c r="O4" s="19" t="s">
        <v>468</v>
      </c>
      <c r="P4" s="19" t="s">
        <v>469</v>
      </c>
      <c r="Q4" s="20"/>
    </row>
    <row r="5">
      <c r="N5" s="21" t="s">
        <v>383</v>
      </c>
      <c r="O5" s="105">
        <f t="shared" ref="O5:O9" si="1">O17/J17</f>
        <v>23.65837719</v>
      </c>
      <c r="P5" s="190">
        <f t="shared" ref="P5:P9" si="2">O17/O17</f>
        <v>1</v>
      </c>
      <c r="Q5" s="15"/>
    </row>
    <row r="6">
      <c r="N6" s="21" t="s">
        <v>387</v>
      </c>
      <c r="O6" s="105">
        <f t="shared" si="1"/>
        <v>0.4451136657</v>
      </c>
      <c r="P6" s="190">
        <f t="shared" si="2"/>
        <v>1</v>
      </c>
      <c r="Q6" s="15"/>
    </row>
    <row r="7">
      <c r="N7" s="21" t="s">
        <v>390</v>
      </c>
      <c r="O7" s="105">
        <f t="shared" si="1"/>
        <v>0.2753484656</v>
      </c>
      <c r="P7" s="190">
        <f t="shared" si="2"/>
        <v>1</v>
      </c>
      <c r="Q7" s="15"/>
    </row>
    <row r="8">
      <c r="N8" s="21" t="s">
        <v>393</v>
      </c>
      <c r="O8" s="105">
        <f t="shared" si="1"/>
        <v>1.01332186</v>
      </c>
      <c r="P8" s="190">
        <f t="shared" si="2"/>
        <v>1</v>
      </c>
      <c r="Q8" s="15"/>
    </row>
    <row r="9">
      <c r="N9" s="26" t="s">
        <v>396</v>
      </c>
      <c r="O9" s="153">
        <f t="shared" si="1"/>
        <v>0.1444755466</v>
      </c>
      <c r="P9" s="191">
        <f t="shared" si="2"/>
        <v>1</v>
      </c>
      <c r="Q9" s="54"/>
    </row>
    <row r="14">
      <c r="I14" s="2" t="s">
        <v>470</v>
      </c>
      <c r="J14" s="3"/>
      <c r="K14" s="3"/>
      <c r="L14" s="4"/>
      <c r="N14" s="55" t="s">
        <v>471</v>
      </c>
      <c r="O14" s="3"/>
      <c r="P14" s="3"/>
      <c r="Q14" s="4"/>
    </row>
    <row r="15">
      <c r="I15" s="7" t="s">
        <v>0</v>
      </c>
      <c r="J15" s="8" t="s">
        <v>1</v>
      </c>
      <c r="K15" s="8" t="s">
        <v>2</v>
      </c>
      <c r="L15" s="9" t="s">
        <v>3</v>
      </c>
      <c r="N15" s="56" t="s">
        <v>0</v>
      </c>
      <c r="O15" s="57" t="s">
        <v>1</v>
      </c>
      <c r="P15" s="57" t="s">
        <v>2</v>
      </c>
      <c r="Q15" s="58" t="s">
        <v>3</v>
      </c>
    </row>
    <row r="16">
      <c r="I16" s="146" t="s">
        <v>378</v>
      </c>
      <c r="L16" s="24"/>
      <c r="N16" s="139" t="s">
        <v>378</v>
      </c>
      <c r="O16" s="17"/>
      <c r="P16" s="17"/>
      <c r="Q16" s="20"/>
    </row>
    <row r="17">
      <c r="I17" s="21" t="s">
        <v>383</v>
      </c>
      <c r="J17" s="105">
        <f>Impact!C9</f>
        <v>14842.72432</v>
      </c>
      <c r="K17" s="1" t="s">
        <v>384</v>
      </c>
      <c r="L17" s="24"/>
      <c r="N17" s="21" t="s">
        <v>383</v>
      </c>
      <c r="O17" s="105">
        <f t="shared" ref="O17:O21" si="3">O36*$O$50</f>
        <v>351154.7705</v>
      </c>
      <c r="P17" s="1" t="s">
        <v>384</v>
      </c>
      <c r="Q17" s="24"/>
    </row>
    <row r="18">
      <c r="I18" s="21" t="s">
        <v>387</v>
      </c>
      <c r="J18" s="105">
        <f>Impact!C10</f>
        <v>2907.928874</v>
      </c>
      <c r="K18" s="1" t="s">
        <v>388</v>
      </c>
      <c r="L18" s="24"/>
      <c r="N18" s="21" t="s">
        <v>387</v>
      </c>
      <c r="O18" s="105">
        <f t="shared" si="3"/>
        <v>1294.358881</v>
      </c>
      <c r="P18" s="1" t="s">
        <v>388</v>
      </c>
      <c r="Q18" s="24"/>
    </row>
    <row r="19">
      <c r="I19" s="21" t="s">
        <v>390</v>
      </c>
      <c r="J19" s="105">
        <f>Impact!C11</f>
        <v>400.0035108</v>
      </c>
      <c r="K19" s="1" t="s">
        <v>391</v>
      </c>
      <c r="L19" s="24"/>
      <c r="N19" s="21" t="s">
        <v>390</v>
      </c>
      <c r="O19" s="105">
        <f t="shared" si="3"/>
        <v>110.1403529</v>
      </c>
      <c r="P19" s="1" t="s">
        <v>391</v>
      </c>
      <c r="Q19" s="24"/>
    </row>
    <row r="20">
      <c r="I20" s="21" t="s">
        <v>393</v>
      </c>
      <c r="J20" s="105">
        <f>Impact!C12</f>
        <v>268.4784292</v>
      </c>
      <c r="K20" s="1" t="s">
        <v>394</v>
      </c>
      <c r="L20" s="24"/>
      <c r="N20" s="21" t="s">
        <v>393</v>
      </c>
      <c r="O20" s="105">
        <f t="shared" si="3"/>
        <v>272.0550611</v>
      </c>
      <c r="P20" s="1" t="s">
        <v>394</v>
      </c>
      <c r="Q20" s="24"/>
    </row>
    <row r="21">
      <c r="I21" s="26" t="s">
        <v>396</v>
      </c>
      <c r="J21" s="153">
        <f>Impact!C13</f>
        <v>0.5217797875</v>
      </c>
      <c r="K21" s="29" t="s">
        <v>397</v>
      </c>
      <c r="L21" s="30"/>
      <c r="N21" s="26" t="s">
        <v>396</v>
      </c>
      <c r="O21" s="153">
        <f t="shared" si="3"/>
        <v>0.07538442001</v>
      </c>
      <c r="P21" s="29" t="s">
        <v>397</v>
      </c>
      <c r="Q21" s="30"/>
    </row>
    <row r="23">
      <c r="N23" s="1" t="s">
        <v>472</v>
      </c>
    </row>
    <row r="24">
      <c r="N24" s="1" t="s">
        <v>473</v>
      </c>
    </row>
    <row r="25">
      <c r="N25" s="192" t="s">
        <v>474</v>
      </c>
      <c r="O25" s="193">
        <v>23.0</v>
      </c>
      <c r="P25" s="1" t="s">
        <v>475</v>
      </c>
    </row>
    <row r="26">
      <c r="N26" s="192" t="s">
        <v>476</v>
      </c>
      <c r="O26" s="193">
        <v>16.0</v>
      </c>
      <c r="P26" s="1" t="s">
        <v>475</v>
      </c>
    </row>
    <row r="27">
      <c r="N27" s="192" t="s">
        <v>477</v>
      </c>
      <c r="O27" s="193">
        <v>17.75</v>
      </c>
      <c r="P27" s="1" t="s">
        <v>475</v>
      </c>
    </row>
    <row r="28">
      <c r="N28" s="192" t="s">
        <v>478</v>
      </c>
      <c r="O28" s="193">
        <v>1.5</v>
      </c>
      <c r="P28" s="1" t="s">
        <v>475</v>
      </c>
      <c r="Q28" s="194" t="s">
        <v>479</v>
      </c>
    </row>
    <row r="29">
      <c r="N29" s="192" t="s">
        <v>480</v>
      </c>
      <c r="O29" s="195">
        <f>((O27-O28)*O25*O28*2)+((O27-O28)*O26*O28*2)+(O25*O26*O28)</f>
        <v>2453.25</v>
      </c>
      <c r="P29" s="1" t="s">
        <v>481</v>
      </c>
    </row>
    <row r="30">
      <c r="N30" s="192" t="s">
        <v>482</v>
      </c>
      <c r="O30" s="195">
        <f>O25*O26*O28</f>
        <v>552</v>
      </c>
      <c r="P30" s="1" t="s">
        <v>481</v>
      </c>
    </row>
    <row r="31">
      <c r="N31" s="192" t="s">
        <v>483</v>
      </c>
      <c r="O31" s="192">
        <v>30.0</v>
      </c>
      <c r="P31" s="1" t="s">
        <v>484</v>
      </c>
    </row>
    <row r="32">
      <c r="N32" s="192" t="s">
        <v>485</v>
      </c>
      <c r="O32" s="196">
        <f>O29*O31*(0.0254^3)</f>
        <v>1.206046943</v>
      </c>
      <c r="P32" s="1" t="s">
        <v>91</v>
      </c>
    </row>
    <row r="33">
      <c r="N33" s="192" t="s">
        <v>486</v>
      </c>
      <c r="O33" s="196">
        <f>O30*O31*(0.0254^3)</f>
        <v>0.2713697798</v>
      </c>
      <c r="P33" s="1" t="s">
        <v>91</v>
      </c>
    </row>
    <row r="35">
      <c r="N35" s="1" t="s">
        <v>487</v>
      </c>
    </row>
    <row r="36">
      <c r="N36" s="192" t="s">
        <v>383</v>
      </c>
      <c r="O36" s="197">
        <v>2.93</v>
      </c>
      <c r="P36" s="158" t="s">
        <v>488</v>
      </c>
      <c r="Q36" s="158" t="s">
        <v>489</v>
      </c>
    </row>
    <row r="37">
      <c r="N37" s="192" t="s">
        <v>387</v>
      </c>
      <c r="O37" s="197">
        <v>0.0108</v>
      </c>
      <c r="P37" s="158" t="s">
        <v>388</v>
      </c>
      <c r="Q37" s="158" t="s">
        <v>489</v>
      </c>
    </row>
    <row r="38">
      <c r="N38" s="192" t="s">
        <v>390</v>
      </c>
      <c r="O38" s="197">
        <v>9.19E-4</v>
      </c>
      <c r="P38" s="158" t="s">
        <v>391</v>
      </c>
      <c r="Q38" s="158" t="s">
        <v>489</v>
      </c>
    </row>
    <row r="39">
      <c r="N39" s="192" t="s">
        <v>393</v>
      </c>
      <c r="O39" s="197">
        <v>0.00227</v>
      </c>
      <c r="P39" s="158" t="s">
        <v>394</v>
      </c>
      <c r="Q39" s="158" t="s">
        <v>489</v>
      </c>
    </row>
    <row r="40">
      <c r="N40" s="192" t="s">
        <v>396</v>
      </c>
      <c r="O40" s="197">
        <v>6.29E-7</v>
      </c>
      <c r="P40" s="158" t="s">
        <v>397</v>
      </c>
      <c r="Q40" s="158" t="s">
        <v>489</v>
      </c>
    </row>
    <row r="42">
      <c r="N42" s="1" t="s">
        <v>490</v>
      </c>
    </row>
    <row r="43">
      <c r="N43" s="1" t="s">
        <v>491</v>
      </c>
    </row>
    <row r="44">
      <c r="N44" s="198" t="s">
        <v>492</v>
      </c>
    </row>
    <row r="45">
      <c r="N45" s="158" t="s">
        <v>493</v>
      </c>
    </row>
    <row r="47">
      <c r="N47" s="192" t="s">
        <v>494</v>
      </c>
      <c r="O47" s="195">
        <f>3120*26</f>
        <v>81120</v>
      </c>
    </row>
    <row r="48">
      <c r="N48" s="192" t="s">
        <v>485</v>
      </c>
      <c r="O48" s="196">
        <f>O47*O32</f>
        <v>97834.528</v>
      </c>
      <c r="P48" s="1" t="s">
        <v>91</v>
      </c>
    </row>
    <row r="49">
      <c r="N49" s="192" t="s">
        <v>486</v>
      </c>
      <c r="O49" s="196">
        <f>O47*O33</f>
        <v>22013.51654</v>
      </c>
      <c r="P49" s="1" t="s">
        <v>91</v>
      </c>
    </row>
    <row r="50">
      <c r="N50" s="192" t="s">
        <v>495</v>
      </c>
      <c r="O50" s="196">
        <f>O48+O49</f>
        <v>119848.0445</v>
      </c>
      <c r="P50" s="1" t="s">
        <v>91</v>
      </c>
    </row>
  </sheetData>
  <mergeCells count="4">
    <mergeCell ref="N2:Q2"/>
    <mergeCell ref="I14:L14"/>
    <mergeCell ref="N14:Q14"/>
    <mergeCell ref="N45:Q4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3">
      <c r="A3" s="1" t="s">
        <v>496</v>
      </c>
    </row>
    <row r="4">
      <c r="A4" s="21" t="s">
        <v>497</v>
      </c>
      <c r="B4" s="105">
        <f>Impact!H5</f>
        <v>398485.4551</v>
      </c>
      <c r="J4" s="1" t="s">
        <v>498</v>
      </c>
    </row>
    <row r="5">
      <c r="A5" s="21" t="s">
        <v>499</v>
      </c>
      <c r="B5" s="144">
        <f>Impact!H6</f>
        <v>6647.783946</v>
      </c>
      <c r="J5" s="1" t="s">
        <v>500</v>
      </c>
      <c r="K5" s="105">
        <f>Impact!C9</f>
        <v>14842.72432</v>
      </c>
    </row>
    <row r="6">
      <c r="A6" s="21" t="s">
        <v>501</v>
      </c>
      <c r="B6" s="144">
        <f>Impact!H7</f>
        <v>613.4654765</v>
      </c>
      <c r="J6" s="1" t="s">
        <v>502</v>
      </c>
      <c r="K6" s="23">
        <f>Impact!C25</f>
        <v>30863.85754</v>
      </c>
    </row>
    <row r="7">
      <c r="A7" s="21" t="s">
        <v>503</v>
      </c>
      <c r="B7" s="144">
        <f>Impact!H8</f>
        <v>5361.532528</v>
      </c>
      <c r="J7" s="1" t="s">
        <v>172</v>
      </c>
      <c r="K7" s="23">
        <f>Impact!C37</f>
        <v>50420.42416</v>
      </c>
    </row>
    <row r="8">
      <c r="A8" s="26" t="s">
        <v>504</v>
      </c>
      <c r="B8" s="147">
        <f>Impact!H9</f>
        <v>4.213369865</v>
      </c>
      <c r="J8" s="1" t="s">
        <v>505</v>
      </c>
      <c r="K8" s="23">
        <f>Impact!C50</f>
        <v>16218.44834</v>
      </c>
    </row>
    <row r="9">
      <c r="J9" s="1" t="s">
        <v>506</v>
      </c>
      <c r="K9" s="23">
        <f>Impact!C60</f>
        <v>103266.5222</v>
      </c>
    </row>
    <row r="10">
      <c r="J10" s="1" t="s">
        <v>507</v>
      </c>
      <c r="K10" s="23">
        <f>Impact!C75</f>
        <v>182847.0007</v>
      </c>
    </row>
    <row r="11">
      <c r="J11" s="1" t="s">
        <v>508</v>
      </c>
      <c r="K11" s="23">
        <f>Impact!C85</f>
        <v>0</v>
      </c>
    </row>
    <row r="12">
      <c r="J12" s="1" t="s">
        <v>509</v>
      </c>
      <c r="K12" s="23">
        <f>Impact!C96</f>
        <v>26.47782851</v>
      </c>
    </row>
    <row r="19">
      <c r="A19" s="1" t="s">
        <v>510</v>
      </c>
    </row>
    <row r="20">
      <c r="A20" s="21" t="s">
        <v>497</v>
      </c>
      <c r="B20" s="77">
        <f>B4/'Main (Inventory)'!$I$54</f>
        <v>127.7196972</v>
      </c>
    </row>
    <row r="21">
      <c r="A21" s="21" t="s">
        <v>499</v>
      </c>
      <c r="B21" s="77">
        <f>B5/'Main (Inventory)'!$I$54</f>
        <v>2.130699983</v>
      </c>
    </row>
    <row r="22">
      <c r="A22" s="21" t="s">
        <v>501</v>
      </c>
      <c r="B22" s="77">
        <f>B6/'Main (Inventory)'!$I$54</f>
        <v>0.1966235501</v>
      </c>
    </row>
    <row r="23">
      <c r="A23" s="21" t="s">
        <v>503</v>
      </c>
      <c r="B23" s="77">
        <f>B7/'Main (Inventory)'!$I$54</f>
        <v>1.718439913</v>
      </c>
    </row>
    <row r="24">
      <c r="A24" s="26" t="s">
        <v>504</v>
      </c>
      <c r="B24" s="77">
        <f>B8/'Main (Inventory)'!$I$54</f>
        <v>0.001350439059</v>
      </c>
      <c r="L24" s="199"/>
    </row>
    <row r="25">
      <c r="J25" s="1" t="s">
        <v>387</v>
      </c>
    </row>
    <row r="26">
      <c r="J26" s="1" t="s">
        <v>500</v>
      </c>
      <c r="K26" s="105">
        <f>Impact!C10</f>
        <v>2907.928874</v>
      </c>
    </row>
    <row r="27">
      <c r="J27" s="1" t="s">
        <v>502</v>
      </c>
      <c r="K27" s="23">
        <f>Impact!C26</f>
        <v>216.1044773</v>
      </c>
    </row>
    <row r="28">
      <c r="J28" s="1" t="s">
        <v>172</v>
      </c>
      <c r="K28" s="23">
        <f>Impact!C38</f>
        <v>698.5682085</v>
      </c>
    </row>
    <row r="29">
      <c r="J29" s="1" t="s">
        <v>505</v>
      </c>
      <c r="K29" s="23">
        <f>Impact!C51</f>
        <v>113.5546608</v>
      </c>
    </row>
    <row r="30">
      <c r="J30" s="1" t="s">
        <v>506</v>
      </c>
      <c r="K30" s="23">
        <f>Impact!C61</f>
        <v>1431.172829</v>
      </c>
    </row>
    <row r="31">
      <c r="J31" s="1" t="s">
        <v>507</v>
      </c>
      <c r="K31" s="23">
        <f>Impact!C76</f>
        <v>1280.269502</v>
      </c>
    </row>
    <row r="32">
      <c r="J32" s="1" t="s">
        <v>508</v>
      </c>
      <c r="K32" s="23">
        <f>Impact!C86</f>
        <v>0</v>
      </c>
    </row>
    <row r="33">
      <c r="J33" s="1" t="s">
        <v>509</v>
      </c>
      <c r="K33" s="23">
        <f>Impact!C97</f>
        <v>0.1853941065</v>
      </c>
    </row>
    <row r="47">
      <c r="J47" s="1" t="s">
        <v>390</v>
      </c>
    </row>
    <row r="48">
      <c r="J48" s="1" t="s">
        <v>500</v>
      </c>
      <c r="K48" s="105">
        <f>Impact!C11</f>
        <v>400.0035108</v>
      </c>
    </row>
    <row r="49">
      <c r="J49" s="1" t="s">
        <v>502</v>
      </c>
      <c r="K49" s="23">
        <f>Impact!C27</f>
        <v>23.10478721</v>
      </c>
    </row>
    <row r="50">
      <c r="J50" s="1" t="s">
        <v>172</v>
      </c>
      <c r="K50" s="23">
        <f>Impact!C39</f>
        <v>13.55698507</v>
      </c>
    </row>
    <row r="51">
      <c r="J51" s="1" t="s">
        <v>505</v>
      </c>
      <c r="K51" s="23">
        <f>Impact!C52</f>
        <v>12.14067653</v>
      </c>
    </row>
    <row r="52">
      <c r="J52" s="1" t="s">
        <v>506</v>
      </c>
      <c r="K52" s="23">
        <f>Impact!C62</f>
        <v>27.7598178</v>
      </c>
    </row>
    <row r="53">
      <c r="J53" s="1" t="s">
        <v>507</v>
      </c>
      <c r="K53" s="23">
        <f>Impact!C77</f>
        <v>136.8798777</v>
      </c>
    </row>
    <row r="54">
      <c r="J54" s="1" t="s">
        <v>508</v>
      </c>
      <c r="K54" s="23">
        <f>Impact!C87</f>
        <v>0</v>
      </c>
    </row>
    <row r="55">
      <c r="J55" s="1" t="s">
        <v>509</v>
      </c>
      <c r="K55" s="23">
        <f>Impact!C98</f>
        <v>0.01982139117</v>
      </c>
    </row>
    <row r="69">
      <c r="J69" s="1" t="s">
        <v>393</v>
      </c>
    </row>
    <row r="70">
      <c r="J70" s="1" t="s">
        <v>500</v>
      </c>
      <c r="K70" s="105">
        <f>Impact!C12</f>
        <v>268.4784292</v>
      </c>
    </row>
    <row r="71">
      <c r="J71" s="1" t="s">
        <v>502</v>
      </c>
      <c r="K71" s="23">
        <f>Impact!C28</f>
        <v>64.37154644</v>
      </c>
    </row>
    <row r="72">
      <c r="J72" s="1" t="s">
        <v>172</v>
      </c>
      <c r="K72" s="23">
        <f>Impact!C40</f>
        <v>4603.859958</v>
      </c>
    </row>
    <row r="73">
      <c r="J73" s="1" t="s">
        <v>505</v>
      </c>
      <c r="K73" s="23">
        <f>Impact!C53</f>
        <v>33.82410662</v>
      </c>
    </row>
    <row r="74">
      <c r="J74" s="1" t="s">
        <v>506</v>
      </c>
      <c r="K74" s="23">
        <f>Impact!C63</f>
        <v>9.586390414</v>
      </c>
    </row>
    <row r="75">
      <c r="J75" s="1" t="s">
        <v>507</v>
      </c>
      <c r="K75" s="23">
        <f>Impact!C78</f>
        <v>381.3568731</v>
      </c>
    </row>
    <row r="76">
      <c r="J76" s="1" t="s">
        <v>508</v>
      </c>
      <c r="K76" s="23">
        <f>Impact!C88</f>
        <v>0</v>
      </c>
    </row>
    <row r="77">
      <c r="J77" s="1" t="s">
        <v>509</v>
      </c>
      <c r="K77" s="23">
        <f>Impact!C99</f>
        <v>0.0552237764</v>
      </c>
    </row>
    <row r="91">
      <c r="J91" s="1" t="s">
        <v>396</v>
      </c>
    </row>
    <row r="92">
      <c r="J92" s="1" t="s">
        <v>500</v>
      </c>
      <c r="K92" s="105">
        <f>Impact!C13</f>
        <v>0.5217797875</v>
      </c>
    </row>
    <row r="93">
      <c r="J93" s="1" t="s">
        <v>502</v>
      </c>
      <c r="K93" s="23">
        <f>Impact!C29</f>
        <v>0.3850797868</v>
      </c>
    </row>
    <row r="94">
      <c r="J94" s="1" t="s">
        <v>172</v>
      </c>
      <c r="K94" s="23">
        <f>Impact!C41</f>
        <v>0.2697840485</v>
      </c>
    </row>
    <row r="95">
      <c r="J95" s="1" t="s">
        <v>505</v>
      </c>
      <c r="K95" s="23">
        <f>Impact!C54</f>
        <v>0.2023357746</v>
      </c>
    </row>
    <row r="96">
      <c r="J96" s="1" t="s">
        <v>506</v>
      </c>
      <c r="K96" s="23">
        <f>Impact!C64</f>
        <v>0.5527288166</v>
      </c>
    </row>
    <row r="97">
      <c r="J97" s="1" t="s">
        <v>507</v>
      </c>
      <c r="K97" s="23">
        <f>Impact!C79</f>
        <v>2.281331294</v>
      </c>
    </row>
    <row r="98">
      <c r="J98" s="1" t="s">
        <v>508</v>
      </c>
      <c r="K98" s="23">
        <f>Impact!C89</f>
        <v>0</v>
      </c>
    </row>
    <row r="99">
      <c r="J99" s="1" t="s">
        <v>509</v>
      </c>
      <c r="K99" s="23">
        <f>Impact!C100</f>
        <v>0.0003303565196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38"/>
    <col customWidth="1" min="5" max="5" width="6.25"/>
    <col customWidth="1" min="11" max="11" width="18.38"/>
  </cols>
  <sheetData>
    <row r="1">
      <c r="A1" s="200" t="s">
        <v>511</v>
      </c>
      <c r="C1" s="1" t="s">
        <v>512</v>
      </c>
      <c r="D1" s="201"/>
      <c r="E1" s="201"/>
      <c r="F1" s="201"/>
      <c r="G1" s="201"/>
      <c r="H1" s="201"/>
    </row>
    <row r="2">
      <c r="A2" s="201"/>
      <c r="B2" s="201"/>
      <c r="C2" s="1" t="s">
        <v>513</v>
      </c>
      <c r="D2" s="201"/>
      <c r="E2" s="201"/>
      <c r="F2" s="201"/>
      <c r="G2" s="201"/>
      <c r="H2" s="201"/>
    </row>
    <row r="3">
      <c r="A3" s="202" t="s">
        <v>514</v>
      </c>
      <c r="D3" s="201"/>
      <c r="E3" s="201"/>
      <c r="F3" s="201"/>
      <c r="G3" s="201"/>
      <c r="H3" s="201"/>
    </row>
    <row r="4">
      <c r="A4" s="201"/>
      <c r="B4" s="203" t="s">
        <v>515</v>
      </c>
      <c r="D4" s="201"/>
      <c r="E4" s="201"/>
      <c r="F4" s="201"/>
      <c r="G4" s="201"/>
      <c r="H4" s="201"/>
    </row>
    <row r="5">
      <c r="A5" s="201"/>
      <c r="B5" s="201"/>
      <c r="C5" s="203" t="s">
        <v>516</v>
      </c>
      <c r="E5" s="201"/>
      <c r="F5" s="201"/>
      <c r="G5" s="201"/>
      <c r="H5" s="201"/>
    </row>
    <row r="6">
      <c r="A6" s="201"/>
      <c r="B6" s="201"/>
      <c r="C6" s="201"/>
      <c r="D6" s="203" t="s">
        <v>517</v>
      </c>
      <c r="E6" s="201" t="str">
        <f>"="</f>
        <v>=</v>
      </c>
      <c r="F6" s="203">
        <v>150.0</v>
      </c>
      <c r="G6" s="203" t="s">
        <v>518</v>
      </c>
      <c r="H6" s="203" t="s">
        <v>519</v>
      </c>
    </row>
    <row r="7">
      <c r="A7" s="201"/>
      <c r="B7" s="201"/>
      <c r="C7" s="203" t="s">
        <v>520</v>
      </c>
      <c r="E7" s="201"/>
      <c r="F7" s="201"/>
      <c r="G7" s="201"/>
      <c r="H7" s="201"/>
    </row>
    <row r="8">
      <c r="A8" s="201"/>
      <c r="B8" s="201"/>
      <c r="C8" s="201"/>
      <c r="D8" s="203" t="s">
        <v>521</v>
      </c>
      <c r="E8" s="201" t="str">
        <f t="shared" ref="E8:E10" si="1">"="</f>
        <v>=</v>
      </c>
      <c r="F8" s="203">
        <v>22.37</v>
      </c>
      <c r="G8" s="203" t="s">
        <v>301</v>
      </c>
      <c r="H8" s="201"/>
    </row>
    <row r="9">
      <c r="A9" s="201"/>
      <c r="B9" s="201"/>
      <c r="C9" s="201"/>
      <c r="D9" s="203" t="s">
        <v>522</v>
      </c>
      <c r="E9" s="201" t="str">
        <f t="shared" si="1"/>
        <v>=</v>
      </c>
      <c r="F9" s="203">
        <v>20000.0</v>
      </c>
      <c r="G9" s="203" t="s">
        <v>523</v>
      </c>
      <c r="H9" s="201"/>
    </row>
    <row r="10">
      <c r="A10" s="201"/>
      <c r="B10" s="201"/>
      <c r="C10" s="201"/>
      <c r="D10" s="203" t="s">
        <v>524</v>
      </c>
      <c r="E10" s="201" t="str">
        <f t="shared" si="1"/>
        <v>=</v>
      </c>
      <c r="F10" s="203">
        <v>6.0</v>
      </c>
      <c r="G10" s="203" t="s">
        <v>525</v>
      </c>
      <c r="H10" s="201"/>
    </row>
    <row r="11">
      <c r="A11" s="201"/>
      <c r="B11" s="201"/>
      <c r="C11" s="203" t="s">
        <v>526</v>
      </c>
      <c r="E11" s="201"/>
      <c r="F11" s="201"/>
      <c r="G11" s="201"/>
      <c r="H11" s="201"/>
    </row>
    <row r="12">
      <c r="A12" s="201"/>
      <c r="B12" s="201"/>
      <c r="C12" s="201"/>
      <c r="D12" s="203" t="s">
        <v>521</v>
      </c>
      <c r="E12" s="201" t="str">
        <f t="shared" ref="E12:E14" si="2">"="</f>
        <v>=</v>
      </c>
      <c r="F12" s="203">
        <v>67.11</v>
      </c>
      <c r="G12" s="203" t="s">
        <v>301</v>
      </c>
      <c r="H12" s="201"/>
    </row>
    <row r="13">
      <c r="A13" s="201"/>
      <c r="B13" s="201"/>
      <c r="C13" s="201"/>
      <c r="D13" s="203" t="s">
        <v>527</v>
      </c>
      <c r="E13" s="201" t="str">
        <f t="shared" si="2"/>
        <v>=</v>
      </c>
      <c r="F13" s="203">
        <v>200.0</v>
      </c>
      <c r="G13" s="203" t="s">
        <v>528</v>
      </c>
      <c r="H13" s="203" t="s">
        <v>529</v>
      </c>
    </row>
    <row r="14">
      <c r="A14" s="201"/>
      <c r="B14" s="201"/>
      <c r="C14" s="201"/>
      <c r="D14" s="203" t="s">
        <v>524</v>
      </c>
      <c r="E14" s="201" t="str">
        <f t="shared" si="2"/>
        <v>=</v>
      </c>
      <c r="F14" s="203">
        <v>2.0</v>
      </c>
      <c r="G14" s="203" t="s">
        <v>525</v>
      </c>
      <c r="H14" s="201"/>
    </row>
    <row r="15">
      <c r="A15" s="201"/>
      <c r="B15" s="201"/>
      <c r="C15" s="203" t="s">
        <v>530</v>
      </c>
      <c r="E15" s="201"/>
      <c r="F15" s="201"/>
      <c r="G15" s="201"/>
      <c r="H15" s="201"/>
    </row>
    <row r="16">
      <c r="A16" s="201"/>
      <c r="B16" s="201"/>
      <c r="C16" s="201"/>
      <c r="D16" s="203" t="s">
        <v>521</v>
      </c>
      <c r="E16" s="201" t="str">
        <f t="shared" ref="E16:E17" si="3">"="</f>
        <v>=</v>
      </c>
      <c r="F16" s="203">
        <v>1.491</v>
      </c>
      <c r="G16" s="203" t="s">
        <v>301</v>
      </c>
      <c r="H16" s="201"/>
    </row>
    <row r="17">
      <c r="A17" s="201"/>
      <c r="B17" s="201"/>
      <c r="C17" s="201"/>
      <c r="D17" s="203" t="s">
        <v>524</v>
      </c>
      <c r="E17" s="201" t="str">
        <f t="shared" si="3"/>
        <v>=</v>
      </c>
      <c r="F17" s="203">
        <v>2.0</v>
      </c>
      <c r="G17" s="203" t="s">
        <v>525</v>
      </c>
      <c r="H17" s="201"/>
    </row>
    <row r="18">
      <c r="A18" s="201"/>
      <c r="B18" s="201"/>
      <c r="C18" s="203" t="s">
        <v>531</v>
      </c>
      <c r="E18" s="201"/>
      <c r="F18" s="201"/>
      <c r="G18" s="201"/>
      <c r="H18" s="201"/>
    </row>
    <row r="19">
      <c r="A19" s="201"/>
      <c r="B19" s="201"/>
      <c r="C19" s="201"/>
      <c r="D19" s="203" t="s">
        <v>532</v>
      </c>
      <c r="E19" s="201" t="str">
        <f>"="</f>
        <v>=</v>
      </c>
      <c r="F19" s="203">
        <v>100.0</v>
      </c>
      <c r="G19" s="203" t="s">
        <v>533</v>
      </c>
      <c r="H19" s="203" t="s">
        <v>534</v>
      </c>
    </row>
    <row r="20">
      <c r="A20" s="201"/>
      <c r="B20" s="201"/>
      <c r="C20" s="203" t="s">
        <v>535</v>
      </c>
      <c r="E20" s="201"/>
      <c r="F20" s="201"/>
      <c r="G20" s="201"/>
      <c r="H20" s="201"/>
    </row>
    <row r="21">
      <c r="A21" s="201"/>
      <c r="B21" s="201"/>
      <c r="C21" s="201"/>
      <c r="D21" s="203" t="s">
        <v>536</v>
      </c>
      <c r="E21" s="201" t="str">
        <f t="shared" ref="E21:E23" si="4">"="</f>
        <v>=</v>
      </c>
      <c r="F21" s="203">
        <v>1000.0</v>
      </c>
      <c r="G21" s="203" t="s">
        <v>537</v>
      </c>
      <c r="H21" s="201"/>
    </row>
    <row r="22">
      <c r="A22" s="201"/>
      <c r="B22" s="201"/>
      <c r="C22" s="201"/>
      <c r="D22" s="203" t="s">
        <v>538</v>
      </c>
      <c r="E22" s="201" t="str">
        <f t="shared" si="4"/>
        <v>=</v>
      </c>
      <c r="F22" s="203">
        <v>1800.0</v>
      </c>
      <c r="G22" s="203" t="s">
        <v>537</v>
      </c>
      <c r="H22" s="201"/>
    </row>
    <row r="23">
      <c r="A23" s="201"/>
      <c r="B23" s="201"/>
      <c r="C23" s="201"/>
      <c r="D23" s="203" t="s">
        <v>539</v>
      </c>
      <c r="E23" s="201" t="str">
        <f t="shared" si="4"/>
        <v>=</v>
      </c>
      <c r="F23" s="203">
        <v>0.2</v>
      </c>
      <c r="G23" s="203" t="s">
        <v>540</v>
      </c>
      <c r="H23" s="201"/>
    </row>
    <row r="24">
      <c r="A24" s="201"/>
      <c r="B24" s="203" t="s">
        <v>541</v>
      </c>
      <c r="E24" s="201"/>
      <c r="F24" s="201"/>
      <c r="G24" s="201"/>
      <c r="H24" s="201"/>
    </row>
    <row r="25">
      <c r="A25" s="201"/>
      <c r="B25" s="201"/>
      <c r="C25" s="201"/>
      <c r="D25" s="203" t="s">
        <v>542</v>
      </c>
      <c r="E25" s="201" t="str">
        <f t="shared" ref="E25:E29" si="5">"="</f>
        <v>=</v>
      </c>
      <c r="F25" s="203">
        <v>20.0</v>
      </c>
      <c r="G25" s="203" t="s">
        <v>543</v>
      </c>
      <c r="H25" s="201"/>
    </row>
    <row r="26">
      <c r="A26" s="201"/>
      <c r="B26" s="201"/>
      <c r="C26" s="201"/>
      <c r="D26" s="203" t="s">
        <v>544</v>
      </c>
      <c r="E26" s="201" t="str">
        <f t="shared" si="5"/>
        <v>=</v>
      </c>
      <c r="F26" s="203">
        <v>150.0</v>
      </c>
      <c r="G26" s="203" t="s">
        <v>545</v>
      </c>
      <c r="H26" s="201"/>
    </row>
    <row r="27">
      <c r="A27" s="201"/>
      <c r="B27" s="201"/>
      <c r="C27" s="201"/>
      <c r="D27" s="203" t="s">
        <v>546</v>
      </c>
      <c r="E27" s="201" t="str">
        <f t="shared" si="5"/>
        <v>=</v>
      </c>
      <c r="F27" s="203">
        <v>12000.0</v>
      </c>
      <c r="G27" s="203" t="s">
        <v>547</v>
      </c>
      <c r="H27" s="201"/>
    </row>
    <row r="28">
      <c r="A28" s="201"/>
      <c r="B28" s="201"/>
      <c r="C28" s="201"/>
      <c r="D28" s="203" t="s">
        <v>548</v>
      </c>
      <c r="E28" s="201" t="str">
        <f t="shared" si="5"/>
        <v>=</v>
      </c>
      <c r="F28" s="203">
        <v>2000.0</v>
      </c>
      <c r="G28" s="203" t="s">
        <v>549</v>
      </c>
      <c r="H28" s="201"/>
    </row>
    <row r="29">
      <c r="A29" s="201"/>
      <c r="B29" s="201"/>
      <c r="C29" s="201"/>
      <c r="D29" s="203" t="s">
        <v>550</v>
      </c>
      <c r="E29" s="201" t="str">
        <f t="shared" si="5"/>
        <v>=</v>
      </c>
      <c r="F29" s="203">
        <v>6.0</v>
      </c>
      <c r="G29" s="203" t="s">
        <v>551</v>
      </c>
      <c r="H29" s="201"/>
    </row>
    <row r="30">
      <c r="A30" s="201"/>
      <c r="B30" s="203" t="s">
        <v>552</v>
      </c>
      <c r="E30" s="201"/>
      <c r="F30" s="201"/>
      <c r="G30" s="201"/>
      <c r="H30" s="201"/>
    </row>
    <row r="31">
      <c r="A31" s="201"/>
      <c r="B31" s="201"/>
      <c r="C31" s="201"/>
      <c r="D31" s="203" t="s">
        <v>524</v>
      </c>
      <c r="E31" s="201" t="str">
        <f t="shared" ref="E31:E35" si="6">"="</f>
        <v>=</v>
      </c>
      <c r="F31" s="203">
        <v>1.0</v>
      </c>
      <c r="G31" s="203" t="s">
        <v>553</v>
      </c>
      <c r="H31" s="201"/>
    </row>
    <row r="32">
      <c r="A32" s="201"/>
      <c r="B32" s="201"/>
      <c r="C32" s="201"/>
      <c r="D32" s="203" t="s">
        <v>544</v>
      </c>
      <c r="E32" s="201" t="str">
        <f t="shared" si="6"/>
        <v>=</v>
      </c>
      <c r="F32" s="203">
        <v>60.0</v>
      </c>
      <c r="G32" s="203" t="s">
        <v>554</v>
      </c>
      <c r="H32" s="201"/>
    </row>
    <row r="33">
      <c r="A33" s="201"/>
      <c r="B33" s="201"/>
      <c r="C33" s="201"/>
      <c r="D33" s="203" t="s">
        <v>542</v>
      </c>
      <c r="E33" s="201" t="str">
        <f t="shared" si="6"/>
        <v>=</v>
      </c>
      <c r="F33" s="203">
        <v>500.0</v>
      </c>
      <c r="G33" s="203" t="s">
        <v>543</v>
      </c>
      <c r="H33" s="201"/>
    </row>
    <row r="34">
      <c r="A34" s="201"/>
      <c r="B34" s="201"/>
      <c r="C34" s="201"/>
      <c r="D34" s="203" t="s">
        <v>555</v>
      </c>
      <c r="E34" s="201" t="str">
        <f t="shared" si="6"/>
        <v>=</v>
      </c>
      <c r="F34" s="203">
        <v>15.0</v>
      </c>
      <c r="G34" s="203" t="s">
        <v>556</v>
      </c>
      <c r="H34" s="201"/>
    </row>
    <row r="35">
      <c r="A35" s="201"/>
      <c r="B35" s="201"/>
      <c r="C35" s="201"/>
      <c r="D35" s="203" t="s">
        <v>557</v>
      </c>
      <c r="E35" s="201" t="str">
        <f t="shared" si="6"/>
        <v>=</v>
      </c>
      <c r="F35" s="203">
        <v>2.0</v>
      </c>
      <c r="G35" s="201"/>
      <c r="H35" s="201"/>
    </row>
    <row r="36">
      <c r="A36" s="201"/>
      <c r="B36" s="201"/>
      <c r="C36" s="201"/>
      <c r="D36" s="201"/>
      <c r="E36" s="201"/>
      <c r="F36" s="201"/>
      <c r="G36" s="201"/>
      <c r="H36" s="201"/>
    </row>
    <row r="37">
      <c r="A37" s="202" t="s">
        <v>558</v>
      </c>
      <c r="E37" s="201"/>
      <c r="F37" s="201"/>
      <c r="G37" s="201"/>
      <c r="H37" s="201"/>
    </row>
    <row r="38">
      <c r="A38" s="201"/>
      <c r="B38" s="201"/>
      <c r="C38" s="201"/>
      <c r="D38" s="203" t="s">
        <v>559</v>
      </c>
      <c r="E38" s="201" t="str">
        <f>"="</f>
        <v>=</v>
      </c>
      <c r="F38" s="203">
        <v>400.0</v>
      </c>
      <c r="G38" s="203" t="s">
        <v>48</v>
      </c>
      <c r="H38" s="201"/>
    </row>
    <row r="42">
      <c r="A42" s="204" t="s">
        <v>560</v>
      </c>
    </row>
    <row r="43">
      <c r="D43" s="81" t="s">
        <v>561</v>
      </c>
      <c r="E43" s="81" t="s">
        <v>562</v>
      </c>
    </row>
    <row r="44">
      <c r="D44" s="81" t="s">
        <v>563</v>
      </c>
      <c r="E44" s="81" t="s">
        <v>564</v>
      </c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5">
      <c r="J55" s="205"/>
    </row>
    <row r="56">
      <c r="J56" s="205"/>
      <c r="K56" s="159" t="s">
        <v>565</v>
      </c>
    </row>
    <row r="57">
      <c r="J57" s="205"/>
      <c r="K57" s="1">
        <v>3.6</v>
      </c>
      <c r="L57" s="1" t="s">
        <v>105</v>
      </c>
    </row>
    <row r="58">
      <c r="J58" s="205"/>
      <c r="K58" s="1">
        <v>1.0</v>
      </c>
      <c r="L58" s="1" t="s">
        <v>109</v>
      </c>
    </row>
    <row r="59">
      <c r="J59" s="205"/>
    </row>
    <row r="60">
      <c r="J60" s="205"/>
      <c r="K60" s="1" t="s">
        <v>566</v>
      </c>
    </row>
    <row r="61">
      <c r="J61" s="123"/>
    </row>
    <row r="62">
      <c r="J62" s="123"/>
    </row>
    <row r="63">
      <c r="J63" s="206"/>
    </row>
    <row r="72">
      <c r="A72" s="1" t="s">
        <v>567</v>
      </c>
      <c r="F72" s="207" t="s">
        <v>568</v>
      </c>
    </row>
  </sheetData>
  <mergeCells count="13">
    <mergeCell ref="C18:D18"/>
    <mergeCell ref="C20:D20"/>
    <mergeCell ref="B24:D24"/>
    <mergeCell ref="B30:D30"/>
    <mergeCell ref="A37:D37"/>
    <mergeCell ref="K56:L56"/>
    <mergeCell ref="A1:B1"/>
    <mergeCell ref="A3:C3"/>
    <mergeCell ref="B4:C4"/>
    <mergeCell ref="C5:D5"/>
    <mergeCell ref="C7:D7"/>
    <mergeCell ref="C11:D11"/>
    <mergeCell ref="C15:D15"/>
  </mergeCells>
  <hyperlinks>
    <hyperlink r:id="rId1" ref="F7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569</v>
      </c>
    </row>
    <row r="4">
      <c r="A4" s="32" t="s">
        <v>570</v>
      </c>
      <c r="B4" s="32" t="s">
        <v>571</v>
      </c>
    </row>
    <row r="5">
      <c r="A5" s="32" t="s">
        <v>572</v>
      </c>
      <c r="B5" s="32" t="s">
        <v>573</v>
      </c>
    </row>
    <row r="6">
      <c r="A6" s="32" t="s">
        <v>574</v>
      </c>
      <c r="B6" s="32" t="s">
        <v>573</v>
      </c>
    </row>
    <row r="7">
      <c r="A7" s="32" t="s">
        <v>575</v>
      </c>
      <c r="B7" s="32" t="s">
        <v>576</v>
      </c>
    </row>
    <row r="8">
      <c r="A8" s="32" t="s">
        <v>577</v>
      </c>
      <c r="B8" s="32" t="s">
        <v>469</v>
      </c>
    </row>
    <row r="10">
      <c r="A10" s="1" t="s">
        <v>578</v>
      </c>
      <c r="B10" s="1" t="s">
        <v>573</v>
      </c>
    </row>
    <row r="11">
      <c r="A11" s="1"/>
    </row>
    <row r="12">
      <c r="A12" s="1"/>
    </row>
    <row r="13">
      <c r="A13" s="208" t="s">
        <v>579</v>
      </c>
    </row>
    <row r="14">
      <c r="A14" s="208" t="s">
        <v>580</v>
      </c>
    </row>
    <row r="15">
      <c r="A15" s="208" t="s">
        <v>581</v>
      </c>
    </row>
    <row r="16">
      <c r="A16" s="208"/>
    </row>
    <row r="17">
      <c r="A17" s="208" t="s">
        <v>582</v>
      </c>
    </row>
    <row r="21">
      <c r="A21" s="209" t="s">
        <v>583</v>
      </c>
    </row>
    <row r="22">
      <c r="A22" s="210" t="s">
        <v>584</v>
      </c>
    </row>
    <row r="23">
      <c r="A23" s="209" t="s">
        <v>585</v>
      </c>
    </row>
    <row r="24">
      <c r="A24" s="210" t="s">
        <v>586</v>
      </c>
    </row>
    <row r="25">
      <c r="A25" s="209" t="s">
        <v>587</v>
      </c>
    </row>
    <row r="26">
      <c r="A26" s="209" t="s">
        <v>588</v>
      </c>
    </row>
    <row r="27">
      <c r="A27" s="211" t="s">
        <v>589</v>
      </c>
    </row>
    <row r="28">
      <c r="A28" s="209" t="s">
        <v>590</v>
      </c>
    </row>
    <row r="29">
      <c r="A29" s="209" t="s">
        <v>591</v>
      </c>
    </row>
    <row r="30">
      <c r="A30" s="209" t="s">
        <v>592</v>
      </c>
    </row>
    <row r="31">
      <c r="A31" s="209" t="s">
        <v>593</v>
      </c>
    </row>
    <row r="32">
      <c r="A32" s="209" t="s">
        <v>594</v>
      </c>
    </row>
    <row r="33">
      <c r="A33" s="210" t="s">
        <v>595</v>
      </c>
    </row>
    <row r="34">
      <c r="A34" s="209" t="s">
        <v>596</v>
      </c>
    </row>
    <row r="35">
      <c r="A35" s="209" t="s">
        <v>597</v>
      </c>
    </row>
    <row r="36">
      <c r="A36" s="209" t="s">
        <v>598</v>
      </c>
    </row>
    <row r="37">
      <c r="A37" s="209" t="s">
        <v>599</v>
      </c>
    </row>
    <row r="38">
      <c r="A38" s="209" t="s">
        <v>600</v>
      </c>
    </row>
    <row r="39">
      <c r="A39" s="209" t="s">
        <v>601</v>
      </c>
    </row>
    <row r="40">
      <c r="A40" s="209" t="s">
        <v>602</v>
      </c>
    </row>
    <row r="41">
      <c r="A41" s="209" t="s">
        <v>603</v>
      </c>
    </row>
    <row r="42">
      <c r="A42" s="212"/>
    </row>
    <row r="43">
      <c r="A43" s="213"/>
    </row>
  </sheetData>
  <drawing r:id="rId1"/>
</worksheet>
</file>