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DR\Tasks\Корреляционно-регрессионный анализ\"/>
    </mc:Choice>
  </mc:AlternateContent>
  <xr:revisionPtr revIDLastSave="0" documentId="13_ncr:1_{7F6A9680-FA4F-436C-8F0C-F9678826E0F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2" i="1"/>
  <c r="Y10" i="1"/>
  <c r="Y9" i="1"/>
  <c r="Y8" i="1"/>
  <c r="Y7" i="1"/>
  <c r="Y6" i="1"/>
  <c r="Y5" i="1"/>
  <c r="Y4" i="1"/>
  <c r="Y3" i="1"/>
  <c r="O1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O17" i="1"/>
  <c r="O15" i="1"/>
  <c r="O14" i="1"/>
  <c r="O13" i="1"/>
  <c r="O12" i="1"/>
  <c r="O11" i="1"/>
  <c r="O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O10" i="1"/>
  <c r="O8" i="1"/>
  <c r="O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O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O5" i="1"/>
  <c r="O4" i="1"/>
  <c r="O2" i="1"/>
  <c r="O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E10" i="1"/>
  <c r="E8" i="1"/>
  <c r="E1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7" i="1"/>
  <c r="E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5" i="1"/>
  <c r="E4" i="1"/>
  <c r="E3" i="1"/>
  <c r="E11" i="1" l="1"/>
  <c r="E12" i="1" s="1"/>
  <c r="E13" i="1" l="1"/>
</calcChain>
</file>

<file path=xl/sharedStrings.xml><?xml version="1.0" encoding="utf-8"?>
<sst xmlns="http://schemas.openxmlformats.org/spreadsheetml/2006/main" count="57" uniqueCount="56">
  <si>
    <t>Вариант:</t>
  </si>
  <si>
    <t>Данные выборки</t>
  </si>
  <si>
    <t>X</t>
  </si>
  <si>
    <t>Y</t>
  </si>
  <si>
    <t>уровень значимости:</t>
  </si>
  <si>
    <t>Количество наблюдений:</t>
  </si>
  <si>
    <t>x̅</t>
  </si>
  <si>
    <t xml:space="preserve">y ̅ </t>
  </si>
  <si>
    <r>
      <rPr>
        <b/>
        <sz val="14"/>
        <color theme="1"/>
        <rFont val="Calibri"/>
        <family val="2"/>
        <charset val="204"/>
      </rPr>
      <t>σ</t>
    </r>
    <r>
      <rPr>
        <b/>
        <sz val="8"/>
        <color theme="1"/>
        <rFont val="Calibri"/>
        <family val="2"/>
        <charset val="204"/>
      </rPr>
      <t>y</t>
    </r>
  </si>
  <si>
    <r>
      <rPr>
        <b/>
        <sz val="14"/>
        <color theme="1"/>
        <rFont val="Calibri"/>
        <family val="2"/>
        <charset val="204"/>
      </rPr>
      <t>σ</t>
    </r>
    <r>
      <rPr>
        <b/>
        <sz val="9"/>
        <color theme="1"/>
        <rFont val="Calibri"/>
        <family val="2"/>
        <charset val="204"/>
      </rPr>
      <t>x</t>
    </r>
  </si>
  <si>
    <t>x - x̅</t>
  </si>
  <si>
    <t xml:space="preserve">y - y ̅ </t>
  </si>
  <si>
    <t>(x - x̅)^2</t>
  </si>
  <si>
    <t>(y - y ̅)^2</t>
  </si>
  <si>
    <r>
      <t>r</t>
    </r>
    <r>
      <rPr>
        <b/>
        <sz val="9"/>
        <color theme="1"/>
        <rFont val="Calibri"/>
        <family val="2"/>
        <charset val="204"/>
        <scheme val="minor"/>
      </rPr>
      <t>xy</t>
    </r>
  </si>
  <si>
    <t>(x - x̅) * (y - y ̅ )</t>
  </si>
  <si>
    <t>Высокая</t>
  </si>
  <si>
    <t>Характеристика силы связи:</t>
  </si>
  <si>
    <t>k</t>
  </si>
  <si>
    <t>t - критерий</t>
  </si>
  <si>
    <t>Левая граница доверительного интервала</t>
  </si>
  <si>
    <t>Правая граница доверительного интервала</t>
  </si>
  <si>
    <t>0 не попадает в доверительный интервал =&gt; коэффициэнт корреляции является статистически значимым</t>
  </si>
  <si>
    <t>R^2</t>
  </si>
  <si>
    <t>x * y</t>
  </si>
  <si>
    <t>х ̅ ̅* ̅ ̅y ̅</t>
  </si>
  <si>
    <t>cov(x, y)</t>
  </si>
  <si>
    <t>b</t>
  </si>
  <si>
    <t>a</t>
  </si>
  <si>
    <r>
      <rPr>
        <b/>
        <sz val="14"/>
        <color theme="1"/>
        <rFont val="Calibri"/>
        <family val="2"/>
        <charset val="204"/>
        <scheme val="minor"/>
      </rPr>
      <t>ε</t>
    </r>
    <r>
      <rPr>
        <b/>
        <sz val="9"/>
        <color theme="1"/>
        <rFont val="Calibri"/>
        <family val="2"/>
        <charset val="204"/>
        <scheme val="minor"/>
      </rPr>
      <t>кв</t>
    </r>
  </si>
  <si>
    <t>Y*</t>
  </si>
  <si>
    <t>A ̅</t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</si>
  <si>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общ</t>
    </r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</si>
  <si>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факт</t>
    </r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</si>
  <si>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ост</t>
    </r>
  </si>
  <si>
    <t>y* - y</t>
  </si>
  <si>
    <t>(y* - y)^2</t>
  </si>
  <si>
    <t>|(y* - y)/y|</t>
  </si>
  <si>
    <t>(y* - y ̅ )^2</t>
  </si>
  <si>
    <t>F - критерий</t>
  </si>
  <si>
    <r>
      <t>F</t>
    </r>
    <r>
      <rPr>
        <b/>
        <sz val="9"/>
        <color theme="1"/>
        <rFont val="Calibri"/>
        <family val="2"/>
        <charset val="204"/>
        <scheme val="minor"/>
      </rPr>
      <t>р</t>
    </r>
  </si>
  <si>
    <r>
      <rPr>
        <b/>
        <sz val="14"/>
        <color theme="1"/>
        <rFont val="Calibri"/>
        <family val="2"/>
        <charset val="204"/>
        <scheme val="minor"/>
      </rPr>
      <t>S</t>
    </r>
    <r>
      <rPr>
        <b/>
        <sz val="9"/>
        <color theme="1"/>
        <rFont val="Calibri"/>
        <family val="2"/>
        <charset val="204"/>
        <scheme val="minor"/>
      </rPr>
      <t>ост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</si>
  <si>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r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</si>
  <si>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a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</si>
  <si>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b</t>
    </r>
  </si>
  <si>
    <t>x^2</t>
  </si>
  <si>
    <t>Левая граница доверительного интервала "a"</t>
  </si>
  <si>
    <t>Правая граница доверительного интервала "a"</t>
  </si>
  <si>
    <t>Левая граница доверительного интервала "b"</t>
  </si>
  <si>
    <t>Правая граница доверительного интервала "b"</t>
  </si>
  <si>
    <r>
      <rPr>
        <b/>
        <sz val="14"/>
        <color theme="1"/>
        <rFont val="Calibri"/>
        <family val="2"/>
        <charset val="204"/>
        <scheme val="minor"/>
      </rPr>
      <t>x</t>
    </r>
    <r>
      <rPr>
        <b/>
        <sz val="9"/>
        <color theme="1"/>
        <rFont val="Calibri"/>
        <family val="2"/>
        <charset val="204"/>
        <scheme val="minor"/>
      </rPr>
      <t>max</t>
    </r>
  </si>
  <si>
    <r>
      <rPr>
        <b/>
        <sz val="14"/>
        <color theme="1"/>
        <rFont val="Calibri"/>
        <family val="2"/>
        <charset val="204"/>
        <scheme val="minor"/>
      </rPr>
      <t>x</t>
    </r>
    <r>
      <rPr>
        <b/>
        <sz val="9"/>
        <color theme="1"/>
        <rFont val="Calibri"/>
        <family val="2"/>
        <charset val="204"/>
        <scheme val="minor"/>
      </rPr>
      <t>пр</t>
    </r>
  </si>
  <si>
    <r>
      <rPr>
        <b/>
        <sz val="14"/>
        <color theme="1"/>
        <rFont val="Calibri"/>
        <family val="2"/>
        <charset val="204"/>
        <scheme val="minor"/>
      </rPr>
      <t>Y</t>
    </r>
    <r>
      <rPr>
        <b/>
        <sz val="9"/>
        <color theme="1"/>
        <rFont val="Calibri"/>
        <family val="2"/>
        <charset val="204"/>
        <scheme val="minor"/>
      </rPr>
      <t>пр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</si>
  <si>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у_пр</t>
    </r>
  </si>
  <si>
    <t>Левая граница доверительного интервала "y"</t>
  </si>
  <si>
    <t>Правая граница доверительного интервала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</si>
</sst>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2" fontId="0" fillId="0" borderId="0" xfId="0" applyNumberFormat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 случайной величины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103</c:v>
                </c:pt>
                <c:pt idx="1">
                  <c:v>121</c:v>
                </c:pt>
                <c:pt idx="2">
                  <c:v>114</c:v>
                </c:pt>
                <c:pt idx="3">
                  <c:v>110</c:v>
                </c:pt>
                <c:pt idx="4">
                  <c:v>80</c:v>
                </c:pt>
                <c:pt idx="5">
                  <c:v>87</c:v>
                </c:pt>
                <c:pt idx="6">
                  <c:v>101</c:v>
                </c:pt>
                <c:pt idx="7">
                  <c:v>125</c:v>
                </c:pt>
                <c:pt idx="8">
                  <c:v>66</c:v>
                </c:pt>
                <c:pt idx="9">
                  <c:v>53</c:v>
                </c:pt>
                <c:pt idx="10">
                  <c:v>101</c:v>
                </c:pt>
                <c:pt idx="11">
                  <c:v>122</c:v>
                </c:pt>
                <c:pt idx="12">
                  <c:v>118</c:v>
                </c:pt>
                <c:pt idx="13">
                  <c:v>110</c:v>
                </c:pt>
                <c:pt idx="14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A89-A1E3-81B9286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8240"/>
        <c:axId val="1239610320"/>
      </c:scatterChart>
      <c:valAx>
        <c:axId val="12318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610320"/>
        <c:crosses val="autoZero"/>
        <c:crossBetween val="midCat"/>
      </c:valAx>
      <c:valAx>
        <c:axId val="12396103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8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Измеренные и предсказанные значения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Лист1!$Q$2</c:f>
              <c:strCache>
                <c:ptCount val="1"/>
                <c:pt idx="0">
                  <c:v>Y*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Лист1!$Q$3:$Q$17</c:f>
              <c:numCache>
                <c:formatCode>0.00</c:formatCode>
                <c:ptCount val="15"/>
                <c:pt idx="0">
                  <c:v>110.2915451895044</c:v>
                </c:pt>
                <c:pt idx="1">
                  <c:v>103.38192419825074</c:v>
                </c:pt>
                <c:pt idx="2">
                  <c:v>124.1107871720117</c:v>
                </c:pt>
                <c:pt idx="3">
                  <c:v>93.017492711370267</c:v>
                </c:pt>
                <c:pt idx="4">
                  <c:v>82.65306122448979</c:v>
                </c:pt>
                <c:pt idx="5">
                  <c:v>86.10787172011662</c:v>
                </c:pt>
                <c:pt idx="6">
                  <c:v>99.927113702623927</c:v>
                </c:pt>
                <c:pt idx="7">
                  <c:v>106.83673469387757</c:v>
                </c:pt>
                <c:pt idx="8">
                  <c:v>65.37900874635568</c:v>
                </c:pt>
                <c:pt idx="9">
                  <c:v>72.288629737609327</c:v>
                </c:pt>
                <c:pt idx="10">
                  <c:v>106.83673469387757</c:v>
                </c:pt>
                <c:pt idx="11">
                  <c:v>127.56559766763853</c:v>
                </c:pt>
                <c:pt idx="12">
                  <c:v>113.74635568513122</c:v>
                </c:pt>
                <c:pt idx="13">
                  <c:v>117.20116618075805</c:v>
                </c:pt>
                <c:pt idx="14">
                  <c:v>120.65597667638488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F-4333-A57E-381C8BA2837C}"/>
            </c:ext>
          </c:extLst>
        </c:ser>
        <c:ser>
          <c:idx val="0"/>
          <c:order val="1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103</c:v>
                </c:pt>
                <c:pt idx="1">
                  <c:v>121</c:v>
                </c:pt>
                <c:pt idx="2">
                  <c:v>114</c:v>
                </c:pt>
                <c:pt idx="3">
                  <c:v>110</c:v>
                </c:pt>
                <c:pt idx="4">
                  <c:v>80</c:v>
                </c:pt>
                <c:pt idx="5">
                  <c:v>87</c:v>
                </c:pt>
                <c:pt idx="6">
                  <c:v>101</c:v>
                </c:pt>
                <c:pt idx="7">
                  <c:v>125</c:v>
                </c:pt>
                <c:pt idx="8">
                  <c:v>66</c:v>
                </c:pt>
                <c:pt idx="9">
                  <c:v>53</c:v>
                </c:pt>
                <c:pt idx="10">
                  <c:v>101</c:v>
                </c:pt>
                <c:pt idx="11">
                  <c:v>122</c:v>
                </c:pt>
                <c:pt idx="12">
                  <c:v>118</c:v>
                </c:pt>
                <c:pt idx="13">
                  <c:v>110</c:v>
                </c:pt>
                <c:pt idx="14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333-A57E-381C8BA2837C}"/>
            </c:ext>
          </c:extLst>
        </c:ser>
        <c:ser>
          <c:idx val="2"/>
          <c:order val="2"/>
          <c:tx>
            <c:strRef>
              <c:f>Лист1!$X$9</c:f>
              <c:strCache>
                <c:ptCount val="1"/>
                <c:pt idx="0">
                  <c:v>Yпр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Лист1!$Y$8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Лист1!$Y$9</c:f>
              <c:numCache>
                <c:formatCode>General</c:formatCode>
                <c:ptCount val="1"/>
                <c:pt idx="0">
                  <c:v>86.10787172011662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5F-4333-A57E-381C8BA2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32943"/>
        <c:axId val="2114871391"/>
      </c:scatterChart>
      <c:valAx>
        <c:axId val="10288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71391"/>
        <c:crosses val="autoZero"/>
        <c:crossBetween val="midCat"/>
      </c:valAx>
      <c:valAx>
        <c:axId val="21148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83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33335</xdr:colOff>
      <xdr:row>18</xdr:row>
      <xdr:rowOff>19050</xdr:rowOff>
    </xdr:from>
    <xdr:to>
      <xdr:col>7</xdr:col>
      <xdr:colOff>590550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F003EA-6C8B-173D-84A8-CF1E2A7B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17</xdr:row>
      <xdr:rowOff>190499</xdr:rowOff>
    </xdr:from>
    <xdr:to>
      <xdr:col>19</xdr:col>
      <xdr:colOff>28574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2D514-AF3F-0F9C-E0C6-5F46514C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zoomScale="70" zoomScaleNormal="70" workbookViewId="0">
      <selection activeCell="Y14" sqref="Y14"/>
    </sheetView>
  </sheetViews>
  <sheetFormatPr defaultRowHeight="15" x14ac:dyDescent="0.25"/>
  <cols>
    <col min="4" max="4" width="30" customWidth="1"/>
    <col min="5" max="5" width="12.7109375" bestFit="1" customWidth="1"/>
    <col min="7" max="8" width="9.140625" customWidth="1"/>
    <col min="11" max="11" width="15.5703125" customWidth="1"/>
    <col min="14" max="14" width="14.7109375" customWidth="1"/>
    <col min="15" max="15" width="10.28515625" customWidth="1"/>
    <col min="19" max="19" width="10.28515625" customWidth="1"/>
    <col min="20" max="20" width="11.28515625" customWidth="1"/>
    <col min="21" max="21" width="10.42578125" customWidth="1"/>
    <col min="24" max="24" width="29.85546875" customWidth="1"/>
  </cols>
  <sheetData>
    <row r="1" spans="1:25" x14ac:dyDescent="0.25">
      <c r="A1" s="11" t="s">
        <v>1</v>
      </c>
      <c r="B1" s="11"/>
      <c r="C1" s="2"/>
      <c r="D1" s="3" t="s">
        <v>0</v>
      </c>
      <c r="E1" s="6">
        <v>4</v>
      </c>
      <c r="O1" s="9"/>
    </row>
    <row r="2" spans="1:25" x14ac:dyDescent="0.25">
      <c r="A2" s="1" t="s">
        <v>2</v>
      </c>
      <c r="B2" s="1" t="s">
        <v>3</v>
      </c>
      <c r="C2" s="2"/>
      <c r="D2" s="3" t="s">
        <v>4</v>
      </c>
      <c r="E2" s="6">
        <v>0.05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15</v>
      </c>
      <c r="L2" s="2" t="s">
        <v>24</v>
      </c>
      <c r="N2" s="2" t="s">
        <v>25</v>
      </c>
      <c r="O2" s="6">
        <f>AVERAGE(L:L)</f>
        <v>864</v>
      </c>
      <c r="Q2" s="2" t="s">
        <v>30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45</v>
      </c>
      <c r="X2" s="2"/>
      <c r="Y2" s="2"/>
    </row>
    <row r="3" spans="1:25" ht="32.25" customHeight="1" x14ac:dyDescent="0.25">
      <c r="A3">
        <v>7</v>
      </c>
      <c r="B3">
        <v>103</v>
      </c>
      <c r="D3" s="3" t="s">
        <v>5</v>
      </c>
      <c r="E3" s="6">
        <f>COUNT(A:A)</f>
        <v>15</v>
      </c>
      <c r="G3">
        <f>A3 - $E$4</f>
        <v>-2.4000000000000004</v>
      </c>
      <c r="H3">
        <f>B3 - $E$5</f>
        <v>1</v>
      </c>
      <c r="I3">
        <f>G3^2</f>
        <v>5.7600000000000016</v>
      </c>
      <c r="J3">
        <f>H3^2</f>
        <v>1</v>
      </c>
      <c r="K3">
        <f>G3 * H3</f>
        <v>-2.4000000000000004</v>
      </c>
      <c r="L3">
        <f xml:space="preserve"> A3 * B3</f>
        <v>721</v>
      </c>
      <c r="N3" s="2" t="s">
        <v>26</v>
      </c>
      <c r="O3" s="6">
        <f>O2 - E4 * E5</f>
        <v>-94.800000000000068</v>
      </c>
      <c r="Q3" s="9">
        <f>$O$5 + $O$4 * A3</f>
        <v>110.2915451895044</v>
      </c>
      <c r="R3" s="9">
        <f>Q3 - B3</f>
        <v>7.2915451895044043</v>
      </c>
      <c r="S3" s="9">
        <f>R3^2</f>
        <v>53.166631250584821</v>
      </c>
      <c r="T3" s="9">
        <f>(R3/B3)^2^0.5</f>
        <v>7.0791700868974794E-2</v>
      </c>
      <c r="U3" s="9">
        <f>(Q3-$E$5)^2</f>
        <v>68.749721629593623</v>
      </c>
      <c r="V3" s="9">
        <f>A3^2</f>
        <v>49</v>
      </c>
      <c r="X3" s="7" t="s">
        <v>46</v>
      </c>
      <c r="Y3" s="2">
        <f>O5 - E11 * O16</f>
        <v>97.297861814594086</v>
      </c>
    </row>
    <row r="4" spans="1:25" ht="27.75" customHeight="1" x14ac:dyDescent="0.25">
      <c r="A4">
        <v>9</v>
      </c>
      <c r="B4">
        <v>121</v>
      </c>
      <c r="D4" s="3" t="s">
        <v>6</v>
      </c>
      <c r="E4" s="6">
        <f>SUM(A:A)/E3</f>
        <v>9.4</v>
      </c>
      <c r="G4">
        <f t="shared" ref="G4:G17" si="0">A4 - $E$4</f>
        <v>-0.40000000000000036</v>
      </c>
      <c r="H4">
        <f t="shared" ref="H4:H17" si="1">B4 - $E$5</f>
        <v>19</v>
      </c>
      <c r="I4">
        <f t="shared" ref="I4:J17" si="2">G4^2</f>
        <v>0.16000000000000028</v>
      </c>
      <c r="J4">
        <f t="shared" si="2"/>
        <v>361</v>
      </c>
      <c r="K4">
        <f t="shared" ref="K4:K17" si="3">G4 * H4</f>
        <v>-7.6000000000000068</v>
      </c>
      <c r="L4">
        <f t="shared" ref="L4:L17" si="4" xml:space="preserve"> A4 * B4</f>
        <v>1089</v>
      </c>
      <c r="N4" s="2" t="s">
        <v>27</v>
      </c>
      <c r="O4" s="6">
        <f>O3/(E6^2)</f>
        <v>-3.4548104956268251</v>
      </c>
      <c r="Q4" s="9">
        <f t="shared" ref="Q4:Q17" si="5">$O$5 + $O$4 * A4</f>
        <v>103.38192419825074</v>
      </c>
      <c r="R4" s="9">
        <f t="shared" ref="R4:R17" si="6">Q4 - B4</f>
        <v>-17.618075801749256</v>
      </c>
      <c r="S4" s="9">
        <f t="shared" ref="S4:S17" si="7">R4^2</f>
        <v>310.3965949561827</v>
      </c>
      <c r="T4" s="9">
        <f t="shared" ref="T4:T17" si="8">(R4/B4)^2^0.5</f>
        <v>0.14560393224586163</v>
      </c>
      <c r="U4" s="9">
        <f t="shared" ref="U4:U17" si="9">(Q4-$E$5)^2</f>
        <v>1.9097144897109604</v>
      </c>
      <c r="V4" s="9">
        <f t="shared" ref="V4:V17" si="10">A4^2</f>
        <v>81</v>
      </c>
      <c r="X4" s="7" t="s">
        <v>47</v>
      </c>
      <c r="Y4" s="2">
        <f>O5 + E11 * O16</f>
        <v>171.65257550319026</v>
      </c>
    </row>
    <row r="5" spans="1:25" ht="28.5" customHeight="1" x14ac:dyDescent="0.25">
      <c r="A5">
        <v>3</v>
      </c>
      <c r="B5">
        <v>114</v>
      </c>
      <c r="D5" s="2" t="s">
        <v>7</v>
      </c>
      <c r="E5" s="6">
        <f>SUM(B:B)/E3</f>
        <v>102</v>
      </c>
      <c r="G5">
        <f t="shared" si="0"/>
        <v>-6.4</v>
      </c>
      <c r="H5">
        <f t="shared" si="1"/>
        <v>12</v>
      </c>
      <c r="I5">
        <f t="shared" si="2"/>
        <v>40.960000000000008</v>
      </c>
      <c r="J5">
        <f t="shared" si="2"/>
        <v>144</v>
      </c>
      <c r="K5">
        <f t="shared" si="3"/>
        <v>-76.800000000000011</v>
      </c>
      <c r="L5">
        <f t="shared" si="4"/>
        <v>342</v>
      </c>
      <c r="N5" s="2" t="s">
        <v>28</v>
      </c>
      <c r="O5" s="6">
        <f>E5 - O4 * E4</f>
        <v>134.47521865889217</v>
      </c>
      <c r="Q5" s="9">
        <f t="shared" si="5"/>
        <v>124.1107871720117</v>
      </c>
      <c r="R5" s="9">
        <f t="shared" si="6"/>
        <v>10.110787172011698</v>
      </c>
      <c r="S5" s="9">
        <f t="shared" si="7"/>
        <v>102.2280172377163</v>
      </c>
      <c r="T5" s="9">
        <f t="shared" si="8"/>
        <v>8.8691115543962265E-2</v>
      </c>
      <c r="U5" s="9">
        <f t="shared" si="9"/>
        <v>488.88690936599704</v>
      </c>
      <c r="V5" s="9">
        <f t="shared" si="10"/>
        <v>9</v>
      </c>
      <c r="X5" s="7" t="s">
        <v>48</v>
      </c>
      <c r="Y5" s="2">
        <f>O4 - E11 * O17</f>
        <v>-6.9096209912536466</v>
      </c>
    </row>
    <row r="6" spans="1:25" ht="30.75" customHeight="1" x14ac:dyDescent="0.3">
      <c r="A6">
        <v>12</v>
      </c>
      <c r="B6">
        <v>110</v>
      </c>
      <c r="D6" s="4" t="s">
        <v>9</v>
      </c>
      <c r="E6" s="6">
        <f>SQRT(SUM(I:I) / E3)</f>
        <v>5.2383203414835178</v>
      </c>
      <c r="G6">
        <f t="shared" si="0"/>
        <v>2.5999999999999996</v>
      </c>
      <c r="H6">
        <f t="shared" si="1"/>
        <v>8</v>
      </c>
      <c r="I6">
        <f t="shared" si="2"/>
        <v>6.759999999999998</v>
      </c>
      <c r="J6">
        <f t="shared" si="2"/>
        <v>64</v>
      </c>
      <c r="K6">
        <f t="shared" si="3"/>
        <v>20.799999999999997</v>
      </c>
      <c r="L6">
        <f t="shared" si="4"/>
        <v>1320</v>
      </c>
      <c r="N6" s="2" t="s">
        <v>29</v>
      </c>
      <c r="O6" s="6">
        <f>(SUM(S:S)/E3)^0.5</f>
        <v>10.338470148652425</v>
      </c>
      <c r="Q6" s="9">
        <f t="shared" si="5"/>
        <v>93.017492711370267</v>
      </c>
      <c r="R6" s="9">
        <f t="shared" si="6"/>
        <v>-16.982507288629733</v>
      </c>
      <c r="S6" s="9">
        <f t="shared" si="7"/>
        <v>288.40555380836201</v>
      </c>
      <c r="T6" s="9">
        <f t="shared" si="8"/>
        <v>0.15438642989663395</v>
      </c>
      <c r="U6" s="9">
        <f t="shared" si="9"/>
        <v>80.685437190286279</v>
      </c>
      <c r="V6" s="9">
        <f t="shared" si="10"/>
        <v>144</v>
      </c>
      <c r="X6" s="7" t="s">
        <v>49</v>
      </c>
      <c r="Y6" s="2">
        <f>O4 + E11 * O17</f>
        <v>0</v>
      </c>
    </row>
    <row r="7" spans="1:25" ht="18.75" x14ac:dyDescent="0.3">
      <c r="A7">
        <v>15</v>
      </c>
      <c r="B7">
        <v>80</v>
      </c>
      <c r="D7" s="4" t="s">
        <v>8</v>
      </c>
      <c r="E7" s="6">
        <f>SQRT(SUM(J:J) / E3)</f>
        <v>20.842264752180842</v>
      </c>
      <c r="G7">
        <f t="shared" si="0"/>
        <v>5.6</v>
      </c>
      <c r="H7">
        <f t="shared" si="1"/>
        <v>-22</v>
      </c>
      <c r="I7">
        <f t="shared" si="2"/>
        <v>31.359999999999996</v>
      </c>
      <c r="J7">
        <f t="shared" si="2"/>
        <v>484</v>
      </c>
      <c r="K7">
        <f t="shared" si="3"/>
        <v>-123.19999999999999</v>
      </c>
      <c r="L7">
        <f t="shared" si="4"/>
        <v>1200</v>
      </c>
      <c r="N7" s="2" t="s">
        <v>31</v>
      </c>
      <c r="O7" s="8">
        <f>SUM(T:T)/E3</f>
        <v>8.3400185039165395E-2</v>
      </c>
      <c r="Q7" s="9">
        <f t="shared" si="5"/>
        <v>82.65306122448979</v>
      </c>
      <c r="R7" s="9">
        <f t="shared" si="6"/>
        <v>2.6530612244897895</v>
      </c>
      <c r="S7" s="9">
        <f t="shared" si="7"/>
        <v>7.0387338608912611</v>
      </c>
      <c r="T7" s="9">
        <f t="shared" si="8"/>
        <v>3.3163265306122368E-2</v>
      </c>
      <c r="U7" s="9">
        <f t="shared" si="9"/>
        <v>374.30403998334054</v>
      </c>
      <c r="V7" s="9">
        <f t="shared" si="10"/>
        <v>225</v>
      </c>
      <c r="X7" s="2" t="s">
        <v>50</v>
      </c>
      <c r="Y7" s="2">
        <f>MAX(A:A)</f>
        <v>20</v>
      </c>
    </row>
    <row r="8" spans="1:25" ht="18.75" x14ac:dyDescent="0.3">
      <c r="A8">
        <v>14</v>
      </c>
      <c r="B8">
        <v>87</v>
      </c>
      <c r="D8" s="5" t="s">
        <v>14</v>
      </c>
      <c r="E8" s="6">
        <f>SUM(K:K)/SQRT(SUM(I:I)*SUM(J:J))</f>
        <v>-0.86830314797335562</v>
      </c>
      <c r="G8">
        <f t="shared" si="0"/>
        <v>4.5999999999999996</v>
      </c>
      <c r="H8">
        <f t="shared" si="1"/>
        <v>-15</v>
      </c>
      <c r="I8">
        <f t="shared" si="2"/>
        <v>21.159999999999997</v>
      </c>
      <c r="J8">
        <f t="shared" si="2"/>
        <v>225</v>
      </c>
      <c r="K8">
        <f t="shared" si="3"/>
        <v>-69</v>
      </c>
      <c r="L8">
        <f t="shared" si="4"/>
        <v>1218</v>
      </c>
      <c r="N8" s="10" t="s">
        <v>32</v>
      </c>
      <c r="O8" s="6">
        <f>SUM(J:J)</f>
        <v>6516</v>
      </c>
      <c r="Q8" s="9">
        <f t="shared" si="5"/>
        <v>86.10787172011662</v>
      </c>
      <c r="R8" s="9">
        <f t="shared" si="6"/>
        <v>-0.89212827988338006</v>
      </c>
      <c r="S8" s="9">
        <f t="shared" si="7"/>
        <v>0.79589286776767854</v>
      </c>
      <c r="T8" s="9">
        <f t="shared" si="8"/>
        <v>1.0254348044636553E-2</v>
      </c>
      <c r="U8" s="9">
        <f t="shared" si="9"/>
        <v>252.55974126426909</v>
      </c>
      <c r="V8" s="9">
        <f t="shared" si="10"/>
        <v>196</v>
      </c>
      <c r="X8" s="2" t="s">
        <v>51</v>
      </c>
      <c r="Y8" s="2">
        <f>0.7*Y7</f>
        <v>14</v>
      </c>
    </row>
    <row r="9" spans="1:25" ht="18.75" x14ac:dyDescent="0.3">
      <c r="A9">
        <v>10</v>
      </c>
      <c r="B9">
        <v>101</v>
      </c>
      <c r="D9" s="2" t="s">
        <v>17</v>
      </c>
      <c r="E9" s="6" t="s">
        <v>16</v>
      </c>
      <c r="G9">
        <f t="shared" si="0"/>
        <v>0.59999999999999964</v>
      </c>
      <c r="H9">
        <f t="shared" si="1"/>
        <v>-1</v>
      </c>
      <c r="I9">
        <f t="shared" si="2"/>
        <v>0.3599999999999996</v>
      </c>
      <c r="J9">
        <f t="shared" si="2"/>
        <v>1</v>
      </c>
      <c r="K9">
        <f t="shared" si="3"/>
        <v>-0.59999999999999964</v>
      </c>
      <c r="L9">
        <f t="shared" si="4"/>
        <v>1010</v>
      </c>
      <c r="N9" s="10" t="s">
        <v>33</v>
      </c>
      <c r="O9" s="6">
        <f>SUM(U:U)</f>
        <v>4912.7405247813494</v>
      </c>
      <c r="Q9" s="9">
        <f t="shared" si="5"/>
        <v>99.927113702623927</v>
      </c>
      <c r="R9" s="9">
        <f t="shared" si="6"/>
        <v>-1.0728862973760727</v>
      </c>
      <c r="S9" s="9">
        <f t="shared" si="7"/>
        <v>1.1510850070973386</v>
      </c>
      <c r="T9" s="9">
        <f t="shared" si="8"/>
        <v>1.0622636607683887E-2</v>
      </c>
      <c r="U9" s="9">
        <f t="shared" si="9"/>
        <v>4.2968576018494842</v>
      </c>
      <c r="V9" s="9">
        <f t="shared" si="10"/>
        <v>100</v>
      </c>
      <c r="X9" s="2" t="s">
        <v>52</v>
      </c>
      <c r="Y9" s="2">
        <f>O5+O4*Y8</f>
        <v>86.10787172011662</v>
      </c>
    </row>
    <row r="10" spans="1:25" ht="18.75" x14ac:dyDescent="0.3">
      <c r="A10">
        <v>8</v>
      </c>
      <c r="B10">
        <v>125</v>
      </c>
      <c r="D10" s="2" t="s">
        <v>18</v>
      </c>
      <c r="E10" s="6">
        <f>E3 - 2</f>
        <v>13</v>
      </c>
      <c r="F10" s="2"/>
      <c r="G10">
        <f t="shared" si="0"/>
        <v>-1.4000000000000004</v>
      </c>
      <c r="H10">
        <f t="shared" si="1"/>
        <v>23</v>
      </c>
      <c r="I10">
        <f t="shared" si="2"/>
        <v>1.9600000000000011</v>
      </c>
      <c r="J10">
        <f t="shared" si="2"/>
        <v>529</v>
      </c>
      <c r="K10">
        <f t="shared" si="3"/>
        <v>-32.20000000000001</v>
      </c>
      <c r="L10">
        <f t="shared" si="4"/>
        <v>1000</v>
      </c>
      <c r="N10" s="10" t="s">
        <v>34</v>
      </c>
      <c r="O10" s="6">
        <f>SUM(S:S)</f>
        <v>1603.2594752186592</v>
      </c>
      <c r="Q10" s="9">
        <f t="shared" si="5"/>
        <v>106.83673469387757</v>
      </c>
      <c r="R10" s="9">
        <f t="shared" si="6"/>
        <v>-18.163265306122426</v>
      </c>
      <c r="S10" s="9">
        <f t="shared" si="7"/>
        <v>329.9042065805906</v>
      </c>
      <c r="T10" s="9">
        <f t="shared" si="8"/>
        <v>0.14530612244897942</v>
      </c>
      <c r="U10" s="9">
        <f t="shared" si="9"/>
        <v>23.39400249895899</v>
      </c>
      <c r="V10" s="9">
        <f t="shared" si="10"/>
        <v>64</v>
      </c>
      <c r="X10" s="2" t="s">
        <v>53</v>
      </c>
      <c r="Y10" s="2">
        <f>O14*(1 + 1/E3 + ((Y8-E4)^2)/(SUM(I:I)))^0.5</f>
        <v>11.742642944437815</v>
      </c>
    </row>
    <row r="11" spans="1:25" x14ac:dyDescent="0.25">
      <c r="A11">
        <v>20</v>
      </c>
      <c r="B11">
        <v>66</v>
      </c>
      <c r="D11" s="2" t="s">
        <v>19</v>
      </c>
      <c r="E11" s="6">
        <f xml:space="preserve"> (E8^2^0.5) * (E10 ^ 0.5) / ((1 - E8^2)^0.5)</f>
        <v>6.3114868524901349</v>
      </c>
      <c r="G11">
        <f t="shared" si="0"/>
        <v>10.6</v>
      </c>
      <c r="H11">
        <f t="shared" si="1"/>
        <v>-36</v>
      </c>
      <c r="I11">
        <f t="shared" si="2"/>
        <v>112.36</v>
      </c>
      <c r="J11">
        <f t="shared" si="2"/>
        <v>1296</v>
      </c>
      <c r="K11">
        <f t="shared" si="3"/>
        <v>-381.59999999999997</v>
      </c>
      <c r="L11">
        <f t="shared" si="4"/>
        <v>1320</v>
      </c>
      <c r="N11" s="2" t="s">
        <v>23</v>
      </c>
      <c r="O11" s="6">
        <f xml:space="preserve"> 1 - O10/O8</f>
        <v>0.75395035678043909</v>
      </c>
      <c r="Q11" s="9">
        <f t="shared" si="5"/>
        <v>65.37900874635568</v>
      </c>
      <c r="R11" s="9">
        <f t="shared" si="6"/>
        <v>-0.62099125364431984</v>
      </c>
      <c r="S11" s="9">
        <f t="shared" si="7"/>
        <v>0.38563013710274396</v>
      </c>
      <c r="T11" s="9">
        <f t="shared" si="8"/>
        <v>9.4089583885502998E-3</v>
      </c>
      <c r="U11" s="9">
        <f t="shared" si="9"/>
        <v>1341.0970003994937</v>
      </c>
      <c r="V11" s="9">
        <f t="shared" si="10"/>
        <v>400</v>
      </c>
      <c r="X11" s="2"/>
      <c r="Y11" s="2"/>
    </row>
    <row r="12" spans="1:25" ht="30.75" customHeight="1" x14ac:dyDescent="0.25">
      <c r="A12">
        <v>18</v>
      </c>
      <c r="B12">
        <v>53</v>
      </c>
      <c r="D12" s="7" t="s">
        <v>20</v>
      </c>
      <c r="E12" s="6">
        <f>E8-E11*((1 - E8^2)/(E3^0.5))</f>
        <v>-1.2692702964019302</v>
      </c>
      <c r="G12">
        <f t="shared" si="0"/>
        <v>8.6</v>
      </c>
      <c r="H12">
        <f t="shared" si="1"/>
        <v>-49</v>
      </c>
      <c r="I12">
        <f t="shared" si="2"/>
        <v>73.959999999999994</v>
      </c>
      <c r="J12">
        <f t="shared" si="2"/>
        <v>2401</v>
      </c>
      <c r="K12">
        <f t="shared" si="3"/>
        <v>-421.4</v>
      </c>
      <c r="L12">
        <f t="shared" si="4"/>
        <v>954</v>
      </c>
      <c r="N12" s="2" t="s">
        <v>39</v>
      </c>
      <c r="O12" s="6">
        <f>O9/O10</f>
        <v>3.0642204837812228</v>
      </c>
      <c r="Q12" s="9">
        <f t="shared" si="5"/>
        <v>72.288629737609327</v>
      </c>
      <c r="R12" s="9">
        <f t="shared" si="6"/>
        <v>19.288629737609327</v>
      </c>
      <c r="S12" s="9">
        <f t="shared" si="7"/>
        <v>372.05123715458683</v>
      </c>
      <c r="T12" s="9">
        <f t="shared" si="8"/>
        <v>0.3639364101435722</v>
      </c>
      <c r="U12" s="9">
        <f t="shared" si="9"/>
        <v>882.76552286887284</v>
      </c>
      <c r="V12" s="9">
        <f t="shared" si="10"/>
        <v>324</v>
      </c>
      <c r="X12" s="7" t="s">
        <v>54</v>
      </c>
      <c r="Y12" s="2">
        <f>Y9 - E11 * Y10</f>
        <v>11.994335162811311</v>
      </c>
    </row>
    <row r="13" spans="1:25" ht="34.5" customHeight="1" x14ac:dyDescent="0.25">
      <c r="A13">
        <v>8</v>
      </c>
      <c r="B13">
        <v>101</v>
      </c>
      <c r="D13" s="7" t="s">
        <v>21</v>
      </c>
      <c r="E13" s="6">
        <f>E8+E11*((1 - E8^2)/(E3^0.5))</f>
        <v>-0.46733599954478094</v>
      </c>
      <c r="G13">
        <f t="shared" si="0"/>
        <v>-1.4000000000000004</v>
      </c>
      <c r="H13">
        <f t="shared" si="1"/>
        <v>-1</v>
      </c>
      <c r="I13">
        <f t="shared" si="2"/>
        <v>1.9600000000000011</v>
      </c>
      <c r="J13">
        <f t="shared" si="2"/>
        <v>1</v>
      </c>
      <c r="K13">
        <f t="shared" si="3"/>
        <v>1.4000000000000004</v>
      </c>
      <c r="L13">
        <f t="shared" si="4"/>
        <v>808</v>
      </c>
      <c r="N13" s="2" t="s">
        <v>40</v>
      </c>
      <c r="O13" s="6">
        <f>O11*(E3 - 2)/(1 - O11)</f>
        <v>39.83486628915584</v>
      </c>
      <c r="Q13" s="9">
        <f t="shared" si="5"/>
        <v>106.83673469387757</v>
      </c>
      <c r="R13" s="9">
        <f t="shared" si="6"/>
        <v>5.8367346938775739</v>
      </c>
      <c r="S13" s="9">
        <f t="shared" si="7"/>
        <v>34.067471886714138</v>
      </c>
      <c r="T13" s="9">
        <f t="shared" si="8"/>
        <v>5.7789452414629447E-2</v>
      </c>
      <c r="U13" s="9">
        <f t="shared" si="9"/>
        <v>23.39400249895899</v>
      </c>
      <c r="V13" s="9">
        <f t="shared" si="10"/>
        <v>64</v>
      </c>
      <c r="X13" s="7" t="s">
        <v>55</v>
      </c>
      <c r="Y13" s="2">
        <f>Y9 + E11 * Y10</f>
        <v>160.22140827742192</v>
      </c>
    </row>
    <row r="14" spans="1:25" ht="45.75" customHeight="1" x14ac:dyDescent="0.3">
      <c r="A14">
        <v>2</v>
      </c>
      <c r="B14">
        <v>122</v>
      </c>
      <c r="D14" s="12" t="s">
        <v>22</v>
      </c>
      <c r="E14" s="12"/>
      <c r="G14">
        <f t="shared" si="0"/>
        <v>-7.4</v>
      </c>
      <c r="H14">
        <f t="shared" si="1"/>
        <v>20</v>
      </c>
      <c r="I14">
        <f t="shared" si="2"/>
        <v>54.760000000000005</v>
      </c>
      <c r="J14">
        <f t="shared" si="2"/>
        <v>400</v>
      </c>
      <c r="K14">
        <f t="shared" si="3"/>
        <v>-148</v>
      </c>
      <c r="L14">
        <f t="shared" si="4"/>
        <v>244</v>
      </c>
      <c r="N14" s="2" t="s">
        <v>41</v>
      </c>
      <c r="O14" s="6">
        <f>(SUM(S:S)/(E3-2))^0.5</f>
        <v>11.105298372394001</v>
      </c>
      <c r="Q14" s="9">
        <f t="shared" si="5"/>
        <v>127.56559766763853</v>
      </c>
      <c r="R14" s="9">
        <f t="shared" si="6"/>
        <v>5.5655976676385279</v>
      </c>
      <c r="S14" s="9">
        <f t="shared" si="7"/>
        <v>30.975877398023421</v>
      </c>
      <c r="T14" s="9">
        <f t="shared" si="8"/>
        <v>4.5619653013430558E-2</v>
      </c>
      <c r="U14" s="9">
        <f t="shared" si="9"/>
        <v>653.5997841035645</v>
      </c>
      <c r="V14" s="9">
        <f t="shared" si="10"/>
        <v>4</v>
      </c>
      <c r="X14" s="2"/>
      <c r="Y14" s="2"/>
    </row>
    <row r="15" spans="1:25" ht="18.75" x14ac:dyDescent="0.3">
      <c r="A15">
        <v>6</v>
      </c>
      <c r="B15">
        <v>118</v>
      </c>
      <c r="D15" s="2" t="s">
        <v>23</v>
      </c>
      <c r="E15" s="8">
        <f>E8^2</f>
        <v>0.75395035678043909</v>
      </c>
      <c r="G15">
        <f t="shared" si="0"/>
        <v>-3.4000000000000004</v>
      </c>
      <c r="H15">
        <f t="shared" si="1"/>
        <v>16</v>
      </c>
      <c r="I15">
        <f t="shared" si="2"/>
        <v>11.560000000000002</v>
      </c>
      <c r="J15">
        <f t="shared" si="2"/>
        <v>256</v>
      </c>
      <c r="K15">
        <f t="shared" si="3"/>
        <v>-54.400000000000006</v>
      </c>
      <c r="L15">
        <f t="shared" si="4"/>
        <v>708</v>
      </c>
      <c r="N15" s="2" t="s">
        <v>42</v>
      </c>
      <c r="O15" s="6">
        <f>((1 - E8^2)/E3)^0.5</f>
        <v>0.12807540571074028</v>
      </c>
      <c r="Q15" s="9">
        <f t="shared" si="5"/>
        <v>113.74635568513122</v>
      </c>
      <c r="R15" s="9">
        <f t="shared" si="6"/>
        <v>-4.2536443148687795</v>
      </c>
      <c r="S15" s="9">
        <f t="shared" si="7"/>
        <v>18.093489957415489</v>
      </c>
      <c r="T15" s="9">
        <f t="shared" si="8"/>
        <v>3.6047833176854061E-2</v>
      </c>
      <c r="U15" s="9">
        <f t="shared" si="9"/>
        <v>137.97687188161456</v>
      </c>
      <c r="V15" s="9">
        <f t="shared" si="10"/>
        <v>36</v>
      </c>
      <c r="X15" s="2"/>
      <c r="Y15" s="2"/>
    </row>
    <row r="16" spans="1:25" ht="18.75" x14ac:dyDescent="0.3">
      <c r="A16">
        <v>5</v>
      </c>
      <c r="B16">
        <v>110</v>
      </c>
      <c r="D16" s="2"/>
      <c r="E16" s="2"/>
      <c r="G16">
        <f t="shared" si="0"/>
        <v>-4.4000000000000004</v>
      </c>
      <c r="H16">
        <f t="shared" si="1"/>
        <v>8</v>
      </c>
      <c r="I16">
        <f t="shared" si="2"/>
        <v>19.360000000000003</v>
      </c>
      <c r="J16">
        <f t="shared" si="2"/>
        <v>64</v>
      </c>
      <c r="K16">
        <f t="shared" si="3"/>
        <v>-35.200000000000003</v>
      </c>
      <c r="L16">
        <f t="shared" si="4"/>
        <v>550</v>
      </c>
      <c r="N16" s="2" t="s">
        <v>43</v>
      </c>
      <c r="O16" s="6">
        <f>O14*(SUM(V:V)^0.5)/(E3*E6)</f>
        <v>5.8904276778506048</v>
      </c>
      <c r="Q16" s="9">
        <f t="shared" si="5"/>
        <v>117.20116618075805</v>
      </c>
      <c r="R16" s="9">
        <f t="shared" si="6"/>
        <v>7.2011661807580509</v>
      </c>
      <c r="S16" s="9">
        <f t="shared" si="7"/>
        <v>51.856794362893496</v>
      </c>
      <c r="T16" s="9">
        <f t="shared" si="8"/>
        <v>6.5465147097800463E-2</v>
      </c>
      <c r="U16" s="9">
        <f t="shared" si="9"/>
        <v>231.0754532550223</v>
      </c>
      <c r="V16" s="9">
        <f t="shared" si="10"/>
        <v>25</v>
      </c>
      <c r="X16" s="2"/>
      <c r="Y16" s="2"/>
    </row>
    <row r="17" spans="1:25" ht="18.75" x14ac:dyDescent="0.3">
      <c r="A17">
        <v>4</v>
      </c>
      <c r="B17">
        <v>119</v>
      </c>
      <c r="D17" s="2"/>
      <c r="E17" s="2"/>
      <c r="G17">
        <f t="shared" si="0"/>
        <v>-5.4</v>
      </c>
      <c r="H17">
        <f t="shared" si="1"/>
        <v>17</v>
      </c>
      <c r="I17">
        <f t="shared" si="2"/>
        <v>29.160000000000004</v>
      </c>
      <c r="J17">
        <f t="shared" si="2"/>
        <v>289</v>
      </c>
      <c r="K17">
        <f t="shared" si="3"/>
        <v>-91.800000000000011</v>
      </c>
      <c r="L17">
        <f t="shared" si="4"/>
        <v>476</v>
      </c>
      <c r="N17" s="2" t="s">
        <v>44</v>
      </c>
      <c r="O17" s="6">
        <f>O14/E6/(E3^0.5)</f>
        <v>0.54738456664355728</v>
      </c>
      <c r="Q17" s="9">
        <f t="shared" si="5"/>
        <v>120.65597667638488</v>
      </c>
      <c r="R17" s="9">
        <f t="shared" si="6"/>
        <v>1.6559766763848813</v>
      </c>
      <c r="S17" s="9">
        <f t="shared" si="7"/>
        <v>2.7422587527307178</v>
      </c>
      <c r="T17" s="9">
        <f t="shared" si="8"/>
        <v>1.3915770389788919E-2</v>
      </c>
      <c r="U17" s="9">
        <f t="shared" si="9"/>
        <v>348.04546574981669</v>
      </c>
      <c r="V17" s="9">
        <f t="shared" si="10"/>
        <v>16</v>
      </c>
      <c r="X17" s="2"/>
      <c r="Y17" s="2"/>
    </row>
  </sheetData>
  <mergeCells count="2">
    <mergeCell ref="A1:B1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J0hn_Lenin</dc:creator>
  <cp:lastModifiedBy>Зимин Андрей Валерьевич</cp:lastModifiedBy>
  <dcterms:created xsi:type="dcterms:W3CDTF">2015-06-05T18:19:34Z</dcterms:created>
  <dcterms:modified xsi:type="dcterms:W3CDTF">2023-10-15T15:49:39Z</dcterms:modified>
</cp:coreProperties>
</file>